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650" yWindow="-135" windowWidth="11400" windowHeight="9555"/>
  </bookViews>
  <sheets>
    <sheet name="Cor Log" sheetId="4" r:id="rId1"/>
    <sheet name="Config" sheetId="5" state="hidden" r:id="rId2"/>
    <sheet name="DevConfig" sheetId="6" state="hidden" r:id="rId3"/>
    <sheet name="ProdConfig" sheetId="7" state="hidden" r:id="rId4"/>
    <sheet name="Lang" sheetId="8" state="hidden" r:id="rId5"/>
    <sheet name="Countries" sheetId="9" state="hidden" r:id="rId6"/>
    <sheet name="Expansions" sheetId="14" state="hidden" r:id="rId7"/>
    <sheet name="Lists" sheetId="10" state="hidden" r:id="rId8"/>
    <sheet name="Targets" sheetId="11" state="hidden" r:id="rId9"/>
    <sheet name="Help" sheetId="12" r:id="rId10"/>
    <sheet name="ChangeLog" sheetId="13" state="hidden" r:id="rId11"/>
  </sheets>
  <functionGroups builtInGroupCount="17"/>
  <definedNames>
    <definedName name="_xlnm._FilterDatabase" localSheetId="0" hidden="1">'Cor Log'!$A$1:$O$2649</definedName>
    <definedName name="_xlnm._FilterDatabase" localSheetId="7" hidden="1">Lists!#REF!</definedName>
    <definedName name="_xlnm._FilterDatabase" localSheetId="3" hidden="1">ProdConfig!$A$1:$B$29</definedName>
    <definedName name="action_header">'Cor Log'!$L$1</definedName>
    <definedName name="countries">Countries!$B$2:$B$2</definedName>
    <definedName name="development_mode">FALSE</definedName>
    <definedName name="_xlnm.Extract" localSheetId="7">Lists!$D$1</definedName>
    <definedName name="last_change">ChangeLog!$F$1</definedName>
    <definedName name="last_row">ChangeLog!$E$1</definedName>
    <definedName name="project_header">'Cor Log'!$G$1</definedName>
    <definedName name="root">'Cor Log'!$P$1</definedName>
  </definedNames>
  <calcPr calcId="145621"/>
</workbook>
</file>

<file path=xl/calcChain.xml><?xml version="1.0" encoding="utf-8"?>
<calcChain xmlns="http://schemas.openxmlformats.org/spreadsheetml/2006/main">
  <c r="J2" i="4" l="1"/>
  <c r="J3" i="4" l="1"/>
  <c r="K4" i="4"/>
  <c r="J4" i="4"/>
  <c r="J5" i="4"/>
  <c r="J6" i="4"/>
  <c r="J7" i="4"/>
  <c r="J8" i="4"/>
  <c r="J9" i="4"/>
  <c r="J10" i="4"/>
  <c r="J11" i="4"/>
  <c r="J12" i="4"/>
  <c r="J13" i="4"/>
  <c r="J14" i="4"/>
  <c r="J15" i="4"/>
  <c r="J16" i="4"/>
  <c r="J17" i="4" l="1"/>
  <c r="J18" i="4" l="1"/>
  <c r="J19" i="4"/>
  <c r="J20" i="4"/>
  <c r="J21" i="4"/>
  <c r="J22" i="4"/>
  <c r="J23" i="4"/>
  <c r="J24" i="4"/>
  <c r="J25" i="4"/>
  <c r="J26" i="4" l="1"/>
  <c r="J27" i="4"/>
  <c r="J28" i="4"/>
  <c r="J29" i="4"/>
  <c r="J30" i="4" l="1"/>
  <c r="J31" i="4"/>
  <c r="J32" i="4" l="1"/>
  <c r="J33" i="4" l="1"/>
  <c r="J2649" i="4" l="1"/>
  <c r="K2648" i="4"/>
  <c r="J2648" i="4"/>
  <c r="K2647" i="4"/>
  <c r="J2647" i="4"/>
  <c r="J2646" i="4"/>
  <c r="K2645" i="4"/>
  <c r="J2645" i="4"/>
  <c r="J2644" i="4"/>
  <c r="J2643" i="4"/>
  <c r="J2642" i="4"/>
  <c r="J2641" i="4"/>
  <c r="J2640" i="4"/>
  <c r="J2639" i="4"/>
  <c r="J2638" i="4"/>
  <c r="J2637" i="4"/>
  <c r="J2636" i="4"/>
  <c r="J2635" i="4"/>
  <c r="J2634" i="4"/>
  <c r="J2633" i="4"/>
  <c r="J2632" i="4"/>
  <c r="J2631" i="4"/>
  <c r="K2630" i="4"/>
  <c r="J2630" i="4"/>
  <c r="J2629" i="4"/>
  <c r="J2628" i="4"/>
  <c r="J2627" i="4"/>
  <c r="J2626" i="4"/>
  <c r="J2625" i="4"/>
  <c r="J2624" i="4"/>
  <c r="J2623" i="4"/>
  <c r="J2622" i="4"/>
  <c r="J2621" i="4"/>
  <c r="J2620" i="4"/>
  <c r="J2619" i="4"/>
  <c r="J2618" i="4"/>
  <c r="J2617" i="4"/>
  <c r="J2616" i="4"/>
  <c r="J2615" i="4"/>
  <c r="J2614" i="4"/>
  <c r="J2613" i="4"/>
  <c r="J2612" i="4"/>
  <c r="J2611" i="4"/>
  <c r="J2610" i="4"/>
  <c r="J2609" i="4"/>
  <c r="J2608" i="4"/>
  <c r="J2607" i="4"/>
  <c r="J2606" i="4"/>
  <c r="J2605" i="4"/>
  <c r="J2604" i="4"/>
  <c r="J2603" i="4"/>
  <c r="J2602" i="4"/>
  <c r="J2601" i="4"/>
  <c r="J2600" i="4"/>
  <c r="J2599" i="4"/>
  <c r="J2598" i="4"/>
  <c r="J2597" i="4"/>
  <c r="J2596" i="4"/>
  <c r="J2595" i="4"/>
  <c r="J2594" i="4"/>
  <c r="J2593" i="4"/>
  <c r="J2592" i="4"/>
  <c r="J2591" i="4"/>
  <c r="J2590" i="4"/>
  <c r="J2589" i="4"/>
  <c r="J2588" i="4"/>
  <c r="J2587" i="4"/>
  <c r="J2586" i="4"/>
  <c r="J2585" i="4"/>
  <c r="J2584" i="4"/>
  <c r="J2583" i="4"/>
  <c r="J2582" i="4"/>
  <c r="J2581" i="4"/>
  <c r="J2580" i="4"/>
  <c r="J2579" i="4"/>
  <c r="J2578" i="4"/>
  <c r="J2577" i="4"/>
  <c r="J2576" i="4"/>
  <c r="J2575" i="4"/>
  <c r="J2574" i="4"/>
  <c r="J2573" i="4"/>
  <c r="J2572" i="4"/>
  <c r="J2571" i="4"/>
  <c r="J2570" i="4"/>
  <c r="J2569" i="4"/>
  <c r="J2568" i="4"/>
  <c r="J2567" i="4"/>
  <c r="J2566" i="4"/>
  <c r="J2565" i="4"/>
  <c r="J2564" i="4"/>
  <c r="J2563" i="4"/>
  <c r="J2562" i="4"/>
  <c r="J2561" i="4"/>
  <c r="J2560" i="4"/>
  <c r="J2559" i="4"/>
  <c r="J2558" i="4"/>
  <c r="J2557" i="4"/>
  <c r="J2556" i="4"/>
  <c r="J2555" i="4"/>
  <c r="J2554" i="4"/>
  <c r="J2553" i="4"/>
  <c r="J2552" i="4"/>
  <c r="J2551" i="4"/>
  <c r="J2550" i="4"/>
  <c r="J2549" i="4"/>
  <c r="J2548" i="4"/>
  <c r="J2547" i="4"/>
  <c r="J2546" i="4"/>
  <c r="J2545" i="4"/>
  <c r="J2544" i="4"/>
  <c r="J2543" i="4"/>
  <c r="J2542" i="4"/>
  <c r="J2541" i="4"/>
  <c r="J2540" i="4"/>
  <c r="J2539" i="4"/>
  <c r="J2538" i="4"/>
  <c r="J2537" i="4"/>
  <c r="J2536" i="4"/>
  <c r="J2535" i="4"/>
  <c r="J2534" i="4"/>
  <c r="K2533" i="4"/>
  <c r="J2533" i="4"/>
  <c r="J2532" i="4"/>
  <c r="J2531" i="4"/>
  <c r="J2530" i="4"/>
  <c r="J2529" i="4"/>
  <c r="J2528" i="4"/>
  <c r="J2527" i="4"/>
  <c r="J2526" i="4"/>
  <c r="J2525" i="4"/>
  <c r="J2524" i="4"/>
  <c r="J2523" i="4"/>
  <c r="J2522" i="4"/>
  <c r="J2521" i="4"/>
  <c r="J2520" i="4"/>
  <c r="J2519" i="4"/>
  <c r="J2518" i="4"/>
  <c r="J2517" i="4"/>
  <c r="J2516" i="4"/>
  <c r="J2515" i="4"/>
  <c r="J2514" i="4"/>
  <c r="J2513" i="4"/>
  <c r="J2512" i="4"/>
  <c r="J2511" i="4"/>
  <c r="J2510" i="4"/>
  <c r="J2509" i="4"/>
  <c r="J2508" i="4"/>
  <c r="J2507" i="4"/>
  <c r="J2506" i="4"/>
  <c r="J2505" i="4"/>
  <c r="J2504" i="4"/>
  <c r="J2503" i="4"/>
  <c r="J2502" i="4"/>
  <c r="J2501" i="4"/>
  <c r="J2500" i="4"/>
  <c r="J2499" i="4"/>
  <c r="J2498" i="4"/>
  <c r="J2497" i="4"/>
  <c r="J2496" i="4"/>
  <c r="J2495" i="4"/>
  <c r="J2494" i="4"/>
  <c r="J2493" i="4"/>
  <c r="J2492" i="4"/>
  <c r="J2491" i="4"/>
  <c r="J2490" i="4"/>
  <c r="J2489" i="4"/>
  <c r="J2488" i="4"/>
  <c r="J2487" i="4"/>
  <c r="J2486" i="4"/>
  <c r="J2485" i="4"/>
  <c r="J2484" i="4"/>
  <c r="J2483" i="4"/>
  <c r="J2482" i="4"/>
  <c r="J2481" i="4"/>
  <c r="J2480" i="4"/>
  <c r="J2479" i="4"/>
  <c r="J2478" i="4"/>
  <c r="J2477" i="4"/>
  <c r="J2476" i="4"/>
  <c r="J2475" i="4"/>
  <c r="J2474" i="4"/>
  <c r="J2473" i="4"/>
  <c r="J2472" i="4"/>
  <c r="J2471" i="4"/>
  <c r="J2470" i="4"/>
  <c r="J2469" i="4"/>
  <c r="J2468" i="4"/>
  <c r="J2467" i="4"/>
  <c r="J2466" i="4"/>
  <c r="J2465" i="4"/>
  <c r="J2464" i="4"/>
  <c r="J2463" i="4"/>
  <c r="J2462" i="4"/>
  <c r="J2461" i="4"/>
  <c r="J2460" i="4"/>
  <c r="J2459" i="4"/>
  <c r="J2458" i="4"/>
  <c r="J2457" i="4"/>
  <c r="J2456" i="4"/>
  <c r="J2455" i="4"/>
  <c r="J2454" i="4"/>
  <c r="J2453" i="4"/>
  <c r="J2452" i="4"/>
  <c r="J2451" i="4"/>
  <c r="J2450" i="4"/>
  <c r="J2449" i="4"/>
  <c r="J2448" i="4"/>
  <c r="J2447" i="4"/>
  <c r="J2446" i="4"/>
  <c r="J2445" i="4"/>
  <c r="J2444" i="4"/>
  <c r="J2443" i="4"/>
  <c r="J2442" i="4"/>
  <c r="J2441" i="4"/>
  <c r="J2440" i="4"/>
  <c r="J2439" i="4"/>
  <c r="J2438" i="4"/>
  <c r="J2437" i="4"/>
  <c r="J2436" i="4"/>
  <c r="J2435" i="4"/>
  <c r="J2434" i="4"/>
  <c r="J2433" i="4"/>
  <c r="J2432" i="4"/>
  <c r="J2431" i="4"/>
  <c r="J2430" i="4"/>
  <c r="J2429" i="4"/>
  <c r="J2428" i="4"/>
  <c r="J2427" i="4"/>
  <c r="J2426" i="4"/>
  <c r="J2425" i="4"/>
  <c r="J2424" i="4"/>
  <c r="J2423" i="4"/>
  <c r="J2422" i="4"/>
  <c r="J2421" i="4"/>
  <c r="J2420" i="4"/>
  <c r="J2419" i="4"/>
  <c r="J2418" i="4"/>
  <c r="J2417" i="4"/>
  <c r="J2416" i="4"/>
  <c r="J2415" i="4"/>
  <c r="J2414" i="4"/>
  <c r="J2413" i="4"/>
  <c r="J2412" i="4"/>
  <c r="J2411" i="4"/>
  <c r="J2410" i="4"/>
  <c r="J2409" i="4"/>
  <c r="J2408" i="4"/>
  <c r="J2407" i="4"/>
  <c r="J2406" i="4"/>
  <c r="J2405" i="4"/>
  <c r="J2404" i="4"/>
  <c r="J2403" i="4"/>
  <c r="J2402" i="4"/>
  <c r="J2401" i="4"/>
  <c r="J2400" i="4"/>
  <c r="J2399" i="4"/>
  <c r="J2398" i="4"/>
  <c r="J2397" i="4"/>
  <c r="J2396" i="4"/>
  <c r="J2395" i="4"/>
  <c r="J2394" i="4"/>
  <c r="J2393" i="4"/>
  <c r="J2392" i="4"/>
  <c r="J2391" i="4"/>
  <c r="J2390" i="4"/>
  <c r="K2389" i="4"/>
  <c r="J2389" i="4"/>
  <c r="J2388" i="4"/>
  <c r="J2387" i="4"/>
  <c r="J2386" i="4"/>
  <c r="J2385" i="4"/>
  <c r="J2384" i="4"/>
  <c r="J2383" i="4"/>
  <c r="J2382" i="4"/>
  <c r="J2381" i="4"/>
  <c r="J2380" i="4"/>
  <c r="J2379" i="4"/>
  <c r="J2378" i="4"/>
  <c r="J2377" i="4"/>
  <c r="J2376" i="4"/>
  <c r="J2375" i="4"/>
  <c r="J2374" i="4"/>
  <c r="J2373" i="4"/>
  <c r="J2372" i="4"/>
  <c r="J2371" i="4"/>
  <c r="J2370" i="4"/>
  <c r="J2369" i="4"/>
  <c r="J2368" i="4"/>
  <c r="J2367" i="4"/>
  <c r="J2366" i="4"/>
  <c r="J2365" i="4"/>
  <c r="J2364" i="4"/>
  <c r="J2363" i="4"/>
  <c r="J2362" i="4"/>
  <c r="J2361" i="4"/>
  <c r="J2360" i="4"/>
  <c r="J2359" i="4"/>
  <c r="J2358" i="4"/>
  <c r="J2357" i="4"/>
  <c r="J2356" i="4"/>
  <c r="J2355" i="4"/>
  <c r="J2354" i="4"/>
  <c r="J2353" i="4"/>
  <c r="J2352" i="4"/>
  <c r="J2351" i="4"/>
  <c r="J2350" i="4"/>
  <c r="J2349" i="4"/>
  <c r="J2348" i="4"/>
  <c r="J2347" i="4"/>
  <c r="J2346" i="4"/>
  <c r="J2345" i="4"/>
  <c r="J2344" i="4"/>
  <c r="J2343" i="4"/>
  <c r="J2342" i="4"/>
  <c r="J2341" i="4"/>
  <c r="J2340" i="4"/>
  <c r="J2339" i="4"/>
  <c r="J2338" i="4"/>
  <c r="J2337" i="4"/>
  <c r="J2336" i="4"/>
  <c r="J2335" i="4"/>
  <c r="J2334" i="4"/>
  <c r="J2333" i="4"/>
  <c r="J2332" i="4"/>
  <c r="J2331" i="4"/>
  <c r="J2330" i="4"/>
  <c r="J2329" i="4"/>
  <c r="J2328" i="4"/>
  <c r="J2327" i="4"/>
  <c r="J2326" i="4"/>
  <c r="J2325" i="4"/>
  <c r="J2324" i="4"/>
  <c r="J2323" i="4"/>
  <c r="J2322" i="4"/>
  <c r="J2321" i="4"/>
  <c r="J2320" i="4"/>
  <c r="J2319" i="4"/>
  <c r="J2318" i="4"/>
  <c r="J2317" i="4"/>
  <c r="J2316" i="4"/>
  <c r="J2315" i="4"/>
  <c r="J2314" i="4"/>
  <c r="J2313" i="4"/>
  <c r="J2312" i="4"/>
  <c r="J2311" i="4"/>
  <c r="J2310" i="4"/>
  <c r="J2309" i="4"/>
  <c r="J2308" i="4"/>
  <c r="J2307" i="4"/>
  <c r="J2306" i="4"/>
  <c r="J2305" i="4"/>
  <c r="K2304" i="4"/>
  <c r="J2304" i="4"/>
  <c r="J2303" i="4"/>
  <c r="K2302" i="4"/>
  <c r="J2302" i="4"/>
  <c r="J2301" i="4"/>
  <c r="J2300" i="4"/>
  <c r="J2299" i="4"/>
  <c r="J2298" i="4"/>
  <c r="J2297" i="4"/>
  <c r="J2296" i="4"/>
  <c r="J2295" i="4"/>
  <c r="J2294" i="4"/>
  <c r="J2293" i="4"/>
  <c r="J2292" i="4"/>
  <c r="J2291" i="4"/>
  <c r="J2290" i="4"/>
  <c r="J2289" i="4"/>
  <c r="J2288" i="4"/>
  <c r="J2287" i="4"/>
  <c r="J2286" i="4"/>
  <c r="J2285" i="4"/>
  <c r="J2284" i="4"/>
  <c r="J2283" i="4"/>
  <c r="K2282" i="4"/>
  <c r="J2282" i="4"/>
  <c r="J2281" i="4"/>
  <c r="J2280" i="4"/>
  <c r="J2279" i="4"/>
  <c r="J2278" i="4"/>
  <c r="J2277" i="4"/>
  <c r="J2276" i="4"/>
  <c r="J2275" i="4"/>
  <c r="J2274" i="4"/>
  <c r="J2273" i="4"/>
  <c r="J2272" i="4"/>
  <c r="J2271" i="4"/>
  <c r="J2270" i="4"/>
  <c r="J2269" i="4"/>
  <c r="J2268" i="4"/>
  <c r="J2267" i="4"/>
  <c r="J2266" i="4"/>
  <c r="J2265" i="4"/>
  <c r="J2264" i="4"/>
  <c r="J2263" i="4"/>
  <c r="J2262" i="4"/>
  <c r="J2261" i="4"/>
  <c r="J2260" i="4"/>
  <c r="J2259" i="4"/>
  <c r="J2258" i="4"/>
  <c r="J2257" i="4"/>
  <c r="J2256" i="4"/>
  <c r="J2255" i="4"/>
  <c r="J2254" i="4"/>
  <c r="K2253" i="4"/>
  <c r="J2253" i="4"/>
  <c r="J2252" i="4"/>
  <c r="J2251" i="4"/>
  <c r="J2250" i="4"/>
  <c r="J2249" i="4"/>
  <c r="J2248" i="4"/>
  <c r="J2247" i="4"/>
  <c r="J2246" i="4"/>
  <c r="J2245" i="4"/>
  <c r="J2244" i="4"/>
  <c r="J2243" i="4"/>
  <c r="J2242" i="4"/>
  <c r="J2241" i="4"/>
  <c r="J2240" i="4"/>
  <c r="J2239" i="4"/>
  <c r="J2238" i="4"/>
  <c r="J2237" i="4"/>
  <c r="J2236" i="4"/>
  <c r="J2235" i="4"/>
  <c r="J2234" i="4"/>
  <c r="J2233" i="4"/>
  <c r="J2232" i="4"/>
  <c r="J2231" i="4"/>
  <c r="J2230" i="4"/>
  <c r="J2229" i="4"/>
  <c r="J2228" i="4"/>
  <c r="J2227" i="4"/>
  <c r="J2226" i="4"/>
  <c r="J2225" i="4"/>
  <c r="J2224" i="4"/>
  <c r="J2223" i="4"/>
  <c r="J2222" i="4"/>
  <c r="J2221" i="4"/>
  <c r="J2220" i="4"/>
  <c r="J2219" i="4"/>
  <c r="J2218" i="4"/>
  <c r="J2217" i="4"/>
  <c r="J2216" i="4"/>
  <c r="J2215" i="4"/>
  <c r="J2214" i="4"/>
  <c r="J2213" i="4"/>
  <c r="J2212" i="4"/>
  <c r="J2211" i="4"/>
  <c r="J2210" i="4"/>
  <c r="J2209" i="4"/>
  <c r="J2208" i="4"/>
  <c r="J2207" i="4"/>
  <c r="J2206" i="4"/>
  <c r="J2205" i="4"/>
  <c r="J2204" i="4"/>
  <c r="J2203" i="4"/>
  <c r="J2202" i="4"/>
  <c r="J2201" i="4"/>
  <c r="J2200" i="4"/>
  <c r="J2199" i="4"/>
  <c r="J2198" i="4"/>
  <c r="J2197" i="4"/>
  <c r="J2196" i="4"/>
  <c r="J2195" i="4"/>
  <c r="J2194" i="4"/>
  <c r="J2193" i="4"/>
  <c r="J2192" i="4"/>
  <c r="J2191" i="4"/>
  <c r="J2190" i="4"/>
  <c r="J2189" i="4"/>
  <c r="J2188" i="4"/>
  <c r="J2187" i="4"/>
  <c r="J2186" i="4"/>
  <c r="J2185" i="4"/>
  <c r="J2184" i="4"/>
  <c r="J2183" i="4"/>
  <c r="J2182" i="4"/>
  <c r="J2181" i="4"/>
  <c r="J2180" i="4"/>
  <c r="J2179" i="4"/>
  <c r="J2178" i="4"/>
  <c r="J2177" i="4"/>
  <c r="J2176" i="4"/>
  <c r="J2175" i="4"/>
  <c r="J2174" i="4"/>
  <c r="J2173" i="4"/>
  <c r="J2172" i="4"/>
  <c r="J2171" i="4"/>
  <c r="J2170" i="4"/>
  <c r="J2169" i="4"/>
  <c r="J2168" i="4"/>
  <c r="J2167" i="4"/>
  <c r="J2166" i="4"/>
  <c r="J2165" i="4"/>
  <c r="J2164" i="4"/>
  <c r="J2163" i="4"/>
  <c r="J2162" i="4"/>
  <c r="J2161" i="4"/>
  <c r="J2160" i="4"/>
  <c r="J2159" i="4"/>
  <c r="J2158" i="4"/>
  <c r="J2157" i="4"/>
  <c r="J2156" i="4"/>
  <c r="J2155" i="4"/>
  <c r="J2154" i="4"/>
  <c r="J2153" i="4"/>
  <c r="J2152" i="4"/>
  <c r="J2151" i="4"/>
  <c r="J2150" i="4"/>
  <c r="J2149" i="4"/>
  <c r="J2148" i="4"/>
  <c r="J2147" i="4"/>
  <c r="J2146" i="4"/>
  <c r="J2145" i="4"/>
  <c r="J2144" i="4"/>
  <c r="J2143" i="4"/>
  <c r="J2142" i="4"/>
  <c r="J2141" i="4"/>
  <c r="J2140" i="4"/>
  <c r="J2139" i="4"/>
  <c r="J2138" i="4"/>
  <c r="J2137" i="4"/>
  <c r="J2136" i="4"/>
  <c r="J2135" i="4"/>
  <c r="J2134" i="4"/>
  <c r="J2133" i="4"/>
  <c r="J2132" i="4"/>
  <c r="J2131" i="4"/>
  <c r="J2130" i="4"/>
  <c r="J2129" i="4"/>
  <c r="J2128" i="4"/>
  <c r="J2127" i="4"/>
  <c r="J2126" i="4"/>
  <c r="J2125" i="4"/>
  <c r="J2124" i="4"/>
  <c r="J2123" i="4"/>
  <c r="J2122" i="4"/>
  <c r="J2121" i="4"/>
  <c r="J2120" i="4"/>
  <c r="J2119" i="4"/>
  <c r="J2118" i="4"/>
  <c r="J2117" i="4"/>
  <c r="J2116" i="4"/>
  <c r="J2115" i="4"/>
  <c r="J2114" i="4"/>
  <c r="J2113" i="4"/>
  <c r="J2112" i="4"/>
  <c r="J2111" i="4"/>
  <c r="J2110" i="4"/>
  <c r="J2109" i="4"/>
  <c r="J2108" i="4"/>
  <c r="J2107" i="4"/>
  <c r="J2106" i="4"/>
  <c r="J2105" i="4"/>
  <c r="J2104" i="4"/>
  <c r="J2103" i="4"/>
  <c r="J2102" i="4"/>
  <c r="J2101" i="4"/>
  <c r="J2100" i="4"/>
  <c r="J2099" i="4"/>
  <c r="J2098" i="4"/>
  <c r="J2097" i="4"/>
  <c r="K2096" i="4"/>
  <c r="J2096" i="4"/>
  <c r="J2095" i="4"/>
  <c r="J2094" i="4"/>
  <c r="J2093" i="4"/>
  <c r="J2092" i="4"/>
  <c r="J2091" i="4"/>
  <c r="J2090" i="4"/>
  <c r="J2089" i="4"/>
  <c r="J2088" i="4"/>
  <c r="J2087" i="4"/>
  <c r="J2086" i="4"/>
  <c r="J2085" i="4"/>
  <c r="J2084" i="4"/>
  <c r="J2083" i="4"/>
  <c r="J2082" i="4"/>
  <c r="J2081" i="4"/>
  <c r="J2080" i="4"/>
  <c r="J2079" i="4"/>
  <c r="J2078" i="4"/>
  <c r="J2077" i="4"/>
  <c r="J2076" i="4"/>
  <c r="J2075" i="4"/>
  <c r="J2074" i="4"/>
  <c r="J2073" i="4"/>
  <c r="J2072" i="4"/>
  <c r="J2071" i="4"/>
  <c r="J2070" i="4"/>
  <c r="J2069" i="4"/>
  <c r="J2068" i="4"/>
  <c r="J2067" i="4"/>
  <c r="J2066" i="4"/>
  <c r="J2065" i="4"/>
  <c r="J2064" i="4"/>
  <c r="J2063" i="4"/>
  <c r="J2062" i="4"/>
  <c r="J2061" i="4"/>
  <c r="J2060" i="4"/>
  <c r="J2059" i="4"/>
  <c r="J2058" i="4"/>
  <c r="J2057" i="4"/>
  <c r="J2056" i="4"/>
  <c r="J2055" i="4"/>
  <c r="J2054" i="4"/>
  <c r="J2053" i="4"/>
  <c r="J2052" i="4"/>
  <c r="J2051" i="4"/>
  <c r="J2050" i="4"/>
  <c r="J2049" i="4"/>
  <c r="J2048" i="4"/>
  <c r="J2047" i="4"/>
  <c r="J2046" i="4"/>
  <c r="J2045" i="4"/>
  <c r="J2044" i="4"/>
  <c r="J2043" i="4"/>
  <c r="J2042" i="4"/>
  <c r="J2041" i="4"/>
  <c r="J2040" i="4"/>
  <c r="J2039" i="4"/>
  <c r="J2038" i="4"/>
  <c r="J2037" i="4"/>
  <c r="J2036" i="4"/>
  <c r="J2035" i="4"/>
  <c r="J2034" i="4"/>
  <c r="J2033" i="4"/>
  <c r="J2032" i="4"/>
  <c r="J2031" i="4"/>
  <c r="J2030" i="4"/>
  <c r="K2029" i="4"/>
  <c r="J2029" i="4"/>
  <c r="J2028" i="4"/>
  <c r="J2027" i="4"/>
  <c r="J2026" i="4"/>
  <c r="J2025" i="4"/>
  <c r="J2024" i="4"/>
  <c r="J2023" i="4"/>
  <c r="J2022" i="4"/>
  <c r="J2021" i="4"/>
  <c r="J2020" i="4"/>
  <c r="J2019" i="4"/>
  <c r="J2018" i="4"/>
  <c r="J2017" i="4"/>
  <c r="J2016" i="4"/>
  <c r="J2015" i="4"/>
  <c r="J2014" i="4"/>
  <c r="J2013" i="4"/>
  <c r="J2012" i="4"/>
  <c r="J2011" i="4"/>
  <c r="J2010" i="4"/>
  <c r="J2009" i="4"/>
  <c r="J2008" i="4"/>
  <c r="J2007" i="4"/>
  <c r="J2006" i="4"/>
  <c r="J2005" i="4"/>
  <c r="J2004" i="4"/>
  <c r="J2003" i="4"/>
  <c r="J2002" i="4"/>
  <c r="J2001" i="4"/>
  <c r="J2000" i="4"/>
  <c r="J1999" i="4"/>
  <c r="J1998" i="4"/>
  <c r="J1997" i="4"/>
  <c r="J1996" i="4"/>
  <c r="J1995" i="4"/>
  <c r="J1994" i="4"/>
  <c r="J1993" i="4"/>
  <c r="J1992" i="4"/>
  <c r="J1991" i="4"/>
  <c r="J1990" i="4"/>
  <c r="J1989" i="4"/>
  <c r="J1988" i="4"/>
  <c r="J1987" i="4"/>
  <c r="J1986" i="4"/>
  <c r="J1985" i="4"/>
  <c r="J1984" i="4"/>
  <c r="J1983" i="4"/>
  <c r="J1982" i="4"/>
  <c r="J1981" i="4"/>
  <c r="J1980" i="4"/>
  <c r="J1979" i="4"/>
  <c r="J1978" i="4"/>
  <c r="J1977" i="4"/>
  <c r="J1976" i="4"/>
  <c r="J1975" i="4"/>
  <c r="J1974" i="4"/>
  <c r="J1973" i="4"/>
  <c r="J1972" i="4"/>
  <c r="J1971" i="4"/>
  <c r="J1970" i="4"/>
  <c r="J1969" i="4"/>
  <c r="J1968" i="4"/>
  <c r="J1967" i="4"/>
  <c r="J1966" i="4"/>
  <c r="J1965" i="4"/>
  <c r="J1964" i="4"/>
  <c r="J1963" i="4"/>
  <c r="K1962" i="4"/>
  <c r="J1962" i="4"/>
  <c r="K1961" i="4"/>
  <c r="J1961" i="4"/>
  <c r="J1960" i="4"/>
  <c r="J1959" i="4"/>
  <c r="J1958" i="4"/>
  <c r="J1957" i="4"/>
  <c r="J1956" i="4"/>
  <c r="J1955" i="4"/>
  <c r="J1954" i="4"/>
  <c r="J1953" i="4"/>
  <c r="J1952" i="4"/>
  <c r="J1951" i="4"/>
  <c r="J1950" i="4"/>
  <c r="J1949" i="4"/>
  <c r="J1948" i="4"/>
  <c r="J1947" i="4"/>
  <c r="J1946" i="4"/>
  <c r="J1945" i="4"/>
  <c r="J1944" i="4"/>
  <c r="J1943" i="4"/>
  <c r="J1942" i="4"/>
  <c r="J1941" i="4"/>
  <c r="J1940" i="4"/>
  <c r="J1939" i="4"/>
  <c r="J1938" i="4"/>
  <c r="J1937" i="4"/>
  <c r="J1936" i="4"/>
  <c r="J1935" i="4"/>
  <c r="J1934" i="4"/>
  <c r="J1933" i="4"/>
  <c r="J1932" i="4"/>
  <c r="J1931" i="4"/>
  <c r="J1930" i="4"/>
  <c r="J1929" i="4"/>
  <c r="J1928" i="4"/>
  <c r="J1927" i="4"/>
  <c r="J1926" i="4"/>
  <c r="J1925" i="4"/>
  <c r="J1924" i="4"/>
  <c r="J1923" i="4"/>
  <c r="J1922" i="4"/>
  <c r="J1921" i="4"/>
  <c r="J1920" i="4"/>
  <c r="J1919" i="4"/>
  <c r="J1918" i="4"/>
  <c r="J1917" i="4"/>
  <c r="J1916" i="4"/>
  <c r="J1915" i="4"/>
  <c r="J1914" i="4"/>
  <c r="K1913" i="4"/>
  <c r="J1913" i="4"/>
  <c r="K1912" i="4"/>
  <c r="J1912" i="4"/>
  <c r="J1911" i="4"/>
  <c r="J1910" i="4"/>
  <c r="J1909" i="4"/>
  <c r="J1908" i="4"/>
  <c r="J1907" i="4"/>
  <c r="J1906" i="4"/>
  <c r="J1905" i="4"/>
  <c r="J1904" i="4"/>
  <c r="J1903" i="4"/>
  <c r="J1902" i="4"/>
  <c r="J1901" i="4"/>
  <c r="J1900" i="4"/>
  <c r="J1899" i="4"/>
  <c r="J1898" i="4"/>
  <c r="J1897" i="4"/>
  <c r="J1896" i="4"/>
  <c r="J1895" i="4"/>
  <c r="J1894" i="4"/>
  <c r="J1893" i="4"/>
  <c r="J1892" i="4"/>
  <c r="J1891" i="4"/>
  <c r="J1890" i="4"/>
  <c r="J1889" i="4"/>
  <c r="J1888" i="4"/>
  <c r="J1887" i="4"/>
  <c r="J1886" i="4"/>
  <c r="J1885" i="4"/>
  <c r="J1884" i="4"/>
  <c r="J1883" i="4"/>
  <c r="J1882" i="4"/>
  <c r="J1881" i="4"/>
  <c r="J1880" i="4"/>
  <c r="J1879" i="4"/>
  <c r="J1878" i="4"/>
  <c r="J1877" i="4"/>
  <c r="J1876" i="4"/>
  <c r="J1875" i="4"/>
  <c r="J1874" i="4"/>
  <c r="J1873" i="4"/>
  <c r="J1872" i="4"/>
  <c r="J1871" i="4"/>
  <c r="J1870" i="4"/>
  <c r="J1869" i="4"/>
  <c r="J1868" i="4"/>
  <c r="J1867" i="4"/>
  <c r="J1866" i="4"/>
  <c r="J1865" i="4"/>
  <c r="J1864" i="4"/>
  <c r="J1863" i="4"/>
  <c r="J1862" i="4"/>
  <c r="J1861" i="4"/>
  <c r="J1860" i="4"/>
  <c r="J1859" i="4"/>
  <c r="J1858" i="4"/>
  <c r="J1857" i="4"/>
  <c r="J1856" i="4"/>
  <c r="J1855" i="4"/>
  <c r="J1854" i="4"/>
  <c r="J1853" i="4"/>
  <c r="J1852" i="4"/>
  <c r="J1851" i="4"/>
  <c r="J1850" i="4"/>
  <c r="J1849" i="4"/>
  <c r="J1848" i="4"/>
  <c r="J1847" i="4"/>
  <c r="J1846" i="4"/>
  <c r="J1845" i="4"/>
  <c r="J1844" i="4"/>
  <c r="J1843" i="4"/>
  <c r="J1842" i="4"/>
  <c r="J1841" i="4"/>
  <c r="J1840" i="4"/>
  <c r="J1839" i="4"/>
  <c r="J1838" i="4"/>
  <c r="J1837" i="4"/>
  <c r="J1836" i="4"/>
  <c r="J1835" i="4"/>
  <c r="J1834" i="4"/>
  <c r="J1833" i="4"/>
  <c r="J1832" i="4"/>
  <c r="J1831" i="4"/>
  <c r="J1830" i="4"/>
  <c r="J1829" i="4"/>
  <c r="J1828" i="4"/>
  <c r="J1827" i="4"/>
  <c r="J1826" i="4"/>
  <c r="J1825" i="4"/>
  <c r="J1824" i="4"/>
  <c r="J1823" i="4"/>
  <c r="J1822" i="4"/>
  <c r="J1821" i="4"/>
  <c r="J1820" i="4"/>
  <c r="J1819" i="4"/>
  <c r="J1818" i="4"/>
  <c r="J1817" i="4"/>
  <c r="J1816" i="4"/>
  <c r="J1815" i="4"/>
  <c r="J1814" i="4"/>
  <c r="J1813" i="4"/>
  <c r="J1812" i="4"/>
  <c r="J1811" i="4"/>
  <c r="J1810" i="4"/>
  <c r="J1809" i="4"/>
  <c r="J1808" i="4"/>
  <c r="J1807" i="4"/>
  <c r="J1806" i="4"/>
  <c r="J1805" i="4"/>
  <c r="J1804" i="4"/>
  <c r="J1803" i="4"/>
  <c r="J1802" i="4"/>
  <c r="J1801" i="4"/>
  <c r="J1800" i="4"/>
  <c r="J1799" i="4"/>
  <c r="J1798" i="4"/>
  <c r="J1797" i="4"/>
  <c r="J1796" i="4"/>
  <c r="J1795" i="4"/>
  <c r="J1794" i="4"/>
  <c r="J1793" i="4"/>
  <c r="J1792" i="4"/>
  <c r="J1791" i="4"/>
  <c r="J1790" i="4"/>
  <c r="J1789" i="4"/>
  <c r="J1788" i="4"/>
  <c r="J1787" i="4"/>
  <c r="J1786" i="4"/>
  <c r="J1785" i="4"/>
  <c r="J1784" i="4"/>
  <c r="J1783" i="4"/>
  <c r="J1782" i="4"/>
  <c r="J1781" i="4"/>
  <c r="J1780" i="4"/>
  <c r="J1779" i="4"/>
  <c r="J1778" i="4"/>
  <c r="J1777" i="4"/>
  <c r="J1776" i="4"/>
  <c r="J1775" i="4"/>
  <c r="J1774" i="4"/>
  <c r="J1773" i="4"/>
  <c r="J1772" i="4"/>
  <c r="J1771" i="4"/>
  <c r="J1770" i="4"/>
  <c r="J1769" i="4"/>
  <c r="J1768" i="4"/>
  <c r="J1767" i="4"/>
  <c r="J1766" i="4"/>
  <c r="J1765" i="4"/>
  <c r="J1764" i="4"/>
  <c r="J1763" i="4"/>
  <c r="J1762" i="4"/>
  <c r="J1761" i="4"/>
  <c r="J1760" i="4"/>
  <c r="J1759" i="4"/>
  <c r="J1758" i="4"/>
  <c r="J1757" i="4"/>
  <c r="J1756" i="4"/>
  <c r="J1755" i="4"/>
  <c r="J1754" i="4"/>
  <c r="J1753" i="4"/>
  <c r="J1752" i="4"/>
  <c r="J1751" i="4"/>
  <c r="J1750" i="4"/>
  <c r="J1749" i="4"/>
  <c r="J1748" i="4"/>
  <c r="K1747" i="4"/>
  <c r="J1747" i="4"/>
  <c r="J1746" i="4"/>
  <c r="J1745" i="4"/>
  <c r="J1744" i="4"/>
  <c r="J1743" i="4"/>
  <c r="J1742" i="4"/>
  <c r="J1741" i="4"/>
  <c r="J1740" i="4"/>
  <c r="J1739" i="4"/>
  <c r="J1738" i="4"/>
  <c r="J1737" i="4"/>
  <c r="J1736" i="4"/>
  <c r="J1735" i="4"/>
  <c r="J1734" i="4"/>
  <c r="J1733" i="4"/>
  <c r="J1732" i="4"/>
  <c r="J1731" i="4"/>
  <c r="J1730" i="4"/>
  <c r="J1729" i="4"/>
  <c r="J1728" i="4"/>
  <c r="J1727" i="4"/>
  <c r="J1726" i="4"/>
  <c r="J1725" i="4"/>
  <c r="J1724" i="4"/>
  <c r="J1723" i="4"/>
  <c r="J1722" i="4"/>
  <c r="J1721" i="4"/>
  <c r="J1720" i="4"/>
  <c r="J1719" i="4"/>
  <c r="J1718" i="4"/>
  <c r="J1717" i="4"/>
  <c r="J1716" i="4"/>
  <c r="J1715" i="4"/>
  <c r="J1714" i="4"/>
  <c r="J1713" i="4"/>
  <c r="J1712" i="4"/>
  <c r="J1711" i="4"/>
  <c r="J1710" i="4"/>
  <c r="J1709" i="4"/>
  <c r="J1708" i="4"/>
  <c r="J1707" i="4"/>
  <c r="J1706" i="4"/>
  <c r="J1705" i="4"/>
  <c r="J1704" i="4"/>
  <c r="J1703" i="4"/>
  <c r="J1702" i="4"/>
  <c r="J1701" i="4"/>
  <c r="J1700" i="4"/>
  <c r="J1699" i="4"/>
  <c r="J1698" i="4"/>
  <c r="J1697" i="4"/>
  <c r="J1696" i="4"/>
  <c r="J1695" i="4"/>
  <c r="J1694" i="4"/>
  <c r="J1693" i="4"/>
  <c r="J1692" i="4"/>
  <c r="J1691" i="4"/>
  <c r="J1690" i="4"/>
  <c r="J1689" i="4"/>
  <c r="J1688" i="4"/>
  <c r="J1687" i="4"/>
  <c r="J1686" i="4"/>
  <c r="J1685" i="4"/>
  <c r="J1684" i="4"/>
  <c r="J1683" i="4"/>
  <c r="J1682" i="4"/>
  <c r="J1681" i="4"/>
  <c r="J1680" i="4"/>
  <c r="J1679" i="4"/>
  <c r="J1678" i="4"/>
  <c r="J1677" i="4"/>
  <c r="J1676" i="4"/>
  <c r="J1675" i="4"/>
  <c r="J1674" i="4"/>
  <c r="J1673" i="4"/>
  <c r="J1672" i="4"/>
  <c r="J1671" i="4"/>
  <c r="J1670" i="4"/>
  <c r="J1669" i="4"/>
  <c r="J1668" i="4"/>
  <c r="J1667" i="4"/>
  <c r="J1666" i="4"/>
  <c r="J1665" i="4"/>
  <c r="J1664" i="4"/>
  <c r="J1663" i="4"/>
  <c r="K1662" i="4"/>
  <c r="J1662" i="4"/>
  <c r="J1661" i="4"/>
  <c r="J1660" i="4"/>
  <c r="J1659" i="4"/>
  <c r="J1658" i="4"/>
  <c r="J1657" i="4"/>
  <c r="J1656" i="4"/>
  <c r="J1655" i="4"/>
  <c r="J1654" i="4"/>
  <c r="J1653" i="4"/>
  <c r="J1652" i="4"/>
  <c r="J1651" i="4"/>
  <c r="J1650" i="4"/>
  <c r="J1649" i="4"/>
  <c r="J1648" i="4"/>
  <c r="J1647" i="4"/>
  <c r="J1646" i="4"/>
  <c r="J1645" i="4"/>
  <c r="J1644" i="4"/>
  <c r="J1643" i="4"/>
  <c r="J1642" i="4"/>
  <c r="J1641" i="4"/>
  <c r="J1640" i="4"/>
  <c r="J1639" i="4"/>
  <c r="J1638" i="4"/>
  <c r="J1637" i="4"/>
  <c r="J1636" i="4"/>
  <c r="J1635" i="4"/>
  <c r="J1634" i="4"/>
  <c r="J1633" i="4"/>
  <c r="J1632" i="4"/>
  <c r="J1631" i="4"/>
  <c r="J1630" i="4"/>
  <c r="J1629" i="4"/>
  <c r="J1628" i="4"/>
  <c r="J1627" i="4"/>
  <c r="J1626" i="4"/>
  <c r="J1625" i="4"/>
  <c r="J1624" i="4"/>
  <c r="J1623" i="4"/>
  <c r="J1622" i="4"/>
  <c r="J1621" i="4"/>
  <c r="J1620" i="4"/>
  <c r="J1619" i="4"/>
  <c r="J1618" i="4"/>
  <c r="J1617" i="4"/>
  <c r="J1616" i="4"/>
  <c r="J1615" i="4"/>
  <c r="K1614" i="4"/>
  <c r="J1614" i="4"/>
  <c r="J1613" i="4"/>
  <c r="J1612" i="4"/>
  <c r="J1611" i="4"/>
  <c r="J1610" i="4"/>
  <c r="J1609" i="4"/>
  <c r="J1608" i="4"/>
  <c r="J1607" i="4"/>
  <c r="J1606" i="4"/>
  <c r="J1605" i="4"/>
  <c r="J1604" i="4"/>
  <c r="J1603" i="4"/>
  <c r="J1602" i="4"/>
  <c r="J1601" i="4"/>
  <c r="J1600" i="4"/>
  <c r="J1599" i="4"/>
  <c r="J1598" i="4"/>
  <c r="J1597" i="4"/>
  <c r="J1596" i="4"/>
  <c r="J1595" i="4"/>
  <c r="J1594" i="4"/>
  <c r="J1593" i="4"/>
  <c r="J1592" i="4"/>
  <c r="J1591" i="4"/>
  <c r="J1590" i="4"/>
  <c r="J1589" i="4"/>
  <c r="J1588" i="4"/>
  <c r="J1587" i="4"/>
  <c r="J1586" i="4"/>
  <c r="J1585" i="4"/>
  <c r="J1584" i="4"/>
  <c r="J1583" i="4"/>
  <c r="J1582" i="4"/>
  <c r="J1581" i="4"/>
  <c r="J1580" i="4"/>
  <c r="J1579" i="4"/>
  <c r="J1578" i="4"/>
  <c r="J1577" i="4"/>
  <c r="J1576" i="4"/>
  <c r="J1575" i="4"/>
  <c r="J1574" i="4"/>
  <c r="J1573" i="4"/>
  <c r="J1572" i="4"/>
  <c r="J1571" i="4"/>
  <c r="J1570" i="4"/>
  <c r="J1569" i="4"/>
  <c r="J1568" i="4"/>
  <c r="J1567" i="4"/>
  <c r="J1566" i="4"/>
  <c r="J1565" i="4"/>
  <c r="J1564" i="4"/>
  <c r="K1563" i="4"/>
  <c r="J1563" i="4"/>
  <c r="K1562" i="4"/>
  <c r="J1562" i="4"/>
  <c r="J1561" i="4"/>
  <c r="J1560" i="4"/>
  <c r="J1559" i="4"/>
  <c r="J1558" i="4"/>
  <c r="J1557" i="4"/>
  <c r="K1556" i="4"/>
  <c r="J1556" i="4"/>
  <c r="J1555" i="4"/>
  <c r="J1554" i="4"/>
  <c r="J1553" i="4"/>
  <c r="J1552" i="4"/>
  <c r="J1551" i="4"/>
  <c r="J1550" i="4"/>
  <c r="J1549" i="4"/>
  <c r="J1548" i="4"/>
  <c r="J1547" i="4"/>
  <c r="J1546" i="4"/>
  <c r="J1545" i="4"/>
  <c r="J1544" i="4"/>
  <c r="K1543" i="4"/>
  <c r="J1543" i="4"/>
  <c r="K1542" i="4"/>
  <c r="J1542" i="4"/>
  <c r="J1541" i="4"/>
  <c r="J1540" i="4"/>
  <c r="J1539" i="4"/>
  <c r="J1538" i="4"/>
  <c r="J1537" i="4"/>
  <c r="J1536" i="4"/>
  <c r="J1535" i="4"/>
  <c r="J1534" i="4"/>
  <c r="J1533" i="4"/>
  <c r="J1532" i="4"/>
  <c r="J1531" i="4"/>
  <c r="J1530" i="4"/>
  <c r="J1529" i="4"/>
  <c r="J1528" i="4"/>
  <c r="J1527" i="4"/>
  <c r="J1526" i="4"/>
  <c r="J1525" i="4"/>
  <c r="J1524" i="4"/>
  <c r="J1523" i="4"/>
  <c r="J1522" i="4"/>
  <c r="J1521" i="4"/>
  <c r="J1520" i="4"/>
  <c r="J1519" i="4"/>
  <c r="J1518" i="4"/>
  <c r="J1517" i="4"/>
  <c r="J1516" i="4"/>
  <c r="J1515" i="4"/>
  <c r="J1514" i="4"/>
  <c r="J1513" i="4"/>
  <c r="J1512" i="4"/>
  <c r="J1511" i="4"/>
  <c r="J1510" i="4"/>
  <c r="J1509" i="4"/>
  <c r="K1508" i="4"/>
  <c r="J1508" i="4"/>
  <c r="K1507" i="4"/>
  <c r="J1507" i="4"/>
  <c r="J1506" i="4"/>
  <c r="J1505" i="4"/>
  <c r="J1504" i="4"/>
  <c r="J1503" i="4"/>
  <c r="J1502" i="4"/>
  <c r="J1501" i="4"/>
  <c r="K1500" i="4"/>
  <c r="J1500" i="4"/>
  <c r="K1499" i="4"/>
  <c r="J1499" i="4"/>
  <c r="J1498" i="4"/>
  <c r="J1497" i="4"/>
  <c r="J1496" i="4"/>
  <c r="J1495" i="4"/>
  <c r="J1494" i="4"/>
  <c r="J1493" i="4"/>
  <c r="J1492" i="4"/>
  <c r="J1491" i="4"/>
  <c r="J1490" i="4"/>
  <c r="J1489" i="4"/>
  <c r="J1488" i="4"/>
  <c r="J1487" i="4"/>
  <c r="J1486" i="4"/>
  <c r="J1485" i="4"/>
  <c r="K1484" i="4"/>
  <c r="J1484" i="4"/>
  <c r="K1483" i="4"/>
  <c r="J1483" i="4"/>
  <c r="J1482" i="4"/>
  <c r="J1481" i="4"/>
  <c r="J1480" i="4"/>
  <c r="J1479" i="4"/>
  <c r="J1478" i="4"/>
  <c r="J1477" i="4"/>
  <c r="J1476" i="4"/>
  <c r="K1475" i="4"/>
  <c r="J1475" i="4"/>
  <c r="J1474" i="4"/>
  <c r="J1473" i="4"/>
  <c r="J1472" i="4"/>
  <c r="J1471" i="4"/>
  <c r="J1470" i="4"/>
  <c r="J1469" i="4"/>
  <c r="J1468" i="4"/>
  <c r="J1467" i="4"/>
  <c r="K1466" i="4"/>
  <c r="J1466" i="4"/>
  <c r="K1465" i="4"/>
  <c r="J1465" i="4"/>
  <c r="J1464" i="4"/>
  <c r="J1463" i="4"/>
  <c r="J1462" i="4"/>
  <c r="J1461" i="4"/>
  <c r="J1460" i="4"/>
  <c r="J1459" i="4"/>
  <c r="J1458" i="4"/>
  <c r="J1457" i="4"/>
  <c r="J1456" i="4"/>
  <c r="J1455" i="4"/>
  <c r="J1454" i="4"/>
  <c r="J1453" i="4"/>
  <c r="J1452" i="4"/>
  <c r="J1451" i="4"/>
  <c r="J1450" i="4"/>
  <c r="J1449" i="4"/>
  <c r="J1448" i="4"/>
  <c r="J1447" i="4"/>
  <c r="J1446" i="4"/>
  <c r="J1445" i="4"/>
  <c r="J1444" i="4"/>
  <c r="J1443" i="4"/>
  <c r="J1442" i="4"/>
  <c r="J1441" i="4"/>
  <c r="J1440" i="4"/>
  <c r="J1439" i="4"/>
  <c r="J1438" i="4"/>
  <c r="J1437" i="4"/>
  <c r="J1436" i="4"/>
  <c r="J1435" i="4"/>
  <c r="J1434" i="4"/>
  <c r="J1433" i="4"/>
  <c r="J1432" i="4"/>
  <c r="J1431" i="4"/>
  <c r="J1430" i="4"/>
  <c r="J1429" i="4"/>
  <c r="J1428" i="4"/>
  <c r="J1427" i="4"/>
  <c r="J1426" i="4"/>
  <c r="J1425" i="4"/>
  <c r="J1424" i="4"/>
  <c r="J1423" i="4"/>
  <c r="J1422" i="4"/>
  <c r="J1421" i="4"/>
  <c r="J1420" i="4"/>
  <c r="J1419" i="4"/>
  <c r="J1418" i="4"/>
  <c r="J1417" i="4"/>
  <c r="J1416" i="4"/>
  <c r="J1415" i="4"/>
  <c r="J1414" i="4"/>
  <c r="J1413" i="4"/>
  <c r="J1412" i="4"/>
  <c r="J1411" i="4"/>
  <c r="J1410" i="4"/>
  <c r="K1409" i="4"/>
  <c r="J1409" i="4"/>
  <c r="J1408" i="4"/>
  <c r="J1407" i="4"/>
  <c r="J1406" i="4"/>
  <c r="J1405" i="4"/>
  <c r="J1404" i="4"/>
  <c r="J1403" i="4"/>
  <c r="J1402" i="4"/>
  <c r="J1401" i="4"/>
  <c r="J1400" i="4"/>
  <c r="J1399" i="4"/>
  <c r="J1398" i="4"/>
  <c r="J1397" i="4"/>
  <c r="J1396" i="4"/>
  <c r="J1395" i="4"/>
  <c r="J1394" i="4"/>
  <c r="J1393" i="4"/>
  <c r="J1392" i="4"/>
  <c r="J1391" i="4"/>
  <c r="J1390" i="4"/>
  <c r="J1389" i="4"/>
  <c r="J1388" i="4"/>
  <c r="J1387" i="4"/>
  <c r="J1386" i="4"/>
  <c r="J1385" i="4"/>
  <c r="J1384" i="4"/>
  <c r="J1383" i="4"/>
  <c r="J1382" i="4"/>
  <c r="J1381" i="4"/>
  <c r="K1380" i="4"/>
  <c r="J1380" i="4"/>
  <c r="J1379" i="4"/>
  <c r="J1378" i="4"/>
  <c r="J1377" i="4"/>
  <c r="J1376" i="4"/>
  <c r="J1375" i="4"/>
  <c r="J1374" i="4"/>
  <c r="J1373" i="4"/>
  <c r="J1372" i="4"/>
  <c r="J1371" i="4"/>
  <c r="J1370" i="4"/>
  <c r="J1369" i="4"/>
  <c r="J1368" i="4"/>
  <c r="J1367" i="4"/>
  <c r="J1366" i="4"/>
  <c r="J1365" i="4"/>
  <c r="J1364" i="4"/>
  <c r="J1363" i="4"/>
  <c r="J1362" i="4"/>
  <c r="J1361" i="4"/>
  <c r="J1360" i="4"/>
  <c r="J1359" i="4"/>
  <c r="J1358" i="4"/>
  <c r="J1357" i="4"/>
  <c r="J1356" i="4"/>
  <c r="J1355" i="4"/>
  <c r="J1354" i="4"/>
  <c r="J1353" i="4"/>
  <c r="J1352" i="4"/>
  <c r="J1351" i="4"/>
  <c r="J1350" i="4"/>
  <c r="J1349" i="4"/>
  <c r="J1348" i="4"/>
  <c r="J1347" i="4"/>
  <c r="J1346" i="4"/>
  <c r="J1345" i="4"/>
  <c r="J1344" i="4"/>
  <c r="J1343" i="4"/>
  <c r="J1342" i="4"/>
  <c r="J1341" i="4"/>
  <c r="J1340" i="4"/>
  <c r="J1339" i="4"/>
  <c r="J1338" i="4"/>
  <c r="J1337" i="4"/>
  <c r="J1336" i="4"/>
  <c r="J1335" i="4"/>
  <c r="J1334" i="4"/>
  <c r="J1333" i="4"/>
  <c r="J1332" i="4"/>
  <c r="J1331" i="4"/>
  <c r="J1330" i="4"/>
  <c r="J1329" i="4"/>
  <c r="J1328" i="4"/>
  <c r="J1327" i="4"/>
  <c r="J1326" i="4"/>
  <c r="J1325" i="4"/>
  <c r="J1324" i="4"/>
  <c r="J1323" i="4"/>
  <c r="J1322" i="4"/>
  <c r="J1321" i="4"/>
  <c r="J1320" i="4"/>
  <c r="J1319" i="4"/>
  <c r="J1318" i="4"/>
  <c r="J1317" i="4"/>
  <c r="J1316" i="4"/>
  <c r="J1315" i="4"/>
  <c r="J1314" i="4"/>
  <c r="J1313" i="4"/>
  <c r="J1312" i="4"/>
  <c r="J1311" i="4"/>
  <c r="J1310" i="4"/>
  <c r="J1309" i="4"/>
  <c r="J1308" i="4"/>
  <c r="J1307" i="4"/>
  <c r="J1306" i="4"/>
  <c r="J1305" i="4"/>
  <c r="J1304" i="4"/>
  <c r="J1303" i="4"/>
  <c r="J1302" i="4"/>
  <c r="J1301" i="4"/>
  <c r="J1300" i="4"/>
  <c r="J1299" i="4"/>
  <c r="J1298" i="4"/>
  <c r="J1297" i="4"/>
  <c r="J1296" i="4"/>
  <c r="J1295" i="4"/>
  <c r="J1294" i="4"/>
  <c r="K1293" i="4"/>
  <c r="J1293" i="4"/>
  <c r="J1292" i="4"/>
  <c r="J1291" i="4"/>
  <c r="J1290" i="4"/>
  <c r="J1289" i="4"/>
  <c r="J1288" i="4"/>
  <c r="J1287" i="4"/>
  <c r="K1286" i="4"/>
  <c r="J1286" i="4"/>
  <c r="J1285" i="4"/>
  <c r="J1284" i="4"/>
  <c r="J1283" i="4"/>
  <c r="K1282" i="4"/>
  <c r="J1282" i="4"/>
  <c r="J1281" i="4"/>
  <c r="J1280" i="4"/>
  <c r="K1279" i="4"/>
  <c r="J1279" i="4"/>
  <c r="J1278" i="4"/>
  <c r="K1277" i="4"/>
  <c r="J1277" i="4"/>
  <c r="J1276" i="4"/>
  <c r="J1275" i="4"/>
  <c r="K1274" i="4"/>
  <c r="J1274" i="4"/>
  <c r="J1273" i="4"/>
  <c r="J1272" i="4"/>
  <c r="J1271" i="4"/>
  <c r="J1270" i="4"/>
  <c r="J1269" i="4"/>
  <c r="K1268" i="4"/>
  <c r="J1268" i="4"/>
  <c r="J1267" i="4"/>
  <c r="J1266" i="4"/>
  <c r="J1265" i="4"/>
  <c r="K1264" i="4"/>
  <c r="J1264" i="4"/>
  <c r="J1263" i="4"/>
  <c r="J1262" i="4"/>
  <c r="J1261" i="4"/>
  <c r="J1260" i="4"/>
  <c r="J1259" i="4"/>
  <c r="J1258" i="4"/>
  <c r="J1257" i="4"/>
  <c r="J1256" i="4"/>
  <c r="J1255" i="4"/>
  <c r="K1254" i="4"/>
  <c r="J1254" i="4"/>
  <c r="J1253" i="4"/>
  <c r="K1252" i="4"/>
  <c r="J1252" i="4"/>
  <c r="J1251" i="4"/>
  <c r="J1250" i="4"/>
  <c r="J1249" i="4"/>
  <c r="J1248" i="4"/>
  <c r="J1247" i="4"/>
  <c r="J1246" i="4"/>
  <c r="J1245" i="4"/>
  <c r="J1244" i="4"/>
  <c r="J1243" i="4"/>
  <c r="K1242" i="4"/>
  <c r="J1242" i="4"/>
  <c r="J1241" i="4"/>
  <c r="J1240" i="4"/>
  <c r="J1239" i="4"/>
  <c r="J1238" i="4"/>
  <c r="J1237" i="4"/>
  <c r="J1236" i="4"/>
  <c r="J1235" i="4"/>
  <c r="J1234" i="4"/>
  <c r="J1233" i="4"/>
  <c r="J1232" i="4"/>
  <c r="J1231" i="4"/>
  <c r="J1230" i="4"/>
  <c r="J1229" i="4"/>
  <c r="J1228" i="4"/>
  <c r="J1227" i="4"/>
  <c r="J1226" i="4"/>
  <c r="J1225" i="4"/>
  <c r="J1224" i="4"/>
  <c r="J1223" i="4"/>
  <c r="J1222" i="4"/>
  <c r="J1221" i="4"/>
  <c r="J1220" i="4"/>
  <c r="J1219" i="4"/>
  <c r="J1218" i="4"/>
  <c r="J1217" i="4"/>
  <c r="J1216" i="4"/>
  <c r="J1215" i="4"/>
  <c r="J1214" i="4"/>
  <c r="J1213" i="4"/>
  <c r="J1212" i="4"/>
  <c r="J1211" i="4"/>
  <c r="J1210" i="4"/>
  <c r="J1209" i="4"/>
  <c r="J1208" i="4"/>
  <c r="J1207" i="4"/>
  <c r="J1206" i="4"/>
  <c r="J1205" i="4"/>
  <c r="J1204" i="4"/>
  <c r="J1203" i="4"/>
  <c r="J1202" i="4"/>
  <c r="K1201" i="4"/>
  <c r="J1201" i="4"/>
  <c r="J1200" i="4"/>
  <c r="K1199" i="4"/>
  <c r="J1199" i="4"/>
  <c r="J1198" i="4"/>
  <c r="J1197" i="4"/>
  <c r="J1196" i="4"/>
  <c r="J1195" i="4"/>
  <c r="J1194" i="4"/>
  <c r="J1193" i="4"/>
  <c r="J1192" i="4"/>
  <c r="J1191" i="4"/>
  <c r="J1190" i="4"/>
  <c r="J1189" i="4"/>
  <c r="J1188" i="4"/>
  <c r="J1187" i="4"/>
  <c r="J1186" i="4"/>
  <c r="J1185" i="4"/>
  <c r="J1184" i="4"/>
  <c r="J1183" i="4"/>
  <c r="J1182" i="4"/>
  <c r="J1181" i="4"/>
  <c r="J1180" i="4"/>
  <c r="J1179" i="4"/>
  <c r="J1178" i="4"/>
  <c r="J1177" i="4"/>
  <c r="J1176" i="4"/>
  <c r="J1175" i="4"/>
  <c r="J1174" i="4"/>
  <c r="J1173" i="4"/>
  <c r="J1172" i="4"/>
  <c r="J1171" i="4"/>
  <c r="J1170" i="4"/>
  <c r="J1169" i="4"/>
  <c r="J1168" i="4"/>
  <c r="J1167" i="4"/>
  <c r="J1166" i="4"/>
  <c r="J1165" i="4"/>
  <c r="J1164" i="4"/>
  <c r="J1163" i="4"/>
  <c r="J1162" i="4"/>
  <c r="K1161" i="4"/>
  <c r="J1161" i="4"/>
  <c r="J1160" i="4"/>
  <c r="J1159" i="4"/>
  <c r="J1158" i="4"/>
  <c r="J1157" i="4"/>
  <c r="J1156" i="4"/>
  <c r="J1155" i="4"/>
  <c r="J1154" i="4"/>
  <c r="J1153" i="4"/>
  <c r="J1152" i="4"/>
  <c r="J1151" i="4"/>
  <c r="J1150" i="4"/>
  <c r="J1149" i="4"/>
  <c r="J1148" i="4"/>
  <c r="J1147" i="4"/>
  <c r="J1146" i="4"/>
  <c r="J1145" i="4"/>
  <c r="J1144" i="4"/>
  <c r="J1143" i="4"/>
  <c r="J1142" i="4"/>
  <c r="J1141" i="4"/>
  <c r="J1140" i="4"/>
  <c r="J1139" i="4"/>
  <c r="J1138" i="4"/>
  <c r="J1137" i="4"/>
  <c r="J1136" i="4"/>
  <c r="J1135" i="4"/>
  <c r="J1134" i="4"/>
  <c r="J1133" i="4"/>
  <c r="J1132" i="4"/>
  <c r="J1131" i="4"/>
  <c r="J1130" i="4"/>
  <c r="J1129" i="4"/>
  <c r="J1128" i="4"/>
  <c r="J1127" i="4"/>
  <c r="J1126" i="4"/>
  <c r="J1125" i="4"/>
  <c r="J1124" i="4"/>
  <c r="J1123" i="4"/>
  <c r="J1122" i="4"/>
  <c r="J1121" i="4"/>
  <c r="J1120" i="4"/>
  <c r="J1119" i="4"/>
  <c r="J1118" i="4"/>
  <c r="J1117" i="4"/>
  <c r="J1116" i="4"/>
  <c r="J1115" i="4"/>
  <c r="J1114" i="4"/>
  <c r="J1113" i="4"/>
  <c r="J1112" i="4"/>
  <c r="J1111" i="4"/>
  <c r="J1110" i="4"/>
  <c r="J1109" i="4"/>
  <c r="J1108" i="4"/>
  <c r="J1107" i="4"/>
  <c r="J1106" i="4"/>
  <c r="J1105" i="4"/>
  <c r="J1104" i="4"/>
  <c r="J1103" i="4"/>
  <c r="J1102" i="4"/>
  <c r="J1101" i="4"/>
  <c r="J1100" i="4"/>
  <c r="J1099" i="4"/>
  <c r="J1098" i="4"/>
  <c r="J1097" i="4"/>
  <c r="J1096" i="4"/>
  <c r="J1095" i="4"/>
  <c r="J1094" i="4"/>
  <c r="J1093" i="4"/>
  <c r="J1092" i="4"/>
  <c r="J1091" i="4"/>
  <c r="J1090" i="4"/>
  <c r="J1089" i="4"/>
  <c r="J1088" i="4"/>
  <c r="J1087" i="4"/>
  <c r="J1086" i="4"/>
  <c r="J1085" i="4"/>
  <c r="J1084" i="4"/>
  <c r="J1083" i="4"/>
  <c r="J1082" i="4"/>
  <c r="J1081" i="4"/>
  <c r="J1080" i="4"/>
  <c r="J1079" i="4"/>
  <c r="J1078" i="4"/>
  <c r="J1077" i="4"/>
  <c r="J1076" i="4"/>
  <c r="J1075" i="4"/>
  <c r="J1074" i="4"/>
  <c r="J1073" i="4"/>
  <c r="J1072" i="4"/>
  <c r="J1071" i="4"/>
  <c r="J1070" i="4"/>
  <c r="J1069" i="4"/>
  <c r="J1068" i="4"/>
  <c r="J1067" i="4"/>
  <c r="J1066" i="4"/>
  <c r="J1065" i="4"/>
  <c r="J1064" i="4"/>
  <c r="J1063" i="4"/>
  <c r="J1062" i="4"/>
  <c r="J1061" i="4"/>
  <c r="J1060" i="4"/>
  <c r="J1059" i="4"/>
  <c r="J1058" i="4"/>
  <c r="J1057" i="4"/>
  <c r="J1056" i="4"/>
  <c r="J1055" i="4"/>
  <c r="J1054" i="4"/>
  <c r="J1053" i="4"/>
  <c r="J1052" i="4"/>
  <c r="J1051" i="4"/>
  <c r="J1050" i="4"/>
  <c r="J1049" i="4"/>
  <c r="J1048" i="4"/>
  <c r="J1047" i="4"/>
  <c r="J1046" i="4"/>
  <c r="J1045" i="4"/>
  <c r="J1044" i="4"/>
  <c r="J1043" i="4"/>
  <c r="J1042" i="4"/>
  <c r="J1041" i="4"/>
  <c r="J1040" i="4"/>
  <c r="J1039" i="4"/>
  <c r="J1038" i="4"/>
  <c r="J1037" i="4"/>
  <c r="J1036" i="4"/>
  <c r="J1035" i="4"/>
  <c r="K1034" i="4"/>
  <c r="J1034" i="4"/>
  <c r="J1033" i="4"/>
  <c r="J1032" i="4"/>
  <c r="J1031" i="4"/>
  <c r="J1030" i="4"/>
  <c r="J1029" i="4"/>
  <c r="J1028" i="4"/>
  <c r="J1027" i="4"/>
  <c r="J1026" i="4"/>
  <c r="J1025" i="4"/>
  <c r="J1024" i="4"/>
  <c r="J1023" i="4"/>
  <c r="J1022" i="4"/>
  <c r="J1021" i="4"/>
  <c r="J1020" i="4"/>
  <c r="J1019" i="4"/>
  <c r="J1018" i="4"/>
  <c r="J1017" i="4"/>
  <c r="J1016" i="4"/>
  <c r="J1015" i="4"/>
  <c r="J1014" i="4"/>
  <c r="J1013" i="4"/>
  <c r="J1012" i="4"/>
  <c r="J1011" i="4"/>
  <c r="J1010" i="4"/>
  <c r="J1009" i="4"/>
  <c r="J1008" i="4"/>
  <c r="J1007" i="4"/>
  <c r="J1006" i="4"/>
  <c r="J1005" i="4"/>
  <c r="J1004" i="4"/>
  <c r="J1003" i="4"/>
  <c r="J1002" i="4"/>
  <c r="J1001" i="4"/>
  <c r="J1000" i="4"/>
  <c r="J999" i="4"/>
  <c r="J998" i="4"/>
  <c r="J997" i="4"/>
  <c r="J996" i="4"/>
  <c r="K995" i="4"/>
  <c r="J995" i="4"/>
  <c r="J994" i="4"/>
  <c r="J993" i="4"/>
  <c r="J992" i="4"/>
  <c r="J991" i="4"/>
  <c r="J990" i="4"/>
  <c r="J989" i="4"/>
  <c r="J988" i="4"/>
  <c r="J987" i="4"/>
  <c r="J986" i="4"/>
  <c r="J985" i="4"/>
  <c r="J984" i="4"/>
  <c r="J983" i="4"/>
  <c r="J982" i="4"/>
  <c r="J981" i="4"/>
  <c r="J980" i="4"/>
  <c r="J979" i="4"/>
  <c r="J978" i="4"/>
  <c r="J977" i="4"/>
  <c r="J976" i="4"/>
  <c r="J975" i="4"/>
  <c r="J974" i="4"/>
  <c r="J973" i="4"/>
  <c r="J972" i="4"/>
  <c r="J971" i="4"/>
  <c r="J970" i="4"/>
  <c r="J969" i="4"/>
  <c r="K968" i="4"/>
  <c r="J968" i="4"/>
  <c r="J967" i="4"/>
  <c r="J966" i="4"/>
  <c r="J965" i="4"/>
  <c r="J964" i="4"/>
  <c r="J963" i="4"/>
  <c r="J962" i="4"/>
  <c r="J961" i="4"/>
  <c r="J960" i="4"/>
  <c r="J959" i="4"/>
  <c r="J958" i="4"/>
  <c r="J957" i="4"/>
  <c r="J956" i="4"/>
  <c r="J955" i="4"/>
  <c r="J954" i="4"/>
  <c r="J953" i="4"/>
  <c r="J952" i="4"/>
  <c r="J951" i="4"/>
  <c r="J950" i="4"/>
  <c r="J949" i="4"/>
  <c r="K948" i="4"/>
  <c r="J948" i="4"/>
  <c r="J947" i="4"/>
  <c r="J946" i="4"/>
  <c r="J945" i="4"/>
  <c r="J944" i="4"/>
  <c r="J943" i="4"/>
  <c r="J942" i="4"/>
  <c r="J941" i="4"/>
  <c r="J940" i="4"/>
  <c r="J939" i="4"/>
  <c r="J938" i="4"/>
  <c r="J937" i="4"/>
  <c r="J936" i="4"/>
  <c r="J935" i="4"/>
  <c r="J934" i="4"/>
  <c r="J933" i="4"/>
  <c r="J932" i="4"/>
  <c r="J931" i="4"/>
  <c r="J930" i="4"/>
  <c r="J929" i="4"/>
  <c r="J928" i="4"/>
  <c r="J927" i="4"/>
  <c r="J926" i="4"/>
  <c r="J925" i="4"/>
  <c r="J924" i="4"/>
  <c r="J923" i="4"/>
  <c r="J922" i="4"/>
  <c r="J921" i="4"/>
  <c r="J920" i="4"/>
  <c r="J919" i="4"/>
  <c r="J918" i="4"/>
  <c r="J917" i="4"/>
  <c r="J916" i="4"/>
  <c r="J915" i="4"/>
  <c r="J914" i="4"/>
  <c r="J913" i="4"/>
  <c r="J912" i="4"/>
  <c r="J911" i="4"/>
  <c r="J910" i="4"/>
  <c r="J909" i="4"/>
  <c r="J908" i="4"/>
  <c r="J907" i="4"/>
  <c r="J906" i="4"/>
  <c r="J905" i="4"/>
  <c r="J904" i="4"/>
  <c r="J903" i="4"/>
  <c r="J902" i="4"/>
  <c r="J901" i="4"/>
  <c r="J900" i="4"/>
  <c r="J899" i="4"/>
  <c r="J898" i="4"/>
  <c r="J897" i="4"/>
  <c r="J896" i="4"/>
  <c r="J895" i="4"/>
  <c r="J894" i="4"/>
  <c r="J893" i="4"/>
  <c r="J892" i="4"/>
  <c r="J891" i="4"/>
  <c r="J890" i="4"/>
  <c r="J889" i="4"/>
  <c r="J888" i="4"/>
  <c r="J887" i="4"/>
  <c r="J886" i="4"/>
  <c r="J885" i="4"/>
  <c r="J884" i="4"/>
  <c r="J883" i="4"/>
  <c r="J882" i="4"/>
  <c r="J881" i="4"/>
  <c r="J880" i="4"/>
  <c r="J879" i="4"/>
  <c r="J878" i="4"/>
  <c r="J877" i="4"/>
  <c r="J876" i="4"/>
  <c r="J875" i="4"/>
  <c r="J874" i="4"/>
  <c r="J873" i="4"/>
  <c r="J872" i="4"/>
  <c r="J871" i="4"/>
  <c r="J870" i="4"/>
  <c r="J869" i="4"/>
  <c r="J868" i="4"/>
  <c r="J867" i="4"/>
  <c r="J866" i="4"/>
  <c r="J865" i="4"/>
  <c r="J864" i="4"/>
  <c r="J863" i="4"/>
  <c r="J862" i="4"/>
  <c r="J861" i="4"/>
  <c r="J860" i="4"/>
  <c r="J859" i="4"/>
  <c r="J858" i="4"/>
  <c r="J857" i="4"/>
  <c r="J856" i="4"/>
  <c r="J855" i="4"/>
  <c r="J854" i="4"/>
  <c r="J853" i="4"/>
  <c r="J852" i="4"/>
  <c r="J851" i="4"/>
  <c r="J850" i="4"/>
  <c r="K849" i="4"/>
  <c r="J849" i="4"/>
  <c r="J848" i="4"/>
  <c r="J847" i="4"/>
  <c r="J846" i="4"/>
  <c r="J845" i="4"/>
  <c r="J844" i="4"/>
  <c r="J843" i="4"/>
  <c r="J842" i="4"/>
  <c r="J841" i="4"/>
  <c r="J840" i="4"/>
  <c r="J839" i="4"/>
  <c r="J838" i="4"/>
  <c r="J837" i="4"/>
  <c r="J836" i="4"/>
  <c r="J835" i="4"/>
  <c r="J834" i="4"/>
  <c r="J833" i="4"/>
  <c r="J832" i="4"/>
  <c r="J831" i="4"/>
  <c r="J830" i="4"/>
  <c r="J829" i="4"/>
  <c r="J828" i="4"/>
  <c r="J827" i="4"/>
  <c r="J826" i="4"/>
  <c r="J825" i="4"/>
  <c r="J824" i="4"/>
  <c r="J823" i="4"/>
  <c r="J822" i="4"/>
  <c r="J821" i="4"/>
  <c r="J820" i="4"/>
  <c r="J819" i="4"/>
  <c r="J818" i="4"/>
  <c r="J817" i="4"/>
  <c r="J816" i="4"/>
  <c r="J815" i="4"/>
  <c r="J814" i="4"/>
  <c r="J813" i="4"/>
  <c r="J812" i="4"/>
  <c r="J811" i="4"/>
  <c r="J810" i="4"/>
  <c r="J809" i="4"/>
  <c r="J808" i="4"/>
  <c r="J807" i="4"/>
  <c r="J806" i="4"/>
  <c r="J805" i="4"/>
  <c r="J804" i="4"/>
  <c r="J803" i="4"/>
  <c r="J802" i="4"/>
  <c r="J801" i="4"/>
  <c r="J800" i="4"/>
  <c r="J799" i="4"/>
  <c r="J798" i="4"/>
  <c r="J797" i="4"/>
  <c r="J796" i="4"/>
  <c r="J795" i="4"/>
  <c r="J794" i="4"/>
  <c r="J793" i="4"/>
  <c r="K792" i="4"/>
  <c r="J792" i="4"/>
  <c r="J791" i="4"/>
  <c r="J790" i="4"/>
  <c r="J789" i="4"/>
  <c r="J788" i="4"/>
  <c r="J787" i="4"/>
  <c r="J786" i="4"/>
  <c r="J785" i="4"/>
  <c r="J784" i="4"/>
  <c r="J783" i="4"/>
  <c r="J782" i="4"/>
  <c r="J781" i="4"/>
  <c r="J780" i="4"/>
  <c r="J779" i="4"/>
  <c r="J778" i="4"/>
  <c r="J777" i="4"/>
  <c r="J776" i="4"/>
  <c r="J775" i="4"/>
  <c r="J774" i="4"/>
  <c r="J773" i="4"/>
  <c r="J772" i="4"/>
  <c r="J771" i="4"/>
  <c r="J770" i="4"/>
  <c r="J769" i="4"/>
  <c r="J768" i="4"/>
  <c r="J767" i="4"/>
  <c r="J766" i="4"/>
  <c r="J765" i="4"/>
  <c r="J764" i="4"/>
  <c r="K763" i="4"/>
  <c r="J763" i="4"/>
  <c r="J762" i="4"/>
  <c r="J761" i="4"/>
  <c r="J760" i="4"/>
  <c r="J759" i="4"/>
  <c r="J758" i="4"/>
  <c r="J757" i="4"/>
  <c r="J756" i="4"/>
  <c r="J755" i="4"/>
  <c r="J754" i="4"/>
  <c r="J753" i="4"/>
  <c r="J752" i="4"/>
  <c r="J751" i="4"/>
  <c r="J750" i="4"/>
  <c r="J749" i="4"/>
  <c r="J748" i="4"/>
  <c r="J747" i="4"/>
  <c r="J746" i="4"/>
  <c r="J745" i="4"/>
  <c r="J744" i="4"/>
  <c r="J743" i="4"/>
  <c r="J742" i="4"/>
  <c r="J741" i="4"/>
  <c r="J740" i="4"/>
  <c r="J739" i="4"/>
  <c r="J738" i="4"/>
  <c r="K737" i="4"/>
  <c r="J737" i="4"/>
  <c r="J736" i="4"/>
  <c r="J735" i="4"/>
  <c r="J734" i="4"/>
  <c r="J733" i="4"/>
  <c r="J732" i="4"/>
  <c r="J731" i="4"/>
  <c r="J730" i="4"/>
  <c r="J729" i="4"/>
  <c r="J728" i="4"/>
  <c r="J727" i="4"/>
  <c r="J726" i="4"/>
  <c r="J725" i="4"/>
  <c r="J724" i="4"/>
  <c r="J723" i="4"/>
  <c r="J722" i="4"/>
  <c r="J721" i="4"/>
  <c r="K720" i="4"/>
  <c r="J720" i="4"/>
  <c r="J719" i="4"/>
  <c r="J718" i="4"/>
  <c r="J717" i="4"/>
  <c r="J716" i="4"/>
  <c r="J715" i="4"/>
  <c r="J714" i="4"/>
  <c r="J713" i="4"/>
  <c r="J712" i="4"/>
  <c r="J711" i="4"/>
  <c r="J710" i="4"/>
  <c r="J709" i="4"/>
  <c r="J708" i="4"/>
  <c r="J707" i="4"/>
  <c r="J706" i="4"/>
  <c r="J705" i="4"/>
  <c r="J704" i="4"/>
  <c r="J703" i="4"/>
  <c r="J702" i="4"/>
  <c r="J701" i="4"/>
  <c r="J700" i="4"/>
  <c r="J699" i="4"/>
  <c r="J698" i="4"/>
  <c r="J697" i="4"/>
  <c r="J696" i="4"/>
  <c r="J695" i="4"/>
  <c r="J694" i="4"/>
  <c r="J693" i="4"/>
  <c r="J692" i="4"/>
  <c r="J691" i="4"/>
  <c r="J690" i="4"/>
  <c r="J689" i="4"/>
  <c r="J688" i="4"/>
  <c r="J687" i="4"/>
  <c r="J686" i="4"/>
  <c r="J685" i="4"/>
  <c r="J684" i="4"/>
  <c r="J683" i="4"/>
  <c r="J682" i="4"/>
  <c r="J681" i="4"/>
  <c r="J680" i="4"/>
  <c r="J679" i="4"/>
  <c r="J678" i="4"/>
  <c r="J677" i="4"/>
  <c r="J676" i="4"/>
  <c r="J675" i="4"/>
  <c r="J674" i="4"/>
  <c r="J673" i="4"/>
  <c r="J672" i="4"/>
  <c r="J671" i="4"/>
  <c r="J670" i="4"/>
  <c r="J669" i="4"/>
  <c r="J668" i="4"/>
  <c r="J667" i="4"/>
  <c r="J666" i="4"/>
  <c r="J665" i="4"/>
  <c r="J664" i="4"/>
  <c r="J663" i="4"/>
  <c r="J662" i="4"/>
  <c r="J661" i="4"/>
  <c r="J660" i="4"/>
  <c r="J659" i="4"/>
  <c r="J658" i="4"/>
  <c r="J657" i="4"/>
  <c r="J656" i="4"/>
  <c r="J655" i="4"/>
  <c r="J654" i="4"/>
  <c r="J653" i="4"/>
  <c r="J652" i="4"/>
  <c r="K651" i="4"/>
  <c r="J651" i="4"/>
  <c r="K650" i="4"/>
  <c r="J650" i="4"/>
  <c r="J649" i="4"/>
  <c r="J648" i="4"/>
  <c r="J647" i="4"/>
  <c r="J646" i="4"/>
  <c r="J645" i="4"/>
  <c r="J644" i="4"/>
  <c r="J643" i="4"/>
  <c r="J642" i="4"/>
  <c r="J641" i="4"/>
  <c r="J640" i="4"/>
  <c r="J639" i="4"/>
  <c r="J638" i="4"/>
  <c r="J637" i="4"/>
  <c r="J636" i="4"/>
  <c r="J635" i="4"/>
  <c r="J634" i="4"/>
  <c r="J633" i="4"/>
  <c r="J632" i="4"/>
  <c r="J631" i="4"/>
  <c r="J630" i="4"/>
  <c r="J629" i="4"/>
  <c r="J628" i="4"/>
  <c r="J627" i="4"/>
  <c r="J626" i="4"/>
  <c r="J625" i="4"/>
  <c r="J624" i="4"/>
  <c r="J623" i="4"/>
  <c r="J622" i="4"/>
  <c r="J621" i="4"/>
  <c r="J620" i="4"/>
  <c r="J619" i="4"/>
  <c r="J618" i="4"/>
  <c r="J617" i="4"/>
  <c r="J616" i="4"/>
  <c r="J615" i="4"/>
  <c r="J614" i="4"/>
  <c r="J613" i="4"/>
  <c r="J612" i="4"/>
  <c r="J611" i="4"/>
  <c r="J610" i="4"/>
  <c r="J609" i="4"/>
  <c r="J608" i="4"/>
  <c r="J607" i="4"/>
  <c r="J606" i="4"/>
  <c r="J605" i="4"/>
  <c r="J604" i="4"/>
  <c r="J603" i="4"/>
  <c r="J602" i="4"/>
  <c r="J601" i="4"/>
  <c r="J600" i="4"/>
  <c r="J599" i="4"/>
  <c r="J598" i="4"/>
  <c r="J597" i="4"/>
  <c r="J596" i="4"/>
  <c r="J595" i="4"/>
  <c r="J594" i="4"/>
  <c r="J593" i="4"/>
  <c r="J592" i="4"/>
  <c r="J591" i="4"/>
  <c r="J590" i="4"/>
  <c r="J589" i="4"/>
  <c r="J588" i="4"/>
  <c r="J587" i="4"/>
  <c r="J586" i="4"/>
  <c r="J585" i="4"/>
  <c r="J584" i="4"/>
  <c r="J583" i="4"/>
  <c r="K582" i="4"/>
  <c r="J582" i="4"/>
  <c r="J581" i="4"/>
  <c r="K580" i="4"/>
  <c r="J580" i="4"/>
  <c r="J579" i="4"/>
  <c r="J578" i="4"/>
  <c r="K577" i="4"/>
  <c r="J577" i="4"/>
  <c r="J576" i="4"/>
  <c r="J575" i="4"/>
  <c r="K574" i="4"/>
  <c r="J574" i="4"/>
  <c r="K573" i="4"/>
  <c r="J573" i="4"/>
  <c r="J572" i="4"/>
  <c r="K571" i="4"/>
  <c r="J571" i="4"/>
  <c r="J570" i="4"/>
  <c r="K569" i="4"/>
  <c r="J569" i="4"/>
  <c r="J568" i="4"/>
  <c r="K567" i="4"/>
  <c r="J567" i="4"/>
  <c r="J566" i="4"/>
  <c r="J565" i="4"/>
  <c r="J564" i="4"/>
  <c r="K563" i="4"/>
  <c r="J563" i="4"/>
  <c r="K562" i="4"/>
  <c r="J562" i="4"/>
  <c r="K561" i="4"/>
  <c r="J561" i="4"/>
  <c r="J560" i="4"/>
  <c r="J559" i="4"/>
  <c r="J558" i="4"/>
  <c r="J557" i="4"/>
  <c r="J556" i="4"/>
  <c r="J555" i="4"/>
  <c r="K554" i="4"/>
  <c r="J554" i="4"/>
  <c r="K553" i="4"/>
  <c r="J553" i="4"/>
  <c r="K552" i="4"/>
  <c r="J552" i="4"/>
  <c r="J551" i="4"/>
  <c r="K550" i="4"/>
  <c r="J550" i="4"/>
  <c r="J549" i="4"/>
  <c r="J548" i="4"/>
  <c r="J547" i="4"/>
  <c r="J546" i="4"/>
  <c r="J545" i="4"/>
  <c r="J544" i="4"/>
  <c r="J543" i="4"/>
  <c r="J542" i="4"/>
  <c r="J541" i="4"/>
  <c r="J540" i="4"/>
  <c r="J539" i="4"/>
  <c r="J538" i="4"/>
  <c r="J537" i="4"/>
  <c r="J536" i="4"/>
  <c r="J535" i="4"/>
  <c r="J534" i="4"/>
  <c r="J533" i="4"/>
  <c r="J532" i="4"/>
  <c r="J531" i="4"/>
  <c r="J530" i="4"/>
  <c r="J529" i="4"/>
  <c r="J528" i="4"/>
  <c r="J527" i="4"/>
  <c r="J526" i="4"/>
  <c r="J525" i="4"/>
  <c r="J524" i="4"/>
  <c r="J523" i="4"/>
  <c r="J522" i="4"/>
  <c r="J521" i="4"/>
  <c r="J520" i="4"/>
  <c r="J519" i="4"/>
  <c r="J518" i="4"/>
  <c r="J517" i="4"/>
  <c r="J516" i="4"/>
  <c r="J515" i="4"/>
  <c r="J514" i="4"/>
  <c r="J513" i="4"/>
  <c r="J512" i="4"/>
  <c r="J511" i="4"/>
  <c r="J510" i="4"/>
  <c r="J509" i="4"/>
  <c r="J508" i="4"/>
  <c r="J507" i="4"/>
  <c r="J506" i="4"/>
  <c r="J505" i="4"/>
  <c r="J504" i="4"/>
  <c r="J503" i="4"/>
  <c r="J502" i="4"/>
  <c r="J501" i="4"/>
  <c r="J500" i="4"/>
  <c r="J499" i="4"/>
  <c r="J498" i="4"/>
  <c r="J497" i="4"/>
  <c r="J496" i="4"/>
  <c r="J495" i="4"/>
  <c r="J494" i="4"/>
  <c r="J493" i="4"/>
  <c r="J492" i="4"/>
  <c r="J491" i="4"/>
  <c r="J490" i="4"/>
  <c r="J489" i="4"/>
  <c r="J488" i="4"/>
  <c r="J487" i="4"/>
  <c r="J486" i="4"/>
  <c r="J485" i="4"/>
  <c r="J484" i="4"/>
  <c r="J483" i="4"/>
  <c r="J482" i="4"/>
  <c r="J481" i="4"/>
  <c r="J480" i="4"/>
  <c r="J479" i="4"/>
  <c r="J478" i="4"/>
  <c r="J477" i="4"/>
  <c r="J476" i="4"/>
  <c r="J475" i="4"/>
  <c r="J474" i="4"/>
  <c r="J473" i="4"/>
  <c r="J472" i="4"/>
  <c r="J471" i="4"/>
  <c r="J470" i="4"/>
  <c r="K469" i="4"/>
  <c r="J469" i="4"/>
  <c r="J468" i="4"/>
  <c r="J467" i="4"/>
  <c r="J466" i="4"/>
  <c r="J465" i="4"/>
  <c r="J464" i="4"/>
  <c r="K463" i="4"/>
  <c r="J463" i="4"/>
  <c r="J462" i="4"/>
  <c r="K461" i="4"/>
  <c r="J461" i="4"/>
  <c r="J460" i="4"/>
  <c r="J459" i="4"/>
  <c r="J458" i="4"/>
  <c r="J457" i="4"/>
  <c r="J456" i="4"/>
  <c r="J455" i="4"/>
  <c r="J454" i="4"/>
  <c r="J453" i="4"/>
  <c r="J452" i="4"/>
  <c r="J451" i="4"/>
  <c r="J450" i="4"/>
  <c r="J449" i="4"/>
  <c r="J448" i="4"/>
  <c r="J447" i="4"/>
  <c r="J446" i="4"/>
  <c r="J445" i="4"/>
  <c r="J444" i="4"/>
  <c r="J443" i="4"/>
  <c r="J442" i="4"/>
  <c r="J441" i="4"/>
  <c r="J440" i="4"/>
  <c r="J439" i="4"/>
  <c r="J438" i="4"/>
  <c r="J437" i="4"/>
  <c r="J436" i="4"/>
  <c r="J435" i="4"/>
  <c r="J434" i="4"/>
  <c r="J433" i="4"/>
  <c r="J432" i="4"/>
  <c r="J431" i="4"/>
  <c r="K430" i="4"/>
  <c r="J430" i="4"/>
  <c r="K429" i="4"/>
  <c r="J429" i="4"/>
  <c r="K428" i="4"/>
  <c r="J428" i="4"/>
  <c r="K427" i="4"/>
  <c r="J427" i="4"/>
  <c r="K426" i="4"/>
  <c r="J426" i="4"/>
  <c r="K425" i="4"/>
  <c r="J425" i="4"/>
  <c r="J424" i="4"/>
  <c r="K423" i="4"/>
  <c r="J423" i="4"/>
  <c r="K422" i="4"/>
  <c r="J422" i="4"/>
  <c r="J421" i="4"/>
  <c r="J420" i="4"/>
  <c r="J419" i="4"/>
  <c r="J418" i="4"/>
  <c r="J417" i="4"/>
  <c r="J416" i="4"/>
  <c r="J415" i="4"/>
  <c r="J414" i="4"/>
  <c r="J413" i="4"/>
  <c r="J412" i="4"/>
  <c r="J411" i="4"/>
  <c r="J410" i="4"/>
  <c r="J409" i="4"/>
  <c r="J408" i="4"/>
  <c r="J407" i="4"/>
  <c r="J406" i="4"/>
  <c r="J405" i="4"/>
  <c r="J404" i="4"/>
  <c r="J403" i="4"/>
  <c r="J402" i="4"/>
  <c r="J401" i="4"/>
  <c r="J400" i="4"/>
  <c r="J399" i="4"/>
  <c r="J398" i="4"/>
  <c r="J397" i="4"/>
  <c r="J396" i="4"/>
  <c r="K395" i="4"/>
  <c r="J395" i="4"/>
  <c r="K394" i="4"/>
  <c r="J394" i="4"/>
  <c r="J393" i="4"/>
  <c r="J392" i="4"/>
  <c r="J391" i="4"/>
  <c r="J390" i="4"/>
  <c r="J389" i="4"/>
  <c r="J388" i="4"/>
  <c r="J387" i="4"/>
  <c r="J386" i="4"/>
  <c r="J385" i="4"/>
  <c r="J384" i="4"/>
  <c r="J383" i="4"/>
  <c r="J382" i="4"/>
  <c r="K381" i="4"/>
  <c r="J381" i="4"/>
  <c r="J378" i="4"/>
  <c r="J377" i="4"/>
  <c r="J376" i="4"/>
  <c r="K375" i="4"/>
  <c r="J375" i="4"/>
  <c r="K374" i="4"/>
  <c r="J374" i="4"/>
  <c r="J373" i="4"/>
  <c r="J371" i="4"/>
  <c r="J370" i="4"/>
  <c r="K369" i="4"/>
  <c r="J369" i="4"/>
  <c r="J368" i="4"/>
  <c r="J367" i="4"/>
  <c r="K365" i="4"/>
  <c r="J365" i="4"/>
  <c r="J363" i="4"/>
  <c r="J362" i="4"/>
  <c r="J361" i="4"/>
  <c r="K360" i="4"/>
  <c r="J360" i="4"/>
  <c r="J359" i="4"/>
  <c r="K358" i="4"/>
  <c r="J358" i="4"/>
  <c r="J357" i="4"/>
  <c r="K356" i="4"/>
  <c r="J356" i="4"/>
  <c r="J355" i="4"/>
  <c r="J353" i="4"/>
  <c r="J352" i="4"/>
  <c r="J351" i="4"/>
  <c r="J350" i="4"/>
  <c r="J349" i="4"/>
  <c r="J348" i="4"/>
  <c r="J347" i="4"/>
  <c r="J345" i="4"/>
  <c r="J343" i="4"/>
  <c r="J342" i="4"/>
  <c r="J341" i="4"/>
  <c r="J340" i="4"/>
  <c r="J339" i="4"/>
  <c r="J338" i="4"/>
  <c r="J337" i="4"/>
  <c r="J335" i="4"/>
  <c r="J334" i="4"/>
  <c r="J333" i="4"/>
  <c r="J332" i="4"/>
  <c r="J331" i="4"/>
  <c r="J330" i="4"/>
  <c r="J329" i="4"/>
  <c r="J328" i="4"/>
  <c r="J327" i="4"/>
  <c r="J326" i="4"/>
  <c r="J325" i="4"/>
  <c r="J324" i="4"/>
  <c r="J323" i="4"/>
  <c r="J322" i="4"/>
  <c r="J321" i="4"/>
  <c r="J320" i="4"/>
  <c r="J319" i="4"/>
  <c r="J318" i="4"/>
  <c r="J317" i="4"/>
  <c r="J316" i="4"/>
  <c r="J315" i="4"/>
  <c r="J314" i="4"/>
  <c r="J313" i="4"/>
  <c r="J312" i="4"/>
  <c r="J311" i="4"/>
  <c r="J310" i="4"/>
  <c r="J309" i="4"/>
  <c r="K308" i="4"/>
  <c r="J308" i="4"/>
  <c r="J307" i="4"/>
  <c r="J306" i="4"/>
  <c r="J305" i="4"/>
  <c r="J304" i="4"/>
  <c r="J303" i="4"/>
  <c r="J302" i="4"/>
  <c r="J300" i="4"/>
  <c r="J299" i="4"/>
  <c r="J298" i="4"/>
  <c r="J297" i="4"/>
  <c r="J296" i="4"/>
  <c r="J295" i="4"/>
  <c r="J294" i="4"/>
  <c r="J293" i="4"/>
  <c r="J292" i="4"/>
  <c r="J291" i="4"/>
  <c r="J289" i="4"/>
  <c r="J288" i="4"/>
  <c r="J287" i="4"/>
  <c r="J286" i="4"/>
  <c r="J285" i="4"/>
  <c r="J284" i="4"/>
  <c r="J283" i="4"/>
  <c r="J282" i="4"/>
  <c r="J281" i="4"/>
  <c r="J280" i="4"/>
  <c r="J279" i="4"/>
  <c r="K278" i="4"/>
  <c r="J278" i="4"/>
  <c r="J277" i="4"/>
  <c r="J276" i="4"/>
  <c r="J274" i="4"/>
  <c r="J273" i="4"/>
  <c r="J272" i="4"/>
  <c r="J271" i="4"/>
  <c r="J270" i="4"/>
  <c r="J269" i="4"/>
  <c r="J268" i="4"/>
  <c r="J267" i="4"/>
  <c r="J266" i="4"/>
  <c r="J265" i="4"/>
  <c r="J264" i="4"/>
  <c r="J263" i="4"/>
  <c r="J262" i="4"/>
  <c r="J261" i="4"/>
  <c r="J259" i="4"/>
  <c r="J258" i="4"/>
  <c r="J257" i="4"/>
  <c r="J256" i="4"/>
  <c r="J255" i="4"/>
  <c r="J254" i="4"/>
  <c r="J253" i="4"/>
  <c r="J252" i="4"/>
  <c r="J251" i="4"/>
  <c r="J250" i="4"/>
  <c r="J249" i="4"/>
  <c r="J248" i="4"/>
  <c r="J247" i="4"/>
  <c r="J246" i="4"/>
  <c r="J245" i="4"/>
  <c r="J244" i="4"/>
  <c r="J243" i="4"/>
  <c r="K242" i="4"/>
  <c r="J242" i="4"/>
  <c r="J241" i="4"/>
  <c r="J240" i="4"/>
  <c r="J239" i="4"/>
  <c r="K238" i="4"/>
  <c r="J238" i="4"/>
  <c r="J237" i="4"/>
  <c r="J236" i="4"/>
  <c r="J235" i="4"/>
  <c r="J234" i="4"/>
  <c r="J233" i="4"/>
  <c r="J232" i="4"/>
  <c r="J231" i="4"/>
  <c r="K230" i="4"/>
  <c r="J230" i="4"/>
  <c r="J229" i="4"/>
  <c r="J228" i="4"/>
  <c r="J227" i="4"/>
  <c r="J226" i="4"/>
  <c r="J225" i="4"/>
  <c r="J224" i="4"/>
  <c r="J223" i="4"/>
  <c r="J222" i="4"/>
  <c r="J221" i="4"/>
  <c r="J220" i="4"/>
  <c r="J219" i="4"/>
  <c r="J217" i="4"/>
  <c r="J216" i="4"/>
  <c r="J215" i="4"/>
  <c r="J214" i="4"/>
  <c r="J211" i="4"/>
  <c r="J210" i="4"/>
  <c r="J209" i="4"/>
  <c r="J208" i="4"/>
  <c r="J207" i="4"/>
  <c r="J206" i="4"/>
  <c r="J205" i="4"/>
  <c r="J204" i="4"/>
  <c r="J203" i="4"/>
  <c r="J202" i="4"/>
  <c r="J201" i="4"/>
  <c r="J200" i="4"/>
  <c r="J199" i="4"/>
  <c r="J198" i="4"/>
  <c r="J197" i="4"/>
  <c r="J196" i="4"/>
  <c r="J195" i="4"/>
  <c r="J194" i="4"/>
  <c r="J193" i="4"/>
  <c r="J192" i="4"/>
  <c r="J191" i="4"/>
  <c r="J190" i="4"/>
  <c r="J189" i="4"/>
  <c r="J188" i="4"/>
  <c r="J187" i="4"/>
  <c r="J186" i="4"/>
  <c r="J185" i="4"/>
  <c r="J184" i="4"/>
  <c r="J183" i="4"/>
  <c r="J182" i="4"/>
  <c r="J181" i="4"/>
  <c r="K180" i="4"/>
  <c r="J180" i="4"/>
  <c r="J179" i="4"/>
  <c r="J178" i="4"/>
  <c r="J177" i="4"/>
  <c r="J176" i="4"/>
  <c r="J175" i="4"/>
  <c r="J174" i="4"/>
  <c r="J173" i="4"/>
  <c r="J172" i="4"/>
  <c r="K171" i="4"/>
  <c r="J171" i="4"/>
  <c r="J170" i="4"/>
  <c r="K169" i="4"/>
  <c r="J169" i="4"/>
  <c r="J168" i="4"/>
  <c r="K167" i="4"/>
  <c r="J167" i="4"/>
  <c r="J166" i="4"/>
  <c r="J165" i="4"/>
  <c r="J164" i="4"/>
  <c r="J163" i="4"/>
  <c r="J162" i="4"/>
  <c r="J161" i="4"/>
  <c r="J160" i="4"/>
  <c r="J159" i="4"/>
  <c r="J158" i="4"/>
  <c r="J157" i="4"/>
  <c r="J156" i="4"/>
  <c r="J155" i="4"/>
  <c r="J154" i="4"/>
  <c r="J153" i="4"/>
  <c r="J152" i="4"/>
  <c r="J151" i="4"/>
  <c r="J150" i="4"/>
  <c r="J149" i="4"/>
  <c r="J148" i="4"/>
  <c r="J147" i="4"/>
  <c r="J146" i="4"/>
  <c r="J145" i="4"/>
  <c r="J144" i="4"/>
  <c r="J143" i="4"/>
  <c r="J142" i="4"/>
  <c r="J141" i="4"/>
  <c r="J140" i="4"/>
  <c r="J139" i="4"/>
  <c r="J138" i="4"/>
  <c r="J137" i="4"/>
  <c r="J136" i="4"/>
  <c r="J135" i="4"/>
  <c r="J134" i="4"/>
  <c r="J133" i="4"/>
  <c r="J132" i="4"/>
  <c r="J131" i="4"/>
  <c r="J130" i="4"/>
  <c r="J129" i="4"/>
  <c r="J128" i="4"/>
  <c r="J127" i="4"/>
  <c r="J126" i="4"/>
  <c r="J125" i="4"/>
  <c r="J124" i="4"/>
  <c r="J123" i="4"/>
  <c r="J122" i="4"/>
  <c r="J121" i="4"/>
  <c r="K120" i="4"/>
  <c r="J120" i="4"/>
  <c r="J119" i="4"/>
  <c r="J118" i="4"/>
  <c r="J117" i="4"/>
  <c r="J116" i="4"/>
  <c r="J115" i="4"/>
  <c r="J114" i="4"/>
  <c r="J113" i="4"/>
  <c r="J112" i="4"/>
  <c r="J111" i="4"/>
  <c r="J110" i="4"/>
  <c r="J109" i="4"/>
  <c r="J108" i="4"/>
  <c r="J107" i="4"/>
  <c r="J106" i="4"/>
  <c r="J105" i="4"/>
  <c r="J104" i="4"/>
  <c r="J103" i="4"/>
  <c r="J102" i="4"/>
  <c r="J101" i="4"/>
  <c r="J100" i="4"/>
  <c r="J99" i="4"/>
  <c r="J98" i="4"/>
  <c r="J97" i="4"/>
  <c r="K96" i="4"/>
  <c r="J96" i="4"/>
  <c r="J95" i="4"/>
  <c r="J94" i="4"/>
  <c r="K93" i="4"/>
  <c r="J93" i="4"/>
  <c r="K92" i="4"/>
  <c r="J92" i="4"/>
  <c r="J91" i="4"/>
  <c r="J90" i="4"/>
  <c r="J89" i="4"/>
  <c r="J88" i="4"/>
  <c r="J87" i="4"/>
  <c r="K86" i="4"/>
  <c r="J86" i="4"/>
  <c r="J85" i="4"/>
  <c r="J84" i="4"/>
  <c r="J83" i="4"/>
  <c r="J82" i="4"/>
  <c r="J81" i="4"/>
  <c r="J80" i="4"/>
  <c r="J79" i="4"/>
  <c r="J78" i="4"/>
  <c r="K77" i="4"/>
  <c r="J77" i="4"/>
  <c r="J76" i="4"/>
  <c r="J75" i="4"/>
  <c r="J74" i="4"/>
  <c r="J73" i="4"/>
  <c r="J72" i="4"/>
  <c r="J71" i="4"/>
  <c r="J70" i="4"/>
  <c r="J69" i="4"/>
  <c r="J68" i="4"/>
  <c r="K67" i="4"/>
  <c r="J67" i="4"/>
  <c r="J66" i="4"/>
  <c r="J65" i="4"/>
  <c r="J64" i="4"/>
  <c r="J63" i="4"/>
  <c r="J62" i="4"/>
  <c r="J61" i="4"/>
  <c r="J60" i="4"/>
  <c r="J59" i="4"/>
  <c r="J58" i="4"/>
  <c r="J57" i="4"/>
  <c r="J56" i="4"/>
  <c r="J55" i="4"/>
  <c r="J54" i="4"/>
  <c r="J53" i="4"/>
  <c r="J52" i="4"/>
  <c r="J51" i="4"/>
  <c r="K50" i="4"/>
  <c r="J50" i="4"/>
  <c r="J49" i="4"/>
  <c r="K48" i="4"/>
  <c r="J48" i="4"/>
  <c r="K47" i="4"/>
  <c r="J47" i="4"/>
  <c r="J46" i="4"/>
  <c r="J45" i="4"/>
  <c r="J44" i="4"/>
  <c r="J43" i="4"/>
  <c r="J42" i="4"/>
  <c r="J41" i="4"/>
  <c r="J40" i="4"/>
  <c r="J39" i="4"/>
  <c r="J38" i="4"/>
  <c r="J37" i="4"/>
  <c r="J36" i="4"/>
  <c r="J35" i="4"/>
  <c r="J34" i="4"/>
  <c r="J212" i="4"/>
  <c r="J213" i="4"/>
  <c r="J218" i="4"/>
  <c r="J260" i="4"/>
  <c r="J275" i="4"/>
  <c r="J290" i="4"/>
  <c r="J301" i="4"/>
  <c r="J336" i="4"/>
  <c r="K346" i="4"/>
  <c r="J346" i="4"/>
  <c r="J344" i="4"/>
  <c r="J354" i="4"/>
  <c r="J364" i="4"/>
  <c r="J366" i="4"/>
  <c r="J372" i="4"/>
  <c r="J379" i="4"/>
  <c r="J380" i="4"/>
  <c r="E1" i="13" l="1"/>
  <c r="O1" i="4"/>
  <c r="F1" i="13"/>
  <c r="P1" i="4" l="1"/>
</calcChain>
</file>

<file path=xl/comments1.xml><?xml version="1.0" encoding="utf-8"?>
<comments xmlns="http://schemas.openxmlformats.org/spreadsheetml/2006/main">
  <authors>
    <author>Bent, Symon</author>
  </authors>
  <commentList>
    <comment ref="A1" authorId="0">
      <text>
        <r>
          <rPr>
            <sz val="9"/>
            <color indexed="81"/>
            <rFont val="Segoe UI"/>
            <family val="2"/>
          </rPr>
          <t xml:space="preserve">Click the cross to delete the selected line and linked files </t>
        </r>
        <r>
          <rPr>
            <b/>
            <sz val="9"/>
            <color indexed="81"/>
            <rFont val="Segoe UI"/>
            <family val="2"/>
          </rPr>
          <t>[Alt + D]</t>
        </r>
      </text>
    </comment>
    <comment ref="D1" authorId="0">
      <text>
        <r>
          <rPr>
            <sz val="9"/>
            <color indexed="81"/>
            <rFont val="Segoe UI"/>
            <family val="2"/>
          </rPr>
          <t>To re-sort the sheet by Date, Newest to Oldest
[</t>
        </r>
        <r>
          <rPr>
            <b/>
            <sz val="9"/>
            <color indexed="81"/>
            <rFont val="Segoe UI"/>
            <family val="2"/>
          </rPr>
          <t>Atl +S]</t>
        </r>
        <r>
          <rPr>
            <sz val="9"/>
            <color indexed="81"/>
            <rFont val="Tahoma"/>
            <family val="2"/>
          </rPr>
          <t xml:space="preserve">
</t>
        </r>
      </text>
    </comment>
    <comment ref="G1" authorId="0">
      <text>
        <r>
          <rPr>
            <b/>
            <sz val="9"/>
            <color indexed="81"/>
            <rFont val="Segoe UI"/>
            <family val="2"/>
          </rPr>
          <t xml:space="preserve">This is the key Project/Topic/Domain
</t>
        </r>
        <r>
          <rPr>
            <sz val="9"/>
            <color indexed="81"/>
            <rFont val="Segoe UI"/>
            <family val="2"/>
          </rPr>
          <t xml:space="preserve">
Change this header name to whatever works best for your needs, the change will be reflected in the CorLog dialog box</t>
        </r>
        <r>
          <rPr>
            <sz val="9"/>
            <color indexed="81"/>
            <rFont val="Tahoma"/>
            <family val="2"/>
          </rPr>
          <t xml:space="preserve">
</t>
        </r>
      </text>
    </comment>
    <comment ref="I1" authorId="0">
      <text>
        <r>
          <rPr>
            <b/>
            <sz val="11"/>
            <color indexed="81"/>
            <rFont val="Segoe UI"/>
            <family val="2"/>
          </rPr>
          <t>LOGGING MAIL</t>
        </r>
        <r>
          <rPr>
            <sz val="10"/>
            <color indexed="81"/>
            <rFont val="Segoe UI"/>
            <family val="2"/>
          </rPr>
          <t xml:space="preserve">
Click the </t>
        </r>
        <r>
          <rPr>
            <b/>
            <sz val="12"/>
            <color indexed="81"/>
            <rFont val="Segoe UI"/>
            <family val="2"/>
          </rPr>
          <t>+</t>
        </r>
        <r>
          <rPr>
            <sz val="10"/>
            <color indexed="81"/>
            <rFont val="Segoe UI"/>
            <family val="2"/>
          </rPr>
          <t xml:space="preserve"> button to begin logging mail
</t>
        </r>
        <r>
          <rPr>
            <b/>
            <sz val="10"/>
            <color indexed="81"/>
            <rFont val="Segoe UI"/>
            <family val="2"/>
          </rPr>
          <t>[Alt + C]</t>
        </r>
        <r>
          <rPr>
            <sz val="10"/>
            <color indexed="81"/>
            <rFont val="Segoe UI"/>
            <family val="2"/>
          </rPr>
          <t xml:space="preserve">  (Think </t>
        </r>
        <r>
          <rPr>
            <b/>
            <sz val="10"/>
            <color indexed="81"/>
            <rFont val="Segoe UI"/>
            <family val="2"/>
          </rPr>
          <t>C</t>
        </r>
        <r>
          <rPr>
            <sz val="10"/>
            <color indexed="81"/>
            <rFont val="Segoe UI"/>
            <family val="2"/>
          </rPr>
          <t xml:space="preserve">orLog)
</t>
        </r>
        <r>
          <rPr>
            <b/>
            <sz val="11"/>
            <color indexed="81"/>
            <rFont val="Segoe UI"/>
            <family val="2"/>
          </rPr>
          <t>SEARCH BOX</t>
        </r>
        <r>
          <rPr>
            <sz val="10"/>
            <color indexed="81"/>
            <rFont val="Segoe UI"/>
            <family val="2"/>
          </rPr>
          <t xml:space="preserve">
</t>
        </r>
        <r>
          <rPr>
            <b/>
            <sz val="11"/>
            <color indexed="81"/>
            <rFont val="Segoe UI"/>
            <family val="2"/>
          </rPr>
          <t>Search:</t>
        </r>
        <r>
          <rPr>
            <b/>
            <sz val="10"/>
            <color indexed="81"/>
            <rFont val="Segoe UI"/>
            <family val="2"/>
          </rPr>
          <t xml:space="preserve"> </t>
        </r>
        <r>
          <rPr>
            <sz val="10"/>
            <color indexed="81"/>
            <rFont val="Segoe UI"/>
            <family val="2"/>
          </rPr>
          <t xml:space="preserve">Use a "Google" style search: type in the words you are looking for and press </t>
        </r>
        <r>
          <rPr>
            <b/>
            <sz val="10"/>
            <color indexed="81"/>
            <rFont val="Segoe UI"/>
            <family val="2"/>
          </rPr>
          <t>&lt;Enter&gt;</t>
        </r>
        <r>
          <rPr>
            <sz val="10"/>
            <color indexed="81"/>
            <rFont val="Segoe UI"/>
            <family val="2"/>
          </rPr>
          <t xml:space="preserve">
</t>
        </r>
        <r>
          <rPr>
            <i/>
            <sz val="10"/>
            <color indexed="81"/>
            <rFont val="Segoe UI"/>
            <family val="2"/>
          </rPr>
          <t>By default it searches in the "Description" column.</t>
        </r>
        <r>
          <rPr>
            <sz val="10"/>
            <color indexed="81"/>
            <rFont val="Segoe UI"/>
            <family val="2"/>
          </rPr>
          <t xml:space="preserve">
</t>
        </r>
        <r>
          <rPr>
            <b/>
            <sz val="11"/>
            <color indexed="81"/>
            <rFont val="Segoe UI"/>
            <family val="2"/>
          </rPr>
          <t>Columns :</t>
        </r>
        <r>
          <rPr>
            <b/>
            <sz val="10"/>
            <color indexed="81"/>
            <rFont val="Segoe UI"/>
            <family val="2"/>
          </rPr>
          <t xml:space="preserve">  </t>
        </r>
        <r>
          <rPr>
            <sz val="10"/>
            <color indexed="81"/>
            <rFont val="Segoe UI"/>
            <family val="2"/>
          </rPr>
          <t xml:space="preserve">For other columns type </t>
        </r>
        <r>
          <rPr>
            <b/>
            <sz val="10"/>
            <color indexed="81"/>
            <rFont val="Segoe UI"/>
            <family val="2"/>
          </rPr>
          <t>&lt;column name&gt;:&lt;search text&gt;</t>
        </r>
        <r>
          <rPr>
            <sz val="10"/>
            <color indexed="81"/>
            <rFont val="Segoe UI"/>
            <family val="2"/>
          </rPr>
          <t xml:space="preserve">
E.g. </t>
        </r>
        <r>
          <rPr>
            <b/>
            <sz val="10"/>
            <color indexed="81"/>
            <rFont val="Segoe UI"/>
            <family val="2"/>
          </rPr>
          <t>"project:choma cpp"</t>
        </r>
        <r>
          <rPr>
            <sz val="10"/>
            <color indexed="81"/>
            <rFont val="Segoe UI"/>
            <family val="2"/>
          </rPr>
          <t xml:space="preserve"> </t>
        </r>
        <r>
          <rPr>
            <b/>
            <sz val="10"/>
            <color indexed="81"/>
            <rFont val="Segoe UI"/>
            <family val="2"/>
          </rPr>
          <t>→</t>
        </r>
        <r>
          <rPr>
            <sz val="10"/>
            <color indexed="81"/>
            <rFont val="Segoe UI"/>
            <family val="2"/>
          </rPr>
          <t xml:space="preserve"> search in the Project column for cells containing "choma" and </t>
        </r>
        <r>
          <rPr>
            <u/>
            <sz val="10"/>
            <color indexed="81"/>
            <rFont val="Segoe UI"/>
            <family val="2"/>
          </rPr>
          <t>also</t>
        </r>
        <r>
          <rPr>
            <sz val="10"/>
            <color indexed="81"/>
            <rFont val="Segoe UI"/>
            <family val="2"/>
          </rPr>
          <t xml:space="preserve"> description containing "cpp"
Type only as many letters as needed to make the column name unique. 
E.g. </t>
        </r>
        <r>
          <rPr>
            <b/>
            <sz val="10"/>
            <color indexed="81"/>
            <rFont val="Segoe UI"/>
            <family val="2"/>
          </rPr>
          <t>"p:choma"</t>
        </r>
        <r>
          <rPr>
            <sz val="10"/>
            <color indexed="81"/>
            <rFont val="Segoe UI"/>
            <family val="2"/>
          </rPr>
          <t xml:space="preserve"> would be enough as no other column begins with "P"
</t>
        </r>
        <r>
          <rPr>
            <b/>
            <sz val="11"/>
            <color indexed="81"/>
            <rFont val="Segoe UI"/>
            <family val="2"/>
          </rPr>
          <t>And|Or :</t>
        </r>
        <r>
          <rPr>
            <b/>
            <sz val="10"/>
            <color indexed="81"/>
            <rFont val="Segoe UI"/>
            <family val="2"/>
          </rPr>
          <t xml:space="preserve"> </t>
        </r>
        <r>
          <rPr>
            <sz val="10"/>
            <color indexed="81"/>
            <rFont val="Segoe UI"/>
            <family val="2"/>
          </rPr>
          <t>to search for two different words in the same column use "</t>
        </r>
        <r>
          <rPr>
            <b/>
            <sz val="10"/>
            <color indexed="81"/>
            <rFont val="Segoe UI"/>
            <family val="2"/>
          </rPr>
          <t>&amp;</t>
        </r>
        <r>
          <rPr>
            <sz val="10"/>
            <color indexed="81"/>
            <rFont val="Segoe UI"/>
            <family val="2"/>
          </rPr>
          <t>" for AND, and "</t>
        </r>
        <r>
          <rPr>
            <b/>
            <sz val="10"/>
            <color indexed="81"/>
            <rFont val="Segoe UI"/>
            <family val="2"/>
          </rPr>
          <t>|</t>
        </r>
        <r>
          <rPr>
            <sz val="10"/>
            <color indexed="81"/>
            <rFont val="Segoe UI"/>
            <family val="2"/>
          </rPr>
          <t xml:space="preserve">" for OR.
E.g. </t>
        </r>
        <r>
          <rPr>
            <b/>
            <sz val="10"/>
            <color indexed="81"/>
            <rFont val="Segoe UI"/>
            <family val="2"/>
          </rPr>
          <t>"civil &amp; comment"</t>
        </r>
        <r>
          <rPr>
            <sz val="10"/>
            <color indexed="81"/>
            <rFont val="Segoe UI"/>
            <family val="2"/>
          </rPr>
          <t xml:space="preserve"> </t>
        </r>
        <r>
          <rPr>
            <b/>
            <sz val="10"/>
            <color indexed="81"/>
            <rFont val="Segoe UI"/>
            <family val="2"/>
          </rPr>
          <t>→</t>
        </r>
        <r>
          <rPr>
            <sz val="10"/>
            <color indexed="81"/>
            <rFont val="Segoe UI"/>
            <family val="2"/>
          </rPr>
          <t xml:space="preserve"> search for "civil" </t>
        </r>
        <r>
          <rPr>
            <u/>
            <sz val="10"/>
            <color indexed="81"/>
            <rFont val="Segoe UI"/>
            <family val="2"/>
          </rPr>
          <t>and</t>
        </r>
        <r>
          <rPr>
            <sz val="10"/>
            <color indexed="81"/>
            <rFont val="Segoe UI"/>
            <family val="2"/>
          </rPr>
          <t xml:space="preserve"> "comment" in the same cell
E.g. </t>
        </r>
        <r>
          <rPr>
            <b/>
            <sz val="10"/>
            <color indexed="81"/>
            <rFont val="Segoe UI"/>
            <family val="2"/>
          </rPr>
          <t>"civil | comment"</t>
        </r>
        <r>
          <rPr>
            <sz val="10"/>
            <color indexed="81"/>
            <rFont val="Segoe UI"/>
            <family val="2"/>
          </rPr>
          <t xml:space="preserve"> </t>
        </r>
        <r>
          <rPr>
            <b/>
            <sz val="10"/>
            <color indexed="81"/>
            <rFont val="Segoe UI"/>
            <family val="2"/>
          </rPr>
          <t>→</t>
        </r>
        <r>
          <rPr>
            <sz val="10"/>
            <color indexed="81"/>
            <rFont val="Segoe UI"/>
            <family val="2"/>
          </rPr>
          <t xml:space="preserve"> search for cells containing "civil" </t>
        </r>
        <r>
          <rPr>
            <u/>
            <sz val="10"/>
            <color indexed="81"/>
            <rFont val="Segoe UI"/>
            <family val="2"/>
          </rPr>
          <t>or</t>
        </r>
        <r>
          <rPr>
            <sz val="10"/>
            <color indexed="81"/>
            <rFont val="Segoe UI"/>
            <family val="2"/>
          </rPr>
          <t xml:space="preserve"> cells containing "comment"
</t>
        </r>
        <r>
          <rPr>
            <b/>
            <sz val="11"/>
            <color indexed="81"/>
            <rFont val="Segoe UI"/>
            <family val="2"/>
          </rPr>
          <t>Exclude :</t>
        </r>
        <r>
          <rPr>
            <sz val="10"/>
            <color indexed="81"/>
            <rFont val="Segoe UI"/>
            <family val="2"/>
          </rPr>
          <t xml:space="preserve"> to exclude a word from the search put a "-" before the word (no spaces).
E.g. </t>
        </r>
        <r>
          <rPr>
            <b/>
            <sz val="10"/>
            <color indexed="81"/>
            <rFont val="Segoe UI"/>
            <family val="2"/>
          </rPr>
          <t>"tag:-roof"</t>
        </r>
        <r>
          <rPr>
            <sz val="10"/>
            <color indexed="81"/>
            <rFont val="Segoe UI"/>
            <family val="2"/>
          </rPr>
          <t xml:space="preserve"> </t>
        </r>
        <r>
          <rPr>
            <b/>
            <sz val="10"/>
            <color indexed="81"/>
            <rFont val="Segoe UI"/>
            <family val="2"/>
          </rPr>
          <t>→</t>
        </r>
        <r>
          <rPr>
            <sz val="10"/>
            <color indexed="81"/>
            <rFont val="Segoe UI"/>
            <family val="2"/>
          </rPr>
          <t xml:space="preserve"> all rows without "roof" in the "Tags" column
</t>
        </r>
        <r>
          <rPr>
            <b/>
            <sz val="10"/>
            <color indexed="81"/>
            <rFont val="Segoe UI"/>
            <family val="2"/>
          </rPr>
          <t>Phrase</t>
        </r>
        <r>
          <rPr>
            <sz val="10"/>
            <color indexed="81"/>
            <rFont val="Segoe UI"/>
            <family val="2"/>
          </rPr>
          <t xml:space="preserve"> : to search for a phrase (two or more words together), put them in quotes, e.g. </t>
        </r>
        <r>
          <rPr>
            <b/>
            <sz val="10"/>
            <color indexed="81"/>
            <rFont val="Segoe UI"/>
            <family val="2"/>
          </rPr>
          <t>"p:"cod kikwit"</t>
        </r>
        <r>
          <rPr>
            <sz val="10"/>
            <color indexed="81"/>
            <rFont val="Segoe UI"/>
            <family val="2"/>
          </rPr>
          <t xml:space="preserve"> → search in "Project" column for "cod kikwit"
</t>
        </r>
        <r>
          <rPr>
            <i/>
            <sz val="10"/>
            <color indexed="81"/>
            <rFont val="Segoe UI"/>
            <family val="2"/>
          </rPr>
          <t>Note: quotes not necessary if you are only searching the default column (Description)</t>
        </r>
        <r>
          <rPr>
            <sz val="10"/>
            <color indexed="81"/>
            <rFont val="Segoe UI"/>
            <family val="2"/>
          </rPr>
          <t xml:space="preserve">
</t>
        </r>
        <r>
          <rPr>
            <b/>
            <sz val="11"/>
            <color indexed="81"/>
            <rFont val="Segoe UI"/>
            <family val="2"/>
          </rPr>
          <t>Reset :</t>
        </r>
        <r>
          <rPr>
            <sz val="10"/>
            <color indexed="81"/>
            <rFont val="Segoe UI"/>
            <family val="2"/>
          </rPr>
          <t xml:space="preserve"> Double-click the search box to reset the search/filters</t>
        </r>
      </text>
    </comment>
    <comment ref="J1" authorId="0">
      <text>
        <r>
          <rPr>
            <sz val="9"/>
            <color indexed="81"/>
            <rFont val="Segoe UI"/>
            <family val="2"/>
          </rPr>
          <t xml:space="preserve">Click button to open link location (folder)
</t>
        </r>
        <r>
          <rPr>
            <b/>
            <sz val="9"/>
            <color indexed="81"/>
            <rFont val="Segoe UI"/>
            <family val="2"/>
          </rPr>
          <t>[Alt + L]</t>
        </r>
      </text>
    </comment>
    <comment ref="P1" authorId="0">
      <text>
        <r>
          <rPr>
            <b/>
            <sz val="9"/>
            <color indexed="81"/>
            <rFont val="Tahoma"/>
            <family val="2"/>
          </rPr>
          <t>Bent, Symon:</t>
        </r>
        <r>
          <rPr>
            <sz val="9"/>
            <color indexed="81"/>
            <rFont val="Tahoma"/>
            <family val="2"/>
          </rPr>
          <t xml:space="preserve">
If you're having problems please send me this version number with your problem report</t>
        </r>
      </text>
    </comment>
  </commentList>
</comments>
</file>

<file path=xl/comments2.xml><?xml version="1.0" encoding="utf-8"?>
<comments xmlns="http://schemas.openxmlformats.org/spreadsheetml/2006/main">
  <authors>
    <author>Bent, Symon</author>
  </authors>
  <commentList>
    <comment ref="F1" authorId="0">
      <text>
        <r>
          <rPr>
            <b/>
            <sz val="9"/>
            <color indexed="81"/>
            <rFont val="Tahoma"/>
            <family val="2"/>
          </rPr>
          <t>Bent, Symon:</t>
        </r>
        <r>
          <rPr>
            <sz val="9"/>
            <color indexed="81"/>
            <rFont val="Tahoma"/>
            <family val="2"/>
          </rPr>
          <t xml:space="preserve">
If you're having problems please send me this version number with your problem report</t>
        </r>
      </text>
    </comment>
  </commentList>
</comments>
</file>

<file path=xl/sharedStrings.xml><?xml version="1.0" encoding="utf-8"?>
<sst xmlns="http://schemas.openxmlformats.org/spreadsheetml/2006/main" count="26517" uniqueCount="8187">
  <si>
    <r>
      <rPr>
        <b/>
        <sz val="12"/>
        <color theme="1" tint="0.249977111117893"/>
        <rFont val="Segoe UI"/>
        <family val="2"/>
      </rPr>
      <t>S</t>
    </r>
    <r>
      <rPr>
        <sz val="12"/>
        <color theme="1" tint="0.249977111117893"/>
        <rFont val="Segoe UI"/>
        <family val="2"/>
      </rPr>
      <t>ender</t>
    </r>
  </si>
  <si>
    <r>
      <rPr>
        <b/>
        <sz val="12"/>
        <color theme="1" tint="0.249977111117893"/>
        <rFont val="Segoe UI"/>
        <family val="2"/>
      </rPr>
      <t>R</t>
    </r>
    <r>
      <rPr>
        <sz val="12"/>
        <color theme="1" tint="0.249977111117893"/>
        <rFont val="Segoe UI"/>
        <family val="2"/>
      </rPr>
      <t>ecipient</t>
    </r>
  </si>
  <si>
    <r>
      <rPr>
        <b/>
        <sz val="12"/>
        <color theme="1" tint="0.249977111117893"/>
        <rFont val="Segoe UI"/>
        <family val="2"/>
      </rPr>
      <t>C</t>
    </r>
    <r>
      <rPr>
        <sz val="12"/>
        <color theme="1" tint="0.249977111117893"/>
        <rFont val="Segoe UI"/>
        <family val="2"/>
      </rPr>
      <t>C</t>
    </r>
  </si>
  <si>
    <r>
      <rPr>
        <b/>
        <sz val="12"/>
        <color theme="1" tint="0.34998626667073579"/>
        <rFont val="Segoe UI"/>
        <family val="2"/>
      </rPr>
      <t>D</t>
    </r>
    <r>
      <rPr>
        <sz val="12"/>
        <color theme="1" tint="0.34998626667073579"/>
        <rFont val="Segoe UI"/>
        <family val="2"/>
      </rPr>
      <t>ate</t>
    </r>
  </si>
  <si>
    <r>
      <rPr>
        <b/>
        <sz val="12"/>
        <color theme="1" tint="0.34998626667073579"/>
        <rFont val="Segoe UI"/>
        <family val="2"/>
      </rPr>
      <t>F</t>
    </r>
    <r>
      <rPr>
        <sz val="12"/>
        <color theme="1" tint="0.34998626667073579"/>
        <rFont val="Segoe UI"/>
        <family val="2"/>
      </rPr>
      <t>rom</t>
    </r>
  </si>
  <si>
    <r>
      <rPr>
        <b/>
        <sz val="12"/>
        <color theme="1" tint="0.34998626667073579"/>
        <rFont val="Segoe UI"/>
        <family val="2"/>
      </rPr>
      <t>T</t>
    </r>
    <r>
      <rPr>
        <sz val="12"/>
        <color theme="1" tint="0.34998626667073579"/>
        <rFont val="Segoe UI"/>
        <family val="2"/>
      </rPr>
      <t>o</t>
    </r>
  </si>
  <si>
    <r>
      <rPr>
        <b/>
        <sz val="12"/>
        <color theme="1" tint="0.34998626667073579"/>
        <rFont val="Segoe UI"/>
        <family val="2"/>
      </rPr>
      <t>P</t>
    </r>
    <r>
      <rPr>
        <sz val="12"/>
        <color theme="1" tint="0.34998626667073579"/>
        <rFont val="Segoe UI"/>
        <family val="2"/>
      </rPr>
      <t>roject</t>
    </r>
  </si>
  <si>
    <r>
      <rPr>
        <b/>
        <sz val="12"/>
        <color theme="1" tint="0.34998626667073579"/>
        <rFont val="Segoe UI"/>
        <family val="2"/>
      </rPr>
      <t>Ta</t>
    </r>
    <r>
      <rPr>
        <sz val="12"/>
        <color theme="1" tint="0.34998626667073579"/>
        <rFont val="Segoe UI"/>
        <family val="2"/>
      </rPr>
      <t>g</t>
    </r>
  </si>
  <si>
    <t>Desc.</t>
  </si>
  <si>
    <r>
      <rPr>
        <b/>
        <sz val="14"/>
        <color theme="1" tint="0.34998626667073579"/>
        <rFont val="Segoe UI"/>
        <family val="2"/>
      </rPr>
      <t>L</t>
    </r>
    <r>
      <rPr>
        <sz val="14"/>
        <color theme="1" tint="0.34998626667073579"/>
        <rFont val="Segoe UI"/>
        <family val="2"/>
      </rPr>
      <t>ink</t>
    </r>
  </si>
  <si>
    <r>
      <rPr>
        <b/>
        <sz val="12"/>
        <color theme="1" tint="0.34998626667073579"/>
        <rFont val="Segoe UI"/>
        <family val="2"/>
      </rPr>
      <t>A</t>
    </r>
    <r>
      <rPr>
        <sz val="12"/>
        <color theme="1" tint="0.34998626667073579"/>
        <rFont val="Segoe UI"/>
        <family val="2"/>
      </rPr>
      <t>ttachments</t>
    </r>
  </si>
  <si>
    <r>
      <rPr>
        <b/>
        <sz val="12"/>
        <color theme="1" tint="0.249977111117893"/>
        <rFont val="Segoe UI"/>
        <family val="2"/>
      </rPr>
      <t>Ac</t>
    </r>
    <r>
      <rPr>
        <sz val="12"/>
        <color theme="1" tint="0.249977111117893"/>
        <rFont val="Segoe UI"/>
        <family val="2"/>
      </rPr>
      <t>tions</t>
    </r>
  </si>
  <si>
    <r>
      <rPr>
        <b/>
        <sz val="12"/>
        <color theme="1" tint="0.249977111117893"/>
        <rFont val="Segoe UI"/>
        <family val="2"/>
      </rPr>
      <t>Do</t>
    </r>
    <r>
      <rPr>
        <sz val="12"/>
        <color theme="1" tint="0.249977111117893"/>
        <rFont val="Segoe UI"/>
        <family val="2"/>
      </rPr>
      <t>ne</t>
    </r>
  </si>
  <si>
    <r>
      <rPr>
        <b/>
        <sz val="12"/>
        <color theme="1" tint="0.249977111117893"/>
        <rFont val="Segoe UI"/>
        <family val="2"/>
      </rPr>
      <t>Ab</t>
    </r>
    <r>
      <rPr>
        <sz val="12"/>
        <color theme="1" tint="0.249977111117893"/>
        <rFont val="Segoe UI"/>
        <family val="2"/>
      </rPr>
      <t>stract</t>
    </r>
  </si>
  <si>
    <t>MDG</t>
  </si>
  <si>
    <t>ZAF</t>
  </si>
  <si>
    <t>RDC</t>
  </si>
  <si>
    <t>WDC</t>
  </si>
  <si>
    <t>ZMB</t>
  </si>
  <si>
    <t>AGO</t>
  </si>
  <si>
    <t>MOZ</t>
  </si>
  <si>
    <t>GHA</t>
  </si>
  <si>
    <t>COD</t>
  </si>
  <si>
    <t>ZWE</t>
  </si>
  <si>
    <t>USA</t>
  </si>
  <si>
    <t>WHQ</t>
  </si>
  <si>
    <t>GBR</t>
  </si>
  <si>
    <t>KEN</t>
  </si>
  <si>
    <t>LDC</t>
  </si>
  <si>
    <t>DEU</t>
  </si>
  <si>
    <t>ALL</t>
  </si>
  <si>
    <t>NGA</t>
  </si>
  <si>
    <t>CMR</t>
  </si>
  <si>
    <t>CIV</t>
  </si>
  <si>
    <t>MWI</t>
  </si>
  <si>
    <t>ETH</t>
  </si>
  <si>
    <t>SEN</t>
  </si>
  <si>
    <t>MUS</t>
  </si>
  <si>
    <t>HKG</t>
  </si>
  <si>
    <t>REU</t>
  </si>
  <si>
    <t>RWA</t>
  </si>
  <si>
    <t>LBR</t>
  </si>
  <si>
    <t>NLD</t>
  </si>
  <si>
    <t>AUS</t>
  </si>
  <si>
    <t>LKA</t>
  </si>
  <si>
    <t>BDI</t>
  </si>
  <si>
    <t>AbstractLength</t>
  </si>
  <si>
    <t>ActiveTab</t>
  </si>
  <si>
    <t>ArchivedLabel</t>
  </si>
  <si>
    <t>5.Archived</t>
  </si>
  <si>
    <t>AutoSave</t>
  </si>
  <si>
    <t>canMoveItem</t>
  </si>
  <si>
    <t>CorLogFolder</t>
  </si>
  <si>
    <t>CorLog</t>
  </si>
  <si>
    <t>DestinationFolder</t>
  </si>
  <si>
    <t>C:\</t>
  </si>
  <si>
    <t>FolderAttachments</t>
  </si>
  <si>
    <t>GuessFolder</t>
  </si>
  <si>
    <t>InsertLocation</t>
  </si>
  <si>
    <t>Top</t>
  </si>
  <si>
    <t>LastFolder</t>
  </si>
  <si>
    <t>C:\Users\sbent\Documents\5-Work\CorLog\</t>
  </si>
  <si>
    <t>LastPosition</t>
  </si>
  <si>
    <t>MAPIDeleteFolder</t>
  </si>
  <si>
    <t>By Country</t>
  </si>
  <si>
    <t>MAPIDeleteFolderID</t>
  </si>
  <si>
    <t>00000000F885FBEA2292754E96C8AEAC76CC18E80100CBED36B6B266B1468F86271C0DDFC0EB00144C75807C0000</t>
  </si>
  <si>
    <t>MAPIDeleteMethod</t>
  </si>
  <si>
    <t>MessageAttachments</t>
  </si>
  <si>
    <t>MoveItem</t>
  </si>
  <si>
    <t>NameTemplate</t>
  </si>
  <si>
    <t>{project-first}\{project-rest}\{yyyy}{mm}{dd} {project} {subject} ({from}-to-{to})</t>
  </si>
  <si>
    <t>OverwriteLabel</t>
  </si>
  <si>
    <t>ProjectDelimiter</t>
  </si>
  <si>
    <t>;:</t>
  </si>
  <si>
    <t>ProjectToPath</t>
  </si>
  <si>
    <t>RecentCount</t>
  </si>
  <si>
    <t>RecentFolders</t>
  </si>
  <si>
    <t>H:\RDC\Engineering\Projects\Sri Lanka\LKA 02 - Branch Expansion\S5\PDF\;H:\RDC\Engineering\Projects\EPC's\SYB\Tmp\;H:\General\RDC MTOs\Standard Package RTO\Samples\;C:\Users\sbent\Documents\5-Work\CorLog\;C:\Users\sbent\Documents\5-Work\Test\</t>
  </si>
  <si>
    <t>RemoveRE</t>
  </si>
  <si>
    <t>SaveFormat</t>
  </si>
  <si>
    <t>msg</t>
  </si>
  <si>
    <t>SourceFolder</t>
  </si>
  <si>
    <t>C:\Users\sbent\Documents\5-Work\CorLog - Email\</t>
  </si>
  <si>
    <t>TargetPaths</t>
  </si>
  <si>
    <t>targets</t>
  </si>
  <si>
    <t>WinDeleteFolder</t>
  </si>
  <si>
    <t>C:\Users\sbent\Desktop\Exported\</t>
  </si>
  <si>
    <t>WinDeleteMethod</t>
  </si>
  <si>
    <t>LastBackupTime</t>
  </si>
  <si>
    <t>BackupRecurrence</t>
  </si>
  <si>
    <t>;</t>
  </si>
  <si>
    <t>Archived!</t>
  </si>
  <si>
    <t>Bottom</t>
  </si>
  <si>
    <t>Email\{yyyy}{mm}{dd} {project} {subject} ({sender}-to-{recipient})</t>
  </si>
  <si>
    <t>MailFolderOnlyMsg</t>
  </si>
  <si>
    <t>Please choose a MAIL folder only!</t>
  </si>
  <si>
    <t>MsgDoArchiving</t>
  </si>
  <si>
    <t>Do you want to archive this folder and all the folders below it?</t>
  </si>
  <si>
    <t>MsgArchivePathIncorrect</t>
  </si>
  <si>
    <t>Looks like the archive path or folder was invalid or unavailable!</t>
  </si>
  <si>
    <t>SaveFailed</t>
  </si>
  <si>
    <t>***SAVE ERROR***</t>
  </si>
  <si>
    <t>FolderEmptyMsg</t>
  </si>
  <si>
    <t>This folder is empty!</t>
  </si>
  <si>
    <t>FolderNotExistMsg</t>
  </si>
  <si>
    <t>This folder does not exist:</t>
  </si>
  <si>
    <t>UnzipFailed</t>
  </si>
  <si>
    <t>Sorry, for some reason the unzipping failed!</t>
  </si>
  <si>
    <t>ZipFailed</t>
  </si>
  <si>
    <t>Sorry, but the selected files were not zipped!</t>
  </si>
  <si>
    <t>HdrPathMissing</t>
  </si>
  <si>
    <t>Path is missing or incorrect, please locate the right folder.</t>
  </si>
  <si>
    <t>MsgNoFilesFromZipArchive</t>
  </si>
  <si>
    <t>The zip file was either corrupted or empty.  ¦The original zipped attachment will be kept.</t>
  </si>
  <si>
    <t>HdrSelectFolder</t>
  </si>
  <si>
    <t>Please select the folder you want to use for this setting:</t>
  </si>
  <si>
    <t>TempAttchFolderPfx</t>
  </si>
  <si>
    <t xml:space="preserve">Renamed Attachments </t>
  </si>
  <si>
    <t>MailItemNoTxt</t>
  </si>
  <si>
    <t xml:space="preserve">msg no </t>
  </si>
  <si>
    <t>DefaultFolder</t>
  </si>
  <si>
    <t>DEFAULT FOLDER</t>
  </si>
  <si>
    <t>AttachCount</t>
  </si>
  <si>
    <t>pc</t>
  </si>
  <si>
    <t>AttachLabel</t>
  </si>
  <si>
    <t>In Message;Zipped;Folder;None</t>
  </si>
  <si>
    <t>InsertLabel</t>
  </si>
  <si>
    <t>Top;Bottom</t>
  </si>
  <si>
    <t>MessageAttachOptions</t>
  </si>
  <si>
    <t>Do nothing;Extract to a zip file;Extract to a folder</t>
  </si>
  <si>
    <t>WinDeleteOptions</t>
  </si>
  <si>
    <t>Do not delete the original;Move the original to the Recycle Bin;Move the original to following folder:</t>
  </si>
  <si>
    <t>OutlookDeleteOptions</t>
  </si>
  <si>
    <t>Do not delete the original;Move the original to Deleted Items;Move the original to following folder:</t>
  </si>
  <si>
    <t>ProjectToPathOptions</t>
  </si>
  <si>
    <t>Do not match;Match Name of target folder;Match Path of target folder;Match Name then Path of target folder</t>
  </si>
  <si>
    <t>FolderAttachOptions</t>
  </si>
  <si>
    <t>Add to a zip file;Add to a folder</t>
  </si>
  <si>
    <t>RecentLabel</t>
  </si>
  <si>
    <t>Recent</t>
  </si>
  <si>
    <t>ChangeSourceFolder</t>
  </si>
  <si>
    <t>Click Options… to change folder</t>
  </si>
  <si>
    <t>CurrentlySelected</t>
  </si>
  <si>
    <t>Selection:</t>
  </si>
  <si>
    <t>Extracting</t>
  </si>
  <si>
    <t xml:space="preserve">Checking… </t>
  </si>
  <si>
    <t>MoveOptions</t>
  </si>
  <si>
    <t>Item will be moved and renamed.;Item will be renamed in place.</t>
  </si>
  <si>
    <t>SelectAttachLabel</t>
  </si>
  <si>
    <t>Add other selected items as attachments to first item selected.;Ignore message and use first attachment as memo. [Alt+M]</t>
  </si>
  <si>
    <t>ISO</t>
  </si>
  <si>
    <t>Country</t>
  </si>
  <si>
    <t>AFG</t>
  </si>
  <si>
    <t>Afghanistan</t>
  </si>
  <si>
    <t>ALA</t>
  </si>
  <si>
    <t>Åland Islands</t>
  </si>
  <si>
    <t>ALB</t>
  </si>
  <si>
    <t>Albania</t>
  </si>
  <si>
    <t>DZA</t>
  </si>
  <si>
    <t>Algeria</t>
  </si>
  <si>
    <t>ASM</t>
  </si>
  <si>
    <t>American Samoa</t>
  </si>
  <si>
    <t>AND</t>
  </si>
  <si>
    <t>Andorra</t>
  </si>
  <si>
    <t>Angola</t>
  </si>
  <si>
    <t>AIA</t>
  </si>
  <si>
    <t>Anguilla</t>
  </si>
  <si>
    <t>ATG</t>
  </si>
  <si>
    <t>Antigua and Barbuda</t>
  </si>
  <si>
    <t>ARG</t>
  </si>
  <si>
    <t>Argentina</t>
  </si>
  <si>
    <t>ARM</t>
  </si>
  <si>
    <t>Armenia</t>
  </si>
  <si>
    <t>ABW</t>
  </si>
  <si>
    <t>Aruba</t>
  </si>
  <si>
    <t>Australia</t>
  </si>
  <si>
    <t>AUT</t>
  </si>
  <si>
    <t>Austria</t>
  </si>
  <si>
    <t>AZE</t>
  </si>
  <si>
    <t>Azerbaijan</t>
  </si>
  <si>
    <t>BHS</t>
  </si>
  <si>
    <t>Bahamas</t>
  </si>
  <si>
    <t>BHR</t>
  </si>
  <si>
    <t>Bahrain</t>
  </si>
  <si>
    <t>BGD</t>
  </si>
  <si>
    <t>Bangladesh</t>
  </si>
  <si>
    <t>BRB</t>
  </si>
  <si>
    <t>Barbados</t>
  </si>
  <si>
    <t>BLR</t>
  </si>
  <si>
    <t>Belarus</t>
  </si>
  <si>
    <t>BEL</t>
  </si>
  <si>
    <t>Belgium</t>
  </si>
  <si>
    <t>BLZ</t>
  </si>
  <si>
    <t>Belize</t>
  </si>
  <si>
    <t>BEN</t>
  </si>
  <si>
    <t>Benin</t>
  </si>
  <si>
    <t>BMU</t>
  </si>
  <si>
    <t>Bermuda</t>
  </si>
  <si>
    <t>BTN</t>
  </si>
  <si>
    <t>Bhutan</t>
  </si>
  <si>
    <t>BOL</t>
  </si>
  <si>
    <t>Bolivia</t>
  </si>
  <si>
    <t>BIH</t>
  </si>
  <si>
    <t>Bosnia and Herzegovina</t>
  </si>
  <si>
    <t>BWA</t>
  </si>
  <si>
    <t>Botswana</t>
  </si>
  <si>
    <t>BRA</t>
  </si>
  <si>
    <t>Brazil</t>
  </si>
  <si>
    <t>VGB</t>
  </si>
  <si>
    <t>British Virgin Islands</t>
  </si>
  <si>
    <t>BRN</t>
  </si>
  <si>
    <t>Brunei Darussalam</t>
  </si>
  <si>
    <t>BGR</t>
  </si>
  <si>
    <t>Bulgaria</t>
  </si>
  <si>
    <t>BFA</t>
  </si>
  <si>
    <t>Burkina Faso</t>
  </si>
  <si>
    <t>Burundi</t>
  </si>
  <si>
    <t>KHM</t>
  </si>
  <si>
    <t>Cambodia</t>
  </si>
  <si>
    <t>Cameroon</t>
  </si>
  <si>
    <t>CAN</t>
  </si>
  <si>
    <t>Canada</t>
  </si>
  <si>
    <t>CPV</t>
  </si>
  <si>
    <t>Cape Verde</t>
  </si>
  <si>
    <t>CYM</t>
  </si>
  <si>
    <t>Cayman Islands</t>
  </si>
  <si>
    <t>CAF</t>
  </si>
  <si>
    <t>Central African Republic</t>
  </si>
  <si>
    <t>TCD</t>
  </si>
  <si>
    <t>Chad</t>
  </si>
  <si>
    <t>CHL</t>
  </si>
  <si>
    <t>Chile</t>
  </si>
  <si>
    <t>CHN</t>
  </si>
  <si>
    <t>China</t>
  </si>
  <si>
    <t>Hong Kong Special Administrative Region of China</t>
  </si>
  <si>
    <t>MAC</t>
  </si>
  <si>
    <t>Macao Special Administrative Region of China</t>
  </si>
  <si>
    <t>COL</t>
  </si>
  <si>
    <t>Colombia</t>
  </si>
  <si>
    <t>COM</t>
  </si>
  <si>
    <t>Comoros</t>
  </si>
  <si>
    <t>COG</t>
  </si>
  <si>
    <t>Congo (Brazzaville)</t>
  </si>
  <si>
    <t>COK</t>
  </si>
  <si>
    <t>Cook Islands</t>
  </si>
  <si>
    <t>CRI</t>
  </si>
  <si>
    <t>Costa Rica</t>
  </si>
  <si>
    <t>Côte d'Ivoire</t>
  </si>
  <si>
    <t>HRV</t>
  </si>
  <si>
    <t>Croatia</t>
  </si>
  <si>
    <t>CUB</t>
  </si>
  <si>
    <t>Cuba</t>
  </si>
  <si>
    <t>CYP</t>
  </si>
  <si>
    <t>Cyprus</t>
  </si>
  <si>
    <t>CZE</t>
  </si>
  <si>
    <t>Czech Republic</t>
  </si>
  <si>
    <t>PRK</t>
  </si>
  <si>
    <t>Democratic People's Republic of Korea</t>
  </si>
  <si>
    <t>Congo (Kinshasa)</t>
  </si>
  <si>
    <t>DNK</t>
  </si>
  <si>
    <t>Denmark</t>
  </si>
  <si>
    <t>DJI</t>
  </si>
  <si>
    <t>Djibouti</t>
  </si>
  <si>
    <t>DMA</t>
  </si>
  <si>
    <t>Dominica</t>
  </si>
  <si>
    <t>DOM</t>
  </si>
  <si>
    <t>Dominican Republic</t>
  </si>
  <si>
    <t>ECU</t>
  </si>
  <si>
    <t>Ecuador</t>
  </si>
  <si>
    <t>EGY</t>
  </si>
  <si>
    <t>Egypt</t>
  </si>
  <si>
    <t>SLV</t>
  </si>
  <si>
    <t>El Salvador</t>
  </si>
  <si>
    <t>GNQ</t>
  </si>
  <si>
    <t>Equatorial Guinea</t>
  </si>
  <si>
    <t>ERI</t>
  </si>
  <si>
    <t>Eritrea</t>
  </si>
  <si>
    <t>EST</t>
  </si>
  <si>
    <t>Estonia</t>
  </si>
  <si>
    <t>Ethiopia</t>
  </si>
  <si>
    <t>FRO</t>
  </si>
  <si>
    <t>Faeroe Islands</t>
  </si>
  <si>
    <t>FLK</t>
  </si>
  <si>
    <t>Falkland Islands (Malvinas)</t>
  </si>
  <si>
    <t>FJI</t>
  </si>
  <si>
    <t>Fiji</t>
  </si>
  <si>
    <t>FIN</t>
  </si>
  <si>
    <t>Finland</t>
  </si>
  <si>
    <t>FRA</t>
  </si>
  <si>
    <t>France</t>
  </si>
  <si>
    <t>GUF</t>
  </si>
  <si>
    <t>French Guiana</t>
  </si>
  <si>
    <t>PYF</t>
  </si>
  <si>
    <t>French Polynesia</t>
  </si>
  <si>
    <t>GAB</t>
  </si>
  <si>
    <t>Gabon</t>
  </si>
  <si>
    <t>GMB</t>
  </si>
  <si>
    <t>Gambia</t>
  </si>
  <si>
    <t>GEO</t>
  </si>
  <si>
    <t>Georgia</t>
  </si>
  <si>
    <t>Germany</t>
  </si>
  <si>
    <t>Ghana</t>
  </si>
  <si>
    <t>GIB</t>
  </si>
  <si>
    <t>Gibraltar</t>
  </si>
  <si>
    <t>GRC</t>
  </si>
  <si>
    <t>Greece</t>
  </si>
  <si>
    <t>GRL</t>
  </si>
  <si>
    <t>Greenland</t>
  </si>
  <si>
    <t>GRD</t>
  </si>
  <si>
    <t>Grenada</t>
  </si>
  <si>
    <t>GLP</t>
  </si>
  <si>
    <t>Guadeloupe</t>
  </si>
  <si>
    <t>GUM</t>
  </si>
  <si>
    <t>Guam</t>
  </si>
  <si>
    <t>GTM</t>
  </si>
  <si>
    <t>Guatemala</t>
  </si>
  <si>
    <t>GGY</t>
  </si>
  <si>
    <t>Guernsey</t>
  </si>
  <si>
    <t>GIN</t>
  </si>
  <si>
    <t>Guinea</t>
  </si>
  <si>
    <t>GNB</t>
  </si>
  <si>
    <t>Guinea-Bissau</t>
  </si>
  <si>
    <t>GUY</t>
  </si>
  <si>
    <t>Guyana</t>
  </si>
  <si>
    <t>HTI</t>
  </si>
  <si>
    <t>Haiti</t>
  </si>
  <si>
    <t>VAT</t>
  </si>
  <si>
    <t>Holy See</t>
  </si>
  <si>
    <t>HND</t>
  </si>
  <si>
    <t>Honduras</t>
  </si>
  <si>
    <t>HUN</t>
  </si>
  <si>
    <t>Hungary</t>
  </si>
  <si>
    <t>ISL</t>
  </si>
  <si>
    <t>Iceland</t>
  </si>
  <si>
    <t>IND</t>
  </si>
  <si>
    <t>India</t>
  </si>
  <si>
    <t>IDN</t>
  </si>
  <si>
    <t>Indonesia</t>
  </si>
  <si>
    <t>IRN</t>
  </si>
  <si>
    <t>Iran, Islamic Republic of</t>
  </si>
  <si>
    <t>IRQ</t>
  </si>
  <si>
    <t>Iraq</t>
  </si>
  <si>
    <t>IRL</t>
  </si>
  <si>
    <t>Ireland</t>
  </si>
  <si>
    <t>IMN</t>
  </si>
  <si>
    <t>Isle of Man</t>
  </si>
  <si>
    <t>ISR</t>
  </si>
  <si>
    <t>Israel</t>
  </si>
  <si>
    <t>ITA</t>
  </si>
  <si>
    <t>Italy</t>
  </si>
  <si>
    <t>JAM</t>
  </si>
  <si>
    <t>Jamaica</t>
  </si>
  <si>
    <t>JPN</t>
  </si>
  <si>
    <t>Japan</t>
  </si>
  <si>
    <t>JEY</t>
  </si>
  <si>
    <t>Jersey</t>
  </si>
  <si>
    <t>JOR</t>
  </si>
  <si>
    <t>Jordan</t>
  </si>
  <si>
    <t>KAZ</t>
  </si>
  <si>
    <t>Kazakhstan</t>
  </si>
  <si>
    <t>Kenya</t>
  </si>
  <si>
    <t>KIR</t>
  </si>
  <si>
    <t>Kiribati</t>
  </si>
  <si>
    <t>KWT</t>
  </si>
  <si>
    <t>Kuwait</t>
  </si>
  <si>
    <t>KGZ</t>
  </si>
  <si>
    <t>Kyrgyzstan</t>
  </si>
  <si>
    <t>LAO</t>
  </si>
  <si>
    <t>Lao People's Democratic Republic</t>
  </si>
  <si>
    <t>LVA</t>
  </si>
  <si>
    <t>Latvia</t>
  </si>
  <si>
    <t>LBN</t>
  </si>
  <si>
    <t>Lebanon</t>
  </si>
  <si>
    <t>LSO</t>
  </si>
  <si>
    <t>Lesotho</t>
  </si>
  <si>
    <t>Liberia</t>
  </si>
  <si>
    <t>LBY</t>
  </si>
  <si>
    <t>Libyan Arab Jamahiriya</t>
  </si>
  <si>
    <t>LIE</t>
  </si>
  <si>
    <t>Liechtenstein</t>
  </si>
  <si>
    <t>LTU</t>
  </si>
  <si>
    <t>Lithuania</t>
  </si>
  <si>
    <t>LUX</t>
  </si>
  <si>
    <t>Luxembourg</t>
  </si>
  <si>
    <t>Madagascar</t>
  </si>
  <si>
    <t>Malawi</t>
  </si>
  <si>
    <t>MYS</t>
  </si>
  <si>
    <t>Malaysia</t>
  </si>
  <si>
    <t>MDV</t>
  </si>
  <si>
    <t>Maldives</t>
  </si>
  <si>
    <t>MLI</t>
  </si>
  <si>
    <t>Mali</t>
  </si>
  <si>
    <t>MLT</t>
  </si>
  <si>
    <t>Malta</t>
  </si>
  <si>
    <t>MHL</t>
  </si>
  <si>
    <t>Marshall Islands</t>
  </si>
  <si>
    <t>MTQ</t>
  </si>
  <si>
    <t>Martinique</t>
  </si>
  <si>
    <t>MRT</t>
  </si>
  <si>
    <t>Mauritania</t>
  </si>
  <si>
    <t>Mauritius</t>
  </si>
  <si>
    <t>MYT</t>
  </si>
  <si>
    <t>Mayotte</t>
  </si>
  <si>
    <t>MEX</t>
  </si>
  <si>
    <t>Mexico</t>
  </si>
  <si>
    <t>FSM</t>
  </si>
  <si>
    <t>Micronesia, Federated States of</t>
  </si>
  <si>
    <t>MDA</t>
  </si>
  <si>
    <t>Moldova</t>
  </si>
  <si>
    <t>MCO</t>
  </si>
  <si>
    <t>Monaco</t>
  </si>
  <si>
    <t>MNG</t>
  </si>
  <si>
    <t>Mongolia</t>
  </si>
  <si>
    <t>MNE</t>
  </si>
  <si>
    <t>Montenegro</t>
  </si>
  <si>
    <t>MSR</t>
  </si>
  <si>
    <t>Montserrat</t>
  </si>
  <si>
    <t>MAR</t>
  </si>
  <si>
    <t>Morocco</t>
  </si>
  <si>
    <t>Mozambique</t>
  </si>
  <si>
    <t>MMR</t>
  </si>
  <si>
    <t>Myanmar</t>
  </si>
  <si>
    <t>NAM</t>
  </si>
  <si>
    <t>Namibia</t>
  </si>
  <si>
    <t>NRU</t>
  </si>
  <si>
    <t>Nauru</t>
  </si>
  <si>
    <t>NPL</t>
  </si>
  <si>
    <t>Nepal</t>
  </si>
  <si>
    <t>Netherlands</t>
  </si>
  <si>
    <t>ANT</t>
  </si>
  <si>
    <t>Netherlands Antilles</t>
  </si>
  <si>
    <t>NCL</t>
  </si>
  <si>
    <t>New Caledonia</t>
  </si>
  <si>
    <t>NZL</t>
  </si>
  <si>
    <t>New Zealand</t>
  </si>
  <si>
    <t>NIC</t>
  </si>
  <si>
    <t>Nicaragua</t>
  </si>
  <si>
    <t>NER</t>
  </si>
  <si>
    <t>Niger</t>
  </si>
  <si>
    <t>Nigeria</t>
  </si>
  <si>
    <t>NIU</t>
  </si>
  <si>
    <t>Niue</t>
  </si>
  <si>
    <t>NFK</t>
  </si>
  <si>
    <t>Norfolk Island</t>
  </si>
  <si>
    <t>MNP</t>
  </si>
  <si>
    <t>Northern Mariana Islands</t>
  </si>
  <si>
    <t>NOR</t>
  </si>
  <si>
    <t>Norway</t>
  </si>
  <si>
    <t>PSE</t>
  </si>
  <si>
    <t>Occupied Palestinian Territory</t>
  </si>
  <si>
    <t>OMN</t>
  </si>
  <si>
    <t>Oman</t>
  </si>
  <si>
    <t>PAK</t>
  </si>
  <si>
    <t>Pakistan</t>
  </si>
  <si>
    <t>PLW</t>
  </si>
  <si>
    <t>Palau</t>
  </si>
  <si>
    <t>PAN</t>
  </si>
  <si>
    <t>Panama</t>
  </si>
  <si>
    <t>PNG</t>
  </si>
  <si>
    <t>Papua New Guinea</t>
  </si>
  <si>
    <t>PRY</t>
  </si>
  <si>
    <t>Paraguay</t>
  </si>
  <si>
    <t>PER</t>
  </si>
  <si>
    <t>Peru</t>
  </si>
  <si>
    <t>PHL</t>
  </si>
  <si>
    <t>Philippines</t>
  </si>
  <si>
    <t>PCN</t>
  </si>
  <si>
    <t>Pitcairn</t>
  </si>
  <si>
    <t>POL</t>
  </si>
  <si>
    <t>Poland</t>
  </si>
  <si>
    <t>PRT</t>
  </si>
  <si>
    <t>Portugal</t>
  </si>
  <si>
    <t>PRI</t>
  </si>
  <si>
    <t>Puerto Rico</t>
  </si>
  <si>
    <t>QAT</t>
  </si>
  <si>
    <t>Qatar</t>
  </si>
  <si>
    <t>KOR</t>
  </si>
  <si>
    <t>Republic of Korea</t>
  </si>
  <si>
    <t>Réunion</t>
  </si>
  <si>
    <t>ROU</t>
  </si>
  <si>
    <t>Romania</t>
  </si>
  <si>
    <t>RUS</t>
  </si>
  <si>
    <t>Russian Federation</t>
  </si>
  <si>
    <t>Rwanda</t>
  </si>
  <si>
    <t>BLM</t>
  </si>
  <si>
    <t>Saint-Barthélemy</t>
  </si>
  <si>
    <t>SHN</t>
  </si>
  <si>
    <t>Saint Helena</t>
  </si>
  <si>
    <t>KNA</t>
  </si>
  <si>
    <t>Saint Kitts and Nevis</t>
  </si>
  <si>
    <t>LCA</t>
  </si>
  <si>
    <t>Saint Lucia</t>
  </si>
  <si>
    <t>MAF</t>
  </si>
  <si>
    <t>Saint-Martin (French part)</t>
  </si>
  <si>
    <t>SPM</t>
  </si>
  <si>
    <t>Saint Pierre and Miquelon</t>
  </si>
  <si>
    <t>VCT</t>
  </si>
  <si>
    <t>Saint Vincent and the Grenadines</t>
  </si>
  <si>
    <t>WSM</t>
  </si>
  <si>
    <t>Samoa</t>
  </si>
  <si>
    <t>SMR</t>
  </si>
  <si>
    <t>San Marino</t>
  </si>
  <si>
    <t>STP</t>
  </si>
  <si>
    <t>Sao Tome and Principe</t>
  </si>
  <si>
    <t>SAU</t>
  </si>
  <si>
    <t>Saudi Arabia</t>
  </si>
  <si>
    <t>Senegal</t>
  </si>
  <si>
    <t>SRB</t>
  </si>
  <si>
    <t>Serbia</t>
  </si>
  <si>
    <t>SYC</t>
  </si>
  <si>
    <t>Seychelles</t>
  </si>
  <si>
    <t>SLE</t>
  </si>
  <si>
    <t>Sierra Leone</t>
  </si>
  <si>
    <t>SGP</t>
  </si>
  <si>
    <t>Singapore</t>
  </si>
  <si>
    <t>SVK</t>
  </si>
  <si>
    <t>Slovakia</t>
  </si>
  <si>
    <t>SVN</t>
  </si>
  <si>
    <t>Slovenia</t>
  </si>
  <si>
    <t>SLB</t>
  </si>
  <si>
    <t>Solomon Islands</t>
  </si>
  <si>
    <t>SOM</t>
  </si>
  <si>
    <t>Somalia</t>
  </si>
  <si>
    <t>South Africa</t>
  </si>
  <si>
    <t>ESP</t>
  </si>
  <si>
    <t>Spain</t>
  </si>
  <si>
    <t>Sri Lanka</t>
  </si>
  <si>
    <t>SDN</t>
  </si>
  <si>
    <t>Sudan</t>
  </si>
  <si>
    <t>SUR</t>
  </si>
  <si>
    <t>Suriname</t>
  </si>
  <si>
    <t>SJM</t>
  </si>
  <si>
    <t>Svalbard and Jan Mayen Islands</t>
  </si>
  <si>
    <t>SWZ</t>
  </si>
  <si>
    <t>Swaziland</t>
  </si>
  <si>
    <t>SWE</t>
  </si>
  <si>
    <t>Sweden</t>
  </si>
  <si>
    <t>CHE</t>
  </si>
  <si>
    <t>Switzerland</t>
  </si>
  <si>
    <t>SYR</t>
  </si>
  <si>
    <t>Syrian Arab Republic</t>
  </si>
  <si>
    <t>TJK</t>
  </si>
  <si>
    <t>Tajikistan</t>
  </si>
  <si>
    <t>THA</t>
  </si>
  <si>
    <t>Thailand</t>
  </si>
  <si>
    <t>MKD</t>
  </si>
  <si>
    <t>The former Yugoslav Republic of Macedonia</t>
  </si>
  <si>
    <t>TLS</t>
  </si>
  <si>
    <t>Timor-Leste</t>
  </si>
  <si>
    <t>TGO</t>
  </si>
  <si>
    <t>Togo</t>
  </si>
  <si>
    <t>TKL</t>
  </si>
  <si>
    <t>Tokelau</t>
  </si>
  <si>
    <t>TON</t>
  </si>
  <si>
    <t>Tonga</t>
  </si>
  <si>
    <t>TTO</t>
  </si>
  <si>
    <t>Trinidad and Tobago</t>
  </si>
  <si>
    <t>TUN</t>
  </si>
  <si>
    <t>Tunisia</t>
  </si>
  <si>
    <t>TUR</t>
  </si>
  <si>
    <t>Turkey</t>
  </si>
  <si>
    <t>TKM</t>
  </si>
  <si>
    <t>Turkmenistan</t>
  </si>
  <si>
    <t>TCA</t>
  </si>
  <si>
    <t>Turks and Caicos Islands</t>
  </si>
  <si>
    <t>TUV</t>
  </si>
  <si>
    <t>Tuvalu</t>
  </si>
  <si>
    <t>UGA</t>
  </si>
  <si>
    <t>Uganda</t>
  </si>
  <si>
    <t>UKR</t>
  </si>
  <si>
    <t>Ukraine</t>
  </si>
  <si>
    <t>ARE</t>
  </si>
  <si>
    <t>United Arab Emirates</t>
  </si>
  <si>
    <t>United Kingdom of Great Britain and Northern Ireland</t>
  </si>
  <si>
    <t>TZA</t>
  </si>
  <si>
    <t>United Republic of Tanzania</t>
  </si>
  <si>
    <t>United States of America</t>
  </si>
  <si>
    <t>VIR</t>
  </si>
  <si>
    <t>United States Virgin Islands</t>
  </si>
  <si>
    <t>URY</t>
  </si>
  <si>
    <t>Uruguay</t>
  </si>
  <si>
    <t>UZB</t>
  </si>
  <si>
    <t>Uzbekistan</t>
  </si>
  <si>
    <t>VUT</t>
  </si>
  <si>
    <t>Vanuatu</t>
  </si>
  <si>
    <t>VEN</t>
  </si>
  <si>
    <t>Venezuela (Bolivarian Republic of)</t>
  </si>
  <si>
    <t>VNM</t>
  </si>
  <si>
    <t>Viet Nam</t>
  </si>
  <si>
    <t>WLF</t>
  </si>
  <si>
    <t>Wallis and Futuna Islands</t>
  </si>
  <si>
    <t>ESH</t>
  </si>
  <si>
    <t>Western Sahara</t>
  </si>
  <si>
    <t>YEM</t>
  </si>
  <si>
    <t>Yemen</t>
  </si>
  <si>
    <t>Zambia</t>
  </si>
  <si>
    <t>Zimbabwe</t>
  </si>
  <si>
    <t>World Headquarters</t>
  </si>
  <si>
    <t>Regional Design/Construction Department</t>
  </si>
  <si>
    <t>Worldwide Design/Construction Department</t>
  </si>
  <si>
    <t>Local Design/Construction Department</t>
  </si>
  <si>
    <t>All Branches</t>
  </si>
  <si>
    <t>Date</t>
  </si>
  <si>
    <t>Type</t>
  </si>
  <si>
    <t>Changes</t>
  </si>
  <si>
    <t>Version</t>
  </si>
  <si>
    <t>NEW</t>
  </si>
  <si>
    <t>added double-click to add items from Attributes to Name Template box</t>
  </si>
  <si>
    <t>1.0.1.0</t>
  </si>
  <si>
    <t>Ctrl+B = Toggle configuration sheet visibility</t>
  </si>
  <si>
    <t>1.0.1.1</t>
  </si>
  <si>
    <t>FIX</t>
  </si>
  <si>
    <t>bug when capturing words from Subject to Project if Subject was empty</t>
  </si>
  <si>
    <t>1.0.1.2</t>
  </si>
  <si>
    <t>ensure that config files are released on shutdown (ensure freshness!)</t>
  </si>
  <si>
    <t>added a one-click new release mechanisim</t>
  </si>
  <si>
    <t>1.0.2.0</t>
  </si>
  <si>
    <t>Remove # symbol from links -- Windows cannot open such links</t>
  </si>
  <si>
    <t>CHG</t>
  </si>
  <si>
    <t>Improve the doc memo meta extraction; now finds countries, desk, and recipients where possbile</t>
  </si>
  <si>
    <t>Refactored the listbox/view functions for clarity and reliability</t>
  </si>
  <si>
    <t>1.0.2.1</t>
  </si>
  <si>
    <t>Now possible to multi-select files as attachments to another</t>
  </si>
  <si>
    <t>Improved multi-select; now works in Dropped input also</t>
  </si>
  <si>
    <t>1.0.3.0</t>
  </si>
  <si>
    <t>Completely refactored save and processing functions</t>
  </si>
  <si>
    <t>Refactored most variable names for clarity</t>
  </si>
  <si>
    <t>Tweaked styling: select box, attach type label, drop box</t>
  </si>
  <si>
    <t>Fixed multiple selection save of files/dropped.</t>
  </si>
  <si>
    <t>Refactored ListControl functions into a class</t>
  </si>
  <si>
    <t>Show name of currently selected item in Caption</t>
  </si>
  <si>
    <t>Completely refactored the updating and processing of items</t>
  </si>
  <si>
    <t>1.0.4.0</t>
  </si>
  <si>
    <t>Added checkbox to always guess folder name based on project</t>
  </si>
  <si>
    <t>1.0.5.0</t>
  </si>
  <si>
    <t>Added progress bar for extraction of item metadata also</t>
  </si>
  <si>
    <t>Issue with checking for attachments</t>
  </si>
  <si>
    <t>Updated Help tab</t>
  </si>
  <si>
    <t>Path separator not added to end of dragged-in folder paths</t>
  </si>
  <si>
    <t>1.0.6.0</t>
  </si>
  <si>
    <t>Updated icon on open dialog buttons in header</t>
  </si>
  <si>
    <t>Changing the Project header  on the worksheet will now update the Dialog</t>
  </si>
  <si>
    <t>Name template not updating in real-time</t>
  </si>
  <si>
    <t>1.0.6.1</t>
  </si>
  <si>
    <t>New button to delete currently selected messages</t>
  </si>
  <si>
    <t>1.0.7.0</t>
  </si>
  <si>
    <t>Sort new tags A-Z; Uppercase first on Subject</t>
  </si>
  <si>
    <t>Ignore missing SourceFolder in config</t>
  </si>
  <si>
    <t>Should Tags in dropdown as individual words only (better overview)</t>
  </si>
  <si>
    <t>1.0.7.1</t>
  </si>
  <si>
    <t>Allow for multiple project delimiters (e.g. ";:-")</t>
  </si>
  <si>
    <t>1.0.7.2</t>
  </si>
  <si>
    <t>Added new project-first and project-rest attributes for filing (I use the first word of a project name as the country ISO)</t>
  </si>
  <si>
    <t>Add a new "google" style search box (based on autofilter behind scenes)</t>
  </si>
  <si>
    <t>1.1.0.0</t>
  </si>
  <si>
    <t>Added an Auto Save option, to save workbook after logging documents (after each batch)</t>
  </si>
  <si>
    <t>Delete to file setting were incorrectly interpreted, causing logged file not to be deleted</t>
  </si>
  <si>
    <t>1.1.0.1</t>
  </si>
  <si>
    <t>Added a visible version no. on the Cor Log worksheet</t>
  </si>
  <si>
    <t>Added AND OR options for the search box also</t>
  </si>
  <si>
    <t>1.1.1.0</t>
  </si>
  <si>
    <t>Spaces before or after file name were causing failed saves. Fixed</t>
  </si>
  <si>
    <t>1.1.1.1</t>
  </si>
  <si>
    <t>Ctrl + Click on a Listbox to select all items</t>
  </si>
  <si>
    <t>1.1.2.0</t>
  </si>
  <si>
    <t>Alt + N to move to next item in list with out using mouse, wraps around</t>
  </si>
  <si>
    <t>Enhanced tag reader: infer tags from subject line, allow for forced tags using the "+tag" syntax in subject line</t>
  </si>
  <si>
    <t>1.1.3.0</t>
  </si>
  <si>
    <t>Lock project name feature (useful for batch processing)</t>
  </si>
  <si>
    <t>Check if Outlook is open before refreshing email view</t>
  </si>
  <si>
    <t>1.1.3.1</t>
  </si>
  <si>
    <t>Various small UI tweaks</t>
  </si>
  <si>
    <t>Remove duplicated project names in subject if project name is locked</t>
  </si>
  <si>
    <t>1.1.4.0</t>
  </si>
  <si>
    <t>Refactored thrtlMeta into FileSource for clarity and simplier code</t>
  </si>
  <si>
    <t>1.1.5.0</t>
  </si>
  <si>
    <t>Moved the Folder browser for the Folder Tab into the Settings box</t>
  </si>
  <si>
    <t>Refactored swap colours; UI tweaks</t>
  </si>
  <si>
    <t>1.1.5.1</t>
  </si>
  <si>
    <t>Refactored the doc meta parser for higher accuracy</t>
  </si>
  <si>
    <t>1.1.6.0</t>
  </si>
  <si>
    <t>When parsing the subject line into tags: allow for lower and upper case versions as well, but replace with the version from the Tag list (proper case)</t>
  </si>
  <si>
    <t>Search for tags in Memo subject lines also</t>
  </si>
  <si>
    <t>Opening link location was failing (due to spaces)</t>
  </si>
  <si>
    <t>1.1.6.1</t>
  </si>
  <si>
    <t>Allow for phrase searches in the search box, i.e. "sdmo gen"; no quotes needed for default column</t>
  </si>
  <si>
    <t>1.1.7.0</t>
  </si>
  <si>
    <t>Show source path in error message when save fails</t>
  </si>
  <si>
    <t>1.1.7.1</t>
  </si>
  <si>
    <t>Improved failed save error message presentation</t>
  </si>
  <si>
    <t>1.1.7.2</t>
  </si>
  <si>
    <t>Added ability to save memos embedded in emails (without saving the email)</t>
  </si>
  <si>
    <t>1.1.8.0</t>
  </si>
  <si>
    <t>Issues with embedded memos: store ticked state, better highlighting</t>
  </si>
  <si>
    <t>1.1.8.1</t>
  </si>
  <si>
    <t>Corrected font formatting of hyperlinks; help file updates; added attribute dialog instructions</t>
  </si>
  <si>
    <t>1.1.8.2</t>
  </si>
  <si>
    <t>Extra UI buttons and shortcuts (Alt+D), sorting button (Alt+S); improvements to error handing to avoid orphans Word processes</t>
  </si>
  <si>
    <t>1.1.8.3</t>
  </si>
  <si>
    <t>Updated the help sheet with info about main action buttons</t>
  </si>
  <si>
    <t>1.1.8.4</t>
  </si>
  <si>
    <t>Issue where 2nd memo metadata is ignored when batch saving</t>
  </si>
  <si>
    <t>1.1.8.5</t>
  </si>
  <si>
    <t>MeetingItem caused a crash; how handled as a file instead of msg</t>
  </si>
  <si>
    <t>1.1.9.0</t>
  </si>
  <si>
    <t>Added a count of current items in the source tabs (also added a BoxCtrl method to the clsFileSource)</t>
  </si>
  <si>
    <t>Added a target icon to the folder drag target</t>
  </si>
  <si>
    <t>1.1.10.1</t>
  </si>
  <si>
    <t>Dialog was hidden if previously opened on a 2nd monitor; now recentre in current monitor is 2nd is missing</t>
  </si>
  <si>
    <t>1.1.10.2</t>
  </si>
  <si>
    <t>Complete overhaul of way the embedded memos work; now handles msgs in the file system also</t>
  </si>
  <si>
    <t>1.2.0.0</t>
  </si>
  <si>
    <t>TODO/FIX:</t>
  </si>
  <si>
    <t>Add a backup option, every X duration (after archiving only)</t>
  </si>
  <si>
    <t>Major internal refactoring to better separate the meta data extraction from the form display</t>
  </si>
  <si>
    <t>63.75;202.5</t>
  </si>
  <si>
    <t>Coombs, Shaun</t>
  </si>
  <si>
    <t>Bent, Symon</t>
  </si>
  <si>
    <t>Reference</t>
  </si>
  <si>
    <t>WDC RDC LDC department strucutre ideas</t>
  </si>
  <si>
    <t>In Message (1)</t>
  </si>
  <si>
    <t>Syms - This might be useful....   Thanks,  Shaun   From: Prinsloo, Jurie Sent: Thursday, April 9, 2015 2:44 PM To: Coombs, Shaun Cc: Lindstrom, Carl-Johan; Sherwood, Mark; Washburn, Nathan; Jubber, John; Allan, Mark Subject: SA LDC vis</t>
  </si>
  <si>
    <t>McDonald, Darcy</t>
  </si>
  <si>
    <t>Washburn, Nathan</t>
  </si>
  <si>
    <t>Financial</t>
  </si>
  <si>
    <t>Global Tax Group pdf</t>
  </si>
  <si>
    <t>FYI   From: McCarthy, Benjamin Sent: Thursday, May 21, 2015 5:06 PM To: Johnson, Andrew; McDonald, Darcy; Morris, Marcus; Struthers, Cal Subject: Global Tax Group.pdf   Dear brothers   I just wanted to pass on a memo that we reviewed</t>
  </si>
  <si>
    <t>Gilden, Jasmine</t>
  </si>
  <si>
    <t>InboxRDCAdminPTSupport.ZA</t>
  </si>
  <si>
    <t>GHA Baatsona SKE</t>
  </si>
  <si>
    <t>DC-41</t>
  </si>
  <si>
    <t>GHA SKE DC-41-2</t>
  </si>
  <si>
    <t>In Message (2)</t>
  </si>
  <si>
    <t>Ready for submission</t>
  </si>
  <si>
    <t>Dear Symon,   Attached is the DC-41#2 that needs to be imported into Admin for Ghana School Facility Baatsona Renovation.   As you can see from the highlighted section on the Word document. In the budget description we need to give Anticipated</t>
  </si>
  <si>
    <t>Saunders, Tareyton</t>
  </si>
  <si>
    <t>Arthur, Gideon</t>
  </si>
  <si>
    <t>GHA BEX 2</t>
  </si>
  <si>
    <t>Doors, Windows</t>
  </si>
  <si>
    <t>Retro fitting doors and windows</t>
  </si>
  <si>
    <t>Gideon,                  Please can we set a time to meet with Simon Before he travels. Here are a few points I would like to inquire about.   1.       Does phase 2 include replacing  27 year old Plywood doors, in res 1 Bathrooms, closets, Main D</t>
  </si>
  <si>
    <t>OGuin, Colin</t>
  </si>
  <si>
    <t>Bent, Symon; ten Have, Fabian; Washburn, Nathan</t>
  </si>
  <si>
    <t>AGO Viana AH</t>
  </si>
  <si>
    <t>Report, WWTF</t>
  </si>
  <si>
    <t>Angola Report from Becon about WWTF</t>
  </si>
  <si>
    <t>In Message (3)</t>
  </si>
  <si>
    <t>FYI gents.   Thanks,  Shaun   From: Silva, Johnny Sent: Wednesday, June 3, 2015 2:53 PM To: ten Have, Fabian Cc: Coombs, Shaun; Sheridan, John Richard; Washburn, Nathan Subject: FW: Angola Report   Dear Brothers,   Please f</t>
  </si>
  <si>
    <t>Carnell, Paul</t>
  </si>
  <si>
    <t>Allan, Mark</t>
  </si>
  <si>
    <t>Washburn, Nathan; OGuin, Colin; Bent, Symon; White, Tara</t>
  </si>
  <si>
    <t>Refernce</t>
  </si>
  <si>
    <t>Price, SALTO</t>
  </si>
  <si>
    <t>MOZ BEX SALTO Price Comparision</t>
  </si>
  <si>
    <t>Hi Mark,   I have SALTOs latest prices on all the elements that I need for SALTO and have done a quick price comparison for the wired v WiFi   MOZ based on the old proposal before the additional floor   WiFi option: SALTO £41k Very</t>
  </si>
  <si>
    <t>O'Guin, Colin</t>
  </si>
  <si>
    <t>Meinders, Andre</t>
  </si>
  <si>
    <t>GHA Viepe RTO</t>
  </si>
  <si>
    <t>Design</t>
  </si>
  <si>
    <t>Timber Truss design by local engineer</t>
  </si>
  <si>
    <t>Andre,   Please see Tristan’s comments below.   Colin O'Guin Engineering Project Coordination US Regional Design/Construction Department Watchtower Bible &amp; Tract Society of New York, Inc. 25 Columbia Heights Brooklyn, NY  11201 HYPERLINK "m</t>
  </si>
  <si>
    <t>REA:REP</t>
  </si>
  <si>
    <t>ETH LDC</t>
  </si>
  <si>
    <t>Video</t>
  </si>
  <si>
    <t>Video Equipment for Assembly Halls</t>
  </si>
  <si>
    <t>In accordance of the Memorandum from the World Headquarters HAD:HDO February 24, 2015 after reviewed by the Branch Committee, we are sending the Assembly Hall Video Equipment Questionnaire for your review.</t>
  </si>
  <si>
    <t>SEN Branch</t>
  </si>
  <si>
    <t>FEV</t>
  </si>
  <si>
    <t>OCE for POR &amp; FEV</t>
  </si>
  <si>
    <t>Looks good.  Was there any info still needed per section 7?   Colin O'Guin Engineering Project Coordination US Regional Design/Construction Department Watchtower Bible &amp; Tract Society of New York, Inc. 25 Columbia Heights Brooklyn, NY</t>
  </si>
  <si>
    <t>St. Jean, Zeny</t>
  </si>
  <si>
    <t>Watts, Jeffery; Luccioni, Robert; Washburn, Nathan; Bent, Symon; Wake, David; Carnell, Paul</t>
  </si>
  <si>
    <t>ZWE Bulayawo RTO</t>
  </si>
  <si>
    <t>CPP</t>
  </si>
  <si>
    <t>CPP Explanation of high build cost</t>
  </si>
  <si>
    <t>Zeny,   ZWE have confirmed the following:  “We are planning to use 2 of the rooms in the facility permanently. The one in the KH and the one in the new building. The third would be saved for guests, trainers who will be there quite often.  </t>
  </si>
  <si>
    <t>Philpott, Joseph</t>
  </si>
  <si>
    <t>Housner, Bradley</t>
  </si>
  <si>
    <t>Finch, Ed; Kapata, Henry; Bent, Symon; Washburn, Nathan; Gilden, David; Coombs, Shaun</t>
  </si>
  <si>
    <t>ZMB LDC</t>
  </si>
  <si>
    <t>Personnel</t>
  </si>
  <si>
    <t>Request for Construction Servants who want to get married</t>
  </si>
  <si>
    <t>Answers from Brad</t>
  </si>
  <si>
    <t>Ok – great.  Please put the A -57 on hold for now.  I would like to discuss this with my assistant and our BC contact.  So in the case of the four brothers mentioned it’s simply a decision of how vital are they?  This will determine whether they remain in</t>
  </si>
  <si>
    <t>COD Lubumbashi RTO</t>
  </si>
  <si>
    <t>Photo, Setup</t>
  </si>
  <si>
    <t>COD LSH Container set up</t>
  </si>
  <si>
    <t>    From: KOHLER, Patrick Sent: Monday, June 15, 2015 8:14 PM To: O'Guin, Colin Cc: Coombs, Shaun; Porter, Tony Subject: COD LSH Container set up    Hi Colin,   As promised please find attached some pictures regarding the container</t>
  </si>
  <si>
    <t>SDX:COA</t>
  </si>
  <si>
    <t>GHA BEX</t>
  </si>
  <si>
    <t>Commissioning</t>
  </si>
  <si>
    <t>Commissioning Visits BEX 1 and Coordination Meeting BEX 2</t>
  </si>
  <si>
    <t>We wish to express sincere gratitude for your support and the hard work of the RDC representatives during the commissioning of our power system as well as the water treatment plant recently installed.</t>
  </si>
  <si>
    <t>Silva, Johnny</t>
  </si>
  <si>
    <t>ten Have, Fabian</t>
  </si>
  <si>
    <t>AH, Meeting, WWTF</t>
  </si>
  <si>
    <t>WWTF Becon report</t>
  </si>
  <si>
    <t>Fabian, See attached my email to Becon and their response. I believe it Is better if we do the transport ourselves. Due to VAT benefits and better deals as we do have much more cargo then Becon. I stressed with them the price for delivery to Krugersdor</t>
  </si>
  <si>
    <t>Watts, Jeffery; Carnell, Paul; Bent, Symon</t>
  </si>
  <si>
    <t>CPP Comments from Zeny</t>
  </si>
  <si>
    <t>Zeny – See below the comments from ZWE on the existing properties/containers usage.   Thanks,  Shaun   From: Lindstrom, Carl-Johan Sent: Tuesday, June 30, 2015 6:12 AM To: Coombs, Shaun Cc: Bent, Symon; Washburn, Nathan; Jubber, John S</t>
  </si>
  <si>
    <t>ZWE Bulawayo RTO</t>
  </si>
  <si>
    <t>Drawing</t>
  </si>
  <si>
    <t>Floor PLANS</t>
  </si>
  <si>
    <t>Cheers Paul.   Syms:  Worth looking at the floor plans of 3A Clark Road to see if there are any other options, wot say you?      Thanks,  Shaun   From: Carnell, Paul Sent: Tuesday, June 30, 2015 7:53 AM To: St. Jean, Zeny Cc: Watt</t>
  </si>
  <si>
    <t>InboxRDC.ZA</t>
  </si>
  <si>
    <t>GHA Branch</t>
  </si>
  <si>
    <t>Maintenance, NLBR</t>
  </si>
  <si>
    <t>GHA-5034 Pump ($8,105 88)</t>
  </si>
  <si>
    <t>As long as this is a 50hZ pump we are in agreement with this request. Symon   From: Arthur, Gideon Sent: Thursday, July 30, 2015 11:10 To: Bent, Symon Subject: RE: Ghana - GHA-5034 Pump ($8,105.88)   Hello Symon,   We raised the s</t>
  </si>
  <si>
    <t>Lindstrom, Carl-Johan</t>
  </si>
  <si>
    <t>Washburn, Nathan; Coombs, Shaun; Gilden, David</t>
  </si>
  <si>
    <t>ZWE LDC</t>
  </si>
  <si>
    <t>Signs</t>
  </si>
  <si>
    <t>Standard Sign at RTO</t>
  </si>
  <si>
    <t>Hope this helps.  The colour scheme was chosen by ZMB, we only gave a recommendation for the size and layout!   From: Lindstrom, Carl-Johan Sent: Wednesday, July 29, 2015 19:54 To: Washburn, Nathan; Coombs, Shaun; Bent, Symon Subject: ZWE - Sign</t>
  </si>
  <si>
    <t>REA:REJ</t>
  </si>
  <si>
    <t>Update</t>
  </si>
  <si>
    <t>ZAF-RDC Monthly Update - July 2015</t>
  </si>
  <si>
    <t>Last month we were privileged to host a 3-week training session for two LDC overseers, from Kenya and South Africa. The training for these brothers involved spending time with the designers, projects overseers, Purchasing Department, Maintenance Departmen</t>
  </si>
  <si>
    <t>Jones, David M.</t>
  </si>
  <si>
    <t>GHA-BRANCH-Committee</t>
  </si>
  <si>
    <t>GHA LDC</t>
  </si>
  <si>
    <t>Potential Oversight 2 in LDC Recommendation to BC</t>
  </si>
  <si>
    <t>Need for better Group overseers</t>
  </si>
  <si>
    <t>Branch Committee,   We had an open, frank discussion with the brothers in the LDC Monday on the way to help the LDC cope with its ever growing responsibilities. Brother McIntyre asserted strongly that the brothers we have as desk representatives now</t>
  </si>
  <si>
    <t>DODIN, Jean-Marc</t>
  </si>
  <si>
    <t>Wilcox, Stephanie Kate; Shears, Matthew; Thomson, Cameron</t>
  </si>
  <si>
    <t>NLBR</t>
  </si>
  <si>
    <t>RDC review of NLBR -60755; Makita Spare parts</t>
  </si>
  <si>
    <t>Dear brothers,   We have reviewed the following Non-Literature Branch Requests (NLBRs) that we received from you on Wednesday, July 29, 2015 for the GHA BEX project :   1.       Req. #60755 : Makita spares   We are in agreement with your</t>
  </si>
  <si>
    <t>Ryan, Neill</t>
  </si>
  <si>
    <t>Keller, Timothy; Jones, David M.; Arthur, Gideon; DODIN, Jean-Marc; Allan, Mark; OGuin, Colin</t>
  </si>
  <si>
    <t>Kitchen, Setup</t>
  </si>
  <si>
    <t>Temporary kitchen locker room--use container (AGREED)</t>
  </si>
  <si>
    <t>Yes, I would agree. Symon   From: Ryan, Neill Sent: Tuesday, July 28, 2015 19:19 To: Bent, Symon; O'Guin, Colin; Allan, Mark Cc: Keller, Timothy; Jones, David M.; Arthur, Gideon; DODIN, Jean-Marc Subject: FW: GHA BEX 2; Early Procurement Kit</t>
  </si>
  <si>
    <t>Sadler, Shane</t>
  </si>
  <si>
    <t>ZMB Choma RTO</t>
  </si>
  <si>
    <t>Soil</t>
  </si>
  <si>
    <t>G5 Replacement; In-Situ soil mixed with 13mm stones</t>
  </si>
  <si>
    <t>For you Shane. Symon   From: Bateman, Tristan Sent: Wednesday, July 29, 2015 10:56 To: Bent, Symon Subject: FW: ZMB Choma RTO: G5 Replacement: In-Situ soil mixed with 13mm stones   Hi Symon,   In response to the query:   ·  </t>
  </si>
  <si>
    <t>Shears, Matthew</t>
  </si>
  <si>
    <t>Meinders, Andre; Watson, Toby; asarorto15@gmail.com; OGuin, Colin</t>
  </si>
  <si>
    <t>Concrete, Test</t>
  </si>
  <si>
    <t>Residence foundation; Concrete test failures (Updated results)</t>
  </si>
  <si>
    <t>Answers below from Structural.   Kind regards,   SymonBent South Africa RDC M: +27 61 699 6085  |  T: 2588  |  HYPERLINK "sip:sbent@bethel.jw.org"Lync       From: Bateman, Tristan Sent: Tuesday, July 28, 2015 11:46 To: Ben</t>
  </si>
  <si>
    <t>ZNB Choma RTO</t>
  </si>
  <si>
    <t>Equipment, NLBR</t>
  </si>
  <si>
    <t>RDC review of NLBR electrolux equipment from Zimbabwe</t>
  </si>
  <si>
    <t>Dear brothers,   We have reviewed the following Non-Literature Branch Requests (NLBRs) that we received from you on Monday, July 6, 2015 for the ZMB Choma RTO project :   1.       Req. #12653 : Electrolux equipment from ZWE   We are in a</t>
  </si>
  <si>
    <t>DCP</t>
  </si>
  <si>
    <t>Final DCP tests for Office BLDG 20150720</t>
  </si>
  <si>
    <t>For your attention. Symon   From: Bateman, Tristan Sent: Monday, July 20, 2015 17:49 To: Bent, Symon Subject: RE: ZMB Choma RTO; final DCP tests for Office BLDG 20150720   Hi Symon,   These tests look good.   On test number</t>
  </si>
  <si>
    <t>Struct</t>
  </si>
  <si>
    <t>Joint pier detail and DPC</t>
  </si>
  <si>
    <t>Did you get this?   From: Bateman, Tristan Sent: Thursday, July 9, 2015 16:28 To: O'Guin, Colin Cc: Bent, Symon Subject: FW: ZMB Choma RTO; Joint/ pier detail and DPC    Hi Colin,   These piers are the minimum size that can be used</t>
  </si>
  <si>
    <t>GHA Kikam RTO</t>
  </si>
  <si>
    <t>AO-8</t>
  </si>
  <si>
    <t>RDC review of AO-8 review (June 2015)</t>
  </si>
  <si>
    <t>Dear brothers,   We have reviewed the AO-8 Financial Report for the month of June 2015 for the GHA Kikam RTO project :   We are in agreement.  Please go ahead and submit to WDC.   Kind regards, SymonBent South Africa RDC M: +27</t>
  </si>
  <si>
    <t>Shears, Matthew; Thomson, Cameron; Thomson, Bonny; Wilcox, Stephanie Kate</t>
  </si>
  <si>
    <t>RDC review of AO-8 for June 2015</t>
  </si>
  <si>
    <t>Dear brothers,   We have reviewed the AO-8 Financial Report for the month of June 2015 for the GHA BEX and Kikam projecta :   We are in agreement.  Please go ahead and submit to WDC.   Kind regards, SymonBent South Africa RDC M:</t>
  </si>
  <si>
    <t>COD Choral Studio</t>
  </si>
  <si>
    <t>Choral and Audio Video Building</t>
  </si>
  <si>
    <t>We are writing to pursue, if possible, the proposal for a Choral Audio-Video Building at our Branch. At present, we are preparing Vocal Renditions in six languages, five local and also in Swahili (Kenya). Our present studio of approximately 35 m2 is a con</t>
  </si>
  <si>
    <t>Budget</t>
  </si>
  <si>
    <t>2016 LDC Spending Limits for the Africa Region</t>
  </si>
  <si>
    <t>As requested in the Publishing Committee letter HPA:HDA June 1, 2015 No. C-38180P, please find attached a spreadsheet of the recommended spending limits for the countries in our region. You will note in the spreadsheet that we listed the recommendation of</t>
  </si>
  <si>
    <t>Nudd, Don</t>
  </si>
  <si>
    <t>Purchasing</t>
  </si>
  <si>
    <t>Standardization of KHs &amp; RTOs in Africa</t>
  </si>
  <si>
    <t>Notes on our meeting attached. Please note the follow-up points: Thanks – Don  Observations: Need to approach this seriously – potential saving in time, money, stress, efficiency.  Worth it to stop and all players together reassess.  Key players</t>
  </si>
  <si>
    <t>HPA:HDA</t>
  </si>
  <si>
    <t>AO-9, Approval</t>
  </si>
  <si>
    <t>Viana Literature Depot Project-Final Project Financial Report (AO-9)</t>
  </si>
  <si>
    <t>This is in response to your memorandum dated LDC July 22, 2015, which included the AO_x001E_9 for the Viana Literature Depot Project. The total spent on the project came to USD 54,524 whereas the approved budget was USD 66,666. It is good to note that the proje</t>
  </si>
  <si>
    <t>Breakell, Ben</t>
  </si>
  <si>
    <t>Meinders, Andre; Shears, Matthew; Allan, Mark</t>
  </si>
  <si>
    <t>GHA Kumasi RTO</t>
  </si>
  <si>
    <t>RDC review of NLBR -60699; Automatic Voltage Regulator</t>
  </si>
  <si>
    <t>Dear brothers,   We have reviewed the following Non-Literature Branch Requests (NLBRs) that we received from you on Monday, July 27, 2015 for the GHA Kumasi RTO project :   1.       Req. #60699 : AVR   We are in agreement with your reque</t>
  </si>
  <si>
    <t>Lichtenhahn, Wyatt</t>
  </si>
  <si>
    <t>Blackman, Innes; Smith, Caleb</t>
  </si>
  <si>
    <t>ZMB Kabompo RTO</t>
  </si>
  <si>
    <t>Elec</t>
  </si>
  <si>
    <t>Commuter Building-Grounding Ring question 24072015</t>
  </si>
  <si>
    <t>Answer below. Symon   From: De Meyer, Efraim Sent: Monday, July 27, 2015 16:59 To: Bent, Symon Subject: RE: ZMB Kabompo RTO; Commuter Building-Grounding Ring question 24072015   Symon,   Could you ask them to do it as at the exist</t>
  </si>
  <si>
    <t>RDC review of NLBR -60750; Downspout and Bends</t>
  </si>
  <si>
    <t>Dear brothers,   We have reviewed the following Non-Literature Branch Requests (NLBRs) that we received from you on Thursday, July 23, 2015 for the GHA BEX project :   1.       Req. #60750 : Downspouts and bends   We are in agreement wit</t>
  </si>
  <si>
    <t>Meinders, Andre; Watson, Toby; Asaro, Michael; Wilcox, Stephanie Kate</t>
  </si>
  <si>
    <t>Equipment, Kitchen, Laundry, NLBR</t>
  </si>
  <si>
    <t>RDC review of NLBR -60481; Electrolux Kitchen &amp; Laundry Equipment zb0032</t>
  </si>
  <si>
    <t>Dear brothers,   We have reviewed the following Non-Literature Branch Requests (NLBRs) that we received from you on Wednesday, July 22, 2015 for the GHA Viepe RTO project :   1.       Req. #60481 : Electrolux kitchen and laundry equipment  </t>
  </si>
  <si>
    <t>Smith, Caleb</t>
  </si>
  <si>
    <t>Lichtenhahn, Wyatt; Blackman, Innes; Washburn, Nathan</t>
  </si>
  <si>
    <t>RDC review of NLBR; REQ 520-12989; Finishes Order; Tile Materials, Lockers, Shelving; 20150723</t>
  </si>
  <si>
    <t>Dear brothers,   We have reviewed the following Non-Literature Branch Requests (NLBRs) that we received from you on Thursday, July 23, 2015 for the ZMB Kabompo RTO project :   1.       Req. #12989 : Tile materials, lockers, shelving   We</t>
  </si>
  <si>
    <t>RDC review of NLBR -60708; QC Materials</t>
  </si>
  <si>
    <t>Dear brothers,   We have reviewed the following Non-Literature Branch Requests (NLBRs) that we received from you on Wednesday, July 22, 2015 for the GHA Baatsona SKE project :   1.       Req. #60708 : Cube molds   We are in agreement wit</t>
  </si>
  <si>
    <t>Akrong, Isaac</t>
  </si>
  <si>
    <t>Bent, Symon; Allan, Mark; OGuin, Colin; Shears, Matthew; Thomson, Cameron</t>
  </si>
  <si>
    <t>Culvert</t>
  </si>
  <si>
    <t>SW Creek-Flood Damage &amp; Debris--WSP Proposal</t>
  </si>
  <si>
    <t>In Message (9)</t>
  </si>
  <si>
    <t>After a long chase with GLO it turned out the Municipal Assembly did not provide us the correct info.  Fortunately, the one assigned at GLO to handle the matter with us happened to be a Christian brother.  He came to site to see the pipe.  He believes it</t>
  </si>
  <si>
    <t>HDA:HDP</t>
  </si>
  <si>
    <t>Personnel limits for construction projects</t>
  </si>
  <si>
    <t>Make list of limit per project</t>
  </si>
  <si>
    <t>Since the inception of the Kingdom Hall program, the organization has set a maximum number of construction servants each branch can have for their Local Design/Construction (LDC) activities. By setting the personnel limits in relation to the number of pro</t>
  </si>
  <si>
    <t>Lima, Carlos</t>
  </si>
  <si>
    <t>Yelverton, Peter; St. Jean, Zeny; Bent, Symon; Watts, Jeffery; Henderson, Phillip; Harwood, Matthew</t>
  </si>
  <si>
    <t>COD Branch</t>
  </si>
  <si>
    <t>Fire</t>
  </si>
  <si>
    <t>Dear Brothers,   As regards to the fire truck investigation, this was reassigned to the Treasurer’s Office (TO). We worked with WDC on this. Publishing Committee sent yesterday the letter HPA:TA July 23, 2015 No. 39497P with their decision to put th</t>
  </si>
  <si>
    <t>Bateman, Tristan</t>
  </si>
  <si>
    <t>Container Housing - stacked option foundation pads</t>
  </si>
  <si>
    <t>Hi Symon,   Please see attached sketch for the adjusted footings (As per our discussion). This is for estimating purposes only, and will need to be adjusted as necessary.   Thanks    Tristan B @ ZAF-RDC   From: Bent, Symon Sent:</t>
  </si>
  <si>
    <t>ZMB-BRANCH-Committee; Struyf, Andrew Peter; Nolan, Todd; Washburn, Nathan</t>
  </si>
  <si>
    <t>ZMB Mbala RTO</t>
  </si>
  <si>
    <t>Soil, Survey</t>
  </si>
  <si>
    <t>Soil Test Report</t>
  </si>
  <si>
    <t>Hello Symon,                    Please find attached the soil report for the Mbala RTO property.  If you are missing any information, please let me know.  Thanks     Caleb Smith Zambia Construction Projects Watchtower Society Cell:</t>
  </si>
  <si>
    <t>Winn, Jonathan</t>
  </si>
  <si>
    <t>Hitz, Ronald; Bent, Symon; InboxRDCEstimating.ZA</t>
  </si>
  <si>
    <t>ZWE Branch</t>
  </si>
  <si>
    <t>Schedule</t>
  </si>
  <si>
    <t>Dining Room Work Start Delay</t>
  </si>
  <si>
    <t>Shaun,   We are expecting the project to last three months so February 29, 2016 would be the completion date now.   Jon   From: Coombs, Shaun Sent: Friday, July 24, 2015 8:44 AM To: Winn, Jonathan Cc: Hitz, Ronald; Bent, Symon; Inbox</t>
  </si>
  <si>
    <t>Budget, Roof</t>
  </si>
  <si>
    <t>Cost of GRS and Mitek roofing per m2</t>
  </si>
  <si>
    <t>Good info..   Thanks,  Shaun   From: Coubray, Brian Sent: Thursday, July 23, 2015 7:14 PM To: Kynd, Stuart Cc: Coombs, Shaun; Allan, Mark Subject: RE: MWI Toilet Block; Site Queries   Hi Stu,   GRS roofing based on surface</t>
  </si>
  <si>
    <t>Cherry, Brian</t>
  </si>
  <si>
    <t>Michalakis, Evangelos; Bent, Symon; Coombs, Shaun</t>
  </si>
  <si>
    <t>GPD</t>
  </si>
  <si>
    <t>KH, Video</t>
  </si>
  <si>
    <t>Video Systems for Kingdom Halls in Africa</t>
  </si>
  <si>
    <t>Hi Nathan Yes it is the S2. We do have one sample of the 300 lumen in our China RPO. If you send us an NLBR, we can arrange to ship it to ZAF, however it will need to go to a person, not WT. BTW, we just did a test with the 300 lumen version next t</t>
  </si>
  <si>
    <t>Washburn, Nathan; Struyf, Andrew Peter; Nolan, Todd; ZMB-BRANCH-Committee</t>
  </si>
  <si>
    <t>Property, Survey</t>
  </si>
  <si>
    <t>Surveys - Options for access road if property divided</t>
  </si>
  <si>
    <t>Hi Symon,  Please find attached the options proposed by Andrew for access to the site in the event that we can subdivide the property. Option 3 seems like the best option if we are able to secure the triangle piece of property next to the RTO (which i</t>
  </si>
  <si>
    <t>WHQ KH Video Options</t>
  </si>
  <si>
    <t>Found it on Orbit!   Kind regards,   SymonBent South Africa RDC M: +27 61 699 6085  |  T: 2588  |  HYPERLINK "sip:sbent@bethel.jw.org"Lync  </t>
  </si>
  <si>
    <t>DRAFT Memo Choral and Audio Video Building</t>
  </si>
  <si>
    <t>ZMB Mongu RTO</t>
  </si>
  <si>
    <t>Civil</t>
  </si>
  <si>
    <t>Resolving swale elevations; photos</t>
  </si>
  <si>
    <t>Here’s the swale elevations we asked for from Mongu RTO, plus a useful photo report of the areas affected.  Is this enough info now? Symon   From: Nolan, Todd Sent: Thursday, July 23, 2015 14:21 To: Bent, Symon; Struyf, Andrew Peter Subject:</t>
  </si>
  <si>
    <t>Arjoon, Shamitha</t>
  </si>
  <si>
    <t>Bent, Symon; OGuin, Colin; Riley, Patrick</t>
  </si>
  <si>
    <t>WSP</t>
  </si>
  <si>
    <t>Contract</t>
  </si>
  <si>
    <t>WSP INVOICE 18930 - WATCH TOWER BIBLE AND TRACT SOCIETY - GHANA BRANCH EXPANSION</t>
  </si>
  <si>
    <t>Thanks Tiff   Hi Shamitha – see POP attached…   Symon / Colin: I will save this in: HYPERLINK "file:///\\bethel.jw.org\zaf\Dept\RDC\Engineering\Projects\Ghana\GHA%2003%20-%20Branch%20Expansion%20Phase%202\S2\EPC\0.10%20Correspondence\0.12%2</t>
  </si>
  <si>
    <t>COD Container Housing - stacked option</t>
  </si>
  <si>
    <t>Over to Symon…tx too for filing J   Regards, Mark Allan (ZAF-RDC) (REC) Watch Tower Bible and Tract Society of South Africa, NPC. Registration number: 2006/022758/08. PBO number: 930021658   From: Bateman, Tristan Sent: 23 July 2015 01</t>
  </si>
  <si>
    <t>Bent, Symon; Coombs, Shaun</t>
  </si>
  <si>
    <t>In Message (6)</t>
  </si>
  <si>
    <t>Hi Mark,   Please see attached sketch for the proposed footings. This is for estimating purposes only, and can be adjusted as necessary.   Drawing has been saved in: HYPERLINK "file:///\\bethel.jw.org\zaf\RDCDwgs\Congo\COD%2099%20-%20Misc\Bran</t>
  </si>
  <si>
    <t>Survey</t>
  </si>
  <si>
    <t>Subdividing the property</t>
  </si>
  <si>
    <t>Hello again Symon,    I forgot to mention in regards to this site that the BC would like to pursue the option of subdividing this property.  Is it possible to see if the RTO could be situated on the half of the property that does not have the house</t>
  </si>
  <si>
    <t>Imai, Masaaki</t>
  </si>
  <si>
    <t>InboxRDCMaintenanceSupport.ZA</t>
  </si>
  <si>
    <t>MDG Branch</t>
  </si>
  <si>
    <t>Elec, Maintenance</t>
  </si>
  <si>
    <t>IREM AVR replacement options</t>
  </si>
  <si>
    <t>In Message (17)</t>
  </si>
  <si>
    <t>Hi Masaaki, agreed, I would also like to find the root cause of this.  The AVR was installed in MDG by you, Pierre and Andre, quite a team!  It was commissioned and was functioning perfectly.  Why would the neutral suddenly disappear? As I understand we h</t>
  </si>
  <si>
    <t>Dyer, Bruce</t>
  </si>
  <si>
    <t>Thomson, Cameron</t>
  </si>
  <si>
    <t>Nudd, Don; Murray, Duncan; Bent, Symon; Washburn, Nathan</t>
  </si>
  <si>
    <t>Contractor and QS Pre-selection</t>
  </si>
  <si>
    <t>Instructions on how to proceed</t>
  </si>
  <si>
    <t>Hi Cam I have discussed this with Symon, and this is how we recommend you proceed.  You need to look at contractors and also find a QS who could do a B of Q. In principle we are at the beginning of getting a Contract Procurement Team set up, as outlin</t>
  </si>
  <si>
    <t>Lester, Warren</t>
  </si>
  <si>
    <t>McDonald, Darcy; Nordin, Timothy; Bent, Symon; Coombs, Shaun; Washburn, Nathan; Fynn, Ryan; Carnell, Paul; While, Mark; InboxRDCAdminPTSupport.ZA; OGuin, Colin; Gilden, David</t>
  </si>
  <si>
    <t>RTO Projects</t>
  </si>
  <si>
    <t>Equipment, MTO</t>
  </si>
  <si>
    <t>MTO and Price--Passive Comms Equipment</t>
  </si>
  <si>
    <t>Hi Warren – tx for the support; much appreciated…   I copy EPCs and POs so they know about this. Efraim did send an e-mail to all POs to ask their sites presently under construction to look into this. So Symon Bent will get back to you on Katete in</t>
  </si>
  <si>
    <t>Jones, David M.; Bent, Symon; Owusu-Mensah, Christian; Keller, Timothy</t>
  </si>
  <si>
    <t>Maintenance, Roof</t>
  </si>
  <si>
    <t>Roof Cleaning--annually Use of chemicals zy930</t>
  </si>
  <si>
    <t>Dear Gideon, On tile roofs there is no serious consequences of leaving them alone.  It is purely a matter of looks and this has to be balanced against the possible damage that results from walking on the tile roofs.  Depending on the tile a few will ge</t>
  </si>
  <si>
    <t>MOZ Massinga RTO</t>
  </si>
  <si>
    <t>AO-9, Financial, Report</t>
  </si>
  <si>
    <t>Remote Translation Office Project-Final Project Financial Report (AO-9)</t>
  </si>
  <si>
    <t>This is in response to your memorandum RGA July 11, 2015, which included the AO_x001E_9 for the Massinga Remote Translation Office Project. The total spent on the project came to USD 1,126,843 whereas the approved budget was USD 1,258,695. We are pleased to not</t>
  </si>
  <si>
    <t>HLF:HLB</t>
  </si>
  <si>
    <t>Admin</t>
  </si>
  <si>
    <t>Clarification Regarding Site Information for Admin Enrollments</t>
  </si>
  <si>
    <t>We are writing in regard to our letter No. C-37684L of HLA:CD May 13, 2015, in which we provided instructions to all branches on how to enter site information into Admin for those who serve at Bethel and on theocratic construction projects. In part, the f</t>
  </si>
  <si>
    <t>PO</t>
  </si>
  <si>
    <t>Branch and LDC Projects Overseer Reports</t>
  </si>
  <si>
    <t>We received the Projects Overseer Report to your Branch Expansion Project and LDC dated May 17 – June 17, 2015. We appreciate the efforts put into this visit by Brother Bent, as well as the fine support you gave him and his wife. We agree with the report</t>
  </si>
  <si>
    <t>Watts, Jeffery</t>
  </si>
  <si>
    <t>ZMB Branch</t>
  </si>
  <si>
    <t>Planning</t>
  </si>
  <si>
    <t>Long-term needs, staffing, PWG Notes 2015-07-21 docx</t>
  </si>
  <si>
    <t>Brothers,   Notes from our meeting yesterday are attached for your records.   We appreciate the opportunity to meet with you.   Jeff Watts Worldwide Design/Construction</t>
  </si>
  <si>
    <t>Wilhjelm, Peter</t>
  </si>
  <si>
    <t>Mbete, François; McDonald, Darcy; Allan, Mark; Washburn, Nathan; Coombs, Shaun; OGuin, Colin; St. Jean, Zeny; Watts, Jeffery</t>
  </si>
  <si>
    <t>Budget, Planning</t>
  </si>
  <si>
    <t>OCE Range of Costs</t>
  </si>
  <si>
    <t>Dear Peter,      Based on our previous estimates for this building the RDC Estimating Dept. feels that the total cost will be in the range of $1,500 to $1,700 per m²​​.   The current design shows 1,527 m²​:      Therefore we</t>
  </si>
  <si>
    <t>NLBR, Roof</t>
  </si>
  <si>
    <t>RDC review of NLBR -60644; Turbine Roof Fan</t>
  </si>
  <si>
    <t>Dear brothers,   We have reviewed the following Non-Literature Branch Requests (NLBRs) that we received from you on Wednesday, July 22, 2015 for the GHA BEX project :   1.       Req. #60644 : Roof wind turbine   We are in agreement with</t>
  </si>
  <si>
    <t>Paekau, Ryan; Washburn, Nathan</t>
  </si>
  <si>
    <t>RDC review of NLBR -10391 suspended ceiling for review</t>
  </si>
  <si>
    <t>Dear brothers,   We have reviewed the following Non-Literature Branch Requests (NLBRs) that we received from you on Friday, July 17, 2015 for the ZMB Choma RTO project :   1.       Req. #10391 : Suspended ceiling materials   We are in ag</t>
  </si>
  <si>
    <t>Simpson, Jack</t>
  </si>
  <si>
    <t>Property</t>
  </si>
  <si>
    <t>How RDC interacts with GRED &amp; RRED</t>
  </si>
  <si>
    <t>Jack, I’ll send this around.   POs, Please note Jack’s comment below and the attached letter.   Thanks, Nathan    From: Simpson, Jack Sent: Wednesday, July 22, 2015 2:36 PM To: Washburn, Nathan Subject: small item   Hi</t>
  </si>
  <si>
    <t>HLA:HLD</t>
  </si>
  <si>
    <t>Remote Servants (BRS) New enrollment</t>
  </si>
  <si>
    <t>We are writing to inform you that a new field of special full-time service called remote servants (BRS) has been approved for remote workers who live in their own homes while working full time in support of the work at Bethel. A new enrollment category ha</t>
  </si>
  <si>
    <t>Guidelines, Personnel</t>
  </si>
  <si>
    <t>Shipping Personal Belongings to a New Assignment for Special Full-Time Servants</t>
  </si>
  <si>
    <t>We are writing to provide direction on the shipping of personal belongings for special full-time servants who are being transferred to a new or temporary assignment. The Personnel and Service committees have determined that, effective immediately, approva</t>
  </si>
  <si>
    <t>SW Channel--flatten slopes 1;1 5; INLET-OUTLET Plan</t>
  </si>
  <si>
    <t>Thanks   Regards, Mark Allan (ZAF-RDC) (REC) Watch Tower Bible and Tract Society of South Africa, NPC. Registration number: 2006/022758/08. PBO number: 930021658   From: Bent, Symon Sent: 21 July 2015 01:22 PM To: Allan, Mark Subject</t>
  </si>
  <si>
    <t>Finch, Ed</t>
  </si>
  <si>
    <t>AH, KH, NLBR</t>
  </si>
  <si>
    <t>RDC review of NLBR  Sound equipment AH &amp; KH 21 07 2015</t>
  </si>
  <si>
    <t>Dear brothers,   We have reviewed the following Non-Literature Branch Requests (NLBRs) that we received from you on Tuesday, July 21, 2015 for the ZMB LDC project :   1.       Req. #??? : Sound equipment for AH/KH new and replacement systems   We ar</t>
  </si>
  <si>
    <t>Mbewe, Daniel Andrew; Agostinho, Rudi</t>
  </si>
  <si>
    <t>Borehole</t>
  </si>
  <si>
    <t>Borehole location in relation to the Soak away</t>
  </si>
  <si>
    <t>In Message (4)</t>
  </si>
  <si>
    <t>Hi Symon,   Minimum of 30 meters is indeed correct, but the further the better. Having at close to the utility building is indeed a big advantage.   When the borehole is drilled please send us the following information: -          borehole</t>
  </si>
  <si>
    <t>Keller, Timothy</t>
  </si>
  <si>
    <t>Arthur, Gideon; ten Have, Fabian</t>
  </si>
  <si>
    <t>AC, Maintenance</t>
  </si>
  <si>
    <t>MNT Office AC replacement options (AGREED)</t>
  </si>
  <si>
    <t>Here you go, in the words of Capt. Picard: “Make it so!” Symon   From: ten Have, Fabian Sent: Monday, July 20, 2015 15:21 To: Bent, Symon Subject: RE: GHA Branch; MNT Office AC replacement options   Hi Symon,   I also agree.  </t>
  </si>
  <si>
    <t>Drawing, Struct</t>
  </si>
  <si>
    <t>Remedial work Office Building Footings</t>
  </si>
  <si>
    <t>Hi Shaun,   I forgot to copy you on this. Sorry.   Thanks    Tristan B @ ZAF-RDC   From: Bateman, Tristan Sent: Sunday, July 19, 2015 12:02 PM To: KOHLER, Patrick Cc: Porter, Tony; Allan, Mark Subject: RE: COD LSH RTO Remedial</t>
  </si>
  <si>
    <t>HDA:HDK</t>
  </si>
  <si>
    <t>Worldwide Design Construction Weekly Update</t>
  </si>
  <si>
    <t>Thirty nine projects were completed during the first six months of 2015 (this does not include Kingdom Hall projects). In total, savings of USD 3.8 million was realized against the total approved budget for these projects of USD 20.3 million. This amounts</t>
  </si>
  <si>
    <t>BOA:COC</t>
  </si>
  <si>
    <t>DC-44, Photo, Property</t>
  </si>
  <si>
    <t>Property, DC-44 Photo Report</t>
  </si>
  <si>
    <t>We would like to send to you the photo report that was supposed to be sent with our DC-44 for the Kumasi Twi RTO property which was approved with Memo HDA:HDK April 24, 2015. The DC-44 Report was sent on June 4, 2015.</t>
  </si>
  <si>
    <t>Bulawayo (Ndebele) Remote Translation Office Conceptual Project Proposal</t>
  </si>
  <si>
    <t>We requested direction from the Publishing Committee regarding the proposed remote translation office (RTO) concept design for the Ndebele language in Bulawayo, Zimbabwe. As you are aware, we informed the Publishing Committee that the cost to build or pur</t>
  </si>
  <si>
    <t>InboxWDC</t>
  </si>
  <si>
    <t>OGuin, Colin; Washburn, Nathan; Sukram, Sarah; Crook, Arthur</t>
  </si>
  <si>
    <t>Contractor Investigation-Consar</t>
  </si>
  <si>
    <t>Zeny/Mark,   The contractor investigations are beginning to bear fruit in GHA as you can see from this excellent report from Cam.  We obviously do not know any firm costs yet however it bears out our previous feelings that potential contractors exis</t>
  </si>
  <si>
    <t>Planning, SKE</t>
  </si>
  <si>
    <t>Facilities for Theocratic Schools</t>
  </si>
  <si>
    <t>We are seeking approval to explore the possibility of transferring our theocratic schools facilities from Bethel to a nearby Assembly Hall. At present we are approved to hold three classes of the School for Kingdom Evangelizers here at Bethel. However, th</t>
  </si>
  <si>
    <t>Fire, Meeting</t>
  </si>
  <si>
    <t>Fire Notes 2015-07-16 docx</t>
  </si>
  <si>
    <t>Brothers,    Notes from our meeting yesterday are attached for your records.    We appreciated the opportunity to meet with you.    Jeff Watts Worldwide Design/Construction  </t>
  </si>
  <si>
    <t>Shears, Matthew; Thomson, Cameron; Wilcox, Stephanie Kate; Allan, Mark</t>
  </si>
  <si>
    <t>RDC review of NLBR -60539; Pipe Marking Tape</t>
  </si>
  <si>
    <t>Dear brothers,   We have reviewed the following Non-Literature Branch Requests (NLBRs) that we received from you on Friday, July 17, 2015 for the GHA BEX project :   1.       Req. #60539 : Pipe marking tape   We are in agreement with you</t>
  </si>
  <si>
    <t>ZMB RTO Projects</t>
  </si>
  <si>
    <t>Permit</t>
  </si>
  <si>
    <t>All Projects - Registering Projects With NCC</t>
  </si>
  <si>
    <t>FYI   From: Kapata, Henry Sent: Thursday, July 16, 2015 9:38 PM To: Smith, Caleb Cc: Sharp, Dayrell; Finch, Ed; Philpott, Joseph; Mondoka, Molson; CHISENGA, ODIA; NKONEKE, MAX MWEWA Subject: Registering Projects With NCC    Dear brothers,</t>
  </si>
  <si>
    <t>Lester, Davin</t>
  </si>
  <si>
    <t>ZMB Katete RTO</t>
  </si>
  <si>
    <t>RDC review of NLBR; REQ 11456; Electrical Order 7 and Misc Items docx</t>
  </si>
  <si>
    <t>Dear brothers,   We have reviewed the following Non-Literature Branch Requests (NLBRs) that we received from you on Thursday, July 16, 2015 for the ZMB Katete RTO project :   1.       Req. #11456 : Electrical items   We are in agreement</t>
  </si>
  <si>
    <t>HDA:HDL</t>
  </si>
  <si>
    <t>Schedule for Visit of Brothers Luccioni and St Jean</t>
  </si>
  <si>
    <t>To plan for the visit of Robert Luccioni and Zeny St. Jean and their wives to the South Africa branch, we would like to provide you with a proposed schedule for the activities for the first week of the visit. This is in line with the travel arrangements s</t>
  </si>
  <si>
    <t>Paekau, Ryan</t>
  </si>
  <si>
    <t>50% of office footing DCP for review 20150716</t>
  </si>
  <si>
    <t>Response below. Symon   From: Bateman, Tristan Sent: Thursday, July 16, 2015 15:31 To: Bent, Symon Cc: Allan, Mark Subject: RE: ZMB Choma RTO; 50% of office footing DCP for review 20150716   Hi Symon,   These results look good. T</t>
  </si>
  <si>
    <t>Congo Fire Investigation Future Recommendations (BSUTTON) pdf</t>
  </si>
  <si>
    <t>Hi Zeny and Jeff   Was the attached “Congo Fire Investigation Future Recommendations (BSUTTON).pdf” also reviewed by Carlos-them when he came up with his priority list? We sent it earlier this week?   Tx Mark A</t>
  </si>
  <si>
    <t>Meinders, Andre; Watson, Toby; asarorto15@gmail.com; Allan, Mark</t>
  </si>
  <si>
    <t>RDC review of NLBR -60477- Stove for Residence</t>
  </si>
  <si>
    <t>Dear brothers,   We have reviewed the following Non-Literature Branch Requests (NLBRs) that we received from you on Wednesday, July 15for the GHA Viepe RTO project :   1.       Req. #60477 : Defy ovens   We are in agreement with your req</t>
  </si>
  <si>
    <t>Bent, Symon; OGuin, Colin; Sutton, Beau</t>
  </si>
  <si>
    <t>Fire, Report</t>
  </si>
  <si>
    <t>13A RES FIRE; Forensics Report for A Greig--FEEDBACK</t>
  </si>
  <si>
    <t>Andrew Greig also phoned me to discuss this…basically he feels a FIRE TEAM in a ‘non-Joburg’ environment is not the safest option   You are then relying on the ‘human element’ – for a fire team to work, they have to be dedicated; their efficiency mu</t>
  </si>
  <si>
    <t>G5 Replacement In-Situ soil mixed with 13mm stones</t>
  </si>
  <si>
    <t>Hi Shane, here’s your reply on the use of the soil!   Kind regards,   SymonBent South Africa RDC M: +27 61 699 6085  |  T: 2588  |  HYPERLINK "sip:sbent@bethel.jw.org"Lync       From: Allan, Mark Sent: Thursday, July 16, 20</t>
  </si>
  <si>
    <t>Barreto-Fernandes, Thierry</t>
  </si>
  <si>
    <t>SEN LDC</t>
  </si>
  <si>
    <t>Budget, KH</t>
  </si>
  <si>
    <t>2016 Spending Limit</t>
  </si>
  <si>
    <t>Dear Symon, Hope this is what you requested. Warm Christian love   From: Bent, Symon Sent: Wednesday, July 15, 2015 3:46 PM To: Barreto-Fernandes, Thierry Subject: SEN LDC; 2016 Spending Limit Importance: High   Hi Thierry, we are j</t>
  </si>
  <si>
    <t>Hughes, Mike</t>
  </si>
  <si>
    <t>Thanks Mike. Excellent advice as always!   Hi Symon – please pass on to Shane?   Tristan – I will save this e-mail in: HYPERLINK "file:///\\bethel.jw.org\zaf\Dept\RDC\Engineering\Projects\Zambia\ZMB%2011%20-%20Choma%20RTO\S4\Struct\'G5'%20M</t>
  </si>
  <si>
    <t>Thomson, Cameron; Shears, Matthew; Wilcox, Stephanie Kate</t>
  </si>
  <si>
    <t>RDC review of NLBR -60330; Telephone &amp; Data Systems</t>
  </si>
  <si>
    <t>I checked with Masaaki, it seems your CD works with WHQ-CD.  So I guess you leave it to them!   From: Bent, Symon Sent: Monday, July 13, 2015 09:26 To: Imai, Masaaki Subject: FW: GHA BEX; RDC review of NLBR #60330; Telephone &amp; Data Systems  </t>
  </si>
  <si>
    <t>RDC review of NLBR -12813 Upvc ceiling and cornice</t>
  </si>
  <si>
    <t>Dear brothers,   We have reviewed the following Non-Literature Branch Requests (NLBRs) that we received from you on Wednesday, July 15, 2015 for the ZMB Choma RTO project :   1.       Req. #12813 : UPVC ceilings and cornice   We are in a</t>
  </si>
  <si>
    <t>DC-41 No 1 Zambia RTO Kabompo Commuter Building (USD 53,596)</t>
  </si>
  <si>
    <t>We are writing in response to your Project Approval Request (DC-41) form No. 1, for the Zambia remote translation office (RTO) Kabompo Commuter Building project for the sum of USD 53,596. We understand that the estimated completion date is December 2015.</t>
  </si>
  <si>
    <t>Bent, Symon; Shears, Matthew; Thomson, Cameron</t>
  </si>
  <si>
    <t>Soil, Test</t>
  </si>
  <si>
    <t>Soil testing (Ghana Highway Authority ) - Alternate Proposals</t>
  </si>
  <si>
    <t>In Message (11)</t>
  </si>
  <si>
    <t>Hi Mark, Please receive the complete report for  soil tests that were conducted during the time when WSP contractor surveyor was working on site. Four hard copies have been handed to Construction Office. We could pass a copy to you when you come at</t>
  </si>
  <si>
    <t>Paekau, Ryan; OGuin, Colin</t>
  </si>
  <si>
    <t>Minor discrepancy in the civil and mechanical plans (ANSWER)</t>
  </si>
  <si>
    <t>Replies below.  Symon   From: ten Have, Fabian Sent: Wednesday, July 15, 2015 11:03 To: Bateman, Tristan; Bent, Symon Cc: Cieverts, Alecia Subject: RE: ZMB Choma RTO: Minor discrepancy in the civil and mechanical plans   Hi Symon, Tristan</t>
  </si>
  <si>
    <t>ZMB BEX</t>
  </si>
  <si>
    <t>Fence, Gate</t>
  </si>
  <si>
    <t>Gate option for West Wall Fence</t>
  </si>
  <si>
    <t>I would say “go for it!”  Take it from your current budget and maybe we can transfer it later to BEX 2. Symon   From: Smith, Caleb Sent: Wednesday, July 15, 2015 18:22 To: Bent, Symon Subject: Re: ZMB BEX; Gate option for West Wall Fence  </t>
  </si>
  <si>
    <t>Kamony, Paulin</t>
  </si>
  <si>
    <t>Kamony, Paulin; Mukendi, Félicien</t>
  </si>
  <si>
    <t>COD Lodja RTO</t>
  </si>
  <si>
    <t>Difficulty of getting materials</t>
  </si>
  <si>
    <t>Dear brothers,   I’ve just called the brothers in Lodja to inquire about the local price of cement : USD 36 per bag. Last report on material shipping from Kinshasa to Lodja : USD 450-480 per ton. Think this helps. Regards,   Paulin K.</t>
  </si>
  <si>
    <t>Jones, David M.; Kwesie, Samuel; Bent, Symon; Shears, Matthew; DODIN, Jean-Marc; Washburn, Nathan</t>
  </si>
  <si>
    <t>DCP, Maintenance</t>
  </si>
  <si>
    <t>Cracks Walls of Service Dept Bldg (Investigation) DCP Tests</t>
  </si>
  <si>
    <t>In Message (8)</t>
  </si>
  <si>
    <t>Dear Tristan,   Please attached are the results of the DCP test.   Thanks   Gideon Arthur Maintenance (22400/42400   From: Saunders, Tareyton Sent: Wednesday, July 15, 2015 11:33 AM To: Arthur, Gideon Subject: FW: GHA Cra</t>
  </si>
  <si>
    <t>Smith, Leah Doneen; InboxRDCEstimating.ZA</t>
  </si>
  <si>
    <t>AO-8 Final for June, 2015 for Review - ZMB0018</t>
  </si>
  <si>
    <t>Dear brothers,   We have reviewed the AO-8 Financial Report for the month of June 2015 for the ZMB BEX project :   We are in agreement.  Please go ahead and submit to WDC.   Kind regards, SymonBent South Africa RDC M: +27 61 699</t>
  </si>
  <si>
    <t>Final AO-8 for June, 2015 - ZMB0019</t>
  </si>
  <si>
    <t>Dear brothers,   We have reviewed the AO-8 Financial Report for the month of June 2015 for the ZMB Kabompo RTO project :   We are in agreement.  Please could you add the following line to the last paragraph in the Notes:   Total resale v</t>
  </si>
  <si>
    <t>DC-31</t>
  </si>
  <si>
    <t>RDC review of DC-31 Submittal</t>
  </si>
  <si>
    <t>Hi Symon,   There is nothing of major structural concern. Some comments below are listed which might be worth you looking at.   DC-31 for RTO Lodja-First Option     1.     Is the property in an area central to the brothers? Is it in a</t>
  </si>
  <si>
    <t>AGO Lubango RTO</t>
  </si>
  <si>
    <t>DC-44, Property</t>
  </si>
  <si>
    <t>(Nyaneka) Property DC-44</t>
  </si>
  <si>
    <t>We have submitted the DC-44 for the property purchase on the AGO Lubango (Nyaneka) RTO project via EDI. As it is not currently possible to attach a photo report directly in Admin Project Tracking we are providing one with this memo.</t>
  </si>
  <si>
    <t>Tonak, Manfred</t>
  </si>
  <si>
    <t>ETH Branch</t>
  </si>
  <si>
    <t>Rental</t>
  </si>
  <si>
    <t>Rental Option Notes 2015-07-14 docx</t>
  </si>
  <si>
    <t>Dear Brothers, Notes from our meeting today are attached for your records. We appreciated the opportunity to meet with you. Jeff Watts Worldwide Design/Construction</t>
  </si>
  <si>
    <t>Congo Branch</t>
  </si>
  <si>
    <t>Fire Report for ZAF-BC; Life Safety</t>
  </si>
  <si>
    <t>I saved this in: HYPERLINK "file:///\\bethel.jw.org\zaf\Dept\RDC\Engineering\Projects\Congo\COD%2099%20-%20Misc\Branch%2013A%20Residence%20Fire%20Damage\Forensics\Final%20Reports\Fire%20Report"H:\RDC\Engineering\Projects\Congo\COD 99 - Misc\Branch 13A</t>
  </si>
  <si>
    <t>Struyf, Andrew Peter</t>
  </si>
  <si>
    <t>InboxRDCEstimating.ZA</t>
  </si>
  <si>
    <t>RDC review of AO-8 June 2015</t>
  </si>
  <si>
    <t>Dear brothers,   We have reviewed the AO-8 Financial Report for the month of June 2015 for the ZMB Mongu RTO project :   We are in agreement.  Please correct a few small edits as per the attached, then go ahead and submit to WDC.   Kind</t>
  </si>
  <si>
    <t>Viljoen, Rene</t>
  </si>
  <si>
    <t>Bourquin, Bradley; Fynn, Ryan; Bateman, Tristan; Mashego, Alfred</t>
  </si>
  <si>
    <t>ZAF BEX</t>
  </si>
  <si>
    <t>Civil, Struct</t>
  </si>
  <si>
    <t>Perimeter aprons ideas around buildings</t>
  </si>
  <si>
    <t>Tx Rene – behind Res 10 (G) there are grass blocks going down to concrete V-swale so should be fine for drainage; in front there are stones with a concrete kerb – if needed later, we can add it as a job one day for maintenance to add concrete apron instea</t>
  </si>
  <si>
    <t>Jones, David M.; Allan, Mark; Crook, Arthur; McDonald, Darcy</t>
  </si>
  <si>
    <t>DC-41, Procurement</t>
  </si>
  <si>
    <t>DC-41 Early Procurement Kitchen Equipment list</t>
  </si>
  <si>
    <t>Dear brothers,   Here is the final list of equipment we need to order for temporary use in the existing kitchen.  We recommend that this be review and turned into an DC-41 &amp; NLBR, in readiness for the (hopeful!) CDP approval for phase 2, at which po</t>
  </si>
  <si>
    <t>Gilden, David</t>
  </si>
  <si>
    <t>Coombs, Shaun; Bent, Symon; Washburn, Nathan; Allan, Mark; Cruthirds, Nathan; Moore, Benjamin; Fynn, Ryan; ten Have, Fabian</t>
  </si>
  <si>
    <t>South Africa PPB Supplier Arrangements</t>
  </si>
  <si>
    <t>As we’re on the subject … this is one of the other messages we sent out, encouraging them to make use of us as a PPB and how to do so when shopping.  You may want to tuck it away for future reference while in the countries you visit.   Thanks – Don</t>
  </si>
  <si>
    <t>Drawing, Maintenance</t>
  </si>
  <si>
    <t>Theocratic Facility Drawings</t>
  </si>
  <si>
    <t>It has been encouraging to see the benefits that have come from combining all design, construction, and maintenance work of the organization under one arrangement. As increased attention is being given to the maintenance of existing theocratic facilities,</t>
  </si>
  <si>
    <t>Moulanier, Gratian</t>
  </si>
  <si>
    <t>Coombs, Shaun; OGuin, Colin</t>
  </si>
  <si>
    <t>COD Kikwit RTO</t>
  </si>
  <si>
    <t>Borehole pump selection info, quote</t>
  </si>
  <si>
    <t>Looks like I never forwarded this to you, sorry for the delay! Symon   From: ten Have, Fabian Sent: Wednesday, July 8, 2015 15:57 To: Bent, Symon Cc: Coombs, Shaun; O'Guin, Colin Subject: RE: COD Kikwit RTO borehole - borehole pump selection</t>
  </si>
  <si>
    <t>Proszek, Fred</t>
  </si>
  <si>
    <t>St. Jean, Zeny; Bent, Symon; Washburn, Nathan; Allan, Mark; Coombs, Shaun</t>
  </si>
  <si>
    <t>WDC Status of World Projects by RPC ZAF-RDC (M ALLAN)</t>
  </si>
  <si>
    <t>My updates attached (I’ve added to everyone else’s so this is now on compiled sheet of all our comments as I understand it. Apologies again for the delay!   Symon   From: Coombs, Shaun Sent: Monday, July 13, 2015 00:02 To: Proszek, Fred</t>
  </si>
  <si>
    <t>Cruthirds, Nathan</t>
  </si>
  <si>
    <t>De Meyer, Efraim; Imai, Masaaki; Moore, Benjamin</t>
  </si>
  <si>
    <t>Generator</t>
  </si>
  <si>
    <t>Swap generators</t>
  </si>
  <si>
    <t>Got you!  No problem from my side. Symon   From: Cruthirds, Nathan Sent: Monday, July 13, 2015 13:05 To: Bent, Symon Cc: De Meyer, Efraim; Imai, Masaaki; Moore, Benjamin Subject: RE: ZMN Mongu RTO; swap generators?   The site setup gen</t>
  </si>
  <si>
    <t>Michalakis, Evangelos</t>
  </si>
  <si>
    <t>2015-07-13-Zambia NLBR-6253- Katete RTO- Cabinetry Guidelines</t>
  </si>
  <si>
    <t>FYI…again   From: Codack, Shelley Sent: Monday, July 13, 2015 11:30 To: Lester, Davin Cc: Smith, Caleb; Bent, Symon; Brewster, Darryl; Haanpaa, Pekka; Wong, Kin Yan; InboxPRCH.HK; InboxPRCH.ZM; Thomson, Cameron Subject: RE: 2015-07-13-Zambia NL</t>
  </si>
  <si>
    <t>DC-43</t>
  </si>
  <si>
    <t>RDC review of June DC-43</t>
  </si>
  <si>
    <t>Dear brothers,   We have reviewed the DC-43 Financial Report for the month of June 2015 for the ZMB Choma RTO project :   We are in agreement.  Please go ahead and submit to WDC.   Kind regards, SymonBent South Africa RDC M: +27</t>
  </si>
  <si>
    <t>Riley, Patrick</t>
  </si>
  <si>
    <t>Stormwater Channel - Status</t>
  </si>
  <si>
    <t>Hi Mark   Apologies for missing this on Friday, and I really am sorry we have taken longer than anticipated on this.   We have found that we can’t really finalise the two structures without also remodelling the roads, berms, pedestrian walkway</t>
  </si>
  <si>
    <t>Collaboration, Drawing</t>
  </si>
  <si>
    <t>Standardized Drawing Collaboration Using Bluebeam Products</t>
  </si>
  <si>
    <t>In continuing to examine ways to unify design offices globally and to stimulate the sharing of resources between these offices, we would like to standardize the use of the Bluebeam suite of PDF viewers and markup applications. We would recommend that the</t>
  </si>
  <si>
    <t>Branch Engineering Departments</t>
  </si>
  <si>
    <t>We are writing to provide some additional clarification to our letter dated HPA:HDA July 16, 2014, No. C_x001E_301418P, regarding the Engineering Department Staffing Guidelines. This letter provided direction on when a branch would establish an Engineering Depa</t>
  </si>
  <si>
    <t>CDP</t>
  </si>
  <si>
    <t>CDP BC Version MA to Jeff Watts</t>
  </si>
  <si>
    <t>Hi Jeff. Symon has been sick in bed since after lunch yesterday…not sure if he has managed to get to it yet, so what I have just done over the past 45 minutes or so is:   ·         Take the PC Version of the PPT and edit it as follows ·         P</t>
  </si>
  <si>
    <t>PETTENÒ, Massimiliano</t>
  </si>
  <si>
    <t>OGuin, Colin; Bent, Symon; Bateman, Tristan; Moulanier, Gratian</t>
  </si>
  <si>
    <t>DCP, Test</t>
  </si>
  <si>
    <t>DCP Test -2Under residential Bldg footing 7 July 2015</t>
  </si>
  <si>
    <t>Thanks Tristan.   Max – Good news, please proceed.   Thanks,  Shaun   From: Bateman, Tristan Sent: Thursday, July 9, 2015 8:09 AM To: Coombs, Shaun Cc: O'Guin, Colin; Bent, Symon Subject: RE: COD Kikwit RTO; DCP Test #2Under resi</t>
  </si>
  <si>
    <t>Moulanier, Gratian; OGuin, Colin; Bent, Symon; Bateman, Tristan</t>
  </si>
  <si>
    <t>DCP Test -3Under residential Bldg footing 8 July 2015</t>
  </si>
  <si>
    <t>Thanks Tristan.   Max – approved, good work.  Please go ahead.   Thanks,  Shaun   From: Bateman, Tristan Sent: Thursday, July 9, 2015 6:10 PM To: Coombs, Shaun Cc: O'Guin, Colin; Bent, Symon Subject: RE: COD Kikwit RTO; DCP Test</t>
  </si>
  <si>
    <t>Luccioni, Robert</t>
  </si>
  <si>
    <t>OGuin, Colin; Washburn, Nathan; St. Jean, Zeny; Watts, Jeffery; Crook, Arthur; McDonald, Darcy</t>
  </si>
  <si>
    <t>CDP dated July 9, 2015--for Publishing Committee Review</t>
  </si>
  <si>
    <t>We echo that!  I am very sorry that you had to work extra for this.  We are trying to be more conscious not to create “rushes” unnecessarily and realize that when we do it means a lot of extra work for you.   Thank you for your excellent and willing work.</t>
  </si>
  <si>
    <t>Location of cold joints in the footing (ANSWER)</t>
  </si>
  <si>
    <t>Embedded (1)</t>
  </si>
  <si>
    <t>Reply below from Tristan.   MA also says: “They can also refer to ‘Joint Prep’ notes in STRUCT PS CAT under SABS 0100-2 Section 10…”   Hope it all helps!   Kind regards,   SymonBent South Africa RDC M: +27 61 699 6085  |  T:</t>
  </si>
  <si>
    <t>Arjoon, Shamitha (Shamitha.Arjoon@WSPGroup.co.za)</t>
  </si>
  <si>
    <t>Nunnaley, Tiffani; Bent, Symon; OGuin, Colin; Patrick.Riley@WSPGroup.co.za</t>
  </si>
  <si>
    <t>Contract, Invoice</t>
  </si>
  <si>
    <t>Hi Shamitha   See attached “Ghana BEX - WSP Acc 3 2015_06_24.pdf” and “GHA BEX 2; WSP Account 3 Invoice--Payment Processed.msg”   This has been processed. I copy Tiffani to get us a POP to send to you   Info saved on our network in: HYPE</t>
  </si>
  <si>
    <t>Skandalis, Constantin</t>
  </si>
  <si>
    <t>Allan, Mark; Nordin, Timothy; OGuin, Colin; Bent, Symon; McDonald, Darcy; Proszek, Fred; St. Jean, Zeny</t>
  </si>
  <si>
    <t>CDP VAT 12 5% vs 17 5%</t>
  </si>
  <si>
    <t>Good morning Jeff,   As per Ghana – Concept Design Proposal WDC department review notes (15/7/8) the following was asked to be further explained:   For cover memo: VAT now 17.5% - what was it at OCE? 12% - Tim / Dino to send an e-mail t</t>
  </si>
  <si>
    <t>NLBR, PT</t>
  </si>
  <si>
    <t>NLBR import sheet redone already</t>
  </si>
  <si>
    <t>  Hey Syms,   So already the sheet got updated and I’m sure it will again but here it is for now… The item code number now appears before the item description so hopefully it will be easier to copy and paste it into the ‘catalogue number’. Als</t>
  </si>
  <si>
    <t>InboxLDC.ZM</t>
  </si>
  <si>
    <t>InboxBroadcasting</t>
  </si>
  <si>
    <t>Philpott, Joseph; Finch, Ed; Hyatt, Tyson; Bent, Symon</t>
  </si>
  <si>
    <t>AH, Equipment, Video</t>
  </si>
  <si>
    <t>Lusaka Assembly Hall video equipment</t>
  </si>
  <si>
    <t>Dear Brothers,   Please find attached documents pertaining to a request for specifications and/or design for video equipment for the Lusaka Assembly Hall in Zambia.   The Zambia Branch Committee has reviewed and approved the documents, as has</t>
  </si>
  <si>
    <t>Budget, Computer</t>
  </si>
  <si>
    <t>Construction Budget for Active Telecom Computer Components</t>
  </si>
  <si>
    <t>We are writing to provide direction regarding the allocation of funds for active telecom and computer components on construction budgets. This pertains to items that should be included in the project budget in cost dimensions D6010 and D6020. Please note</t>
  </si>
  <si>
    <t>HDA:HDF</t>
  </si>
  <si>
    <t>Admin, Financial</t>
  </si>
  <si>
    <t>Admin Project Tracking Financial Administrator Feature</t>
  </si>
  <si>
    <t>We are writing to clarify the expected use of the “Financial Administrator” feature within the Admin Project Tracking (PT) module. As outlined in the Admin Help, this feature, when enabled, allows for transferring financial transactions within a single pr</t>
  </si>
  <si>
    <t>Murray, Duncan</t>
  </si>
  <si>
    <t>Washburn, Nathan; Allan, Mark; Nudd, Don; Dyer, Bruce; Bent, Symon; Coombs, Shaun</t>
  </si>
  <si>
    <t>Consolidation of Equipment for RTOs from Europe to Africa</t>
  </si>
  <si>
    <t>Hi Duncan, All nice thoughts below and it is realized that we desire where possible to deal with the local dealers, but we need some reality.  Local dealers do not stock the generators our office recommends.  They want to sell us what they have, not wh</t>
  </si>
  <si>
    <t>Equipment, Video</t>
  </si>
  <si>
    <t>RDC review of video equipment questionnaire for Lusaka Assembly Hall - 2015 07 08</t>
  </si>
  <si>
    <t>Embedded (2)</t>
  </si>
  <si>
    <t>For your review Masaaki, Symon -----Original Message----- From: Philpott, Joseph Sent: Wednesday, July 8, 2015 11:11 To: Bent, Symon Cc: Washburn, Nathan; Finch, Ed Subject: ZMB - Review video equipment questionnaire for Lusaka Assembly Hall - 20</t>
  </si>
  <si>
    <t>Bent, Symon; Allan, Mark</t>
  </si>
  <si>
    <t>Block, Struct, Windows</t>
  </si>
  <si>
    <t>Details of Block at windows and returns</t>
  </si>
  <si>
    <t>Hi Davin,   Sorry for only getting back to you now. There’s a massive backlog of e-mails and site queries. In response to your question: Should we be following this bonding detail for the 625mm piers? The answer is yes. But I’m sure you’ve already g</t>
  </si>
  <si>
    <t>RDC review of NLBR 12219; Whisper Room; 20150609</t>
  </si>
  <si>
    <t>Dear brothers,   We have reviewed the following Non-Literature Branch Requests (NLBRs) that we received from you on Jun 9, 2015 for the ZMB Katete RTO project :   1.       Req. #12219 : Whisper-room   We are in agreement with your reques</t>
  </si>
  <si>
    <t>Schwarz, Paul</t>
  </si>
  <si>
    <t>OGuin, Colin; Coombs, Shaun; Washburn, Nathan</t>
  </si>
  <si>
    <t>AV, Lessons</t>
  </si>
  <si>
    <t>RTO AV Workspaces - Lessons Learned by RAVC (MINUTES)</t>
  </si>
  <si>
    <t>Hi all – thanks for your input. See blue in original e-mail further below, as well as bulleted points below… RAVC does not mind consulting but does not want to hold up process either RAVC would like to be involved in review early on before facilities</t>
  </si>
  <si>
    <t>13A Res Fire Structural Report and 'the way forward' (MINUTES)</t>
  </si>
  <si>
    <t>Thanks for meeting; some notes from our side…Symon: please can u follow on yellow below when you get a chance?   ·         Awkward to re-build as a ‘standard’ residence rather than as a ‘dormitory style’ ·         If use whole building – 16 rooms</t>
  </si>
  <si>
    <t>Sukram, Sarah</t>
  </si>
  <si>
    <t>Bent, Symon; Carnell, Paul; ten Have, Fabian; Washburn, Nathan</t>
  </si>
  <si>
    <t>Office</t>
  </si>
  <si>
    <t>N-drive 'closing down'</t>
  </si>
  <si>
    <t>Here is how computer department explained it to us:   From: InboxCDHelpdesk.ZA Sent: 19 April 2015 01:29 PM To: ZAF-GEN-OverseersAssistants; ZAF-GEN-Overseers; ZAF-GEN-ComputerContacts Cc: InboxCDHelpdesk.ZA Subject: Consolidation of H and N dr</t>
  </si>
  <si>
    <t>Lichtenhahn, Wyatt; PETTENÒ, Massimiliano; Coombs, Shaun; Gilden, David; Washburn, Nathan; Allan, Mark</t>
  </si>
  <si>
    <t>AC, Spec</t>
  </si>
  <si>
    <t>Samsung AC units- Products discontinued</t>
  </si>
  <si>
    <t>AGO | COD | GHA | ZMB RTO Projects   For those of you who have not yet ordered AC units from ZAF please take note of what is mentioned below.  This will also apply to future MTO/NLBRs.   Kind regards,   SymonBent South Africa RDC M</t>
  </si>
  <si>
    <t>Porter, Tony</t>
  </si>
  <si>
    <t>AC, NLBR</t>
  </si>
  <si>
    <t>COD-7646 Lines; 290 300 320 610 - Products discontinued - (ZAF Req; 473245)</t>
  </si>
  <si>
    <t>Embedded (3)</t>
  </si>
  <si>
    <t>Dear Tony, Patrick,   Please note the highlighted below.   Kind regards,   SymonBent South Africa RDC M: +27 61 699 6085  |  T: 2588  |  HYPERLINK "sip:sbent@bethel.jw.org"Lync   From: ten Have, Fabian Sent: Tuesday, July 7</t>
  </si>
  <si>
    <t>St. Jean, Zeny; Watts, Jeffery; Bent, Symon; OGuin, Colin; Sukram, Sarah; Skandalis, Constantin; Nordin, Timothy</t>
  </si>
  <si>
    <t>CDP for WDC Review</t>
  </si>
  <si>
    <t>Embedded (4)</t>
  </si>
  <si>
    <t>Greetings. A big thank you must go out to Sarah, Symon, Dino and Tim for their excellent efforts in getting the CDP tweaked in good time. Well done!   A memo will come in via Admin (eventually…we are having serious Admin problems today) with the ‘BC</t>
  </si>
  <si>
    <t>Paekau, Ryan; Washburn, Nathan; OGuin, Colin</t>
  </si>
  <si>
    <t>Septic</t>
  </si>
  <si>
    <t>Septic tank dividing wall location off by 200mm (AGREED)</t>
  </si>
  <si>
    <t>Shane, you have our go ahead.  Keep it as it is!   Kind regards,   SymonBent South Africa RDC M: +27 61 699 6085  |  T: 2588  |  HYPERLINK "sip:sbent@bethel.jw.org"Lync       From: Bateman, Tristan Sent: Tuesday, July 7, 20</t>
  </si>
  <si>
    <t>Borehole, NLBR</t>
  </si>
  <si>
    <t>RDC review of NLBR -12480 Grundfos borehole pump package revised</t>
  </si>
  <si>
    <t>Dear brothers,   We have reviewed the following Non-Literature Branch Requests (NLBRs) that we received from you on 29 June 2015 for the ZMB Choma RTO project :   1.       Req. #12480 : Grundfos borehole package   We are in agreement wit</t>
  </si>
  <si>
    <t>julia.re@irem.it</t>
  </si>
  <si>
    <t>daniele.davi@irem.it; manuela.gioberto@irem.it; Petignat, Pierre; Bent, Symon; InboxRDCMaintenanceSupport.ZA</t>
  </si>
  <si>
    <t>AVR</t>
  </si>
  <si>
    <t>Information request for damaged AVR</t>
  </si>
  <si>
    <t>In Message (24)</t>
  </si>
  <si>
    <t>Dear Julia,   Thank you for responding to my support request. Let me attach several photos showing serial number, breaker settings, burnt pillar, etc. The following are the message from the site.   The site has 30kV supply from municipal</t>
  </si>
  <si>
    <t>OGuin, Colin; Bent, Symon; McDonald, Darcy</t>
  </si>
  <si>
    <t>CDP, SALTO</t>
  </si>
  <si>
    <t>Draft SALTO Costs; WDC and BC COST PLAN SCREENSHOTS; COST PLAN</t>
  </si>
  <si>
    <t>Well done guys! Most excellent!   I saved the XLS Rev_2 and the 2 screenshots in: HYPERLINK "file:///\\bethel.jw.org\zaf\Dept\RDC\Engineering\Projects\Ghana\GHA%2003%20-%20Branch%20Expansion%20Phase%202\S2\EPC\CDP%20Prep\WDC%20Review%20(July%2010</t>
  </si>
  <si>
    <t>Sutton, Beau</t>
  </si>
  <si>
    <t>NGA Branch</t>
  </si>
  <si>
    <t>Nigeria Fire Assessments</t>
  </si>
  <si>
    <t>Brothers,   I am writing to give you a report of the situation of the fire team at the Nigeria Branch.  This email has four attachments.  Please consider them in the following order:   1.       Beau Sutton Nigeria Branch Fire Assessment 2. </t>
  </si>
  <si>
    <t>Yoo, Shang-chae</t>
  </si>
  <si>
    <t>Lester, Davin; OGuin, Colin</t>
  </si>
  <si>
    <t>Borehole Pump electrical questions</t>
  </si>
  <si>
    <t>Reply below. Symon   From: ten Have, Fabian Sent: Tuesday, July 7, 2015 11:40 To: De Meyer, Efraim; Bent, Symon Subject: RE: ZMB Katete RTO; Borehole Pump electrical questions   Hi Symon,   Sorry for the late reply.   Regard</t>
  </si>
  <si>
    <t>Wilcox, Stephanie Kate; Allan, Mark</t>
  </si>
  <si>
    <t>RDC review of NLBR -60180; Electrical Materials</t>
  </si>
  <si>
    <t>Dear brothers,   We have reviewed the following Non-Literature Branch Requests (NLBRs) that we received from you on Monday, July 6, 2015 for the GHA BEX project :   1.       Req. #60180 : Electrical materials   We are in agreement with y</t>
  </si>
  <si>
    <t>Washburn, Nathan; Allan, Mark</t>
  </si>
  <si>
    <t>Computer</t>
  </si>
  <si>
    <t>Any cloud-oriented collaborative solutions need WHQ Computer dept direction</t>
  </si>
  <si>
    <t>FYI---we can draft something once RDC oversight agrees to any solutions we present. Symon   From: While, Mark Sent: Tuesday, July 7, 2015 12:52 To: Bent, Symon Cc: Masserey, Christophe; Kent, Wayne; Nunnaley, Tiffani Subject: RE: SBent probl</t>
  </si>
  <si>
    <t>Transfer of Jared and Marisa Fruciano</t>
  </si>
  <si>
    <t>In response to the memorandum HDA:HDP May 29, 2015, we are supplying the transfer documents for Jared and Marisa Fruciano.</t>
  </si>
  <si>
    <t>Nunnaley, Tiffani</t>
  </si>
  <si>
    <t>Invoice</t>
  </si>
  <si>
    <t>WSP Account 3 Invoice</t>
  </si>
  <si>
    <t>Payment has been made and a memo submitted.  Snapshots of both below.         Tiffani   From: Bent, Symon Sent: Monday, July 06, 2015 4:14 PM To: Allan, Mark; Nunnaley, Tiffani Cc: Riley, Patrick; O'Guin, Colin Subject: RE: GH</t>
  </si>
  <si>
    <t>AGO LDC</t>
  </si>
  <si>
    <t>Angola 2016 Kingdom Hall and Assembly Hall Budget</t>
  </si>
  <si>
    <t>As recommended by the Publishing Committee letter dated HPA:HDA June 1, 2015 No. C-38180P, we are sending to you our recommendation for Kingdom Hall and Assembly Hall Construction budget for 2016. Additionally, please find below, some explanation about th</t>
  </si>
  <si>
    <t>KH, Training</t>
  </si>
  <si>
    <t>KHCG Ov Training</t>
  </si>
  <si>
    <t>Hello Chaps   In the few countries we have visited so far, although good guys we saw the need for the KHCG overseers to receive a bit of training…with the BCs approval. We worked on this outline with the BDI LDC if of any use to you…   Chee</t>
  </si>
  <si>
    <t>MDG LDC</t>
  </si>
  <si>
    <t>Kingdom Hall and Assembly Hall Construction Program Recommended Spending Limit for 2016</t>
  </si>
  <si>
    <t>Please find attached the excel sheet file showing our Kingdom Hall and Assembly Hall Construction Program Recommended Spending Limit for 2016.</t>
  </si>
  <si>
    <t>RDC review of AO-8 Final for May, 2015</t>
  </si>
  <si>
    <t>Dear brothers,   We have reviewed the AO-8 Financial Report for the month of May 2015 for the ZMB BEX project :   We are in agreement.  Please go ahead and submit to WDC.   Kind regards, SymonBent South Africa RDC M: +27 61 699</t>
  </si>
  <si>
    <t>Washburn, Nathan; InboxRDCEstimating.ZA</t>
  </si>
  <si>
    <t>RDC review of Draft DC-43; 201506</t>
  </si>
  <si>
    <t>Dear brothers,   We have reviewed the DC-43 Financial Report for the month of June 2015 for the ZMB Katete RTO project :   We are in agreement.  Please go ahead and submit to WDC.   Kind regards, SymonBent South Africa RDC M: +2</t>
  </si>
  <si>
    <t>Edited Congo Fire Report</t>
  </si>
  <si>
    <t>I went ahead and took out all of the names and room numbers from the whole report.  I added a footer with page numbers to my original, but I didn’t put in the table of contents.  This should be ready for the Congo BC.   Kind Regards,   Beau Su</t>
  </si>
  <si>
    <t>Watson, Toby; Meinders, Andre; Allan, Mark</t>
  </si>
  <si>
    <t>NLBR, Plumbing</t>
  </si>
  <si>
    <t>RDC review of NLBR -59657; Plumbing</t>
  </si>
  <si>
    <t>Dear brothers,   We have reviewed the following Non-Literature Branch Requests (NLBRs) that we received from you on Tuesday, June 30, 2015 for the GHA Viepe RTO project :   1.       Req. #59657 : Plumbing materials   We are in agreement</t>
  </si>
  <si>
    <t>Wilcox, Stephanie Kate; Watson, Toby; Allan, Mark</t>
  </si>
  <si>
    <t>RDC review of NLBR -60157 Plumbing Materials</t>
  </si>
  <si>
    <t>Dear brothers,   We have reviewed the following Non-Literature Branch Requests (NLBRs) that we received from you on Monday, July 6, 2015 for the GHA Viepe RTO project :   1.       Req. #60157 : Vent Valve   We are in agreement with your</t>
  </si>
  <si>
    <t>Blackman, Innes</t>
  </si>
  <si>
    <t>Office Building- How to bond the exterior metal pole the internet providers installed</t>
  </si>
  <si>
    <t>Does this help answer your question chaps? Symon   From: De Meyer, Efraim Sent: Monday, July 6, 2015 11:50 To: Bent, Symon Cc: Imai, Masaaki Subject: FW: Kabompo RTO; Office Building- How to bond the exterior metal pole the internet provider</t>
  </si>
  <si>
    <t>REA:REF</t>
  </si>
  <si>
    <t>Video Equipment for Assembly Halls and Expandable Kingdom Halls in Madagascar</t>
  </si>
  <si>
    <t>We have reviewed the assembly hall video equipment questionnaires. While we in general agreement with the information provided, may we make one suggestion on your attachments? We suggest providing WHQ with longitudinal section drawings to help the brother</t>
  </si>
  <si>
    <t>CME:ABS</t>
  </si>
  <si>
    <t>CMR Branch</t>
  </si>
  <si>
    <t>Branch Relocation Project - Exemption</t>
  </si>
  <si>
    <t>We wish to take this opportunity to provide you with a report detailing our progress in our efforts to obtain tax exemption on imported items for our upcoming branch relocation project in Kribi. First of all, currently, Cameroon law allows for all literat</t>
  </si>
  <si>
    <t>Network</t>
  </si>
  <si>
    <t>Use of Category 6a Cabling for New Installations</t>
  </si>
  <si>
    <t>With the ongoing branch expansion project taking place in Ghana, something has been brought to our attention that could affect how we proceed with our data installation systems. In World Headquarters memorandum CD:CDD August 15, 2012, to all branches, it</t>
  </si>
  <si>
    <t>St. Jean, Zeny; Watts, Jeffery</t>
  </si>
  <si>
    <t>Wash rooms Visitors; Extend Auditorium--'EXTRA-OVER ITEM'</t>
  </si>
  <si>
    <t>·         Visitors, after using bathrooms inside reception, traipse through reception – water all over ·         Constant cleaning of bathrooms needed when tours come ·         Have a separate outside area where people do their ablutions as they get</t>
  </si>
  <si>
    <t>McDonald, Darcy; OGuin, Colin; Crook, Arthur; Bent, Symon; Skandalis, Constantin; Watts, Jeffery</t>
  </si>
  <si>
    <t>CDP, Estimate</t>
  </si>
  <si>
    <t>Service Building Estimate for Smaller Option (MINUTES; XLS)</t>
  </si>
  <si>
    <t>Thanks Tim; I just coloured it in and renamed the file J; good job!   Hi Zeny – see attached for our rough cost comparison of SERVICES BLDG sized for 320-350 people vs. 420-500 people  (Saved as: HYPERLINK "file:///\\bethel.jw.org\zaf\Dept\RDC\En</t>
  </si>
  <si>
    <t>Myklebust, Trond</t>
  </si>
  <si>
    <t>Bent, Symon; Coombs, Shaun; Washburn, Nathan; Allan, Mark</t>
  </si>
  <si>
    <t>AHMP, Budget</t>
  </si>
  <si>
    <t>Annual Budget v AHMP</t>
  </si>
  <si>
    <t>Yes, that's the thinking. No plan, no money! Sent from my iPhone On Jul 3, 2015, at 02:16, Gilden, David &lt;HYPERLINK "mailto:dgilden@zaf.wtbts.net"dgilden@zaf.wtbts.net&gt; wrote:  Hi Syms I got hold of Salvidge on this subject of do we put a b</t>
  </si>
  <si>
    <t>Bent, Symon; GHA-CNST-Committee</t>
  </si>
  <si>
    <t>Personnel, Setup</t>
  </si>
  <si>
    <t>Location for RTO Coordinators office and Storage</t>
  </si>
  <si>
    <t>Dear Brothers, The BEX CC has followed up on the comments from the Branch as to the unavailability of office space for Andre and Daniella Meinders in their new roles outside the arrangement of the Branch Expansion project.   We propose to purchas</t>
  </si>
  <si>
    <t>Chiappetta, Raquel</t>
  </si>
  <si>
    <t>Spec</t>
  </si>
  <si>
    <t>Spec for hand wash drying</t>
  </si>
  <si>
    <t>Embedded (6)</t>
  </si>
  <si>
    <t>Yea sure we can/ will.   From: Bent, Symon Sent: Friday, July 03, 2015 10:49 AM To: Michalakis, Evangelos Subject: RTO Projects; Spec for hand wash drying   Van-ster,   Could we add this to the PS Catalogue?  What ya t’ink?   S</t>
  </si>
  <si>
    <t>OGuin, Colin; Bent, Symon; Moulanier, Gratian; PETTENÒ, Massimiliano</t>
  </si>
  <si>
    <t>DCP Test -1 Under residential Bldg footing 29 June 2015</t>
  </si>
  <si>
    <t>Hi Shaun,   These results are excellent.   They may proceed.    Filed in: HYPERLINK "file:///\\bethel.jw.org\zaf\Dept\RDC\Engineering\Projects\Congo\COD%2015%20-%20Kikwit%20RTO\S4\Struct\DCP\Office"H:\RDC\Engineering\Projects\Congo\COD 1</t>
  </si>
  <si>
    <t>Kwesie, Samuel</t>
  </si>
  <si>
    <t>GHA-BRANCH-Committee; InboxCNST.GH</t>
  </si>
  <si>
    <t>Branch Comments on CDP Document</t>
  </si>
  <si>
    <t>Thanks Brothers!   Symon / Colin – see below   Regards, Mark Allan (ZAF-RDC) (REC) Watch Tower Bible and Tract Society of South Africa, NPC. Registration number: 2006/022758/08. PBO number: 930021658   From: Kwesie, Samuel Sent:</t>
  </si>
  <si>
    <t>KOHLER, Patrick</t>
  </si>
  <si>
    <t>Allan, Mark; OGuin, Colin; Bent, Symon; Bateman, Tristan</t>
  </si>
  <si>
    <t>Office Building - Footing Remedial Work</t>
  </si>
  <si>
    <t>Hi Patrick/Tony,   Please review the attached doc and description of work below and let us know if anything is unclear.   We look forward to seeing the DCP tests and concrete cube test results in the near future.   Thanks,  Shaun  </t>
  </si>
  <si>
    <t>AH, Guideline</t>
  </si>
  <si>
    <t>Clarification of Assembly Hall Operation Responsibilities</t>
  </si>
  <si>
    <t>We are writing to clarify how the financial and administrative operations of Assembly Halls should be handled. Recent adjustments to the funding for construction and major renovation, oversight of personnel, and coordination of purchasing and maintenance</t>
  </si>
  <si>
    <t>Shears, Matthew; Thomson, Cameron; Annan, Benjamin; Bekae, Nicholas</t>
  </si>
  <si>
    <t>Phase II- Account 1-16700 Cost to transfer</t>
  </si>
  <si>
    <t>Hi Symon, Please find enclosed a spreadsheet showing the items to be carried forward to BEX2 budget. Please note the 50, 000 noted at the end for Temp. Res. 5.2.   Ben: Hope we all agree with these figures J Stephanie: Please keep a copy of th</t>
  </si>
  <si>
    <t>Phase II- Account 1-16700; costs for BEX 1 and 2</t>
  </si>
  <si>
    <t>Meeting, WDC</t>
  </si>
  <si>
    <t>(ON WDC RDC MEETING) WDC RDC Meeting - July 2, 2015</t>
  </si>
  <si>
    <t>HYPERLINK "url:orbit://WID&amp;WHQ-WDC-AEB4F56D-8DCF-4313-BAC3-7F8ECD2B8452"Worldwide Design/Construction On WDC/RDC Meeting Watts, Jeffery 7/2/2015 6:43am  Minutes attached HYPERLINK "url:orbit://WID&amp;WHQ-WDC-AEB4F56D-8DCF-4313-BAC3-7F8ECD2</t>
  </si>
  <si>
    <t>Meeting</t>
  </si>
  <si>
    <t>RDC Minutes 015</t>
  </si>
  <si>
    <t>FS MF-A-201-S1, Entrance Canopy removed</t>
  </si>
  <si>
    <t>Dear brothers,   We are issuing a field sketch that simplifies the gable wall design above the ring-beam.  The drawings affected are as follows:   1.       MF-A-201-S1 : Entrance canopy removed   Please be sure to cross out the previ</t>
  </si>
  <si>
    <t>Paekau, Ryan; InboxRDCEstimating.ZA</t>
  </si>
  <si>
    <t>RDC review of DC-43 for May</t>
  </si>
  <si>
    <t>Dear brothers,   We have reviewed the DC-43 Financial Report for the month of May 2015 for the ZMB Choma RTO project :   We are in agreement.  Please correct the few spelling mistakes in the report section then go ahead and submit to WDC.  </t>
  </si>
  <si>
    <t>Sondell, Henrik; Washburn, Nathan</t>
  </si>
  <si>
    <t>Mech, NLBR</t>
  </si>
  <si>
    <t>RDC review of NLBR 520-12577; Mech Order 12; Misc; 20150701</t>
  </si>
  <si>
    <t>Dear brothers,   We have reviewed the following Non-Literature Branch Requests (NLBRs) that we received from you on Wednesday, July 01, 2015 for the ZMB Katete RTO project :   1.       Req. #12577 : Mechanical accessories   We are in agr</t>
  </si>
  <si>
    <t>HPA:HMA</t>
  </si>
  <si>
    <t>Global Purchasing Department—RDC Contacts in Primary Purchasing Branches</t>
  </si>
  <si>
    <t>The Global Purchasing Department’s memorandum HMA:HMG May 16, 2014, assigned a brother at each Primary Purchasing Branch to serve as the Regional Design/Construction Department (RDC) contact for each region. The brothers listed below are fulfilling this r</t>
  </si>
  <si>
    <t>ZIM Shona ZSL RTO Notes 2015-06-30 docx</t>
  </si>
  <si>
    <t>Dear Brothers, Notes from our meeting yesterday are attached for your records. We appreciated the opportunity to meet with you. Jeff Watts Worldwide Design/Construction</t>
  </si>
  <si>
    <t>Keller, Timothy; DODIN, Jean-Marc; Shears, Matthew; Thomson, Cameron; Jones, David M.</t>
  </si>
  <si>
    <t>DOM Master Key Matrix--prepare NLBR</t>
  </si>
  <si>
    <t>Dear Gideon, please go ahead and prepare an NLBR for the new master key system, and send for our (quick!) review.   Kind regards,   SymonBent South Africa RDC M: +27 61 699 6085  |  T: 2588  |  HYPERLINK "sip:sbent@bethel.jw.org"Lync</t>
  </si>
  <si>
    <t>Kitchen, Procurement</t>
  </si>
  <si>
    <t>Early Procurement Kitchen Equipment--Mtg Minutes</t>
  </si>
  <si>
    <t>In Message (15)</t>
  </si>
  <si>
    <t>It is related.  The bit below is for the changing room container only. I’m working with AC to get the final Electrolux equipment product list so that we can prepare a NLBR for pricing by Purchasing and final PNC check by Maintenance. Symon   From</t>
  </si>
  <si>
    <t>CDP, PV</t>
  </si>
  <si>
    <t>CDP Cost Plan--PV Payback</t>
  </si>
  <si>
    <t>Saved as “20150701 GHA BEX 2; CDP Cost Plan--PV Payback.msg” in: HYPERLINK "file:///\\bethel.jw.org\zaf\Dept\RDC\Engineering\Projects\Ghana\GHA%2003%20-%20Branch%20Expansion%20Phase%202\S2\EPC\Cost%20Estimates%20etc"H:\RDC\Engineering\Projects\Ghana\GH</t>
  </si>
  <si>
    <t>De Meyer, Efraim</t>
  </si>
  <si>
    <t>Agostinho, Rudi; ten Have, Fabian; Michalakis, Evangelos; Crook, Arthur; Imai, Masaaki; Schiller, Ben</t>
  </si>
  <si>
    <t>Equipment, TDM</t>
  </si>
  <si>
    <t>Meeting Minutes Jun 30, 2015 - Spacing of equipment in Utility Building, esp AVR</t>
  </si>
  <si>
    <t>Separate the utility building</t>
  </si>
  <si>
    <t>Meeting Minutes Jun 30, 2015 - Spacing of equipment in Utility Building, esp. AVR 01 July 2015 10:15 Date Jun 30, 2015 Subject RTOs; Spacing of equipment in Utility Building, esp. AVR Present Efraim, Mark A, Venessa, Tristan  </t>
  </si>
  <si>
    <t>Ekins, Gareth</t>
  </si>
  <si>
    <t>White, Tara</t>
  </si>
  <si>
    <t>Keys</t>
  </si>
  <si>
    <t>Master Key Schedule - Existing and Phase I</t>
  </si>
  <si>
    <t>Hi Tara Sorry it has taken so long. On looking at the information provided this looks fine to proceed.  Gareth      From: Bent, Symon Sent: 12 May 2015 17:11 To: White, Tara Cc: Allan, Mark; O'Guin, Colin Subject: FW: GHA BEX; Master</t>
  </si>
  <si>
    <t>Generator Model Question</t>
  </si>
  <si>
    <t>Duncan sent us an updated process buying through the local agent but under the direction of GPD… seems the way of the future! Symon   From: Shears, Matthew Sent: 30 June 2015 19:11 To: Oppong, Kofi; Meinders, Andre; Breakell, Ben Cc: Bent, Sy</t>
  </si>
  <si>
    <t>REA:RER</t>
  </si>
  <si>
    <t>COD LDC</t>
  </si>
  <si>
    <t>Queries on Various Construction Projects</t>
  </si>
  <si>
    <t>Mianly Saio Healthcare</t>
  </si>
  <si>
    <t>We have been asked by World Headquarters to inquire as to the status of some projects in Congo. Could we please ask that you investigate these and inform our office as to the status as described?</t>
  </si>
  <si>
    <t>BILYK, Jason JOHN</t>
  </si>
  <si>
    <t>OGuin, Colin; Wilhjelm, Peter; Allan, Mark; Mambe, Jeantil</t>
  </si>
  <si>
    <t>Approval, DC-41, Fire</t>
  </si>
  <si>
    <t>DC-41 and Project Approval request for review</t>
  </si>
  <si>
    <t>For container home option</t>
  </si>
  <si>
    <t>Dear Brothers,   Please find attached for your review the DC-41 and PAR for the Container home construction.   Please advise after your review and we can submit to WDC for final approval.   Have a nice afternoon,   Jason Bilyk M</t>
  </si>
  <si>
    <t>Lutterodt, Albert</t>
  </si>
  <si>
    <t>Bent, Symon; ermos.rex@gmail.com</t>
  </si>
  <si>
    <t>Meeting, Network</t>
  </si>
  <si>
    <t>Meeting Minutes - Network Upgrade</t>
  </si>
  <si>
    <t>Dear Brothers, Thank you for the fine meeting. Your copy of the minutes is enclosed.  Please check your action items.   Thank you, Jean-Marc Dodin Construction Office GHANA BEX Extension:  22431 Cell: 054 431 4831  </t>
  </si>
  <si>
    <t>Nordin, Timothy</t>
  </si>
  <si>
    <t>Crook, Arthur; ten Have, Fabian; Allan, Mark</t>
  </si>
  <si>
    <t>GHA Service Building - estimation for smaller option</t>
  </si>
  <si>
    <t>Dear brothers,   The minutes from this meeting are as follows:   It is agreed that this is not a simple building consisting of just building elements so we can’t do an accurate estimated cost on the reduction in the size of the building simply</t>
  </si>
  <si>
    <t>Patrick.Riley@WSPGroup.co.za</t>
  </si>
  <si>
    <t>Temporary Remedial Works at Creek Entrance - North</t>
  </si>
  <si>
    <t>Hi Patrick. FYI – what they have done at the fence inlet as a short term measure; see photo below…   Regards, Mark Allan (ZAF-RDC) (REC) Watch Tower Bible and Tract Society of South Africa, NPC. Registration number: 2006/022758/08. PBO number:</t>
  </si>
  <si>
    <t>REA:REC</t>
  </si>
  <si>
    <t>Ghana BEX</t>
  </si>
  <si>
    <t>Mechanical Commissioning Visit</t>
  </si>
  <si>
    <t>We received the Commissioning Visit Report dated May 21 to June 16, 2015 for the Water Treatment Plant installation at your branch. We appreciate the efforts and extra work hours put into this visit by Brother Ten Have, as well as the fine support you gav</t>
  </si>
  <si>
    <t>13A Res FIRE Investigation Report (INITIAL MEETING - MINUTES) FINAL FIRE PDF</t>
  </si>
  <si>
    <t>Final Fire Report PDF saved as: HYPERLINK "file:///\\bethel.jw.org\zaf\Dept\RDC\Engineering\Projects\Congo\COD%2099%20-%20Misc\Branch%2013A%20Residence%20Fire%20Damage\Forensics\Final%20Reports\Congo%20Branch%20Fire%20Investigation%20Report%20(TOC_FINA</t>
  </si>
  <si>
    <t>Yelverton, Peter; Fraser, Ian; Washburn, Nathan; Coombs, Shaun; St. Jean, Zeny</t>
  </si>
  <si>
    <t>13A Res FIRE Investigation Report (INITIAL MEETING MINUTES)</t>
  </si>
  <si>
    <t>Thanks Beau – excellent job! Attendees of this meeting in ‘To…’ line.   FIRE REPORT saved as: HYPERLINK "file:///\\bethel.jw.org\zaf\Dept\RDC\Engineering\Projects\Congo\COD%2099%20-%20Misc\Branch%2013A%20Residence%20Fire%20Damage\Forensics\Final%</t>
  </si>
  <si>
    <t>Murray, Duncan; Cruthirds, Nathan</t>
  </si>
  <si>
    <t>RDC review of NLBR REQ-12466 Electrolux Fridge and Freezers</t>
  </si>
  <si>
    <t>Dear brothers,   We have reviewed the following Non-Literature Branch Requests (NLBRs) that we received from you on 29 June 2015 for the ZMB Choma RTO project :   Req. #12466 : Electrolux Fridge and Freezers   We are in agreement with yo</t>
  </si>
  <si>
    <t>Shears, Matthew; Sellden, Erik; Jones, David M.; Boye-Row, Thomas; Thomson, Cameron</t>
  </si>
  <si>
    <t>Budget, Network</t>
  </si>
  <si>
    <t>Additional expenses - WHQ Migration</t>
  </si>
  <si>
    <t>Response below.   From: Lutterodt, Albert Sent: 26 June 2015 13:49 To: Bent, Symon; DODIN, Jean-Marc Cc: Shears, Matthew; Sellden, Erik; Jones, David M.; Boye-Row, Thomas; Thomson, Cameron Subject: RE: GHA BEX; Additional expenses - WHQ Migrati</t>
  </si>
  <si>
    <t>GHA RTO Projects</t>
  </si>
  <si>
    <t>Fante and Ahanta Translation Teams - March 10, 2015</t>
  </si>
  <si>
    <t>Yes, they are working on it…small, small as they say there.  Little by little we are moving all of the small RTO projects over to the LDC, it’s a work in progress.  Here’s an excerpt from the RTO PO Report (this is kind of in order of priority):   T</t>
  </si>
  <si>
    <t>Coombs, Shaun; Washburn, Nathan; Allan, Mark; Gilden, David; Morgan, Wendell</t>
  </si>
  <si>
    <t>Amount of BCS, BCL, BCV on a construction project</t>
  </si>
  <si>
    <t>Brothers, For now, continue to enter them on the DC-71 as you have been (not splitting it up). We are anticipating that starting with the first quarter of the 2016 service year, a revised form will be issued that will make it easier to differentiate</t>
  </si>
  <si>
    <t>Meinders, Andre; Agyepong, Isaac Owiredu; ten Have, Fabian; OGuin, Colin</t>
  </si>
  <si>
    <t>Water</t>
  </si>
  <si>
    <t>Water Quality Analysis (REPLY)</t>
  </si>
  <si>
    <t>Hi Ben,   Below is the reply from the Mechanical discipline about your water quality and what measures you will need for the installation.  You can keep this for reference.   Kind regards,   SymonBent South Africa RDC M: +27 61 699 6085  |  T: 258</t>
  </si>
  <si>
    <t>Keller, Timothy; Allan, Mark; ten Have, Fabian; Kudjoe, Rachel</t>
  </si>
  <si>
    <t>GHA-4512 Air Conditioner ($18,978 58)</t>
  </si>
  <si>
    <t>Embedded (7)</t>
  </si>
  <si>
    <t>Great to get this finished!  You are patient my brother! (And you too Tim!) Symon   From: Arthur, Gideon Sent: 25 June 2015 17:38 To: Bent, Symon Cc: Keller, Timothy; Allan, Mark; ten Have, Fabian; Kudjoe, Rachel Subject: RE: GHA Branch; GHA</t>
  </si>
  <si>
    <t>Kirkland, Jason</t>
  </si>
  <si>
    <t>OGuin, Colin; ten Have, Fabian; Bateman, Tristan; Schiller, Ben</t>
  </si>
  <si>
    <t>Reroute Grease Trap piping (APPROVED)</t>
  </si>
  <si>
    <t>Hi Jason, you have our go ahead for your suggestion.  Well done for thinking ahead and presenting clear meaningful options. Be sure to document the change well on your as-built drawing set and forward the changes to us in the future.   Kind regar</t>
  </si>
  <si>
    <t>ten Have, Fabian; Lester, Davin; Agostinho, Rudi</t>
  </si>
  <si>
    <t>Mech</t>
  </si>
  <si>
    <t>Insulation on AV ventilation piping</t>
  </si>
  <si>
    <t>Hi Jason, this is done for sound dampening not for temperature reasons.  So, yes it is necessary.   Symon   From: Kirkland, Jason Sent: 25 June 2015 15:47 To: Bent, Symon Cc: Lester, Davin Subject: ZMB Katete; Insulation on A/V ventilatio</t>
  </si>
  <si>
    <t>Residence 13A Fire - Temporary Accommodations</t>
  </si>
  <si>
    <t>In Message (12)</t>
  </si>
  <si>
    <t>Symon,   Now that Gerald has sent us the final pricing, here is are the options.  To sum them up: ·         Option 1: Container Village: mid-level price, long duration, can be reused ·         Option 2: Temporary Wooden Housing: cheapest, long</t>
  </si>
  <si>
    <t>Possibility of Moving Translation Out of Bethel</t>
  </si>
  <si>
    <t>In our letter A May 19, 2015 No. 831 to the Publishing Committee, copied to you, we outlined our current office and accommodation situation at Bethel. The Worldwide Design/Construction Depart (WDC) arranged for a teleconference with representatives from S</t>
  </si>
  <si>
    <t>Shears, Matthew; Thomson, Cameron</t>
  </si>
  <si>
    <t>Grade of Tiles from HK</t>
  </si>
  <si>
    <t>Embedded (5)</t>
  </si>
  <si>
    <t>Hi Symon, If this can be useful for somebody else: I found some explanation of the test method EN 14411:2012 which helps determine the class of the tile.   Please check pages 9, 10 and 57 (yellow highlights)of the doc ‘EN14411 2012 Description</t>
  </si>
  <si>
    <t>Thomson, Cameron; Jones, David M.</t>
  </si>
  <si>
    <t>Paul &amp; Hazel Tucker-Peake</t>
  </si>
  <si>
    <t>Jean-Marc/Matt,   I just chatted with David Jones about this memo: could you talk with them and explain that they are approved to stay for 2 years as BBTs.  You can mention that the exact assignment may change in the future, but they stay with const</t>
  </si>
  <si>
    <t>AO-7</t>
  </si>
  <si>
    <t>Branch Renovation 2012-2013 Project—Project Change Order (AO-7) No 3</t>
  </si>
  <si>
    <t>We are writing in response to your memorandum dated LDA June 22, 2015, which included AO_x001E_7 No. 3 requesting approval to reduce the budget by the sum of USD 104,665. This will remove the dining room renovations from the scope of work being tracked in the C</t>
  </si>
  <si>
    <t>Fiber cable for future RTOs</t>
  </si>
  <si>
    <t>Answer below.   From: Lester, Warren Sent: 22 June 2015 14:12 To: Bent, Symon Subject: RE: ZMB Katete RTO; Fiber cable for future RTOs   Hi Symon   The Pre-Terminated fibre is ordered by the WHQ techs when they help prepare the branc</t>
  </si>
  <si>
    <t>Revised drawing KR-S-504-S1 Holding Tanks Longitudinal Section</t>
  </si>
  <si>
    <t>Dear brothers,   We are issuing the following revised drawings for your project:   1.       KR-S-504-S1 : Holding Tanks Longitudinal Section   Please be sure to remove all previous versions from circulation and either destroy them or saf</t>
  </si>
  <si>
    <t>Finch, Ed; Sharp, Dayrell; Bent, Symon; Housner, Bradley</t>
  </si>
  <si>
    <t>Setup of LDC structure</t>
  </si>
  <si>
    <t>Joe, We appreciated our Lync call with you and Ed this afternoon.   It is plain to see that there are considerable needs at the Zambia LDC and we want to do what we can to help.  The desk itself needs to be strengthened, the planning and design n</t>
  </si>
  <si>
    <t>Watson, Toby</t>
  </si>
  <si>
    <t>Meinders, Andre; Allan, Mark</t>
  </si>
  <si>
    <t>RDC review of NLBR -59603; Carpet Tiles</t>
  </si>
  <si>
    <t>Dear brothers,   We have reviewed the following Non-Literature Branch Requests (NLBRs) that we received from you on 24 June 2015 for the GHA Viepe RTO project :   1.       Req. #59603 : Carpet tiles   We are in agreement with your reques</t>
  </si>
  <si>
    <t>Porter, Tony; Cochrane, Matthew Lee</t>
  </si>
  <si>
    <t>Need to run borehole pump for 7 days</t>
  </si>
  <si>
    <t>Answer below. Symon   From: ten Have, Fabian Sent: 24 June 2015 13:44 To: Bent, Symon Cc: Agostinho, Rudi Subject: RE: COD Lubumbashi RTO; Need to run borehole pump for 7 days?   Hi Symon,   Please see my comments below in red.</t>
  </si>
  <si>
    <t>Sondell, Henrik</t>
  </si>
  <si>
    <t>RFI Borehole pump specs</t>
  </si>
  <si>
    <t>Here you go Davin, my fault for the delay, I overlooked it in my inbox! Symon   From: ten Have, Fabian Sent: 14 June 2015 12:42 To: Bent, Symon Cc: O'Guin, Colin; Agostinho, Rudi Subject: RE: ZMB13-20 - Katete RTO; RFI Borehole pump specs</t>
  </si>
  <si>
    <t>Committee</t>
  </si>
  <si>
    <t>Construction Committee for the Kumasi Twi RTO</t>
  </si>
  <si>
    <t>We are in the process of setting up for the Ghana Kumasi RTO remodeling project. After reviewing the selection with our projects overseer, we ask for your approval of the following committee to overseer this project:</t>
  </si>
  <si>
    <t>Bethel Labor Costs for Congo (Kinshasa)</t>
  </si>
  <si>
    <t>We are writing in response to your e-mail dated June 18, 2015, wherein you requested the labor costs for Bethelites in Congo (Kinshasa). Please find enclosed the latest support rate figures from the Treasurer’s Office records.</t>
  </si>
  <si>
    <t>Fruciano, Jared</t>
  </si>
  <si>
    <t>InboxCNSTRTOConstCommittee2.ZM</t>
  </si>
  <si>
    <t>Projected Budget as of 15 06 23</t>
  </si>
  <si>
    <t>Dear Brothers,   Before leaving I wanted to provide a budget projection for the Mongu project.  Working left to right the attached worksheet shows the approved budget on the far left.  Then what is actually spent and committed and our projected tota</t>
  </si>
  <si>
    <t>Jones, David M.; Arthur, Gideon; OGuin, Colin; Allan, Mark; Shears, Matthew; Thomson, Cameron</t>
  </si>
  <si>
    <t>Hi Symon, We have had the opportunity to discuss the proposal from WSP.  The proposal seems good. It addresses stability of structure and entrance of property, vehicle bridge for interior and pedestrian bridge for the outside. Please send drawing</t>
  </si>
  <si>
    <t>AO-7 Zimbabwe Branch Dining Room Renovation</t>
  </si>
  <si>
    <t>Please find attached an AO-7 for the Dining Room Renovation project at our branch. The reasons for this AO-7 are explained in detail in the AO-7 document itself. If the AO-7 is approved we will generate and submit a DC-41 for this project.</t>
  </si>
  <si>
    <t>HDA:HDO</t>
  </si>
  <si>
    <t>AHMP</t>
  </si>
  <si>
    <t>Zambia Assembly Hall Overall Plan</t>
  </si>
  <si>
    <t>Thank you very much for your memorandum dated AA:SKE June 10, 2015, with an updated Assembly Hall master plan for your branch territory.</t>
  </si>
  <si>
    <t>AH, AHMP</t>
  </si>
  <si>
    <t>Zambia Assembly Hall Overall Plan rejected</t>
  </si>
  <si>
    <t>DODIN, Jean-Marc; Shears, Matthew; Thomson, Cameron; Jones, David M.; Lutterodt, Albert; Carnell, Paul</t>
  </si>
  <si>
    <t>SALTO</t>
  </si>
  <si>
    <t>SALTO - Keyless Access package guidance and order</t>
  </si>
  <si>
    <t>Dear Gideon,   Below is the direction for ordering the SALTO keyless access package for a branch.  So the summarise what we need from you:   1.       A list of all doors that will have SALTO locks a.       Specify which doors will have the</t>
  </si>
  <si>
    <t>Busciglio, Dominic</t>
  </si>
  <si>
    <t>Jacques Randrianantenaina (jrandrianantenaina@mdg.wtbts.net)</t>
  </si>
  <si>
    <t>KH</t>
  </si>
  <si>
    <t>Possibility of under roofsheet insulation</t>
  </si>
  <si>
    <t>Hi Dominic/Manampisoa,   Some time ago we spoke about the possibility of using insulation under the roof sheets in some of our city kingdom halls.  This is a “precedent” memo we sent to Zambia, if you are interested in the idea then please do the sa</t>
  </si>
  <si>
    <t>Kapata, Henry</t>
  </si>
  <si>
    <t>Philpott, Joseph; Washburn, Nathan</t>
  </si>
  <si>
    <t>RDC review of NLBR 473372, Glasswool Factorylite Foil Faced One Side</t>
  </si>
  <si>
    <t>Dear brothers,   We apologies for the tardy reply!  We have reviewed the following Non-Literature Branch Requests (NLBRs) that we received from you on 10 June 2015 for the ZMB LDC projects :   1.       Req. #473372: Rockwool insulation for KH</t>
  </si>
  <si>
    <t>OGuin, Colin; Bent, Symon</t>
  </si>
  <si>
    <t>DCP, Septic</t>
  </si>
  <si>
    <t>Preliminary DCP results for Septic Tank</t>
  </si>
  <si>
    <t>Hi Shane,   These results look good. You may proceed.   Saved in: HYPERLINK "file:///\\bethel.jw.org\zaf\Dept\RDC\Engineering\Projects\Zambia\ZMB%2011%20-%20Choma%20RTO\S4\Struct\DCP\Septic%20Tank"H:\RDC\Engineering\Projects\Zambia\ZMB 11 - Ch</t>
  </si>
  <si>
    <t>Fitzpatrick, Greg</t>
  </si>
  <si>
    <t>OGuin, Colin; Bent, Symon; KOHLER, Patrick</t>
  </si>
  <si>
    <t>Roof</t>
  </si>
  <si>
    <t>Info for GRS Quote</t>
  </si>
  <si>
    <t>Hi Greg,   As requested.   Kind Regards, Van.   Evangelos Michalakis Regional Design/Construction Department (ZAF-RDC) South Africa Branch of Jehovah’s Witnesses Ext:2580  </t>
  </si>
  <si>
    <t>Mitek, Roof</t>
  </si>
  <si>
    <t>Info for MiTek Quote</t>
  </si>
  <si>
    <t>OGuin, Colin; Bent, Symon; Moulanier, Gratian</t>
  </si>
  <si>
    <t>Hi Greg,   As requested.   Kind Regards, Van.   From: Fitzpatrick, Greg Sent: Thursday, June 11, 2015 10:01 AM To: Michalakis, Evangelos Subject: FW: COD Kikwit RTO Draft NLBR 43124 #14 (MITEK) query   Hi V   Could you p</t>
  </si>
  <si>
    <t>Embedded (23)</t>
  </si>
  <si>
    <t>Hi Gareth   I hope you are well and was wondering how you are getting on with this Key schedule for Ghana.  South Africa RDC inform me that they wish to progress this matter.  Please let me know how you are getting on.   Speak to you soon.</t>
  </si>
  <si>
    <t>WDC-RDC-LDC Department Structure (WHQ DRAFT) SC</t>
  </si>
  <si>
    <t>DODIN, Jean-Marc; Thomson, Cameron</t>
  </si>
  <si>
    <t>RDC review of AO-8 review (May 2015)</t>
  </si>
  <si>
    <t>Dear brothers,   We have reviewed the DC-43 Financial Report for the month of May 2015 for the GHA BEX project :   We are in agreement.  Please consider the comments in the attached, revise where needed, and go ahead and submit to WDC.  </t>
  </si>
  <si>
    <t>Dear brothers,   We have reviewed the DC-43 Financial Report for the month of May 2015 for the GHA Kikam RTO project :   We are in agreement.  Please consider the comments in the attached and modify as needed, then go ahead and submit to WDC.</t>
  </si>
  <si>
    <t>Sondell, Henrik; OGuin, Colin</t>
  </si>
  <si>
    <t>Borehole pump specification request</t>
  </si>
  <si>
    <t>For your follow up.   Symon   From: ten Have, Fabian Sent: 22 June 2015 09:45 To: Bent, Symon Cc: Agostinho, Rudi; O'Guin, Colin Subject: RE: ZMB Choma RTO; Bore hole pump specification request   Hi Symon,   Please find attach</t>
  </si>
  <si>
    <t>RDC review of NLBR; REQ 520-12399; Electrical Order 6; 20150617</t>
  </si>
  <si>
    <t>Dear brothers,   We have reviewed the following Non-Literature Branch Requests (NLBRs) that we received from you on 17 June 2015 for the ZMB Katete RTO project :   1.       Req. #12399 : Electrical materials   We are in agreement with yo</t>
  </si>
  <si>
    <t>Allan, Mark; Coombs, Shaun; OGuin, Colin; ten Have, Fabian; Imai, Masaaki; Coombs, Shaun</t>
  </si>
  <si>
    <t>Dear all,   Please could you assist us with a review of these HYPERLINK "file:///\\bethel.jw.org\zaf\Dept\RDC\Engineering\Projects\Congo\COD%20xx%20-%20Lodja%20RTO\C-AFC\DC-31"two DC-31 property options for the COD Lodja RTO project.  Once we have y</t>
  </si>
  <si>
    <t>Meinders, Andre; Allan, Mark; OGuin, Colin; Watson, Toby</t>
  </si>
  <si>
    <t>RDC review of NLBR -59611; QC Materials</t>
  </si>
  <si>
    <t>Dear brothers,   We have reviewed the following Non-Literature Branch Requests (NLBRs) that we received from you on 19 June 2015 for the GHA Viepe RTO project :   1.       Req. #59611 : QC Materials   We are in agreement with your reques</t>
  </si>
  <si>
    <t>DC-43 May 2015</t>
  </si>
  <si>
    <t>Great, thanks for checking! Symon   From: Meinders, Andre Sent: 17 June 2015 21:07 To: Bent, Symon Subject: RE: GHA Viepe RTO; DC-43 May 2015   Symon Thanks for looking through the report. I have changed the end date to middle of</t>
  </si>
  <si>
    <t>DC-41, SKE</t>
  </si>
  <si>
    <t>DC-41 No 2 Ghana School Facility Baatsona Renovation (USD 453,189)</t>
  </si>
  <si>
    <t>We are writing in response to your Project Approval Request (DC_x001E_41) form No. 2, for the Ghana School Facility Baatsona Renovation project, in the amount of USD 453,189. This is in harmony with the Publishing Committee’s letter dated HPA:HDA May 20, 2014,</t>
  </si>
  <si>
    <t>Williamson, Bob</t>
  </si>
  <si>
    <t>Luccioni, Robert; Spanner, Simon; Watts, Jeffery; Verschoor, Peter; Wake, David</t>
  </si>
  <si>
    <t>Pre-Fabricated TER Initiative</t>
  </si>
  <si>
    <t>Brothers – FYI – attached is a photo report from Central America branch on the TER installation.   Thanks,   Zeny     _____________________________________________ From: St. Jean, Zeny Sent: Tuesday, June 9, 2015 9:59 PM To: Williamson, Bob; F</t>
  </si>
  <si>
    <t>InboxCNSTRTOConstCommittee1.ZM</t>
  </si>
  <si>
    <t>Bent, Symon; Finch, Ed</t>
  </si>
  <si>
    <t>J K Ritchie Zambia 06182015</t>
  </si>
  <si>
    <t>Thanks Nathan,   We are looking forward to seeing you guys.   Kind regards   Innes   From: Washburn, Nathan Sent: Thursday, June 18, 2015 4:26 PM To: InboxCNSTRTOConstCommittee1.ZM Cc: Bent, Symon; Finch, Ed Subject: RE: ZMB K</t>
  </si>
  <si>
    <t>Adjusting Order of RTO Construction in Zambia</t>
  </si>
  <si>
    <t>We are writing to request an adjustment to the proposed order of RTOs to be constructed in Zambia.</t>
  </si>
  <si>
    <t>GHA-SRV-Overseer</t>
  </si>
  <si>
    <t>GHA-LDC-Overseer; GHA-BRANCH-Committee; McIntyre, Stephen; GHA-PRCH-Overseer; Bent, Symon</t>
  </si>
  <si>
    <t>Projectors</t>
  </si>
  <si>
    <t>Draft letter to congs about Projectors 180615</t>
  </si>
  <si>
    <t>Joris – here is a proposed draft letter to the congregations on the topic of projectors. I have copied in LDC and PD.    As regards sound for rural areas without electricity or generator, on the GPG website, there are some fine rechargeable, 12-240</t>
  </si>
  <si>
    <t>Consolidated Shipments for RTO Projects in Africa</t>
  </si>
  <si>
    <t>We are writing with reference to your memorandum HMA:HMB June 4, 2015. Therein, you indicate that you would like to investigate how our branch could work more closely with the South Africa Primary Purchasing Branch (PPB) to consolidate as much as possible</t>
  </si>
  <si>
    <t>Central Fire Detection and Alarm System</t>
  </si>
  <si>
    <t>As you may be aware of, fire badly damaged one of our residence buildings. The fire started around 11:00 pm on Saturday June 6, 2015. We have had within a period of two months prior to this disaster two fires that started elswhere but were extinguished qu</t>
  </si>
  <si>
    <t>Ruitha, Anthony</t>
  </si>
  <si>
    <t>Gilden, David; Bent, Symon</t>
  </si>
  <si>
    <t>Maintenance</t>
  </si>
  <si>
    <t>RTO maintenance costs remain under branch</t>
  </si>
  <si>
    <t>Men, FYI.  Easier to start at bottom.   From: Myklebust, Trond Sent: Wednesday, June 17, 2015 2:55 PM To: Washburn, Nathan; Morgan, Wendell Cc: Martin, Brian Subject: RE: RTO maintenance costs   It may be good to mention that the idea</t>
  </si>
  <si>
    <t>Bent, Symon; St. Jean, Zeny; OGuin, Colin</t>
  </si>
  <si>
    <t>Wash rooms for Visitors; Extend Auditorium</t>
  </si>
  <si>
    <t>Thanks Sarah – this is what I remembered! As you can see below in yellow, it’s like Zeny says: we cannot design a toilet building for 1,000 visitors just for a few days a year.   If existing toilets are designed for 300, and average tours are only 5</t>
  </si>
  <si>
    <t>HMA:HME</t>
  </si>
  <si>
    <t>Elec, Purchasing</t>
  </si>
  <si>
    <t>Standard Suppliers for Building Controls</t>
  </si>
  <si>
    <t>Recently new supplier arrangements with Siemens Building Technologies, Tyco Integrated Security, and Honeywell Fire Safety were posted under the Supplier Arrangements tab on jw.org. These arrangements may benefit you if these suppliers have a presence in</t>
  </si>
  <si>
    <t>Setup</t>
  </si>
  <si>
    <t>Construction Temp Wooden Housing Options</t>
  </si>
  <si>
    <t>Thanks this is a great start.  I would like to verify the hours somehow, 4900+ hours seems a little high.  Works out at 22.94 hrs per m²​.  We build an RTO residence at about 40 hours per m²​.  Are their figures in CTP?   Symon   From: Breakel</t>
  </si>
  <si>
    <t>CC Start up information</t>
  </si>
  <si>
    <t>Embedded (8)</t>
  </si>
  <si>
    <t>Kind regards,   SymonBent South Africa RDC M: +27 61 699 6085  |  T: 2588  |  HYPERLINK "sip:sbent@bethel.jw.org"Lync  </t>
  </si>
  <si>
    <t>Re-Issue Drawing S-304</t>
  </si>
  <si>
    <t>Shane,   Please note the release of the attached revised drawing.  All other copies of previous versions of the drawing should be destroyed and this one exclusively used.  Thanks.   Colin   From: Reichel, Venessa Sent: Monday, June 01,</t>
  </si>
  <si>
    <t>FBA:FBS</t>
  </si>
  <si>
    <t>Equipment, Purchasing</t>
  </si>
  <si>
    <t>Electrolux - Web Gate Orders</t>
  </si>
  <si>
    <t>Over the past years the number of pieces of Electrolux equipment in the organization increased since the global arrangement is used by all branches. To further improve this arrangement, changes in the online order process will be implemented in the near f</t>
  </si>
  <si>
    <t>PT</t>
  </si>
  <si>
    <t>Project dimensions</t>
  </si>
  <si>
    <t>Hey Joe,   So the way that budgets are being created and entered into PT is not a problem. All budgets should be made up from a MTO and PT gives us the chance to manually add item descriptions to Dimensions so our ‘shopping Lists’ become our budgets</t>
  </si>
  <si>
    <t>Saio Healthcare facility -- DC-41 proposal</t>
  </si>
  <si>
    <t>Just bringing it all together.   Kind regards,   SymonBent South Africa RDC M: +27 61 699 6085  |  T: 2588  |  HYPERLINK "sip:sbent@bethel.jw.org"Lync  </t>
  </si>
  <si>
    <t>OGuin, Colin; Washburn, Nathan</t>
  </si>
  <si>
    <t>13A Res ALTERNATE ACCOM --Info from Congo</t>
  </si>
  <si>
    <t>Thanks Peter   Shaun / Symon – see e-mails below; attachments were saved in: HYPERLINK "file:///\\bethel.jw.org\zaf\Dept\RDC\Engineering\Projects\Congo\COD%2099%20-%20Misc\Branch%2013A%20Residence%20Fire%20Damage\Alternate%20Accommodation\Info%20</t>
  </si>
  <si>
    <t>Bldg 13A Options for Relocation--SC or SB</t>
  </si>
  <si>
    <t>Hi guys   In the beginning I ran with the FORENSICS and Shaun ran with the ALTERNATE ACCOMMODATION. Then we said it’s better for one to run with both, and I volunteered to take over   But that was a mistake. I don’t mind continuing with the FO</t>
  </si>
  <si>
    <t>Options for housing, rental</t>
  </si>
  <si>
    <t>Dear Brothers, Just got confirmation that these 12 apts. Nest to elephants complex is for rent and in good shape. US$5,000 per months including taxes for 12 rooms. The excel sheet you have has been changed accordingly.       With kind</t>
  </si>
  <si>
    <t>Bent, Symon; Shears, Matthew</t>
  </si>
  <si>
    <t>Budget, CTP</t>
  </si>
  <si>
    <t>New Power Line CTP Costs</t>
  </si>
  <si>
    <t>Hi Colin, The enclosed is for information only: Cost related to installation of new power line.   Thank you, Jean-Marc Dodin Construction Office GHANA BEX Extension:  22431 Cell: 054 431 4831       From: Breakell, Emma</t>
  </si>
  <si>
    <t>CCP, CDP</t>
  </si>
  <si>
    <t>Reconciling CDP with CCP - minor questions</t>
  </si>
  <si>
    <t>JM, Colin, I think phase 1 can absorb the cost, could we leave it there? Symon   From: DODIN, Jean-Marc Sent: 15 June 2015 10:37 To: O'Guin, Colin Cc: Shears, Matthew; Bent, Symon Subject: RE: GHA BEX 2; reconciling CDP with CCP - minor q</t>
  </si>
  <si>
    <t>Adashie, Daniel</t>
  </si>
  <si>
    <t>Laptops and equipment for Field offices</t>
  </si>
  <si>
    <t>Prepare a draft NLBR for these items, along with a clear explanation in the notes field what these are for and send it to me for review.  I’ll add my comment and send you an approval e-mail.  You can then submit it for WHQ approval.   Symon  </t>
  </si>
  <si>
    <t>DODIN, Jean-Marc; Shears, Matthew; Meinders, Andre; Arthur, Gideon; Jones, David M.</t>
  </si>
  <si>
    <t>SW Creek - Flood Damage &amp; Debris</t>
  </si>
  <si>
    <t>Hi Mark,   Here’s a quick résumé of the creek situation and how we anticipate moving ahead:   1.       ​Currently the maintenance and BEX have constructed a temporary inflow and outflow structure made from multiple concrete pipes, and steel ro</t>
  </si>
  <si>
    <t>Washburn, Nathan; Bent, Symon; Gilden, David</t>
  </si>
  <si>
    <t>Operations Maintenance Desk</t>
  </si>
  <si>
    <t>Thanks Nathan C!    The LDC M&amp;O desk is starting to get a little clearer.   Thanks,  Shaun   From: Cruthirds, Nathan Sent: Friday, June 12, 2015 1:26 PM To: Lindstrom, Carl-Johan Cc: Coombs, Shaun Subject: ZIM -LDC Operations &amp; M</t>
  </si>
  <si>
    <t>MDG Toliara RTO</t>
  </si>
  <si>
    <t>Property in Toliara for the Vezo Language Remote Translation Office</t>
  </si>
  <si>
    <t>We have received the Publishing Committee’s letter dated HPA:HDA approving to negotiate the purchase of the above mentioned property. By means of this memo we wish to inform you that the owner was very reluctant to lower the price due to the mounting infl</t>
  </si>
  <si>
    <t>Morgan, Wendell</t>
  </si>
  <si>
    <t>DC-51, Form</t>
  </si>
  <si>
    <t>Update Personnel forms (DC-51, DC-52, and DC-53)</t>
  </si>
  <si>
    <t>HYPERLINK "url:orbit://WID&amp;WHQ-WDC-D154E3BF-7B8E-4A6C-9E88-8DA51C500D1E"Worldwide Design/Construction Draft Housner, Bradley 6/12/2015 1:14pm  Dear Brothers, We are in the process of revising the DC-51, DC-52, and DC-53. Enclosed are the</t>
  </si>
  <si>
    <t>DC-51, Personnel</t>
  </si>
  <si>
    <t>(DRAFT) Worldwide Design Construction Department - Update Personnel forms (DC-51, DC-52, and DC-53)</t>
  </si>
  <si>
    <t>LDC oversight can be BC member</t>
  </si>
  <si>
    <t>    From: St. Jean, Zeny Sent: Friday, June 12, 2015 2:25 PM To: Jones, David M. Subject: RE: LDC oversight   David – Yes.  Especially would this be the case where the LDC responsibilities are large – like GHA.   Thanks,   Zeny</t>
  </si>
  <si>
    <t>Cruthirds, Nathan; OGuin, Colin; Bent, Symon; Washburn, Nathan; rodney@mrhce.co.za</t>
  </si>
  <si>
    <t>13A RES Fire Damage--DWGS; Firewalls in New 2-story Res</t>
  </si>
  <si>
    <t>Mark,   The rating of the fire walls/ceiling depends on the code we are following.   SABS 0400-T (1990) requires a 30 minute separation between rooms, whereas SANS 10400-T (2011) now requires 60 minutes.   But it is not as easy as just e</t>
  </si>
  <si>
    <t>InboxCNSTViepe.GH</t>
  </si>
  <si>
    <t>Bent, Symon; Meinders, Andre</t>
  </si>
  <si>
    <t>Concrete</t>
  </si>
  <si>
    <t>Residence Foundations - Concrete Cube Tests</t>
  </si>
  <si>
    <t>Brothers,   Please note the structural engineer’s reply to your query below.  Let us know if you have any other questions.   Colin O'Guin Engineering Project Coordination US Regional Design/Construction Department Watchtower Bible &amp; Tra</t>
  </si>
  <si>
    <t>NLBR, Signs</t>
  </si>
  <si>
    <t>RDC review of NLBR; REQ 520-12208; Signs; 20150605</t>
  </si>
  <si>
    <t>Dear brothers,   We have reviewed the following Non-Literature Branch Requests (NLBRs) that we received from you on date for the name project :   1.       Req. #12208 : Signs   We are in agreement with your requests.  Please make the sma</t>
  </si>
  <si>
    <t>Food costs</t>
  </si>
  <si>
    <t>This is fine and standard procedure for small projects. Symon   From: DODIN, Jean-Marc Sent: 12 June 2015 11:20 To: Jones, David M. Cc: Bent, Symon; Shears, Matthew Subject: GHA Baatsona SKE; Food costs   Hi David, The project has a</t>
  </si>
  <si>
    <t>Lester, Davin; OGuin, Colin; Michalakis, Evangelos</t>
  </si>
  <si>
    <t>Arch</t>
  </si>
  <si>
    <t>Waterproofing around the shower floor drains</t>
  </si>
  <si>
    <t>Hi Hendrik, sorry this took so long, here’s the final answer from ARCH:   What we are saying is that the detail that they are referring to is what was specified on the drawings for previous RTO projects. What was shown on the drawings for the Kat</t>
  </si>
  <si>
    <t>RDC review of AO-8 May 20150609</t>
  </si>
  <si>
    <t>Dear brothers,   We have reviewed the AO-8 Financial Report for the month of May 2015 for the ZMB Kabompo RTO project :   We are in agreement.  Please mention the total resale amount in the notes field, then go ahead and submit to WDC.  </t>
  </si>
  <si>
    <t>Andrew Struyf (phlrto.nagacity@yahoo.com); InboxRDCAdminPTSupport.ZA; InboxRDCEstimating.ZA</t>
  </si>
  <si>
    <t>RDC review of May AO-8 Report</t>
  </si>
  <si>
    <t>Dear brothers,   We have reviewed the AO-8 Financial Report for the month of May 2015 for the ZMB Mongu RTO project :   We are in agreement.  Please correct the spelling mistakes in the attached version, and go ahead and submit to WDC.  It mig</t>
  </si>
  <si>
    <t>Jason and Kelly Ritchie Personnel Evaluation (CONCERNS)</t>
  </si>
  <si>
    <t>People in Kabompo seems to be a challenge… we had planned to use Jason as the COA, but this report does not help that idea too much!  Your wisdom would be appreciated.   Symon   From: InboxCDA2KSystem.ZA Sent: 11 June 2015 08:16 To: Bent, S</t>
  </si>
  <si>
    <t>Bldg 13A options update</t>
  </si>
  <si>
    <t>Thanks Colin, nice job.    I think François Mbete was attending also, Robert Elongo the coordinator too.  The villas I understood were being rented could be well wrong though J   Thanks,  Shaun   From: O'Guin, Colin Sent: Thursday,</t>
  </si>
  <si>
    <t>Kwesie, Samuel; Crudass, Paul; Watts, Jeffery; Bent, Symon; OGuin, Colin; Allan, Mark</t>
  </si>
  <si>
    <t>Write for Exemption on Taxes, Duty etc</t>
  </si>
  <si>
    <t>David,   Also recently there was a letter to all branches that offered Treasurers Office assistance to any branch that was looking for help in formulating tax exemption strategies – do you remember it?  Most times these type of exemptions have to be</t>
  </si>
  <si>
    <t>Kwesie, Samuel; Crudass, Paul; St. Jean, Zeny; Watts, Jeffery; Bent, Symon; OGuin, Colin; McDonald, Darcy</t>
  </si>
  <si>
    <t>Thanks very much. Our prayers are with you   Regards, Mark Allan (ZAF-RDC) (REC) Watch Tower Bible and Tract Society of South Africa, NPC. Registration number: 2006/022758/08. PBO number: 930021658   From: Jones, David M. Sent: 11 June</t>
  </si>
  <si>
    <t>Hortelao, Carlos</t>
  </si>
  <si>
    <t>OGuin, Colin; Bent, Symon; Spanner, Simon</t>
  </si>
  <si>
    <t>AGO Branch</t>
  </si>
  <si>
    <t>Studio</t>
  </si>
  <si>
    <t>Temporary Audio Video Department - Proposal</t>
  </si>
  <si>
    <t>Hi Shaun,   Thank you.   I was impressed that you have used a piece of paper to scratch the studio! Last meeting we have done the same the difference was the color of the paper! Do you remember? J It looks an excellent idea for me. We will give it</t>
  </si>
  <si>
    <t>Allan, Mark; Bent, Symon</t>
  </si>
  <si>
    <t>Temp housing options</t>
  </si>
  <si>
    <t>Embedded (11)</t>
  </si>
  <si>
    <t>Shaun,   Attached and below are the latest.  The attachments are the same as Van last sent, plus one for Option #3 that was missing before.  Let me know if there is anything else we can do to support the effort.   Colin O'Guin Engineering Pr</t>
  </si>
  <si>
    <t>AH, Budget</t>
  </si>
  <si>
    <t>We write responding to your mail on the above subject matter. After spending quite some time going over your suggestions, we feel that the listed assembly sites marked for development/upgrade are needed except for ones that had less than 5 weekend usage.</t>
  </si>
  <si>
    <t>Procurement</t>
  </si>
  <si>
    <t>Borehole Project at the Viana Assembly Hall</t>
  </si>
  <si>
    <t>We are writing in response to your Project Approval Request (DC_x001E_41) form No. 1, for the Borehole Project at the Viana Assembly Hall, in the amount of USD 53,961. We understand the estimated completion date for this project is November 2015. This DC_x001E_41 is</t>
  </si>
  <si>
    <t>Bent, Symon; OGuin, Colin</t>
  </si>
  <si>
    <t>13A Fire Damage SHORT TERM Accommodation</t>
  </si>
  <si>
    <t>No worries - If you could get Orbit to function for you it would be at your fingertips…. Thanks,   Zeny   CONGO (KINSHASA) BRANCH AB:FA   June 9, 2015   No. 1695  URGENT COORDINATORS' COMMITTEE Re: Fire - Congo Kinshasa Bethel f</t>
  </si>
  <si>
    <t>McCarthy, Benjamin; Nordin, Timothy; Bent, Symon; Proszek, Fred; Scarselletta, Tony Jr.; Watts, Jeffery; McDonald, Darcy; Briel, Pieter; Skandalis, Constantin; OGuin, Colin</t>
  </si>
  <si>
    <t>Concept Cost Plan; Pull out COST of SW Channel</t>
  </si>
  <si>
    <t>Hi Zeny (breaking this off as a separate e-mail thread…)   WSP is doing the final design of the ‘open’ 3m wide / 1.5m deep SW Creek and associated 600mm pipe running alongside (and the inlet and outlet structures). Their final AFC dwgs will then inc</t>
  </si>
  <si>
    <t>McCarthy, Benjamin; Nordin, Timothy; Bent, Symon</t>
  </si>
  <si>
    <t>Concept Cost Plan; Review with ZSJ--MINUTES</t>
  </si>
  <si>
    <t>Thanks all for the meeting. I’m no Jeff Watts J, but see below for some key points:   ·         Original memo HDA:HDK March 19, 2014 – approved 380 people at the branch, including Twi language ·         CDP currently shows 325 people at the branc</t>
  </si>
  <si>
    <t>Guideline</t>
  </si>
  <si>
    <t>WDC Form and Acronym List</t>
  </si>
  <si>
    <t>Washburn, Nathan; Allan, Mark; De Meyer, Efraim; Imai, Masaaki; Crook, Arthur; Cruthirds, Nathan; ten Have, Fabian; White, Tara</t>
  </si>
  <si>
    <t>SALTO - Keyless Access package guidance</t>
  </si>
  <si>
    <t>Hi All,   It’s taken some time but we are finally ready with a keyless access package! The information contained below and in the attachments can be worked up with a branch maintenance team or included in the ironmongery package produced by Architec</t>
  </si>
  <si>
    <t>Shears, Matthew; Bent, Symon; Davies, Philip</t>
  </si>
  <si>
    <t>Structural - Connection Slabs Porch to Main Bldg</t>
  </si>
  <si>
    <t>Jean-Marc,   Please see the structural engineer’s reply to your query below.   Colin O'Guin Engineering Project Coordination US Regional Design/Construction Department Watchtower Bible &amp; Tract Society of New York, Inc. 25 Columbia Hei</t>
  </si>
  <si>
    <t>Ryan, Gillian</t>
  </si>
  <si>
    <t>Webb, Sandra; Ballinger, Rene; McKelvey, Jamie; Coombs, Shaun</t>
  </si>
  <si>
    <t>Key Matrix to be produced locally, not ZAF or RDC</t>
  </si>
  <si>
    <t>Hi All,   A clear decision was made in RDC that we are not specifying or assisting with master key systems for RTOs.  We are also not asking the ZAF maintenance for assistance, neither should the RTOs ask them for assistance.  Our standard is as Gil</t>
  </si>
  <si>
    <t>Admin, LDC</t>
  </si>
  <si>
    <t>New Admin Feature for LDC Entities</t>
  </si>
  <si>
    <t>With Release 15.6 Hotfix 3062, a new feature has been added to the Admin software for managing Local Design/Construction Department (LDC) entities. This new feature is the first of several updates to Admin and jw.org that will provide a better way for the</t>
  </si>
  <si>
    <t>Approval, Fire, Travel</t>
  </si>
  <si>
    <t>Congo Residence Fire Damage Assess - Travel Approval</t>
  </si>
  <si>
    <t>As you are already aware, this past weekend (June 6/7, 2015) a fire broke out in the ‘13A’ single-story residence building at the Congo (Kinshasa) branch. We are very grateful that no one was injured and that everyone was safely evacuated in time. However</t>
  </si>
  <si>
    <t>Washburn, Nathan; OGuin, Colin; Allan, Mark; St. Jean, Zeny</t>
  </si>
  <si>
    <t>Residence 13A fire damage update</t>
  </si>
  <si>
    <t>Copy for you Syms, sorry missed you out..    Thanks,  Shaun   From: Coombs, Shaun Sent: Tuesday, June 9, 2015 4:39 PM To: O'Guin, Colin; Wilhjelm, Peter; Mbete, François; Elongo, Robert; BILYK, Jason JOHN Cc: Washburn, Nathan; Allan, Ma</t>
  </si>
  <si>
    <t>Allan, Mark; Bent, Symon; Reichel, Venessa</t>
  </si>
  <si>
    <t>Entrance gate Bridge deisgn</t>
  </si>
  <si>
    <t>Hi Davin,   Please see revised drawing C-503. Details J, K &amp; L refer to the entrance bridge to give access to your site.   There are 2 options, so you can choose whether you would like to construct it using reinforced masonry, or concrete. We’</t>
  </si>
  <si>
    <t>ZWE Chiredzi RTO</t>
  </si>
  <si>
    <t>Rented House for Full Time Commuters</t>
  </si>
  <si>
    <t>The Publishing Committee referred to us your letter dated LDA June 5, 2015, No. 847, wherein you outline two possible solutions to care for the lunch meal for the translators working at the Changana remote translation office. We agree with your proposed O</t>
  </si>
  <si>
    <t>RDC review of NLBR; REQ 520-12120; Specialty Items and Accesories; 20150529</t>
  </si>
  <si>
    <t>Dear brothers,   We have reviewed the following Non-Literature Branch Requests (NLBRs) that we received from you on Friday, 05 June, 2015 for the ZMB Katete RTO project :   1.       Req. #12120 : Specialty items and accessories   We are</t>
  </si>
  <si>
    <t>GHA-CNST-Committee</t>
  </si>
  <si>
    <t>Support</t>
  </si>
  <si>
    <t>Construction support for the home</t>
  </si>
  <si>
    <t>Agree with David. Symon   From: DODIN, Jean-Marc Sent: 08 June 2015 17:09 To: Jones, David M. Cc: GHA-CNST-Committee; Bent, Symon Subject: RE: GHA BEX 2; Construction support for the home.    Thank you, good information. JMD  </t>
  </si>
  <si>
    <t>ZAF-RDC-Everyone</t>
  </si>
  <si>
    <t>Lessons</t>
  </si>
  <si>
    <t>Lessons Learned' from Commissioning</t>
  </si>
  <si>
    <t>Greetings all   Attached is the Commissioning Visit Report done for Kabompo RTO. We have as an office really done great in getting a ‘standard package’ together, so well done!   In the report, however, you will notice some valuable ‘lessons le</t>
  </si>
  <si>
    <t>Fire, Photo</t>
  </si>
  <si>
    <t>Pictures of damaged building by fire</t>
  </si>
  <si>
    <t>Dear Symon, Thanks for getting the meeting set up this morning. Here are some more pictures.   With kind greetings, Your brother   Peter Congo Kinshasa Branch HYPERLINK "mailto:pwilhjelm@jw.org"pwilhjelm@jw.org HYPERLINK "mai</t>
  </si>
  <si>
    <t>Coombs, Shaun; Washburn, Nathan</t>
  </si>
  <si>
    <t>Mtg about Fire in Building 13A</t>
  </si>
  <si>
    <t>Here’s my (quick) notes of the meeting. Symon   COD Fire in Building 13A 08 June 2015 06:45 13A burned down; older building! Started at other end, where luggage.   Saturday night 11:30; smoke on 13A, fire alarm ringing; smoke fr</t>
  </si>
  <si>
    <t>CDP Cost Plan (ZSJ and MA queries)</t>
  </si>
  <si>
    <t>We can use this e-trail as a basis for our meeting with Zeny…   Regards, Mark Allan (ZAF-RDC) (REC) Watch Tower Bible and Tract Society of South Africa, NPC. Registration number: 2006/022758/08. PBO number: 930021658   From: Allan, Mark</t>
  </si>
  <si>
    <t>RDC review of NLBR; REQ 520-12218; Mech Order 11; Extra ACs for TERs; 20150605</t>
  </si>
  <si>
    <t>Dear brothers,   We have reviewed the following Non-Literature Branch Requests (NLBRs) that we received from you on Friday, June 05, 2015 for the ZMB Katete RTO project :   1.       Req. #12218 : Mech. accessories, extra AC for TER   We</t>
  </si>
  <si>
    <t>ZMB Mpongwe RTO</t>
  </si>
  <si>
    <t>Property Option in Mpongwe for the Lamba Remote Translation Office</t>
  </si>
  <si>
    <t>Modular options</t>
  </si>
  <si>
    <t>The Worldwide Design/Construction Department informed us of your request to purchase a property located in Mpongwe (13 30' 5"S, 28 8' 43"E). The property would be used to construct a standard design five_x001E_team remote translation office for the Lamba transl</t>
  </si>
  <si>
    <t>FS extra double data cable drops in offices (Req 57675)</t>
  </si>
  <si>
    <t>Andre,   Please find attached a revised drawing for the Viepe RTO project.  Let me know if you have any questions.   Colin O'Guin Engineering Project Coordination US Regional Design/Construction Department Watchtower Bible &amp; Tract Socie</t>
  </si>
  <si>
    <t>Washburn, Nathan; Gilden, David</t>
  </si>
  <si>
    <t>NLBR Import sheet to add duty adn tax to lines</t>
  </si>
  <si>
    <t>Couple of tweaks to allow for the exchange rate and local total as Jaz pointed out below.   Symon   From: Coombs, Shaun Sent: 05 June 2015 09:42 To: Gilden, Jasmine Cc: Washburn, Nathan; Bent, Symon; Gilden, David Subject: RE: NLBR's - Co</t>
  </si>
  <si>
    <t>Reichel, Venessa</t>
  </si>
  <si>
    <t>Stone, James Wayne</t>
  </si>
  <si>
    <t>Bent, Symon; Allan, Mark; Bateman, Tristan; Gilden, David</t>
  </si>
  <si>
    <t>RTO Paint Epoxy Sikagard 63N 'QUANTITIES'</t>
  </si>
  <si>
    <t>Jesse,   Dave suggested we ask your opinion on the Sikagard 63N product as per email thread below.  He said they had no problems with the product on Messinga.   Could you tell us if you had any application problems? We calculated the quanti</t>
  </si>
  <si>
    <t>Russell, Ian</t>
  </si>
  <si>
    <t>GHA-LDC-Overseer; Crudass, Paul; Kontoh, Joris; Meinders, Andre; Bent, Symon</t>
  </si>
  <si>
    <t>Notifying WHQ about RTOs, etc</t>
  </si>
  <si>
    <t>Once we receive approval for the formation of a new language team that will be housed in the region where the language is spoken, that should be the trigger. Should the TD not at that point inform the LDC and CD of the development so that they then can be</t>
  </si>
  <si>
    <t>Allan, Mark; Bent, Symon; Shears, Matthew</t>
  </si>
  <si>
    <t>Dimensions of shed (old garage)</t>
  </si>
  <si>
    <t>Hi Colin,   Sorry to be late with this one. Please find enclosed the required dimensions for the shed.     Thank you, Jean-Marc Dodin Construction Office GHANA BEX Extension:  22431 Cell: 054 431 4831       Fro</t>
  </si>
  <si>
    <t>Fynn, Ryan</t>
  </si>
  <si>
    <t>Beadle, Justin</t>
  </si>
  <si>
    <t>Allan, Mark; Washburn, Nathan; OGuin, Colin; Coombs, Shaun; Gilden, David; Sukram, Sarah; Crook, Arthur; Mashego, Alfred; McKelvey, Jamie; Nardini, Andrea; Bent, Symon; Carnell, Paul; Viljoen, Rene; Bourquin, Bradley; Nudd, Don; Murray, Duncan; Prinsloo, Jurie; Keen, Anthony; Stovay, Anton; Dyer, Bruce; Briel, Pieter; Michalakis, Evangelos; Chiappetta, Raquel; Mokhali, Mosiuoa; Keen, Caren; Ruiz, Mauricio; Pizzolato, Daniele; John Dovey</t>
  </si>
  <si>
    <t>Concrete floor polishing</t>
  </si>
  <si>
    <t>Outstanding Justin!  This has been an option on the cards for some time, nice to have all the research and contacts.  Copying a whole bunch of people who should be interested. Thanks for sharing. Ryan From: Beadle, Justin Sent: 05 June 2015 10:</t>
  </si>
  <si>
    <t>Requested Lab Results for Soil Samples; Res BLDG locations A-4 E-9</t>
  </si>
  <si>
    <t>Thanks Shane – this is exactly what we are looking for!   Hi TB – see attached “ZMB Choma Soil Sample Results 2540 2541 Noside Lab.pdf” and “ZMB Choma RES DCP locations-GRID.pdf”   Please analyse the soil (AASHTO rating); then we can analyse t</t>
  </si>
  <si>
    <t>Meinders, Andre; Bent, Symon; OGuin, Colin</t>
  </si>
  <si>
    <t>Thanks TB. Good job   Normally when we make comments on another engineer’s design and say it is ‘too weak’ or ‘inadequate’, we have to be ‘more forceful’. For example, one engineer in another country had a retaining wall where the vertical rebar was</t>
  </si>
  <si>
    <t>AV, Design</t>
  </si>
  <si>
    <t>2m AV Ext--Design Sketches by Ghana UPDATE</t>
  </si>
  <si>
    <t>Mark I have attached a few sketches.(got to it a bit quicker than expected)  I think these are the ones that are mainly impacted by the 2 meter extension. I have not done any sketches for areas that have no measurements. Also electrical can be decid</t>
  </si>
  <si>
    <t>Approval, Property</t>
  </si>
  <si>
    <t>Approval to buy</t>
  </si>
  <si>
    <t>The Worldwide Design/Construction Department (WDC) provided details related to your memorandum AOA June 1, 2015, in which you provided a Property Evaluation (DC-31) form and requested approval to purchase a property located at Besasavy-Commune Rurale Mits</t>
  </si>
  <si>
    <t>WDC RPC Meeting minutes June 4, 2015</t>
  </si>
  <si>
    <t>Fence, NLBR</t>
  </si>
  <si>
    <t>RDC review of NLBR -12198 Metal Fence Palisade</t>
  </si>
  <si>
    <t>Dear brothers,   We have reviewed the following Non-Literature Branch Requests (NLBRs) that we received from you on 04 June 2015 for the ZMB Choma RTO project :   1.       Req. #12198 : Metal palisade fence   We are in agreement with you</t>
  </si>
  <si>
    <t>InboxRDCAdminPTSupport.ZA; InboxRDCEstimating.ZA</t>
  </si>
  <si>
    <t>DC-43; 201505</t>
  </si>
  <si>
    <t>Dear brothers,   We have reviewed the DC-43 Financial Report for the month of May 2015 for the ZMB Katete RTO project :   We are in agreement.  Please could you fix a couple of highlighted spelling errors, add the names and go ahead and submit to WDC.</t>
  </si>
  <si>
    <t>Schiller, Ben</t>
  </si>
  <si>
    <t>Civil, Design</t>
  </si>
  <si>
    <t>Perimeter Wall Strip, Raodway</t>
  </si>
  <si>
    <t>Ben – pop by my office and I can tell you basically what is done, and you can get details later…   Regards, Mark Allan (ZAF-RDC) (REC) Watch Tower Bible and Tract Society of South Africa, NPC. Registration number: 2006/022758/08. PBO number: 9</t>
  </si>
  <si>
    <t>Bent, Symon; OGuin, Colin; Bateman, Tristan</t>
  </si>
  <si>
    <t>Soil Test Results - Cut Material Pile</t>
  </si>
  <si>
    <t>Hi Mark   Based on the attached results the stockpiled cut material will not be suitable for any “engineered” fills. The load bearing capacity is very low (well below 50kPa).    The material could be used to fill holes in the ground, sports fi</t>
  </si>
  <si>
    <t>GHA-MNT-Overseer; GHA-BRANCH-Committee; GHA-CNST-Committee</t>
  </si>
  <si>
    <t>Water came over bridge, Bethel entrance road, Flooding Service center, Front creek entrance, Rear creek, Bethel entrance, Creek rear, Creek entrance</t>
  </si>
  <si>
    <t>Brothers -  The rains last night did a lot of damage (again) to Bethel property, completely destroying front and rear exits to the creek, destroying the newly installed electric fence. We have no security now until we can fix it again - until the</t>
  </si>
  <si>
    <t>RDC review of NLBR; REQ 520-12180; Paint, Sealants and Blinds; 20150603</t>
  </si>
  <si>
    <t>Dear brothers,   We have reviewed the following Non-Literature Branch Requests (NLBRs) that we received from you on 03 June 2015 for the ZMB Katete RTO project :   1.       Req. #12180 : Paint, sealants, and blinds   We are in agreement</t>
  </si>
  <si>
    <t>Assembly Hall Video Equipment Questionnaire</t>
  </si>
  <si>
    <t>As directed by the Memorandum HDA:HDO February 24, 2015, we are submit to you two questionnaires, one for Viana Assembly Hall and other for Cuca Assembly Site for your review. After your review the LDC will send this forms to the Broadcasting Department f</t>
  </si>
  <si>
    <t>Utility BLDG DCP Final</t>
  </si>
  <si>
    <t>Hi Shane,   Sorry for the delay on this. This was next in the long queue of site queries.   These results look good and you can proceed.   Although the specified 6mm/blow below was not achieved, the slab edge thickening will sit on a goo</t>
  </si>
  <si>
    <t>REA:REN</t>
  </si>
  <si>
    <t>(Ndebele) Remote Translation Office Conceptual Project Proposal</t>
  </si>
  <si>
    <t>We would like to request your approval of the Conceptual Project Proposal (CPP) to begin the construction document stage of the remote translation office for the Ndebele language in Bulawayo, Zimbabwe. The total “Not to Exceed” cost limit for the project</t>
  </si>
  <si>
    <t>HMA:HMB</t>
  </si>
  <si>
    <t>Purchasing Support for Branch Expansion</t>
  </si>
  <si>
    <t>We were pleased to receive a copy of the Publishing Committee’s letter HPA:HDA June 2, 2015, No. 38221P, in which approval was granted for your upcoming branch construction project. We write regarding the important need for purchasing support of your proj</t>
  </si>
  <si>
    <t>Conceptual Project Proposal</t>
  </si>
  <si>
    <t>InboxRDCAdminPTSupport.ZA; Gilden, David; Washburn, Nathan</t>
  </si>
  <si>
    <t>Fixing NLBR imports into PT</t>
  </si>
  <si>
    <t>Great idea Jasmine, my suggestions attached.  I think that we could keep on tweaking this idea more.   Symon   From: Gilden, Jasmine Sent: 03 June 2015 07:45 To: Coombs, Shaun Cc: InboxRDCAdminPTSupport.ZA; Gilden, David; Washburn, Nathan;</t>
  </si>
  <si>
    <t>Notes from Meeting with EPCs</t>
  </si>
  <si>
    <t>Bros, Feel free to make any additions (in track changes) that you see fit. Thanks, Nathan</t>
  </si>
  <si>
    <t>CDP, Design</t>
  </si>
  <si>
    <t>CDP - Dimensions VMB and Shed</t>
  </si>
  <si>
    <t>Hi Colin, Please find attached the marked sketch of the VM Building. We were not able to complete the Shed dimensions as promised; we’ll do our utmost for tomorrow morning.   Thank you, Jean-Marc Dodin       From: Dodin, Marie</t>
  </si>
  <si>
    <t>AGO Luanda South AH</t>
  </si>
  <si>
    <t>AH, Property</t>
  </si>
  <si>
    <t>Follow up to Luanda Sul AH Property</t>
  </si>
  <si>
    <t>As suggested in our last conference call with WDC we proposed the following to Pedro Neto. Below we provide a copy of what we proposed and his reply.</t>
  </si>
  <si>
    <t>Accommodation and Office Space</t>
  </si>
  <si>
    <t>We are writing in reply to your letter dated A May 19, 2015, No. 831, in which you provided an update on the current situation for space at your branch and proposed options for meeting the needs for the future. We understand that you met with the Worldwid</t>
  </si>
  <si>
    <t>Accommodation and Office Space; move Shona and ZSL</t>
  </si>
  <si>
    <t>CME:SSC</t>
  </si>
  <si>
    <t>CMR LDC</t>
  </si>
  <si>
    <t>Design, KH</t>
  </si>
  <si>
    <t>Proposal of New Standard Plan for City Environment Kingdom Hall</t>
  </si>
  <si>
    <t>We would like to bring to your attention some modifications to the standard blueprints for Kingdom Halls used by large congregations in a city environment. The overall structure and finishing remain unchanged. However we propose the following adjustments:</t>
  </si>
  <si>
    <t>Doors, NLBR</t>
  </si>
  <si>
    <t>RDC review of NLBR -10368 ZAF aluminum doors</t>
  </si>
  <si>
    <t>Dear brothers,   We have reviewed the following Non-Literature Branch Requests (NLBRs) that we received from you on Monday, 01 June, 2015 for the ZMB Choma RTO project :   1.       Req. #10368 : Doors and windows from ZAF   We are in agr</t>
  </si>
  <si>
    <t>ZIM Space Needs Notes 2015-06-02 docx</t>
  </si>
  <si>
    <t>Dear Brothers, Notes from our meeting are attached for your records. We also included two copies of the staffing survey template, one to include translation in the 10-year forecast and one to exclude the translation teams from the forecast.  We appreci</t>
  </si>
  <si>
    <t>Crook, Arthur</t>
  </si>
  <si>
    <t>Design, Studio</t>
  </si>
  <si>
    <t>Zambia Choral Studio Design</t>
  </si>
  <si>
    <t>Greetings Symon, I have drawn a slightly different plan, eliminating one more of the Editing Rooms so that the sloped roof portion mated better with the studio portion. Let me know what you think.  Arthur Crook Architectural Coordinator RDC-SAF</t>
  </si>
  <si>
    <t>Properties near Toliara for Vezo Lang</t>
  </si>
  <si>
    <t>In harmony with your memo dated REA:REG October 1, 2014 about our Lync video conference on Monday September 29, 2014 between members of our Branch Committee and representatives of the WDC and your office, we are pleased to inform you of a new property tha</t>
  </si>
  <si>
    <t>Vezo RTO Properties near Toliara</t>
  </si>
  <si>
    <t>OGuin, Colin; Allan, Mark</t>
  </si>
  <si>
    <t>ZMB Petauke RTO</t>
  </si>
  <si>
    <t>Initial soil test results (STRUCT Reply)</t>
  </si>
  <si>
    <t>Hi Symon,   Here is the soil analysis for the Petauke RTO.    This soil is classified as an A-2-4.    Group A-2: This group includes a wide variety of “granular” materials that are borderline between the materials falling in Groups A-1 a</t>
  </si>
  <si>
    <t>School</t>
  </si>
  <si>
    <t>LDCTC Schedule Template</t>
  </si>
  <si>
    <t>Bent, Symon; InboxRDCMaintenanceSupport.ZA</t>
  </si>
  <si>
    <t>Electrical Internal quality control sheet</t>
  </si>
  <si>
    <t>TX,   Received it and will look at it! Efraim     RDCmaintenance support:  This was a follow-up point from the commissioning list     Gr. Efraim   From: Blackman, Innes Sent: Tuesday, June 02, 2015 9:53 AM To: De</t>
  </si>
  <si>
    <t>Branch Expansion Concept Design Proposal</t>
  </si>
  <si>
    <t>Sample CDP</t>
  </si>
  <si>
    <t>We have reviewed and approved of the concept design proposal (CDP) for a new branch office on the property that was purchased in Kribi. The South Africa Regional Design/Construction Department (RDC) is assigned to deliver the project in line with the scop</t>
  </si>
  <si>
    <t>(ON WDC RDC MEETING) WDC RDC Meeting - June 4, 2015</t>
  </si>
  <si>
    <t>HYPERLINK "url:orbit://WID&amp;WHQ-WDC-F6B9EFA4-57F9-4181-A678-A6D17FB0B894"Worldwide Design/Construction On WDC/RDC Meeting Scarselletta, Anthony 6/1/2015 2:24pm  Brothers: Here is the agenda for this month's meeting. HYPERLINK "url:orbit:</t>
  </si>
  <si>
    <t>Commuters Shower and Toilet Facilities; approval</t>
  </si>
  <si>
    <t>We write with regard to the above captioned subject.</t>
  </si>
  <si>
    <t>McCarthy, Benjamin</t>
  </si>
  <si>
    <t>Senegal Branch FEV Cost OCE</t>
  </si>
  <si>
    <t>Men: Please find attached the lower and upper range of costs for the Senegal FEV.   We have formatted it in a way that will be familiar to all of you, an “Order of Cost” estimate that is generally used in a Planning Options Report, very similar</t>
  </si>
  <si>
    <t>Washburn, Nathan; Allan, Mark; Bent, Symon</t>
  </si>
  <si>
    <t>Additional costs for 2 meter extension</t>
  </si>
  <si>
    <t>Thank you Darcy   Much appreciated.  Ben   From: InboxRDCEstimating.ZA Sent: Monday, June 1, 2015 7:43 AM To: McCarthy, Benjamin Cc: Washburn, Nathan; Allan, Mark; Bent, Symon Subject: Additional costs for 2 meter extension to GHA Vie</t>
  </si>
  <si>
    <t>Approval</t>
  </si>
  <si>
    <t>Saio Healthcare Appts--approval letters</t>
  </si>
  <si>
    <t>    With kind greetings, Your brother   Peter Congo Kinshasa Branch HYPERLINK "mailto:pwilhjelm@jw.org"pwilhjelm@jw.org HYPERLINK "mailto:pw@pwcongo.dk"pw@pwcongo.dk   +243 81 2669 810 +243 99 9909 707  </t>
  </si>
  <si>
    <t>Instructions to branches on entering Site information into Admin</t>
  </si>
  <si>
    <t>Due to the growth of the organization and the merger of various branches, remote translation and other offices have been established in many parts of the world. We are writing to provide direction on how remote locations are to be recorded in the Admin so</t>
  </si>
  <si>
    <t>GHA-LGL-Everyone; GHA-MNT-Overseer; GHA-HOME-Everyone; DODIN, Jean-Marc; Shears, Matthew; Bent, Symon; GHA-ACCT-Overseer</t>
  </si>
  <si>
    <t>Rooming projections and rented annexes 010615</t>
  </si>
  <si>
    <t>Rooming projections through 2016.</t>
  </si>
  <si>
    <t>Overseers Time Away, June to August 2015</t>
  </si>
  <si>
    <t>Dear Bros, Please review the enclosed schedule. It shows who will fill in when overseers and office staff will be on time away. Your comments are welcomed as I may have forgotten some people. Let’s try to the final version printed out and fixed o</t>
  </si>
  <si>
    <t>Domingos, Salvador</t>
  </si>
  <si>
    <t>OGuin, Colin; Bent, Symon; InboxRDCAdminPTSupport.ZA; Verdiano, Genesio; Cardoso, Jessica Ann Birrow; Hisatomi, Geraldo Eigi</t>
  </si>
  <si>
    <t>Borehole, DC-41</t>
  </si>
  <si>
    <t>DC-41 Borehole drilling</t>
  </si>
  <si>
    <t>Hi Salvador,   Please fine attached the DC-41 for your Viana AH borehole project.   Please include the including the following pieces of information on the DC-41:   ·       Since another DC-41 is planned, you need to include the estimate</t>
  </si>
  <si>
    <t>Pereira, Nelson</t>
  </si>
  <si>
    <t>Bent, Symon; Cuadros Gil, Juan</t>
  </si>
  <si>
    <t>Couple Iglesia Mielgo (BCV)--Request to leave assignment for 1 month</t>
  </si>
  <si>
    <t>Hi Jean-Marc,   Thanks for keeping us up to date. Nelson Pereira Construction Personnel Desk Central Europe – RDC Tel. 2091 Desk 024-RSP   From: DODIN, Jean-Marc Sent: Sonntag, 31. Mai 2015 19:58 To: Pereira, Nelson Cc: Bent, S</t>
  </si>
  <si>
    <t>Commuters Shower and Toilet Facilities</t>
  </si>
  <si>
    <t>WDC Request</t>
  </si>
  <si>
    <t>We are writing to request your recommendation for the 2016 Kingdom Hall and Assembly Hall construction program spending limit for your branch territory. The annual spending limit for Kingdom Hall and Assembly Hall construction is the amount that will be s</t>
  </si>
  <si>
    <t>REA:RES</t>
  </si>
  <si>
    <t>Cameroon Branch Relocation CDP</t>
  </si>
  <si>
    <t>sample CDP</t>
  </si>
  <si>
    <t>We are pleased to submit for your review the Conceptual Design Proposal (CDP) for the relocation of the Cameroon Branch office from Douala to Kribi. The CDP has been reviewed by the South Africa RDC as well as the Cameroon Branch Committee. Please note th</t>
  </si>
  <si>
    <t>Doors, NLBR, Security, Windows</t>
  </si>
  <si>
    <t>RDC review of NLBR 10368 Doors, windows, security bars</t>
  </si>
  <si>
    <t>Hello Symon, Thanks for jumping on this.  I think I included a note in the quote attachment from Des to indicate that all the doors need to be 40mm  I will put it in the description as well. Thanks again, Shane   From: Bent, Symon Sent: S</t>
  </si>
  <si>
    <t>OGuin, Colin; Paekau, Ryan</t>
  </si>
  <si>
    <t>RDC review of NLBR -11774, stakbox lids, utilty trailer copper pipe</t>
  </si>
  <si>
    <t>Dear brothers,   We have reviewed the following Non-Literature Branch Requests (NLBRs) that we received from you on 15 May 2015 for the ZMB Choma RTO project :   1.       Req. #11774 : Stakbox lids, trailer, pipe   We are in agreement wi</t>
  </si>
  <si>
    <t>COD Kabinda RTO</t>
  </si>
  <si>
    <t>AV, Property</t>
  </si>
  <si>
    <t>Status update on property search; AV approval</t>
  </si>
  <si>
    <t>FYI   From: Wilhjelm, Peter Sent: 29 May 2015 08:04 To: Bent, Symon Subject: RE: COD Kabinda RTO; Status update on property search; AV approval   Dear Symon, I just found the mail. Yes we should have a letter written today.   W</t>
  </si>
  <si>
    <t>Bent, Symon; Washburn, Nathan; Sharp, Dayrell</t>
  </si>
  <si>
    <t>ZMB Mwinilunga RTO</t>
  </si>
  <si>
    <t>Preliminary project documents for review</t>
  </si>
  <si>
    <t>Path info</t>
  </si>
  <si>
    <t>Many thanks.  One more thing.  The foot paths from the side gate to not connect to the carpark and main gate but perhaps they should.   From: O'Guin, Colin Sent: Thursday, May 28, 2015 5:29 PM To: Finch, Ed Cc: Bent, Symon; Washburn, Nathan; Sha</t>
  </si>
  <si>
    <t>Durrant, John</t>
  </si>
  <si>
    <t>Abotchi, Jules</t>
  </si>
  <si>
    <t>CIV Agboville RTO</t>
  </si>
  <si>
    <t>DC-41 cancelled for now; resubmit later</t>
  </si>
  <si>
    <t>Dear Brothers   Regarding the Agboville RTO, WDC have cancelled the DC-41 and recommend it be resubmitted when negotiations are finalized.   This should be cancelled in PT by LDC. This is done by putting a cancelled date in the Project Form, G</t>
  </si>
  <si>
    <t>COD RTO Projects</t>
  </si>
  <si>
    <t>Personnel, Travel</t>
  </si>
  <si>
    <t>International Servant - Problem Highlighted in Personal Vacation Travels</t>
  </si>
  <si>
    <t>We are writing to you to expose a problem involved when International Servants wish to travel for vacations while serving in the interior of our territory.</t>
  </si>
  <si>
    <t>FR</t>
  </si>
  <si>
    <t>Circuit Overseer Apartments, extra costs</t>
  </si>
  <si>
    <t>We are responding to your letters dated LDC May 19, 2015, No. 536, and LDC May 20, 2015, No. 537, regarding two circuit overseer apartments, one for circuit 116 and the other for circuit 307.</t>
  </si>
  <si>
    <t>HDA:HDM</t>
  </si>
  <si>
    <t>We are writing to clarify what should be included in the project budget in cost dimensions D6010 and D6020. Please note that permanent active components for telecom and data networks will no longer be included in the project budget for branch and remote t</t>
  </si>
  <si>
    <t>MWI Branch</t>
  </si>
  <si>
    <t>Branch Expansion Planning Options</t>
  </si>
  <si>
    <t>We received and reviewed the planning options report that was based on your ten-year staffing projections and included estimated costs related to the construction of a new residence building, expansion of your dining room, addition of offices, and other w</t>
  </si>
  <si>
    <t>Branch pays for most of equipment</t>
  </si>
  <si>
    <t>Breakell, Emma</t>
  </si>
  <si>
    <t>RDC review of April AO-8 for GHA BEX and Kikam RTO</t>
  </si>
  <si>
    <t>Dear brothers,   We have reviewed the DC-43 Financial Report for the month of April 2015 for the GHA BEX and GHA Kikam RTO projects :   We are in agreement.  Please could you fix a small spelling error in the Kikam report (“Oonstruction”) and</t>
  </si>
  <si>
    <t>InboxRDCEstimating.ZA; Paekau, Ryan</t>
  </si>
  <si>
    <t>RDC review of April 2015, DC-43</t>
  </si>
  <si>
    <t>Dear brothers,   We have reviewed the DC-43 Financial Report for the month of April 2015 for the ZMB Choma RTO project :   We are in agreement.  Please go ahead and submit to WDC.   Kind regards, SymonBent South Africa RDC M: +2</t>
  </si>
  <si>
    <t>Finch, Ed; Kapata, Henry; Mondoka, Molson; Washburn, Nathan</t>
  </si>
  <si>
    <t>Q Construction Servants who get married</t>
  </si>
  <si>
    <t>Answers below Joe. Symon   From: Washburn, Nathan Sent: 25 May 2015 14:12 To: Bent, Symon Cc: Gilden, David; Coombs, Shaun Subject: RE: ZMB - LDC - Kingdom Halls - Question regarding Construction Servants who get married - 25 May 2015  </t>
  </si>
  <si>
    <t>InboxRDCEstimating.ZA; InboxRDCAdminPTSupport.ZA; OGuin, Colin</t>
  </si>
  <si>
    <t>DC-41, Roof, Studio</t>
  </si>
  <si>
    <t>EST review of DC-41 Studio roof replacement</t>
  </si>
  <si>
    <t>Hi Darcy,   Please could you add this DC-41 to the review queue; it is a small one (~$10,000) for a roof replacement project in MDG branch.   Kind regards,   SymonBent South Africa RDC M: +27 61 699 6085  |  T: 2588  |  HYPERLINK "</t>
  </si>
  <si>
    <t>RDC review of NLBR 11984; Fall Protection Plates; 20150521</t>
  </si>
  <si>
    <t>Dear brothers,   We have reviewed the following Non-Literature Branch Requests (NLBRs) that we received from you on 22 May 2015 for the ZMB Katete RTO project :   1.       Req. #11984 : Fall protection plates   We are in agreement with y</t>
  </si>
  <si>
    <t>Fuentes, Miguel</t>
  </si>
  <si>
    <t>KOHLER, Patrick; Meinders, Andre; Smith, Caleb; Kamony, Paulin; OGuin, Colin; Allan, Mark</t>
  </si>
  <si>
    <t>AC, Drawing, Mech</t>
  </si>
  <si>
    <t>FS M-101-M1, M-102-M1--redundant AC in TER</t>
  </si>
  <si>
    <t>Dear brothers,   We are issuing two (2) generic field sketches that indicate a 2nd air-conditioning unit for each TER, to provide redundancy in case of failure.  Please apply this change to your project, marking up your as-built drawings accordingly</t>
  </si>
  <si>
    <t>Furniture, NLBR</t>
  </si>
  <si>
    <t>RDC review of NLBR Draft Req -12024 (South Furniture) and -12021 (US Furniture)</t>
  </si>
  <si>
    <t>Dear brothers,   We have reviewed the following Non-Literature Branch Requests (NLBRs) that we received from you on 25 May 2015 for the ZMB Choma RTO project :   1.       Req. #12024 : Furniture from ZAF 2.       Req. #12021 : Furniture fro</t>
  </si>
  <si>
    <t>Cardoso, Jessica Ann Birrow</t>
  </si>
  <si>
    <t>Gilden, Jasmine; Sheridan, John Richard; Coombs, Shaun</t>
  </si>
  <si>
    <t>Property DC-44</t>
  </si>
  <si>
    <t>Hi Jessica,   Sorry for delaying you!  Yes, please go ahead and submit this DC-44 via EDI, and send a cover memo at the same time including the photo report.  It would be good to mention in the description box that the memo will follow soon.  You ca</t>
  </si>
  <si>
    <t>Wilcox, Stephanie Kate; Legere, Shaun; Shears, Matthew; OGuin, Colin</t>
  </si>
  <si>
    <t>RDC review of NLBR -58763 Webcams</t>
  </si>
  <si>
    <t>Dear brothers,   We have reviewed the following Non-Literature Branch Requests (NLBRs) that we received from you on 28 May 2015 for the GHA BEX project :   1.       Req. #58763 : Webcams   We are in agreement with your requests.  Please</t>
  </si>
  <si>
    <t>Thank you, Brother Finch.  We will edit the project documents accordingly and prepare a package for WDC approval.   Colin O'Guin Engineering Project Coordination US Regional Design/Construction Department Watchtower Bible &amp; Tract Society of N</t>
  </si>
  <si>
    <t>Bent, Symon; McDonald, Darcy</t>
  </si>
  <si>
    <t>GHA CDP Cost Plan (ZSJ and MA queries)</t>
  </si>
  <si>
    <t>Tx Colin. Using this e-mail to keep original formatting…basically Colin replied as per grey below; we must also remember that we did not really have a ‘proper POR’ upon which to base the CDP, so things like the increased Service Building Size did creep in</t>
  </si>
  <si>
    <t>Shears, Matthew; Legere, Shaun; Wilcox, Stephanie Kate; OGuin, Colin; Allan, Mark</t>
  </si>
  <si>
    <t>RDC review of NLBR -58854; Lenovo Laptop</t>
  </si>
  <si>
    <t>Dear brothers,   We have reviewed the following Non-Literature Branch Requests (NLBRs) that we received from you on 28 May 2015 for the GHA BEX project :   1.       Req. #58854 : Lenovo Laptop   We are in agreement with your requests.  P</t>
  </si>
  <si>
    <t>RFI Fall Protection Plates--no paint on galvanised plates</t>
  </si>
  <si>
    <t>Yes I would agree would agree with you: no paint necessary. Symon   From: Lester, Davin Sent: 27 May 2015 06:24 To: Bent, Symon Subject: ZMB Katete RTO; RFI Fall Protection Plates   Hi Symon,   On the plans it says we need to pain</t>
  </si>
  <si>
    <t>CDP, Planning</t>
  </si>
  <si>
    <t>Translation offices needed Phase 2</t>
  </si>
  <si>
    <t>Mark,   This matter is resolved.  The observations received below from the branch were based on plans that have since been updated.  Architectural had actually planned a large enough facility on the ground floor of Building 3 to accommodate a 5-team</t>
  </si>
  <si>
    <t>OGuin, Colin; Sadler, Shane; Michalakis, Evangelos</t>
  </si>
  <si>
    <t>RFI uPVC Panels and Aluminum profile for Showers</t>
  </si>
  <si>
    <t>Suggestions</t>
  </si>
  <si>
    <t>Hi Davin,   Not sure if any projects have ordered for this new design yet: basically the idea is to use 2 of the ceiling UPVC panels (or similar UPVC material) and fix them to the side of the shower using an appropriately sized aluminium U-profile.</t>
  </si>
  <si>
    <t>Property Options in Mpongwe for the Lamba RTO</t>
  </si>
  <si>
    <t>Please find attached two property evaluation forms (DC-31) for an RTO in Mpongwe. This would be for the Lamba language which is currently being translated at a rental location in Kalulushi, Zambia. In the Writing Committee’s letter to Zambia, ETA:ETF Febr</t>
  </si>
  <si>
    <t>AGO PT info for Lubango RTO project</t>
  </si>
  <si>
    <t>Dear Jessica,   Following our training yesterday afternoon I just wanted to send you the attached files so that John and Barbara could have something to fill out in the field with the payments they make.   ·         Template Cost tracking – sh</t>
  </si>
  <si>
    <t>Electrical Load at Our Bethel</t>
  </si>
  <si>
    <t>With the increase of personnel and appliances at our Branch Office, the question has come up as to whether our generators are big enough to handle the loads. We have attached a file that indicates all the name plate loads we have in the building. Also att</t>
  </si>
  <si>
    <t>Keys, SALTO</t>
  </si>
  <si>
    <t>Security, keys and locks</t>
  </si>
  <si>
    <t>In the past months we have reviewed our key system. It was found that many cubicle offices locks, which were not part of the original key plan, and currently are not under the master key system for the branch. Also many of the original keys have been dupl</t>
  </si>
  <si>
    <t>Keys, Security</t>
  </si>
  <si>
    <t>Request for keyless, SALTO</t>
  </si>
  <si>
    <t>Katete Construction Committee Minutes -35</t>
  </si>
  <si>
    <t>Please find attached the May 25th construction committee minutes for the Katete RTO construction project.</t>
  </si>
  <si>
    <t>Draft update DC-3 LDC Guidelines</t>
  </si>
  <si>
    <t>For review</t>
  </si>
  <si>
    <t>My comments are attached.  One day late, sorry! Symon   From: Washburn, Nathan Sent: 16 May 2015 08:56 To: Coombs, Shaun; Bent, Symon; Gilden, David Cc: Allan, Mark; Myklebust, Trond Subject: FW: Draft update DC-3   For our comment.  Y</t>
  </si>
  <si>
    <t>Salvidge, Mark</t>
  </si>
  <si>
    <t>Personnel, Video</t>
  </si>
  <si>
    <t>Streaming of Circuit assembly programs to remote locations</t>
  </si>
  <si>
    <t>Thanks for the info Marky! Smyon   From: Salvidge, Mark Sent: 26 May 2015 16:03 To: Begg, Steven Cc: Miles, Benjamin; Conway, Stephen; Canepa, Bryan Lothrop; Porras, Ezequiel; Naidoo, Krish; Grygorcewicz, Russell; Unrau, Karl Subject: Stream</t>
  </si>
  <si>
    <t>Begg, Steven</t>
  </si>
  <si>
    <t>Miles, Benjamin; Conway, Stephen; Canepa, Bryan Lothrop; Porras, Ezequiel; Naidoo, Krish; Grygorcewicz, Russell; Unrau, Karl</t>
  </si>
  <si>
    <t>Directive</t>
  </si>
  <si>
    <t>Steve,   I have done some digging around and got the following for you, your team, other teams we sort of likeJ , and ZekeJ. Let’s maintain a balance.  This would be a provision for those who do not understand the local language and who really ca</t>
  </si>
  <si>
    <t>McDonald, Darcy; Gilden, David</t>
  </si>
  <si>
    <t>AO-6</t>
  </si>
  <si>
    <t>AO-6 -1 Fire Protection Upgrade</t>
  </si>
  <si>
    <t>All in favour!   From: O'Guin, Colin Sent: 26 May 2015 12:18 To: Bent, Symon Cc: McDonald, Darcy; Gilden, David Subject: RE: ETH AO-6 #1 Fire Protection Upgrade    OK, sounds good.  Dave and I were still thinking it would be good to infor</t>
  </si>
  <si>
    <t>McDonald, Darcy; Bent, Symon; Proszek, Fred</t>
  </si>
  <si>
    <t>Approval, DC-41</t>
  </si>
  <si>
    <t>(Abbey) Project Approval Request (DC-41)</t>
  </si>
  <si>
    <t>Sounds like a plan. Thanks  Dave   From: Watts, Jeffery Sent: Tuesday, May 26, 2015 2:24 PM To: Gilden, David Cc: McDonald, Darcy; Bent, Symon; Proszek, Fred Subject: RE: Orbit WDC: [DRAFT] Cote d'Ivoire - Côte d'Ivoire RTO Agboville (Abb</t>
  </si>
  <si>
    <t>Project Delay--Update</t>
  </si>
  <si>
    <t>Date is good.   From: Nordin, Timothy Sent: 26 May 2015 09:53 To: Washburn, Nathan Cc: Allan, Mark; Bent, Symon Subject: RE: GHA BEX 1; Project Delay--Update?   Nathan, Will you add this to the line in the OCM? I have an empty comme</t>
  </si>
  <si>
    <t>InboxCDA2KSystem.ZA</t>
  </si>
  <si>
    <t>Commissioning, Report</t>
  </si>
  <si>
    <t>Commissioning Visit Report</t>
  </si>
  <si>
    <t>{{Admin2000 Email Notification}} To Read  CO#663360    Description: Kabompo Commissioning Visit Report From: South Africa Date: 2015/05/26 To: Zambia;  [urn:admin2000.jw.org:schemas:branch:ZAF:correspondence:663360] [a2k:c</t>
  </si>
  <si>
    <t>Allan, Mark; Bent, Symon; Sukram, Sarah</t>
  </si>
  <si>
    <t>Legal</t>
  </si>
  <si>
    <t>Legal zoning permitting issues</t>
  </si>
  <si>
    <t>Hello Colin:   Below is noted.  On bullet 2: Watch Tower not Watchtower.  On bullet 4:  As mentioned in conversation I have not seen what was recently sent to the BC for their review.  We would formally have to file drawings for phase II with Tema D</t>
  </si>
  <si>
    <t>Bent, Symon; Washburn, Nathan</t>
  </si>
  <si>
    <t>Sorry, with attachments now, as originally intended.   Colin O'Guin Engineering Project Coordination US Regional Design/Construction Department Watchtower Bible &amp; Tract Society of New York, Inc. 25 Columbia Heights Brooklyn, NY  11201</t>
  </si>
  <si>
    <t>Blend Clean River Sand with 13mm Stone (OK)</t>
  </si>
  <si>
    <t>    From: Allan, Mark Sent: Thursday, May 14, 2015 10:34 AM To: Sadler, Shane Cc: Bateman, Tristan; Bent, Symon; O'Guin, Colin Subject: ZMB Choma RTO; Blend Clean River Sand with 13mm Stone (OK)   Hi Shane – some good news for you J  </t>
  </si>
  <si>
    <t>Q Door thresholds, skimming ceilings in corridors (UPDATES)</t>
  </si>
  <si>
    <t>Hi Jean-Marc/Matt,   I followed up on some questions from Krister.  Direction below from RDC architectural.   Thanks, Symon   From: Sukram, Sarah Sent: 22 May 2015 14:42 To: Bent, Symon Subject: RE: GHA BEX; Q. Door thresholds, skimm</t>
  </si>
  <si>
    <t>Continue to Put your Heart Into the Work Brochure</t>
  </si>
  <si>
    <t>This is what I have.   Thank you, Jean-Marc Dodin       From: Bent, Symon Sent: Monday, May 25, 2015 11:23 AM To: DODIN, Jean-Marc Subject: Do you have a copy of new "Heart for the work" guidelines? [END]       Kind re</t>
  </si>
  <si>
    <t>Info</t>
  </si>
  <si>
    <t>Bethel Labor Costs for Ethiopia and Ghana</t>
  </si>
  <si>
    <t>{{Admin2000 Email Notification}} To Read  CO#663152    Description: Bethel Labor Costs for Ethiopia and Ghana From: Worldwide Design/Construction Department Date: 2015/05/22 To: South Africa;  [urn:admin2000.jw.org:schemas:br</t>
  </si>
  <si>
    <t>DC-41 No 1 (Nyaneka) (USD 839,525)</t>
  </si>
  <si>
    <t>{{Admin2000 Email Notification}} To Read  CO#663133    Description: DC-41 No. 1 Angola RTO Lubango (Nyaneka) (USD 839,525) From: Worldwide Design/Construction Department Date: 2015/05/22 To: South Africa;  [urn:admin2000.jw.o</t>
  </si>
  <si>
    <t>Swimming Pool Quotes--finalise</t>
  </si>
  <si>
    <t>Do you think that we can get together and put an estimated final price together for a pool?  Would be useful for the CDP this week. Symon   From: Bent, Symon Sent: 28 April 2015 10:06 To: O'Guin, Colin; Allan, Mark; Nordin, Timothy Subject: R</t>
  </si>
  <si>
    <t>WWTF</t>
  </si>
  <si>
    <t>WWTF, change of filter media - Trickling Filter zy879</t>
  </si>
  <si>
    <t>Hi Nathan,   All of the below is linked to the attached email conversation and info. Currently we haven’t finished the design yet, we only allowed money for some upgrades in the budget. To solve the problem with this system we will have to go throug</t>
  </si>
  <si>
    <t>Budget, PT</t>
  </si>
  <si>
    <t>Frequently Asked Questions for DC Forms</t>
  </si>
  <si>
    <t>FYI   Tx Mark A   From: InboxWDC Sent: 23 May 2015 06:38 PM To: InboxRDC.US; InboxRDC.DE; InboxRDC.AU; InboxRDC.ZA Subject: Frequently Asked Questions for DC Forms   Dear Brothers: We have received and answered a number of ques</t>
  </si>
  <si>
    <t>Travel Request- Mwinilunga and Kasempa RTO Personnel</t>
  </si>
  <si>
    <t>By means of this memorandum we seek approval for the brothers appointed to serve in oversight of the upcoming Mwinilunga and Kasempa RTO projects in Zambia, to travel to South Africa to work with the RDC for project preparation and DC-41compilation.  The</t>
  </si>
  <si>
    <t>BOA:COA</t>
  </si>
  <si>
    <t>Construction Servant Application Forms (A-32) - Paul &amp; Hazel Tucker-Peake</t>
  </si>
  <si>
    <t>We have included with this cover memo the Construction Servant application forms for Paul &amp; Hazel Tucker-Peake. Please find also attached their Construction Volunteer Evaluation forms (DC-52) as well as their skills sheets.</t>
  </si>
  <si>
    <t>InboxCDHelpdesk.ZA</t>
  </si>
  <si>
    <t>MTO, Personnel</t>
  </si>
  <si>
    <t>ZMB MTO Visitors</t>
  </si>
  <si>
    <t>Hi,   Two construction teams will be coming for ZMB August 17 thru September 26, 2015.   The 7 couple’s names and volunteer numbers are as follows:   Andrew Struyf                      5761547 Gabrielle  Struyf                  57</t>
  </si>
  <si>
    <t>PD</t>
  </si>
  <si>
    <t>Conceptual plan and PPD</t>
  </si>
  <si>
    <t>Hi Colin,   Some comments in the attached, otherwise looks good to send out.  Many thanks,   Kind regards,   SymonBent South Africa RDC M: +27 61 699 6085  |  T: 2588  |  HYPERLINK "sip:sbent@bethel.jw.org"Lync       Fr</t>
  </si>
  <si>
    <t>RDC review of NLBR 11333 fall protection plates</t>
  </si>
  <si>
    <t>Dear brothers,   We have reviewed the following Non-Literature Branch Requests (NLBRs) that we received from you on 20 May 2015 for the ZMB Kabompo RTO project :   1.       Req. #1133 : Fall protection   We are in agreement with your req</t>
  </si>
  <si>
    <t>Nolan, Todd; Washburn, Nathan</t>
  </si>
  <si>
    <t>RDC review of NLBR 10997 Fall Protection zy0016</t>
  </si>
  <si>
    <t>Dear brothers,   We have reviewed the following Non-Literature Branch Requests (NLBRs) that we received from you on 20 May 2015 for the ZMB Mongu RTO project :   1.       Req. #10997 : Fall protection   We are in agreement with your requ</t>
  </si>
  <si>
    <t>Shears, Matthew; OGuin, Colin</t>
  </si>
  <si>
    <t>RDC review of NLBR 57821 - FINISHING RES 5 2</t>
  </si>
  <si>
    <t>Dear brothers,   We have reviewed the following Non-Literature Branch Requests (NLBRs) that we received from you on Wednesday, May 20, 2015 for the GHA BEX project :   1.       Req. #57821 : Finishing materials: adhesive, sika, etc…   We</t>
  </si>
  <si>
    <t>Mitek, NLBR, Roof</t>
  </si>
  <si>
    <t>RDC review of NLBR -11879 Mitek, GRS Kliptite, galvanized roof structures</t>
  </si>
  <si>
    <t>Dear brothers,   We have reviewed the following Non-Literature Branch Requests (NLBRs) that we received from you on Thursday, May 21, 2015 for the ZMB Choma RTO project :   1.       Req. #11879 : Mitek trusses, GRS roofing, awnings   We</t>
  </si>
  <si>
    <t>Topo Site Survey</t>
  </si>
  <si>
    <t>Hey Symon,   Here are the answers on the Petauke Survey. My comments in YELLOW, surveyors in RED.    Davin   From: Aubrey Bwalya Mulenga [mailto:aubrey@legeomatika.com] Sent: Friday, May 22, 2015 11:53 AM To: Lester, Davin Cc: Smith,</t>
  </si>
  <si>
    <t>Nordin, Timothy; Coombs, Shaun; Bent, Symon</t>
  </si>
  <si>
    <t>Land cost</t>
  </si>
  <si>
    <t>Hi Dino,   The attached memo states a land cost of USD 148,905.50.   Thanks Paul   Paul Carnell (ZAF-RDC) (REC) Watch Tower Bible and Tract Society of South Africa, NPC. Registration number: 2006/022758/08. PBO number: 930021658  </t>
  </si>
  <si>
    <t>E-mail signatures (from Dept Inbox)</t>
  </si>
  <si>
    <t>FYI – see below…   Regards, Mark Allan (ZAF-RDC) (REC) Watch Tower Bible and Tract Society of South Africa, NPC. Registration number: 2006/022758/08. PBO number: 930021658   From: Keller, Zane Sent: 22 May 2015 10:53 AM To: ZAF-GEN-Ov</t>
  </si>
  <si>
    <t>Jones, David M.; GHA-MNT-Overseer</t>
  </si>
  <si>
    <t>Approval to buy local window accessories for Res 1</t>
  </si>
  <si>
    <t>I agree, please go ahead! Symon   From: Arthur, Gideon Sent: 22 May 2015 08:28 To: Bent, Symon Cc: Jones, David M.; GHA-MNT-Overseer Subject: RE: Cost estimates for Res 1   Mnt feel that waiting for phase 2 will prolong the inconvenien</t>
  </si>
  <si>
    <t>HDA:HMA</t>
  </si>
  <si>
    <t>Purchasing, Workflow</t>
  </si>
  <si>
    <t>Update to Purchasing Support of Design Construction Workflow</t>
  </si>
  <si>
    <t>Recently the South Africa Regional Design/Construction Department (RDC) and South Africa Primary Purchasing Branch (PPB) reviewed the “Purchasing Support of Design/Construction Workflow” that was released in January 2015. As you may recall, this workflow</t>
  </si>
  <si>
    <t>REA:REM</t>
  </si>
  <si>
    <t>REA:RED</t>
  </si>
  <si>
    <t>Dry Wet Cleaning Recommendations for Zambia Branch</t>
  </si>
  <si>
    <t>We received your memo PMD May 13, 2015 in which you request assistance with replacing your existing dry cleaning machine with wet cleaning machinery. It is not possible to retrofit your current washing machines to do wet cleaning along with the fact that</t>
  </si>
  <si>
    <t>RDC review of NLBR 11929 &amp; 520-11935; Furniture</t>
  </si>
  <si>
    <t>Dear brothers,   We have reviewed the following Non-Literature Branch Requests (NLBRs) that we received from you on 21 May 2015 for the ZMB Katete RTO project :   1.       Req. #11929 : Office furniture from USA 2.       Req. #11935 : Offic</t>
  </si>
  <si>
    <t>RDC review of NLBR 58680 Package no 50</t>
  </si>
  <si>
    <t>Dear brothers,   We have reviewed the following Non-Literature Branch Requests (NLBRs) that we received from you on 21 May 2015 for the GHA BEX project :   1.       Req. #58680 : SS Cooking pots   We are in agreement with your requests. </t>
  </si>
  <si>
    <t>Soils Tests Report--Update</t>
  </si>
  <si>
    <t>Hi Mark, Colin this report just came in a few hours after you wrote.  I know we keep bumping it, but the team here are chasing as best they can, and will keep doing so.  This is the reality of working in Africa…   Symon   From: Allan, Mark S</t>
  </si>
  <si>
    <t>Schmidt, Gregory; Chiposa, Emmanuel; Bent, Symon</t>
  </si>
  <si>
    <t>Valves to be added to diesel installation</t>
  </si>
  <si>
    <t>Hi Caleb,   Installation as shown below and attached is acceptable, not need to change.    The reason we like to have the check valve between the pump and ball valve is that then by closing the ball valves both the pump and check valve can be</t>
  </si>
  <si>
    <t>Team arrival dates for training and MTOs</t>
  </si>
  <si>
    <t>Those dates are firm. We want them to work on Monday Aug 17, so could be here a couple days before.  They must be gone by Sept 26.  And the standard stipulation that if they want to arrive before or stay after those dates for vacation, they must ma</t>
  </si>
  <si>
    <t>Bent, Symon; OGuin, Colin; Meinders, Andre</t>
  </si>
  <si>
    <t>CIVIL Sketch by Ghana--2m ext to Office Bldg (BjS Review)</t>
  </si>
  <si>
    <t>Thanks for the speedy review Ben   Andre – see below   RDC – saved in: HYPERLINK "file:///\\bethel.jw.org\zaf\Dept\RDC\Engineering\Projects\Ghana\GHA%2005%20-%20Viepe%20RTO\S4\EPC\Request%20to%20Increase%20Size%20of%20AV"H:\RDC\Engineering\Pro</t>
  </si>
  <si>
    <t>Schiller, Ben; OGuin, Colin; Bateman, Tristan</t>
  </si>
  <si>
    <t>Gate</t>
  </si>
  <si>
    <t>3m sliding gate, possibly 4m recommend 5m (APPROVED)</t>
  </si>
  <si>
    <t>Approved Shane. Symon   From: Bateman, Tristan Sent: 21 May 2015 06:44 To: Bent, Symon Cc: Schiller, Ben; O'Guin, Colin Subject: RE: ZMB Choma RTO; 3m sliding gate, possibly 4m recommend 5m   Hi Symon,   There is no objection to</t>
  </si>
  <si>
    <t>Modular, Planning</t>
  </si>
  <si>
    <t>Using Modular Construction</t>
  </si>
  <si>
    <t>BC want further information</t>
  </si>
  <si>
    <t>{{Admin2000 Email Notification}} To Read  CO#662345    Description: Property Options for Mpongwe (Lamba) RTO; Using Modular Construction From: Zambia Date: 2015/05/20 To: South Africa; Cc: Worldwide Design/Construction Departm</t>
  </si>
  <si>
    <t>Philpott, Joseph; Kapata, Henry</t>
  </si>
  <si>
    <t>ZMB Nakonde RTO</t>
  </si>
  <si>
    <t>DC-31 RDC recommandation</t>
  </si>
  <si>
    <t>HI Symon,                    It’s a bit of a tricky one.  In the first Memo, DA July 24, 2014, it was requested to move the Chinamwanga team to Nakonde.  The response (HWB:ETA Aug 5, 2014) was that it was not yet requested to form a permanent team f</t>
  </si>
  <si>
    <t>Door Access Control System Readers</t>
  </si>
  <si>
    <t>Instructions to RDC for use</t>
  </si>
  <si>
    <t>WHQ Computer Department has been working with several branch projects and the teams are inquiring about wireless door access control systems from Salto.</t>
  </si>
  <si>
    <t>ZMB Kasama RTO</t>
  </si>
  <si>
    <t>Property Options in Kasama for the Cibemba Remote Translation Office</t>
  </si>
  <si>
    <t>Thank you for submitting Property Evaluation (DC_x001E_31) forms with your memorandum dated PCA March 23, 2015, in connection with your request to purchase property for the construction of a standard-design remote translation office for the Cibemba translation</t>
  </si>
  <si>
    <t>As-built</t>
  </si>
  <si>
    <t>Electrical As-built drawings, E-601,E- 602, E-101, E-612, E-611</t>
  </si>
  <si>
    <t>Dear brothers,   We are issuing the following Revised As-built Drawings for your project:   1.       E-601 Zambia Branch GS Main Back Up Panel 2.       E-602 Zambia Branch ATS SKE- Power Backup 3.       E-611 Zambia Branch Main ATS Panel</t>
  </si>
  <si>
    <t>Washburn, Nathan; OGuin, Colin; Sondell, Henrik</t>
  </si>
  <si>
    <t>RDC review of NLBR; REQ 520-11793; Electrical Order -5; CAT6a and Light Pole</t>
  </si>
  <si>
    <t>Dear brothers,   We have reviewed the following Non-Literature Branch Requests (NLBRs) that we received from you on Tuesday, May 19, 2015 for the ZMB Choma RTO projects :   1.       Req. #11739 : Cat6 cable and light poles   We are in ag</t>
  </si>
  <si>
    <t>Robert Collin; Gilbert Doume; Allan, Mark; Bateman, Tristan; Schiller, Ben; OGuin, Colin; Coombs, Shaun</t>
  </si>
  <si>
    <t>DC-31, KH, Property</t>
  </si>
  <si>
    <t>MLI Bamako North-West KH, DC-24-E, DC-31-E - Hamdallaye ACI 2000</t>
  </si>
  <si>
    <t>Hi Thierry,    Here’s the comments from our designers:   “Their explanation regarding the ‘clay’ soil sounds good, and it wouldn’t be essential for them to do soil tests before buying the property.”               “This is fine by me, as</t>
  </si>
  <si>
    <t>RDC review of AO-8 April 2015</t>
  </si>
  <si>
    <t>Dear brothers,   We have reviewed the DC-43 Financial Report for the month of April 2015 for the ZMB Kabompo RTO project :   We are in agreement.  Please go ahead and submit to WDC.   Kind regards, SymonBent South Africa RDC M: +27 61 699 6085  |</t>
  </si>
  <si>
    <t>Using Modular Construction, details needed</t>
  </si>
  <si>
    <t>HYPERLINK "url:orbit://WID&amp;WHQ-WDC-E5B00B87-B20A-4154-94E4-99F7A5A47015"Worldwide Design/Construction FYI Scarselletta, Anthony 5/20/2015 3:18pm  Incoming. WDC copied. HYPERLINK "url:orbit://WID&amp;WHQ-WDC-E5B00B87-B20A-4154-94E4-99F7A5A47</t>
  </si>
  <si>
    <t>RDC review of NLBR 11963; Odds and Ends; Mech; 63N; 20150520</t>
  </si>
  <si>
    <t>12:02 Dear brothers,   We have reviewed the following Non-Literature Branch Requests (NLBRs) that we received from you on 20 May 2015 for the ZMB Katete RTO project :   1.       Req. #11963 : Sika 63N, pipe clamps, electrical   We are</t>
  </si>
  <si>
    <t>Sellden, Erik; Maher, Lee; OGuin, Colin</t>
  </si>
  <si>
    <t>Switch room; Extra work required</t>
  </si>
  <si>
    <t>Please go ahead with this work, it is necessary to the functionality of the AVR, Electrical DB system, and is noted in the commissioning report.  I feel that your overall budget can handle it, although it might mean a small overrun in one ECT code which c</t>
  </si>
  <si>
    <t>Jubber, John</t>
  </si>
  <si>
    <t>Washburn, Nathan; Bent, Symon</t>
  </si>
  <si>
    <t>DC-32, Property</t>
  </si>
  <si>
    <t>Branch property evaluation</t>
  </si>
  <si>
    <t>John,   A DC-32 is attached, which is the building evaluation form you’ll find useful.  I’ve copied Symon Bent as your RPC so he’s up to speed too...   Your possible options on moving translation out of the branch is pretty much in line with w</t>
  </si>
  <si>
    <t>Bateman, Tristan; Bent, Symon; OGuin, Colin</t>
  </si>
  <si>
    <t>Design, Mitek, Roof</t>
  </si>
  <si>
    <t>Guttering detail 20150520</t>
  </si>
  <si>
    <t>Hey Van   Please check this out when you get back, then if happy, coordinate the detail with whomever needs to see it (e.g. POs to send out to site, ARCH to detail on dwg, RDC-MAINT to see if any issues, MiTek to add to shop dwgs etc)   Regard</t>
  </si>
  <si>
    <t>Jwili, Yongama</t>
  </si>
  <si>
    <t>Bhana, Teresh; Silva, Johnny</t>
  </si>
  <si>
    <t>BECON WATERTECH report, PO-222099</t>
  </si>
  <si>
    <t>Dear brothers   We have just received word from BECON concerning the report .Please see attached mail.   Kind regards Yongama Jwili     _____   Dear Yongama and Johnny   I can only send apologies once again for the delay in returning the deta</t>
  </si>
  <si>
    <t>COTC, Personnel</t>
  </si>
  <si>
    <t>COTC personnel Evaluation xlsx</t>
  </si>
  <si>
    <t>NW,   File attached.     Syms:   Can you take a good long look at Micah while you’re there in Ghana, he stood out to us at the COTC and as you can see from our comments he could be a good one to fast track.  The question is how best to d</t>
  </si>
  <si>
    <t>Accommodation and Office Situation at Our Branch</t>
  </si>
  <si>
    <t>We are writing to apprise you of the current situation we face with regard to accommodation and office space at our branch. In our Letter A March 14, 2014 No. 605 we requested permission to rent a house next to Bethel, which would be able to accommodate 1</t>
  </si>
  <si>
    <t>Requesting 2m Extension to Viepe RTO AV Area</t>
  </si>
  <si>
    <t>{{Admin2000 Email Notification}} To Read  CO#662083    Description: Requesting 2m Extension to Viepe RTO AV Area From: Worldwide Design/Construction Department Date: 2015/05/19 To: South Africa;  [urn:admin2000.jw.org:schemas</t>
  </si>
  <si>
    <t>Furniture</t>
  </si>
  <si>
    <t>Request for Cabinet and Kitchenette Replacements</t>
  </si>
  <si>
    <t>Choose best solution</t>
  </si>
  <si>
    <t>In your letters dated FA:MA May 7, 2015, Nos. 1659 and 1660, you requested approval to replace cabinets and countertops in the kitchens and bathrooms of three residences and to the replace the kitchen cabinets and countertops in another residence. Before</t>
  </si>
  <si>
    <t>Termite</t>
  </si>
  <si>
    <t>Airfreight of Termite poison</t>
  </si>
  <si>
    <t>You have my approval of course if this works out! Symon   From: Bent, Symon Sent: 19 May 2015 09:51 To: Meinders, Andre Subject: RE: GHA Viepe RTO Airfreight of Termite poison   You are welcome to try, it can often be complicated with t</t>
  </si>
  <si>
    <t>Reimbursements for volunteers at Bethel and in the field</t>
  </si>
  <si>
    <t>HYPERLINK "url:orbit://WID&amp;01FA104B-213F-44EB-AC95-DAE3CDE09049"Worldwide Design/Construction FYI Scarselletta, Anthony 5/19/2015 4:45pm  WDC copied. HYPERLINK "url:orbit://WID&amp;01FA104B-213F-44EB-AC95-DAE3CDE09049"Orbit Link [cid:323</t>
  </si>
  <si>
    <t>Bradfield, Darrin</t>
  </si>
  <si>
    <t>Fernandez, Troy; Barlow, Aaron; Philips, Mark; Pratt, Ross; Washburn, Nathan; Allan, Mark</t>
  </si>
  <si>
    <t>Strategy</t>
  </si>
  <si>
    <t>Team 5- Implementation Plan</t>
  </si>
  <si>
    <t>Simon,  Sorry I missed the last discussion. I will follow.   Thank you, dlb WDC   From: Bent, Symon Sent: Tuesday, May 19, 2015 7:08 AM To: Bradfield, Darrin Cc: Fernandez, Troy; Barlow, Aaron; Philips, Mark; Pratt, Ross; Washburn</t>
  </si>
  <si>
    <t>St. Jean, Zeny; Watts, Jeffery; Washburn, Nathan</t>
  </si>
  <si>
    <t>2m Extension for AV--as-built approach</t>
  </si>
  <si>
    <t>Hi SyB and CoG. See below. 2m extension will be approved. Cost is expected still to be within NTE limit, so no DC-42 needed   Andre Meinders will do some sketches for RDC to do a ‘high level’ check (any major ramifications etc)   Then they wil</t>
  </si>
  <si>
    <t>Civil, Contract</t>
  </si>
  <si>
    <t>Fee Account 2</t>
  </si>
  <si>
    <t>Hi,   Proof of payment attached.     Tiffani   From: Nunnaley, Tiffani Sent: Tuesday, May 12, 2015 4:30 PM To: Bent, Symon Subject: RE: COD15 KIKWIT CONGO RTO : Fee Account 2   Hi,   Payment has been made &amp; a memo was als</t>
  </si>
  <si>
    <t>InboxGlobalPurchasing</t>
  </si>
  <si>
    <t>Kitchen, NLBR</t>
  </si>
  <si>
    <t>Ghana - GHA-4915 Food Processor ($716 88)</t>
  </si>
  <si>
    <t>Dear Brothers:   This is to confirm receipt of your message.   Thank you,   Global Purchasing Department From: InboxRDC.ZA [mailto:InboxRDC.ZA@zaf.wtbts.net] Sent: Tuesday, May 19, 2015 5:48 AM To: InboxRDCMaintenanceSupport.ZA;Ben</t>
  </si>
  <si>
    <t>Thanks All   Hi GPD. Your ref is: wid:WHQ-GPD-0956BD8C-41D4-44FF-A204-4796142FD218   See below. We are in agreement. Please can u confirm receipt of this e-mail?   Thanks  Mark A   From: InboxRDCMaintenanceSupport.ZA Sent: 19</t>
  </si>
  <si>
    <t>RDC review of NLBR 10477 Whisperroom, 10533 manholes, sika</t>
  </si>
  <si>
    <t>Dear brothers,   We have reviewed the following Non-Literature Branch Requests (NLBRs) that we received from you on Monday, May 11, 2015 for the ZMB Choma RTO project :   1.       Req. #10477 : Whisper-room 2.       Req. #10533 : Manholes,</t>
  </si>
  <si>
    <t>InboxRDCCTPSupport.US</t>
  </si>
  <si>
    <t>DODIN, Jean-Marc; Bent, Symon; McDonald, Darcy</t>
  </si>
  <si>
    <t>AO-9</t>
  </si>
  <si>
    <t>GHA0013 Adjacent Property Development; AO-9 Package (Missing CTP file)</t>
  </si>
  <si>
    <t>Dear Brothers, Please see the attached CTP zip file related to the GHA0013 Adjacent Property Development.  Our apologies for sending the incorrect file. Regards,   Matthew Shears               Ghana Branch Construction Office            </t>
  </si>
  <si>
    <t>AH, DC-41</t>
  </si>
  <si>
    <t>DC-41 No 1 Congo (Kinshasa) Assembly Hall Kikwit (USD 304,288)</t>
  </si>
  <si>
    <t>{{Admin2000 Email Notification}} To Read  CO#661833    Description: DC-41 No. 1 Congo (Kinshasa) Assembly Hall Kikwit (USD 304,288) From: Worldwide Design/Construction Department Date: 2015/05/17 To: South Africa;  [urn:admin</t>
  </si>
  <si>
    <t>AO-9 Report - Ghana Branch Adjacent Property Development (GHA0013)</t>
  </si>
  <si>
    <t>{{Admin2000 Email Notification}} To Read  CO#661820    Description: AO-9 Report - Ghana Branch Adjacent Property Development [GHA0013] From: Ghana Date: 2015/05/18 To: Worldwide Design/Construction Department; Cc: South Africa</t>
  </si>
  <si>
    <t>Smith, Leah Doneen; Washburn, Nathan; InboxRDCEstimating.ZA</t>
  </si>
  <si>
    <t>Dear brothers,   We have reviewed the DC-43 Financial Report for the month of April 2015 for the ZMB BEX project :   We are in agreement.  Please go ahead and submit to WDC.   Kind regards,   SymonBent South Africa RDC M: +27 61 699 6085  |  T:</t>
  </si>
  <si>
    <t>InboxRDCEstimating.ZA; Washburn, Nathan</t>
  </si>
  <si>
    <t>DC-43 for Review; 201504</t>
  </si>
  <si>
    <t>Dear brothers,   We have reviewed the DC-43 Financial Report for the month of April 2015 for the ZMB Katete RTO project :   We are in agreement.  Please go ahead and submit to WDC.   Kind regards, SymonBent South Africa RDC M: +27 61 699 6085  | </t>
  </si>
  <si>
    <t>Murray, Duncan; Sampson, Ferdy; Washburn, Nathan; InboxRDCAdminPTSupport.ZA</t>
  </si>
  <si>
    <t>Draft NLBR; REQ 520-11906; Shipments from Hong Kong; 20150519</t>
  </si>
  <si>
    <t>Dear brothers,   We have reviewed the following Non-Literature Branch Requests (NLBRs) that we received from you on 19 May 2015 for the ZMB Katete RTO project :   1.       Req. #11906 : Freight for doors and cabinets from HKG   We are in</t>
  </si>
  <si>
    <t>Additional Developments Regarding the Property For Luanda Sul AH</t>
  </si>
  <si>
    <t>HYPERLINK "url:orbit://WID&amp;WHQ-WDC-66A35B1A-D312-4C4C-A3A4-3F0E365DAF25"Worldwide Design/Construction FYI Scarselletta, Anthony 5/18/2015 2:34pm  Proofed and sent. Luccioni, Robert 5/18/2015 11:23am  I agree and still strongly fee</t>
  </si>
  <si>
    <t>Bent, Symon; Paekau, Ryan</t>
  </si>
  <si>
    <t>Rebar</t>
  </si>
  <si>
    <t>Local steel milling certifaction, help to verify usability</t>
  </si>
  <si>
    <t>Hello Collin, Would you please take a look at these milling certificates.  Does the steel meet spec’s?  Regards, Shane   From: UMCIL [mailto:umciloperations@gmail.com] Sent: Monday, May 18, 2015 3:35 PM To: Sadler, Shane Subject: Fwd: C</t>
  </si>
  <si>
    <t>Allan, Mark; Bent, Symon; Shears, Matthew; DODIN, Jean-Marc; Jones, David M.</t>
  </si>
  <si>
    <t>CDP, Equipment</t>
  </si>
  <si>
    <t>CDP - Equipment needs</t>
  </si>
  <si>
    <t>Hello Colin:   Please see attached.  Does this help push us in the right direction to help for phase 2?   Please let me know if there is more needed.   Thanks! Neill   P.S. I have been asked to mention that the formatting errors</t>
  </si>
  <si>
    <t>Nolan, Todd; InboxRDCEstimating.ZA; Washburn, Nathan</t>
  </si>
  <si>
    <t>Dear brothers,   We have reviewed the DC-43 Financial Report for the month of April, 2015  for the ZMB Mongu RTO project :   We are in agreement.  Please go ahead and submit to WDC.   Kind regards, SymonBent South Africa RDC M: +27 61 699 6085  |</t>
  </si>
  <si>
    <t>Bent, Symon; Washburn, Nathan; Gilden, David; Fynn, Ryan; OGuin, Colin; Michalakis, Evangelos; Chiappetta, Raquel; Fynn, Ryan; Crook, Arthur; Imai, Masaaki; Bateman, Tristan</t>
  </si>
  <si>
    <t>AC, AFC, Design</t>
  </si>
  <si>
    <t>2nd Air Conditioner in Each TER--put on AFC Dwgs</t>
  </si>
  <si>
    <t>Thanks all. Please ‘make it so’      Regards, Mark Allan (ZAF-RDC) (REC) Watch Tower Bible and Tract Society of South Africa, NPC. Registration number: 2006/022758/08. PBO number: 930021658   From: ten Have, Fabian Sent: 18 May 2</t>
  </si>
  <si>
    <t>Bateman, Tristan; Bent, Symon</t>
  </si>
  <si>
    <t>PROPPING OF LINTELS and RING BEAM</t>
  </si>
  <si>
    <t>In Ghana, the lintel separated from the blockwork because of lack of propping; true – it was a thin lintel there, designed to work with all the bricks above to form a ‘composite beam’. But what a hassle to go back now and retrofit straps to pull the linte</t>
  </si>
  <si>
    <t>Allan, Mark; Bent, Symon; Schiller, Ben</t>
  </si>
  <si>
    <t>Comments on proposed creek design</t>
  </si>
  <si>
    <t>Hi Colin   My apologies for the late response to your email below.   Please see my response in red below.   Patrick Riley Pr Tech Eng Office Director WSP | Parsons Brinckerhoff, Development, Transportation and Infrastructure, Africa</t>
  </si>
  <si>
    <t>Photo</t>
  </si>
  <si>
    <t>Ariel monthly photo report on residences</t>
  </si>
  <si>
    <t>Enjoy.   From: Breakell, Emma Sent: 18 May 2015 09:13 To: Bent, Symon Subject: Photos   Hi Symon   Here are the Arial views from the last few months and a hyperlink for pictures of most of the crew on site J   HYPERLINK "file:/</t>
  </si>
  <si>
    <t>GHA-CNST-Committee; Bent, Symon; OGuin, Colin; Arthur, Gideon</t>
  </si>
  <si>
    <t>High Tension Power Supply (Installation of new meter)</t>
  </si>
  <si>
    <t>Will contact Bro. Dickson. Thanks.        Isaac Y. Akrong Tel: 22001/0544346884       From: Shears, Matthew Sent: Friday, May 15, 2015 1:53 PM To: GHA-LGL-Everyone; Annan, Benjamin; Keller, Timothy; Dickson, Samuel A. Cc: GHA-CNST</t>
  </si>
  <si>
    <t>CDP, Gate</t>
  </si>
  <si>
    <t>Main entry gate concept</t>
  </si>
  <si>
    <t>David &amp; Sarah,   Here are some notes from our discussion today on the main entry gate scope of work:   Present situation: ·         One-way traffic at each gate is security problem ·         Right side gate left open to encourage contact</t>
  </si>
  <si>
    <t>DCP test Entrance ramp slab -1 and -2 20150518</t>
  </si>
  <si>
    <t>Hi Innes,   The results look good. Please go ahead with the pour. Thanks for sending the final results for slab number 1.   Saved in: HYPERLINK "file:///\\bethel.jw.org\zaf\Dept\RDC\Engineering\Projects\Zambia\ZMB%2009%20-%20Kabompo%20RTO\S4\S</t>
  </si>
  <si>
    <t>I agree it would be better to order larger door widths to accommodate the oven size. Symon   From: Sadler, Shane Sent: 18 May 2015 06:39 To: Bent, Symon Subject: RE: ZMB Choma RTO; RDC review of NLBR 10368 Doors, windows, security bars  </t>
  </si>
  <si>
    <t>Project Approval Request Technical Reviews</t>
  </si>
  <si>
    <t>{{Admin2000 Email Notification}} To Read  CO#661470    Description: Project Approval Request Technical Reviews From: Worldwide Design/Construction Department Date: 2015/05/15 To: South Africa;  [urn:admin2000.jw.org:schemas:b</t>
  </si>
  <si>
    <t>Reference, WDC</t>
  </si>
  <si>
    <t>Adjustments to Discipline Coordinator Name and Job Description</t>
  </si>
  <si>
    <t>{{Admin2000 Email Notification}} To Read  CO#661469    Description: Adjustments to Discipline Coordinator Name and Job Description From: Worldwide Design/Construction Department Date: 2015/05/15 To: South Africa;  [urn:admin2</t>
  </si>
  <si>
    <t>HYPERLINK "url:orbit://WID&amp;WHQ-WDC-1514685A-421B-458E-9DF3-39E44514F041"Worldwide Design/Construction FYI Scarselletta, Anthony 5/17/2015 6:17pm  Proofed and sent. Luccioni, Robert 5/15/2015 1:56pm  Tony, please proof and send. Ma</t>
  </si>
  <si>
    <t>Meinders, Andre; Thomson, Cameron</t>
  </si>
  <si>
    <t>Budget Analysis 2015-05-17</t>
  </si>
  <si>
    <t>Hi Jean-Marc/Matt,   Judging from this analysis it looks like you are going to be massively under-budget.  We’ll have fun talking about this next week…!   Kind regards,   SymonBent South Africa RDC M: +27 61 699 6085  |  T: 2588  |</t>
  </si>
  <si>
    <t>Paekau, Ryan; Sadler, Shane; Agostinho, Rudi; OGuin, Colin</t>
  </si>
  <si>
    <t>Borehole, Mech</t>
  </si>
  <si>
    <t>Hi Symon, Shane,   First the issue of steel versus PVC casing: when the water is corrosive it would be better to use steel. Based on the water sample test report received from ZMB Choma we can conclude that the water is not corrosive, so steel can b</t>
  </si>
  <si>
    <t>OGuin, Colin; Agostinho, Rudi</t>
  </si>
  <si>
    <t>Hi Symon,   The attached report can be summarized as follow: -          depth of borehole is 50 meter -          recommended depth (by drilling company) of pump installation is 27 meter -          static ground water level is 7 meter below</t>
  </si>
  <si>
    <t>Borehole pump selection</t>
  </si>
  <si>
    <t>Hi Colin,   The report can be summarized as follow: -          depth of borehole 137 meter -          recommended depth (by drilling company) of pump installation is 110 meter -          static ground water level is 71.17 meter below ground</t>
  </si>
  <si>
    <t>Allan, Mark; Bateman, Tristan; Michalakis, Evangelos; Blackman, Innes; Fruciano, Jared; Lester, Davin; Watson, Toby; Meinders, Andre; Moulanier, Gratian; Eichner, David P.; Sadler, Shane</t>
  </si>
  <si>
    <t>Design, NLBR, Spec</t>
  </si>
  <si>
    <t>Fall Protection NLBR (Neoprene washers)</t>
  </si>
  <si>
    <t>The washer circled is for the bottom side of the hat track to spread the load in the hat track, not for waterproofing.  The neoprene/plastic washers come on the stitch screws.  There are extra stitch screws so that you can take the neoprene washer off of</t>
  </si>
  <si>
    <t>Bent, Symon; OGuin, Colin; Agostinho, Rudi</t>
  </si>
  <si>
    <t>CDP, Mech</t>
  </si>
  <si>
    <t>Ventilation Cooling in Laundry</t>
  </si>
  <si>
    <t>Hi Mark,    Rudi’s description is correct; I changed the wording slightly:   The laundry (check-in, finishing, office, sewing, etc.) will be ventilated and cooled. To ventilate the laundry an air handling unit will be installed to supply fresh</t>
  </si>
  <si>
    <t>Hutchinson, Mark</t>
  </si>
  <si>
    <t>Bent, Symon; Imai, Masaaki; Gilden, David; InboxLDC.MW; Coombs, Shaun</t>
  </si>
  <si>
    <t>Video Systems for Kingdom Halls</t>
  </si>
  <si>
    <t>Nathan: The solar charging is a challenge. I think most of our 25  Circuit Overseers who currently have the kit find they can get somewhere to plug it into to electricity and only use solar as a backup.  However, for the next 42 circuits that we hav</t>
  </si>
  <si>
    <t>Watts, Jeffery; Allan, Mark; Bent, Symon; OGuin, Colin; Kwesie, Samuel</t>
  </si>
  <si>
    <t>Double rooms in Phase-2 residence building</t>
  </si>
  <si>
    <t>Dear David,   Thanks very much for the prompt response from the BC – we appreciate that.  As outlined below the CDP will incorporate the highlighted section as the residence building  solution ( 24 single and 6 double rooms in a two-story building).</t>
  </si>
  <si>
    <t>Annan, Benjamin; Shears, Matthew; Jones, David M.</t>
  </si>
  <si>
    <t>Costs to be carried fwd to BEX Phase II</t>
  </si>
  <si>
    <t>Hi Symon, No. I did not receive any reply from Ben yet. My worry is that the what construction has on suspense account does not match what accounts has.   Ben: please give us your comments at your earliest convenience so we can complete this j</t>
  </si>
  <si>
    <t>Planning, Property</t>
  </si>
  <si>
    <t>Renovation Agboville/ Bouake Projects-Minutes</t>
  </si>
  <si>
    <t>Dear All   Good to meet you all, thanks for the opportunity to come together. Here are the main points:   Agboville RTO Renovation Project: ·       Contractual Agreements  o   Would be good to give attention to contractual agreements</t>
  </si>
  <si>
    <t>PWG Notes 2015-05-14 Double Room Count in New Residences</t>
  </si>
  <si>
    <t>Washburn, Nathan; Rojo Montiel, Josué; Ponton, Ronald Jr.; Busching, Christian</t>
  </si>
  <si>
    <t>Meeting, Procurement</t>
  </si>
  <si>
    <t>Meeting Minutes-Consolidation and logistics of materials from Europe</t>
  </si>
  <si>
    <t>Here you are gents, Meeting minutes from our meeting together. I hope you have a pleasant weekend worshipping Jehovah! Kind regards,   Duncan Murray Purchasing Department I RDC Contact South Africa Watch Tower Bible and Tract Socie</t>
  </si>
  <si>
    <t>We are writing to share with you some additional developments regarding the property for the Luanda Sul AH. At this moment the perimeter wall is finished; just some small details are being finalized. Please see below some concerns regarding this property.</t>
  </si>
  <si>
    <t>HYPERLINK "url:orbit://WID&amp;WHQ-WDC-D1DA33AC-DE02-4755-BE89-86C1128C5488"Worldwide Design/Construction FYI Scarselletta, Anthony 5/15/2015 10:25am  Proofed and sent. Luccioni, Robert 5/12/2015 11:05am  Tony, please proof and send.</t>
  </si>
  <si>
    <t>Sharp, Dayrell</t>
  </si>
  <si>
    <t>DC-41, Planning</t>
  </si>
  <si>
    <t>Zambia PWG Notes 2015-05-14 docx</t>
  </si>
  <si>
    <t>DC-31 RDC recommendation (AGREED)</t>
  </si>
  <si>
    <t>FYI -----Original Message----- From: Smith, Caleb Sent: Friday, May 15, 2015 1:45 PM To: Bent, Symon Cc: Finch, Ed; Philpott, Joseph; Kapata, Henry Subject: RE: ZMB Nakonde RTO; DC-31 RDC recommandation Hi Symon,  All involved (BC, LDC, Tra</t>
  </si>
  <si>
    <t>Washburn, Nathan; Finlayson, Gerald; Coombs, Shaun; McDonald, Darcy; Bent, Symon</t>
  </si>
  <si>
    <t>Meeting, Training</t>
  </si>
  <si>
    <t>WDC Meeting Annual Meeting with CSIdeas Topics (ZAF-RDC)</t>
  </si>
  <si>
    <t>Hi Rob and Zeny – here are a few ideas from ZAF RDC Review Group to throw into the pot…   SYMON BENT:   ·         Encouraging Video Interview of the 80 year old brother who rides about two hours each day to work on the Katete, Zambia RTO proje</t>
  </si>
  <si>
    <t>HYPERLINK "url:orbit://WID&amp;WHQ-WDC-C088F27A-3CE9-4502-9091-29AB47B935CE"Worldwide Design/Construction FYI Scarselletta, Anthony 5/15/2015 8:19am  Proofed and sent. HYPERLINK "url:orbit://WID&amp;WHQ-WDC-C088F27A-3CE9-4502-9091-29AB47B935CE"</t>
  </si>
  <si>
    <t>Hi Fabian,   Could you help specify a borehole pump and accessories for the Katete RTO?   Kind regards,   SymonBent South Africa RDC M: +27 61 699 6085  |  T: 2588  |  HYPERLINK "sip:sbent@bethel.jw.org"Lync       From:</t>
  </si>
  <si>
    <t>InboxLDC.SN</t>
  </si>
  <si>
    <t>Robert Collin; Coombs, Shaun; OGuin, Colin; Gilbert Doume</t>
  </si>
  <si>
    <t>Import duty and freight rates</t>
  </si>
  <si>
    <t>Dear Symon:   Here are the answers to your email.   Warm Christian love. Thierry   From: Bent, Symon Sent: Tuesday, May 12, 2015 1:04 PM To: Barreto-Fernandes, Thierry Cc: Gilbert Doume; Robert Collin; Coombs, Shaun; O'Guin, Colin</t>
  </si>
  <si>
    <t>Equipment, NLBR, Safety</t>
  </si>
  <si>
    <t>Senegal - SEN-2765 Safety Equipment ($12,818 23)</t>
  </si>
  <si>
    <t>FYI   From: InboxGlobalPurchasing Sent: 14 May 2015 09:42 PM To: InboxRDC.ZA Subject: Senegal - SEN-2765 Safety Equipment ($12,818.23)   Dear Brothers:   We apologize for not replying sooner.  As per your instructions, NLBR SEN-2765</t>
  </si>
  <si>
    <t>Cruthirds, Nathan; Allan, Mark; Bateman, Tristan; Michalakis, Evangelos</t>
  </si>
  <si>
    <t>Generic RTO Fall Protection NLBR</t>
  </si>
  <si>
    <t>Dear all,   This matter has been floating around a lot in search of truth, sorry for the delay.  Attached is the corrected version of the NLBR necessary for RTO fall protection.  Could you all update your various NLBRs and resubmit (if you already s</t>
  </si>
  <si>
    <t>Hi Symon,   In looking back I think I only sent the water quality test. Sorry about that. Here is all the info we received from the contractor.   Davin   From: Bent, Symon Sent: Thursday, May 14, 2015 6:14 PM To: Lester, Davin Cc: Ki</t>
  </si>
  <si>
    <t>Pembele, Manuel</t>
  </si>
  <si>
    <t>Coombs, Shaun; Lindstrom, Carl-Johan; Hale, Timothy; InboxLDC.ZW; Bent, Symon</t>
  </si>
  <si>
    <t>ZWE KH Standard drawings ADDITIONAL COMMENTS</t>
  </si>
  <si>
    <t>Hi Manuel,   Our Structural department has also now reviewed your standard KH plans, and we are pleased to offer some additional observations for consideration with your local engineer.   I have attached a combined PDF including the previous c</t>
  </si>
  <si>
    <t>Finch, Ed; Kapata, Henry; Kyhe, Alfred; Mondoka, Molson; Hudson, Abel; Washburn, Nathan</t>
  </si>
  <si>
    <t>RFI - Maintenance Overseer and wife - which department do they fall under</t>
  </si>
  <si>
    <t>Yes, until we receive any further instruction they fall under the RTO, as do their maintenance costs; they ask LDC for assistance when there are difficulties or they need extra help.   Kind regards,   SymonBent South Africa RDC M: +27 61</t>
  </si>
  <si>
    <t>Bent, Symon; OGuin, Colin; Gilden, David; Coombs, Shaun; Washburn, Nathan; Fynn, Ryan</t>
  </si>
  <si>
    <t>REMOVE DPC under Ring Beam ASAP</t>
  </si>
  <si>
    <t>Thanks. We will remove the DPC and use the cement bags to fill the gap.    Davin   From: Allan, Mark Sent: Friday, May 15, 2015 9:09 AM To: Lester, Davin; Bateman, Tristan; Reichel, Venessa Cc: Bent, Symon; O'Guin, Colin; Gilden, David</t>
  </si>
  <si>
    <t>Construction Requests Following RDC Visit</t>
  </si>
  <si>
    <t>Choral studio, norht wall, carpet, etc...</t>
  </si>
  <si>
    <t>We recently had the visit of the RDC representatives to our Branch to review construction work at the Branch and on RTO sites. Following the recommendation of these brothers, we are writing to ask for assistance to move ahead with work we feel is needed a</t>
  </si>
  <si>
    <t>Training</t>
  </si>
  <si>
    <t>LDC RDC Engineering Support MINUTES 2015-05-01</t>
  </si>
  <si>
    <t>Drainage issues - East end of property</t>
  </si>
  <si>
    <t>Part of future work?</t>
  </si>
  <si>
    <t>We are writing you at this time for direction regarding an ongoing situation with grading and water drainage issues at the east end of our property.</t>
  </si>
  <si>
    <t>CIV Man RTO</t>
  </si>
  <si>
    <t>Budget, DC-41</t>
  </si>
  <si>
    <t>Proposed DC-41 for Man (Yacouba) RTO Offices Installations</t>
  </si>
  <si>
    <t>We are pleased to submit for your approval the additional costs for the Man (Yacouba language) RTO office installations. This translation office has been already approved by the Writing Committee (HWB: ETA, August 29, 2014). Other approvals have been atta</t>
  </si>
  <si>
    <t>Design, Lesson</t>
  </si>
  <si>
    <t>Pros and Cons Report Flat Packs Matola</t>
  </si>
  <si>
    <t>Saïo property for Special Full-Time Servants coming to Kinshasa for medical treatment</t>
  </si>
  <si>
    <t>We are writing to you regarding the development and building of the Saïo property for Special Full-Time Servants coming to Kinshasa for medical treatment as per your memo dated REA: REG October 28, 2014, page 3. You had recommended we postpone any further</t>
  </si>
  <si>
    <t>Property Options in Kasama for the Cibema RTO</t>
  </si>
  <si>
    <t>Please find attached three property evaluation forms (DC-31) for an RTO in Kasama. This would be for the Cibemba language which is currently being translated at the Branch in Lusaka. In the Writing Committee’s letter to us, ETA:ETF April 17,2014 No.27773W</t>
  </si>
  <si>
    <t>Design, Guideline, Network</t>
  </si>
  <si>
    <t>Updated Design Guidelines Wireless Networking</t>
  </si>
  <si>
    <t>This is to inform you that updated recommendations for wireless networking design are now available in the Technical Support Library (TSL) at: https://tsl.bethel.jw.org/articles/354. Many questions are raised by designers when attempting to provide adequate wireless coverage for branch properties. This document has been prepared to answer these questions.</t>
  </si>
  <si>
    <t>DC-41 No.2 Funding Request</t>
  </si>
  <si>
    <t>In conjunction with this memorandum we are sending you the DC-41 #2 for the Choma RTO construction project. Listed below are all the relevant details regarding this project:</t>
  </si>
  <si>
    <t>Expanded Use of Construction Servants</t>
  </si>
  <si>
    <t>In response to your memorandums HDA:HDP December 10,2014 and HDA:HDP January 19, 2015, we would like to provide you with the following information listed below. All of these brothers are currently working with Kingdom Hall or RTO construction, and are pro</t>
  </si>
  <si>
    <t>Property, Purchasing</t>
  </si>
  <si>
    <t>Updated Real Estate Procedures</t>
  </si>
  <si>
    <t>This is further to our letter HPA:HT November 5, 2013, No. C-22919P, regarding managing real estate. This letter replaces our letter dated HPA:TAH July 12, 2012, No. C-9112P, concerning Saleable Branch Properties, and updates our letter of HPA:TA December</t>
  </si>
  <si>
    <t>Adjustments to the makeup of the Construction Committee</t>
  </si>
  <si>
    <t>We are writing to follow up on the recommendations of the December 2014 project overseer’s report for the operation of the RTO construction in Zambia. Currently there is a single committee at the Branch, composed of two expatriate construction servants (t</t>
  </si>
  <si>
    <t>Future Branch Needs, Accommodation</t>
  </si>
  <si>
    <t>With the recent visit of representatives from the South Africa RDC, it was recommended to write regarding our Branch’s future needs. For the past few years we have been experiencing a serious accommodation shortage at our Branch. We have been actively sec</t>
  </si>
  <si>
    <t>MDG RTO Projects</t>
  </si>
  <si>
    <t>Generator Information Request</t>
  </si>
  <si>
    <t>We are seeking to upgrade the SDMO generators that we are currently using at our RTOs in Ambovombe and Toliara. At the moment, one SDMO 16 kVA generator is being used at each location. The total consumption of the equipment is 48 kW in Toliara (please see</t>
  </si>
  <si>
    <t>DC-41 No 2 Congo (Kinshasa) Lubumbashi RTO (USD 1,700,450)</t>
  </si>
  <si>
    <t>We received the memorandum HDA:HDN December 22, 2014 in which you were asking us to work with the South Africa–RDC to resubmit the DC-41 No.#2 for Lubumbashi RTO Construction project, excluding the duty.</t>
  </si>
  <si>
    <t>Safety</t>
  </si>
  <si>
    <t>Life Safety and Fire Protection Policy WHQZAFHDL05a</t>
  </si>
  <si>
    <t>Surveys for Mwinilunga and Kasempa RTO Properties</t>
  </si>
  <si>
    <t>During the recent visit of the representatives from the SA-RDC, we provided them with electronic copies of the site and soil surveys for the Kasempa and Mwinilunga properties. With this memorandum, we are now asking for your assistance in engineering thes</t>
  </si>
  <si>
    <t>AV, Planning</t>
  </si>
  <si>
    <t>On-Site Audio Recording for Nsenga and Lunda Languages</t>
  </si>
  <si>
    <t>Regarding the development of Remote Translation Offices in Zambia, we now ask for permission to move the on-side audio recording of the Nsenga and Lunda languages.</t>
  </si>
  <si>
    <t>Revised Incident Report (TO-5)</t>
  </si>
  <si>
    <t>We are writing to inform you that a new form entitled Incident Report (TO-5) has been prepared for use by all branches and will be posted in the Material Distribution System (MDS). The instructions for completing the TO-5 form are provided in Incident Rep</t>
  </si>
  <si>
    <t>Contract, Design</t>
  </si>
  <si>
    <t>Contracted Engineering Costs for Construction Projects</t>
  </si>
  <si>
    <t>This is to provide further direction on the matter of contracted engineering costs for construction projects and supplements the direction found in our letter GAZ:DA June 26, 2007, No. 597P. As a general principle all contracted engineering costs should b</t>
  </si>
  <si>
    <t>Shipping</t>
  </si>
  <si>
    <t>New Offices in Shipping Area</t>
  </si>
  <si>
    <t>We rejoice to see wonderful increases in our branch territories during the last few service years. This has meant increased work in numerous departments who are now in need for more office space, for example Audio-Video, Translation and Service department</t>
  </si>
  <si>
    <t>Additional Enrollments Eligible for Pioneer Service School</t>
  </si>
  <si>
    <t>Our circular dated HTA:HTF June 19, 2014, No. C-29688T, informed all branches that Bethel family members now have the option to attend the Pioneer Service School (PSS) in their home country.  We are pleased to inform you that special full-time servants en</t>
  </si>
  <si>
    <t>AH</t>
  </si>
  <si>
    <t>We write with regard to our Assembly Hall Plan that has been reviewed by our RDC office in South Africa and they are in agreement with our proposal. Therefore we forwarded to you for your review and approval if you are in agreement as well.</t>
  </si>
  <si>
    <t>Equipment, Guideline, Network</t>
  </si>
  <si>
    <t>Deployment of Pre-configured Server and Network Equipment</t>
  </si>
  <si>
    <t>This is to inform you of a new arrangement to standardize and expedite the deployment of server and network equipment for remote offices (ROs) and remote translation offices (RTOs) worldwide.</t>
  </si>
  <si>
    <t>Kamina AH Budget</t>
  </si>
  <si>
    <t>The Kamina Assembly Hall planning study was approved by the WDC with their memorandum HDA:HDK September 19, 2014 addressed to Regional Design Construction office of South Africa. We worked together with RDC office to prepare the construction documents and</t>
  </si>
  <si>
    <t>Equipment, Network</t>
  </si>
  <si>
    <t>Deployment of server and network equipment for remote translation offices</t>
  </si>
  <si>
    <t>We are happy to follow the new direction you gave in the memorandum CD:CDA August 20, 2014 to ALL on how to order all computer server and network related equipment for Remote Translation Offices.</t>
  </si>
  <si>
    <t>Lessons Learned from AO-9’s received during September 2014 WHQZAFHDL06a</t>
  </si>
  <si>
    <t>AV, CDP, Studio</t>
  </si>
  <si>
    <t>COD Choral Studio; CDP for review by BC AV</t>
  </si>
  <si>
    <t>We are replying to your memorandum REA:REL October 9, 2014 concerning the above-mentioned subject.</t>
  </si>
  <si>
    <t>Various small projects (Matadi, saio, Lubefu, Cannas)</t>
  </si>
  <si>
    <t>Asking for RDC help/advice</t>
  </si>
  <si>
    <t>We are hereby seeking your advice or comments for four needed projects in our territory. Each of these projects is pressing for individual reasons identified here below.</t>
  </si>
  <si>
    <t>Form</t>
  </si>
  <si>
    <t>BCL recommendation form WHQZAFHLB01a</t>
  </si>
  <si>
    <t>DC-31, Property</t>
  </si>
  <si>
    <t>DC-31s for RTO Property in Petauke</t>
  </si>
  <si>
    <t>Please find attached two DC-31 Property Evaluation forms for your consideration. These are options for the Petauke –Nsenga RTO. These forms have been reviewed by the South Africa RDC and they are in agreement with pursuing option #1 –Francis Shingo plot N</t>
  </si>
  <si>
    <t>MUS LDC</t>
  </si>
  <si>
    <t>AH, Budget, KH</t>
  </si>
  <si>
    <t>2015 Kingdom Hall and Assembly Hall Budget</t>
  </si>
  <si>
    <t>We are writing in response to the letter HPA:HDA, dated June 4, 2013 No. C-29250P received from the Publishing Committee regarding the 2014 Kingdom Hall Construction Budget.</t>
  </si>
  <si>
    <t>Request to Purchase Property for Vezo RTO at Toliara</t>
  </si>
  <si>
    <t>Please find attached two DC-31 Property Evaluation forms. These are proposed for the RTO in Toliara in the south west of Madagascar for the Vezo Translation Office.</t>
  </si>
  <si>
    <t>Equipment</t>
  </si>
  <si>
    <t>Equipment for RTOs, Revised August 2014</t>
  </si>
  <si>
    <t>BCS recommendation form WHQZAF-C-27948Lc</t>
  </si>
  <si>
    <t>Lightning Information from Elec</t>
  </si>
  <si>
    <t>Copy of WDC PWG Assignments April 2014</t>
  </si>
  <si>
    <t>REA:REL</t>
  </si>
  <si>
    <t>DC-53</t>
  </si>
  <si>
    <t>DC-53 Xavier and Exther Berger</t>
  </si>
  <si>
    <t>Hi Symon, Please find enclosed the servant evaluation forms DC-53 for Xavier and Esther Berger. They left Ghana on April 24, 2015.   Thank you, Jean-Marc Dodin Construction Office GHANA BEX Extension:  22431 Cell: 054 431 4831  </t>
  </si>
  <si>
    <t>Guideline, Safety</t>
  </si>
  <si>
    <t>Global Assistance Arrangement (GAA)</t>
  </si>
  <si>
    <t>This is to inform you of a revised global arrangement that has been designed to combine all risk management functions under a single arrangement. It expands and replaces what was formerly known as the Kingdom Hall Assistance Arrangement (KHAA) and will be</t>
  </si>
  <si>
    <t>Sand sieve in action (drum)</t>
  </si>
  <si>
    <t>Nice! Regards, Mark Allan (ZAF-RDC) (REC) Watch Tower Bible and Tract Society of South Africa, NPC. Registration number: 2006/022758/08. PBO number: 930021658  -----Original Message----- From: Bent, Symon Sent: 14 May 2015 01:15 PM To: Allan,</t>
  </si>
  <si>
    <t>Survey Information for the Petauke RTO Property</t>
  </si>
  <si>
    <t>Here they are.    Davin   From: Bent, Symon Sent: Thursday, May 14, 2015 9:45 AM To: Lester, Davin Cc: O'Guin, Colin Subject: RE: To Read: Survey Information for the Petauke RTO Property   Looks like the attached is corrupted, could</t>
  </si>
  <si>
    <t>OGuin, Colin; Allan, Mark; Washburn, Nathan</t>
  </si>
  <si>
    <t>Review of DC-31 Property Evaluation (APPROVED)</t>
  </si>
  <si>
    <t>Dear all,   Based on all of your comments below we are going to go ahead recommend that they ask WDC to buy this property.   Many thanks for the help reviewing it,   SymonBent South Africa RDC M: +27 61 699 6085  |  T: 2588  |  HYP</t>
  </si>
  <si>
    <t>Eichner, David P.</t>
  </si>
  <si>
    <t>Väänänen, Uula; Fuentes, Miguel; OGuin, Colin; Bent, Symon</t>
  </si>
  <si>
    <t>Temp pump and piping for borehole</t>
  </si>
  <si>
    <t>Hi Shaun,   Here are all of the test results. You will see the depth, diameter, yield, quality and levels and fill rate are all there.    They have also included the pump recommendation and the depth of installation.   There is a well he</t>
  </si>
  <si>
    <t>Paekau, Ryan; Bateman, Tristan; Bent, Symon; OGuin, Colin</t>
  </si>
  <si>
    <t>Crushed Stone G5 Replacement - Insitu Soil Tests</t>
  </si>
  <si>
    <t>Hi Shane   Here’s another idea that will give us a good indication of any major soil problems. Simple ‘Field Tests’ that you guys can do for us on site. Please can you take samples of in-situ soil as follows:   ·         At 150mm below undersi</t>
  </si>
  <si>
    <t>Aggregate, Soil</t>
  </si>
  <si>
    <t>Hi Shane – some good news for you J   ·         We can use the CLEAN RIVER SAND to blend with the 13mm STONE you bought   ·         Please make sure the SAND is properly cleaned, all pollutants/contaminants/vegetation removed etc   ·    </t>
  </si>
  <si>
    <t>Clean River sand possible to blend with stone</t>
  </si>
  <si>
    <t>FYI; let's see what their stone grading results show. Symon -----Original Message----- From: Sadler, Shane Sent: Wednesday, May 13, 2015 19:15 To: Bent, Symon Subject: ZMB Choma RTO;clean River sand possible to blend with stone? Hello Symon, T</t>
  </si>
  <si>
    <t>Paekau, Ryan; Kirkland, Jason; ten Have, Fabian; Agostinho, Rudi; OGuin, Colin</t>
  </si>
  <si>
    <t>UV resistant PPR piping is not available</t>
  </si>
  <si>
    <t>Hi Shane,   Please note Fabian’s answer below.  Just stick to normal PPR pipe.   Tx, SymonBent South Africa RDC M: +27 61 699 6085  |  T: 2588  |  HYPERLINK "sip:sbent@bethel.jw.org"Lync         From: ten Have, Fabian</t>
  </si>
  <si>
    <t>Scarselletta, Tony Jr.</t>
  </si>
  <si>
    <t>DC-41 No 1 Goma Missionary Home Renovation (USD 33,196)</t>
  </si>
  <si>
    <t>Thank you both for chasing this down for us! Much appreciated. The approval process is simpler through Admin, but as this example shows, an interbranch memorandum still seems to be the best way to alert everyone to the approvals. We’re still working throu</t>
  </si>
  <si>
    <t>OGuin, Colin; Allan, Mark; Sukram, Sarah</t>
  </si>
  <si>
    <t>FS KY-A-301-S1 &amp; PS Catalogue updated--finishes</t>
  </si>
  <si>
    <t>Dear brothers,   We are issuing a field sketch and PS catalogue update that updates the finishing products based on the latest information from the manufacturer.  The drawings affected are as follows:   KY-A-301-S1 : Shower waterproofing speci</t>
  </si>
  <si>
    <t>RDC review of NLBR 57821 Revison needed</t>
  </si>
  <si>
    <t>Dear Jean-Marc/Matt,   Unfortunately many of the products in the finishes PS catalogue need to be updated because the supplier/manufacturer has changed their range of products.  Could you review the updated catalogue information attached and use it</t>
  </si>
  <si>
    <t>Bent, Symon; viepertoconstruction@gmail.com; Watson, Toby</t>
  </si>
  <si>
    <t>Office Bldg Foundation DCP Test results 2015-05-08</t>
  </si>
  <si>
    <t>Andre,   Here is the structural engineer’s response.  Thanks for sending us the report with the test direction.   Colin O'Guin Engineering Project Coordination US Regional Design/Construction Department Watchtower Bible &amp; Tract Society</t>
  </si>
  <si>
    <t>Allan, Mark; OGuin, Colin</t>
  </si>
  <si>
    <t>RTO or Branch construction Temp Housing Options</t>
  </si>
  <si>
    <t>In Message (7)</t>
  </si>
  <si>
    <t>Interesting and successful approach to temp housing.  Worth keeping in mind.  Total cost in GHA is working out at $5,000 per room, plus furniture and AC as needed.   Symon   From: Meinders, Andre Sent: Wednesday, May 13, 2015 11:41 To: Bent</t>
  </si>
  <si>
    <t>Personnel, Planning</t>
  </si>
  <si>
    <t>Evaluating Local Design Construction Departments</t>
  </si>
  <si>
    <t>Got it, thanks.   From: Bent, Symon Sent: Wednesday, May 13, 2015 2:16 PM To: Washburn, Nathan Subject: RE: Orbit WDC: [WAITING ON REPLY] Worldwide Design/Construction Department - Evaluating Local Design/Construction Departments   Got two</t>
  </si>
  <si>
    <t>OGuin, Colin; Nordin, Timothy; McDonald, Darcy</t>
  </si>
  <si>
    <t>Budget, Contract</t>
  </si>
  <si>
    <t>DC-41 No 2 - Outsourced Constr Docs Engineering</t>
  </si>
  <si>
    <t>Just need to be sure the extra money goes into the CDP Costing. Symon   From: Allan, Mark Sent: Wednesday, May 13, 2015 14:02 To: Bent, Symon Cc: O'Guin, Colin; Nordin, Timothy; McDonald, Darcy Subject: RE: GHA BEX 2; DC-41 No.2 - Outsourced</t>
  </si>
  <si>
    <t>Next steps</t>
  </si>
  <si>
    <t>Hmmm... not wanting to contradict you NW, just not too sure if ‘interesting’ is the right word... Thanks, Shaun  _____________________________________________ From: Washburn, Nathan Sent: Tuesday, May 12, 2015 12:05 PM To: St. Jean, Zeny Cc</t>
  </si>
  <si>
    <t>Sheridan, John Richard</t>
  </si>
  <si>
    <t>DC-41 No 2 ready to be submitted</t>
  </si>
  <si>
    <t>Hi John, Here is the explanation from Estimating.   Symon   From: McDonald, Debbie Sent: Wednesday, May 13, 2015 10:47 To: Bent, Symon Cc: McDonald, Darcy Subject: RE: AGO Lubango RTO; DC-41 No.2 ready to be submitted   Symon:  </t>
  </si>
  <si>
    <t>Bent, Symon; OGuin, Colin; Shears, Matthew; DODIN, Jean-Marc</t>
  </si>
  <si>
    <t>Problem with Bore Hole Pumps</t>
  </si>
  <si>
    <t>Fabian,   Here are the Pictures of the pump/controller…..   Thanks   Cam Thomson   Ghana BEX Construction    From: ten Have, Fabian Sent: Wednesday, May 13, 2015 7:01 AM To: Imai, Masaaki; Thomson, Cameron Cc: Bent, Symon</t>
  </si>
  <si>
    <t>Drawing, Septic</t>
  </si>
  <si>
    <t>Revised Drawings S-001, S-501, S-502, S-503 Reinforced Septic Tank</t>
  </si>
  <si>
    <t>Dear brothers,   We are issuing the following revised drawings for your project:   MB-S-001 : Extra Drawing Added MB-S-501 : Septic Tank Concrete Details MB-S-502 : Septic Tanks Reinforcing and Details Sheet 1 of 2 MB S-503 : Septic Tanks R</t>
  </si>
  <si>
    <t>Use of Kingdom Hall Apartments</t>
  </si>
  <si>
    <t>{{Admin2000 Email Notification}} To Read  CO#659884    Description: Use of Kingdom Hall Apartments From: South Africa Date: 2015/05/12 To: Zimbabwe;  [urn:admin2000.jw.org:schemas:branch:ZAF:correspondence:659884] [a2k:co:</t>
  </si>
  <si>
    <t>Vehicles</t>
  </si>
  <si>
    <t>Vehicles; 2nd hand or new</t>
  </si>
  <si>
    <t>PO prefers new</t>
  </si>
  <si>
    <t>David,    This is what we are doing in most other countries as it is hard to find genuinely reliable 2nd hand vehicles there; most 4 x 4’s are abused and full of hidden issues.  However if you can really find excellent used 4 x 4 vehicles (i.e. from</t>
  </si>
  <si>
    <t>FS S-304 - Detail description corrected (UPDATED)</t>
  </si>
  <si>
    <t>Hi Gents, an update to the update!   Symon   From: Bent, Symon Sent: Friday, April 10, 2015 08:53 To: Meinders, Andre Cc: DODIN, Jean-Marc; Shears, Matthew; Allan, Mark; Reichel, Venessa Subject: GHA Viepe RTO; FS S-304 - Detail descripti</t>
  </si>
  <si>
    <t>InboxLDC.AO; Coombs, Shaun</t>
  </si>
  <si>
    <t>RDC review of Draft NLBR Seat Covers (Incident No 12941)</t>
  </si>
  <si>
    <t>Dear brothers,   We have reviewed the following Non-Literature Branch Requests (NLBRs) that we received from you on Tuesday, May 12, 2015 for the AGO LDC projects :   Req. #??? : Chair covers from HKG   We are in agreement with your</t>
  </si>
  <si>
    <t>Shears, Matthew; Allan, Mark; OGuin, Colin</t>
  </si>
  <si>
    <t>Mech, NLBR, Tiling</t>
  </si>
  <si>
    <t>RDC review of NLBR 58035, 58037 Mech, 58090 Tiling</t>
  </si>
  <si>
    <t>Dear brothers,   We have reviewed the following Non-Literature Branch Requests (NLBRs) that we received from you on Thursday, May 07, 2015 for the GHA BEX project :   Requisition # 58035- Mechanical Plumbing– HVAC- ZAF Sea Freight     Requis</t>
  </si>
  <si>
    <t>Financial, Contract</t>
  </si>
  <si>
    <t>Thank you very much for following up on that Symon.    As I said, It’s very possible that I forgot to send you the account, so my apologies for that.   Regards,   Patrick Riley Pr Tech Eng Office Director WSP | Parsons Brinckerhoff,</t>
  </si>
  <si>
    <t>20150428 Budget Analysis xls</t>
  </si>
  <si>
    <t>Finally got comments from the ZMB Kabompo RTO CO. Symon   From: Blackman, Innes Sent: Tuesday, May 12, 2015 08:39 To: Bent, Symon Subject: RE: 20150428 ZMB Kabompo RTO Budget Analysis.xls   Hi Symon,   Sorry for my tardiness on th</t>
  </si>
  <si>
    <t>Guffee, Joseph</t>
  </si>
  <si>
    <t>Meeting, Planning</t>
  </si>
  <si>
    <t>COD RTO Notes 2015-05-08 docx</t>
  </si>
  <si>
    <t>Dear Brothers, Notes from our meeting on May 8 are attached for your records. We apologize for the delay in distributing these notes and appreciated the opportunity to meet with you. Jeff Watts Worldwide Design/Construction</t>
  </si>
  <si>
    <t>RDC review of NLBR 57848 SDMO Generators</t>
  </si>
  <si>
    <t>Dear brothers,   We have reviewed the following Non-Literature Branch Requests (NLBRs) that we received from you on Thursday, May 07, 2015 for the GHA Viepe &amp; Kumasi RTO projects :   Req. #57848 : SDMO Generators   We are in agreement wi</t>
  </si>
  <si>
    <t>Paekau, Ryan; OGuin, Colin; Bateman, Tristan</t>
  </si>
  <si>
    <t>Missing detail for corner reinforcment in strip footings (ANSWER)</t>
  </si>
  <si>
    <t>Hi Shane,   Answer below!   Tx, SymonBent South Africa RDC M: +27 61 699 6085  |  T: 2588  |  HYPERLINK "sip:sbent@bethel.jw.org"Lync         From: Bateman, Tristan Sent: Tuesday, May 12, 2015 14:57 To: Bent, Symon</t>
  </si>
  <si>
    <t>Verdiano, Genesio; Francisco, Batista; OGuin, Colin; Coombs, Shaun; InboxRDCEstimating.ZA; InboxRDCAdminPTSupport.ZA</t>
  </si>
  <si>
    <t>Dear brothers,   We have reviewed the DC-41 #2 Funding Request for the remodeling works on the AGO Lubango RTO project :   We are in agreement.  Please go ahead and import the attached workbook into Admin Project Tracking, following the instru</t>
  </si>
  <si>
    <t>DCP test Entrance ramp slab -1 20150507</t>
  </si>
  <si>
    <t>Hi Innes,   The results look good.   The only area I would look at is where you took test number 1. This top 100mm layer should be under 20mm/blow. Perhaps retake the test a foot or so away and see if it improves. If not, try compacting this a</t>
  </si>
  <si>
    <t>Construction Office Computer Needs</t>
  </si>
  <si>
    <t>Here you go. Symon   From: DODIN, Jean-Marc Sent: Tuesday, May 12, 2015 09:53 To: Bent, Symon Cc: O'Guin, Colin; Allan, Mark; Shears, Matthew Subject: GHA BEX; Construction Office Computer Needs Importance: High   Hi Symon, Our com</t>
  </si>
  <si>
    <t>Financial, Survey</t>
  </si>
  <si>
    <t>WSP Survey Engineering Costs Paid</t>
  </si>
  <si>
    <t>{{Admin2000 Email Notification}} To Read  CO#659224    Description: Branch Expansion Engineering Costs From: South Africa Date: 2015/05/12 To: Ghana;  [urn:admin2000.jw.org:schemas:branch:ZAF:correspondence:659224] [a2k:co</t>
  </si>
  <si>
    <t>Allan, Mark; InboxRDCEstimating.ZA</t>
  </si>
  <si>
    <t>RDC review of DC-43 April 2015</t>
  </si>
  <si>
    <t>Dear brothers,   We have reviewed the DC-43 Financial Report for the month of  April 2015 for the GHA Viepe RTO project :   We are in agreement.  Once the comments below are rectified please go ahead and submit to WDC. ·         Remember to</t>
  </si>
  <si>
    <t>OGuin, Colin; Coombs, Shaun; Watts, Jeffery</t>
  </si>
  <si>
    <t>Estimate, FEV, POR</t>
  </si>
  <si>
    <t>FEV Cost Estimate update, POR Style</t>
  </si>
  <si>
    <t>Hi Darcy,   As we discussed this morning could your team help us to prepare a “POR” style cost for the full SEN Branch FEV.  The goal is to provide WDC with adequate information to make long-term decisions regarding the SEN branch.   We agreed on</t>
  </si>
  <si>
    <t>Imai, Masaaki; Hisatomi, Geraldo Eigi; Pereira, Nelson; Coombs, Shaun; OGuin, Colin</t>
  </si>
  <si>
    <t>DC-51, Generator, Personnel</t>
  </si>
  <si>
    <t>Genset; DC-51 arrival date-- Aug 15 (AGO-3186)</t>
  </si>
  <si>
    <t>Hi Salvador,   As we know from experience importation is unpredictable so I think this is a good plan with enough allowance for delays.  I recommend that you plan for August 15 unless there is a genuine emergency.   Kind regards, SymonBent</t>
  </si>
  <si>
    <t>Shipping and Duty Costs Breakdown</t>
  </si>
  <si>
    <t>FYI—real shipping costs in COD. Symon   From: Kamony, Paulin Sent: Monday, May 11, 2015 15:38 To: Coombs, Shaun; Bent, Symon Cc: Mukendi, Félicien; Kamony, Paulin Subject: FW: Calculations   FYI   Paulin K.   From: InboxPRN</t>
  </si>
  <si>
    <t>Elevation revisions field sketch 1</t>
  </si>
  <si>
    <t>Thank you, We will get this printed and add it to our AFC plans. Regards, Shane   From: Bent, Symon Sent: Thursday, May 07, 2015 8:29 AM To: Sadler, Shane Subject: FW: ZMB Choma RTO; elevation revisions field sketch 1   Looks like</t>
  </si>
  <si>
    <t>Pending Email that your PO EPC hasn't done</t>
  </si>
  <si>
    <t>Hi Raquel, could you check the ZAF Doors NLBR for me please? Symon   From: Sadler, Shane Sent: Monday, May 11, 2015 15:29 To: Bent, Symon Subject: RE: ZMB Choma RTO; Pending Email that your PO/EPC hasn't done...   Hello Symon, Actual</t>
  </si>
  <si>
    <t>Scriven, Ivan</t>
  </si>
  <si>
    <t>InboxBTHL.ZA; Bent, Symon</t>
  </si>
  <si>
    <t>Personnel coming to the office (Mwinilunga, Kasempa)</t>
  </si>
  <si>
    <t>Ivan, We have had a lull in the brothers coming in for training for the RTOs.  It has been a few months since we have had any in, but ready to get going again.   We are ready to get our next team in for Zambia now.  This is going to be a double t</t>
  </si>
  <si>
    <t>InboxPRCHInventory.GH</t>
  </si>
  <si>
    <t>Oppong, Kofi; Adashie, Daniel; InboxRDC.ZA</t>
  </si>
  <si>
    <t>RDC review of NLBR 56652 Door Locks</t>
  </si>
  <si>
    <t>Dear brothers,   We have reviewed the following Non-Literature Branch Requests (NLBRs) that we received from you on Monday, May 11, 2015 for the GHA LDC projects :   Req. #5652 : Door Locks for KHs   We are in agreement with your request</t>
  </si>
  <si>
    <t>InboxTRAVEL.ZA</t>
  </si>
  <si>
    <t>Bent, Anna</t>
  </si>
  <si>
    <t>PO, Travel</t>
  </si>
  <si>
    <t>GHA PO Visit May 2015 e-Tickets</t>
  </si>
  <si>
    <t>Hi Please find your e-tickets attached.   Thanks Bridgit     From: Bent, Anna Sent: 11 May 2015 01:45 PM To: InboxTRAVEL.ZA Subject: RE: 16 May to 17 June   Hi Bridgit, Please could you book the return for the 17th, Depa</t>
  </si>
  <si>
    <t>Sondell, Henrik; OGuin, Colin; ten Have, Fabian; Agostinho, Rudi; Chiappetta, Raquel; Michalakis, Evangelos</t>
  </si>
  <si>
    <t>Arch, Mech, Spec</t>
  </si>
  <si>
    <t>RFI Difference In Mech vs Arch PS Catalogue vanity Cab Width</t>
  </si>
  <si>
    <t>All’s well. You have the right size! Symon   From: Chiappetta, Raquel Sent: Monday, May 11, 2015 09:53 To: Bent, Symon Subject: RE: ZMB Katete RTO; RFI Difference In Mech and Arch PS Catalogue   Yes this is right. Arch has a mistake</t>
  </si>
  <si>
    <t>ETH Soddo  RTO</t>
  </si>
  <si>
    <t>Wolaita RTO Project Description</t>
  </si>
  <si>
    <t>{{Admin2000 Email Notification}} To Read  CO#648480  O'GUIN, Colin 2015/05/08 02:03:01 PM  Nathan, please review and then accept the changes I made in the document.  They are based on a review with the key disciplines.  Thanks. HYPERLINK</t>
  </si>
  <si>
    <t>Sondell, Henrik; Washburn, Nathan; OGuin, Colin</t>
  </si>
  <si>
    <t>RDC Review of NLBR; REQ 520-11739; Trellidor; Window Security Bars; 20150508</t>
  </si>
  <si>
    <t>Dear brothers,   We have reviewed the following Non-Literature Branch Requests (NLBRs) that we received from you on Friday, May 08, 2015 for the ZMB Katete RTO project :   Req. #11739 : Trellidor window security bars   We are in agreemen</t>
  </si>
  <si>
    <t>RDC review of Draft NLBR; REQ 520-11448; Tile; 20150505</t>
  </si>
  <si>
    <t>Dear brothers,   We have reviewed the following Non-Literature Branch Requests (NLBRs) that we received from you on Tuesday, 05 May, 2015 for the ZMB Katete RTO project :   Req. #11448 : Tile, grout, etc…   We are in agreement with your</t>
  </si>
  <si>
    <t>Bent, Symon; Mbete, François; Wilhjelm, Peter; Mukendi, Félicien; Kamony, Paulin</t>
  </si>
  <si>
    <t>Brazzaville MH 2015-04-29 meeting minutes - next steps</t>
  </si>
  <si>
    <t>Shaun (and all copied),   Sorry for the delay on this.  It took some time in the office to collect and format the info so that it was correctly marked for release by the office.  Here it is on the WDC file transfer site: HYPERLINK "file:///\\beth</t>
  </si>
  <si>
    <t>Allan, Mark; Bent, Symon; McDonald, Darcy</t>
  </si>
  <si>
    <t>CDP, DP</t>
  </si>
  <si>
    <t>CDP backing info; Design Program</t>
  </si>
  <si>
    <t>Tim,   Please find the design program for the Ghana phase 2 branch expansion project here: HYPERLINK "file:///H:\RDC\Engineering\Projects\Ghana\GHA%2003%20-%20Branch%20Expansion%20Phase%202\S2\Design%20Program\GHA03%20BEX%202%20Branch%20Design%20</t>
  </si>
  <si>
    <t>Bent, Symon; Patrick.Riley@WSPGroup.co.za; Nunnaley, Tiffani</t>
  </si>
  <si>
    <t>WSP Interim Fee Account 2</t>
  </si>
  <si>
    <t>Mark,   From a check of the details, this invoice is spot on.  I recommend approval.  The only discrepancy I see is that VAT assessed by the surveyor is not included – not sure why.  Invoice is stored here: HYPERLINK "file:///H:\RDC\Engineering\Proj</t>
  </si>
  <si>
    <t>Equipment, Kitchen, Procurement</t>
  </si>
  <si>
    <t>Early Procurement Kitchen Equipment</t>
  </si>
  <si>
    <t>We’ll get the latest equipment prices from AC/NC tomorrow and get back to you. Symon   From: Allan, Mark Sent: Thursday, May 07, 2015 13:14 To: St. Jean, Zeny; O'Guin, Colin Cc: Bent, Symon; Watts, Jeffery Subject: RE: GHA BEX 2; Early Procu</t>
  </si>
  <si>
    <t>Topo Survey</t>
  </si>
  <si>
    <t>Hi Colin,   “Over to you” (been a long time since I’ve been able to say those words…).  This needs to be filed, and reviewed by all.  Looks like we have everything needed to get started on Petauke!  Good to see that they send the .kmz file now as we</t>
  </si>
  <si>
    <t>Gilden, David; Washburn, Nathan; Finlayson, Gerald; McDonald, Darcy; Allan, Mark</t>
  </si>
  <si>
    <t>COTC</t>
  </si>
  <si>
    <t>NGA COTC Questions and Answers</t>
  </si>
  <si>
    <t>My comments below, agree with MA’s comment too. Symon   1.      GHA – DA What is “LARGE” warranting the need for remote LDC Offices? Hmmm, a combination of the scope of work within a branch’s territory and the number of facilities that need to be</t>
  </si>
  <si>
    <t>AO-8, DC-43</t>
  </si>
  <si>
    <t>GHA-0012 and GHA-0014 Report March 2015</t>
  </si>
  <si>
    <t>Good, please submit as is for now. Symon   From: Meinders, Andre Sent: Friday, May 08, 2015 12:20 To: Bent, Symon Subject: RE: GHA BEX; GHA-0012 and GHA-0014 Report March 2015   Hi Symon I will change that in the April AO-8 and give</t>
  </si>
  <si>
    <t>Shears, Matthew; Meinders, Andre</t>
  </si>
  <si>
    <t>Good, please submit. Symon   From: DODIN, Jean-Marc Sent: Wednesday, May 06, 2015 10:24 To: Bent, Symon Cc: Shears, Matthew; Meinders, Andre Subject: GHA BEX; GHA-0012 and GHA-0014 Report March 2015   Hi Symon, Last time we talked t</t>
  </si>
  <si>
    <t>ZWE RTO Projects</t>
  </si>
  <si>
    <t>RTO Update Notes 2015-05-07 docx</t>
  </si>
  <si>
    <t>Dear Brothers, Notes from our meeting this week are attached for your records. We appreciated the opportunity to meet with you. Jeff Watts Worldwide Design/Construction</t>
  </si>
  <si>
    <t>Bent, Symon; Coombs, Shaun; Kamony, Paulin; Schiller, Ben; Väänänen, Uula</t>
  </si>
  <si>
    <t>Questions about the soakaway sizing</t>
  </si>
  <si>
    <t>David,   We have three proposals for you to consider: 1.     RDC can easily increase the size of the proposed soakaway located near the depot. 2.     Please send us your recommendation for what to do with the depot slab.  If it is not working,</t>
  </si>
  <si>
    <t>BCF list worldwide</t>
  </si>
  <si>
    <t>FYI...   Thanks,  Shaun   From: Ripley, John Sent: Thursday, April 30, 2015 3:24 PM To: Housner, Bradley Cc: Washburn, Nathan; Coombs, Shaun Subject: RE: BCF list   Sure thing. Its attached.   From: Housner, Bradley Sent:</t>
  </si>
  <si>
    <t>DCP test roadway slabs 5 approved</t>
  </si>
  <si>
    <t>Hi Innes,   Apologies for the delay on this one.   These results look good despite the area being wet. Please proceed.   Saved PDFs in: HYPERLINK "file:///\\bethel.jw.org\zaf\Dept\RDC\Engineering\Projects\Zambia\ZMB%2009%20-%20Kabompo</t>
  </si>
  <si>
    <t>AC, Maintenance, Mech</t>
  </si>
  <si>
    <t>York Chiller Maintenance</t>
  </si>
  <si>
    <t>{{Admin2000 Email Notification}} To Read  CO#656002    Description: York Chiller Maintenance From: Zimbabwe Date: 2015/05/07 To: South Africa;  [urn:admin2000.jw.org:schemas:branch:ZAF:correspondence:656002] [a2k:co:IBx/Wh</t>
  </si>
  <si>
    <t>Purchasing Support of Design Construction</t>
  </si>
  <si>
    <t>Dear Brothers, We have attached the “purchasing support of design/Construction” work flow based on our discussion on Wednesday together up until phase 5. We look forward to discussing phase 6,7 together this morning. Also attached are the minutes. Ki</t>
  </si>
  <si>
    <t>Replacement of Residence 13A kitchenettes</t>
  </si>
  <si>
    <t>We would like ask for permission at this time for to replace the kitchen cabinets and countertops in the 13A residence. The state of this furniture is very run-down. This project has been postponed several times, but has now become a necessity. There is s</t>
  </si>
  <si>
    <t>Maintenance of kitchen and bathroom cabinetry</t>
  </si>
  <si>
    <t>We would like ask for permission at this time for to replace the kitchen and bathroom cabinets and countertops in the H, I and J residences. These areas have seen significant damage caused by water. There is significant moisture damage in the washrooms th</t>
  </si>
  <si>
    <t>{{Admin2000 Email Notification}} To Read  CO#655973    Description: Requesting 2m Extension to Viepe RTO AV Area From: Ghana Date: 2015/05/06 To: Worldwide Design/Construction Department; Cc: South Africa;  [urn:admin2000</t>
  </si>
  <si>
    <t>OGuin, Colin; Bent, Symon; DODIN, Jean-Marc; Shears, Matthew</t>
  </si>
  <si>
    <t>As-built, Struct</t>
  </si>
  <si>
    <t>Structural--Window lintel sag (Separating from Bricks Above)</t>
  </si>
  <si>
    <t>Hi Andre,   Please see the attached repair procedure. This is basically the same was what was proposed, with the following adjustments: ·         Use 30x1.2mm galvanized hoop iron strapping which should be on hand (from what was used to tie down</t>
  </si>
  <si>
    <t>Conway, Stephen</t>
  </si>
  <si>
    <t>Canepa, Bryan Lothrop; Begg, Steven; Miles, Benjamin; Porras, Ezequiel</t>
  </si>
  <si>
    <t>Dwelling together in unity for BCF in Bethel only</t>
  </si>
  <si>
    <t>Dear Steve, I bounced your enquiry to WDC and here is the answerJ   The new 16 page guidelines, Continue to Put Your Heart Into the Work, were sent to all branches  few weeks ago. They are to send them out after translation and printing (where ne</t>
  </si>
  <si>
    <t>Paekau, Ryan; Bateman, Tristan; OGuin, Colin</t>
  </si>
  <si>
    <t>Commuter DCP Results prior to Soilcrete (A3 recompacted)</t>
  </si>
  <si>
    <t>Agreed; approved; proceed   Saved in: HYPERLINK "file:///\\bethel.jw.org\zaf\Dept\RDC\Engineering\Projects\Zambia\ZMB%2011%20-%20Choma%20RTO\S4\Struct\DCP\Commuter%20Building"H:\RDC\Engineering\Projects\Zambia\ZMB 11 - Choma RTO\S4\Struct\DCP\Com</t>
  </si>
  <si>
    <t>InboxCNST.GH</t>
  </si>
  <si>
    <t>rodney@mrhce.co.za; Bateman, Tristan; Bent, Symon; OGuin, Colin</t>
  </si>
  <si>
    <t>Soils Tests received to date</t>
  </si>
  <si>
    <t>Hi Mark, WE can confirm that the ‘Dawhenya laterite’ is still available. COST: GHc 700 per 20m3                                                                 = USD 9.10c per M3   We have spoken with soils engineers just now and we expect</t>
  </si>
  <si>
    <t>Bent, Symon; Watts, Jeffery</t>
  </si>
  <si>
    <t>Equipment, Kitchen, Purchasing</t>
  </si>
  <si>
    <t>We sorted this out:   Existing friers are working fine – but Ghana would like more capacity Quite a lot of work to reinforce walls for short term – new equipment all wall mounted so presents challenges; expensive option for temporary item; combi-ov</t>
  </si>
  <si>
    <t>OGuin, Colin; DODIN, Jean-Marc</t>
  </si>
  <si>
    <t>AV, Equipment, Kitchen, Meeting</t>
  </si>
  <si>
    <t>Kitchen Equipment; AV Layout; No of Double Rooms (MINUTES)</t>
  </si>
  <si>
    <t>Thanks to all for a productive meeting! Minutes below in black. Action items in yellow   (David – please can u distribute as needed to those in Ghana?)   Regards, Mark Allan (ZAF-RDC) (REC) Watch Tower Bible and Tract Society of South Af</t>
  </si>
  <si>
    <t>Revised Drawing S-102-S1 Saw cut location</t>
  </si>
  <si>
    <t>Dear brothers,   We are issuing the following revised drawings for your project:   KR-S-102-S1: Saw-cut location   Please be sure to remove all previous versions from circulation and either destroy them or safely lock them away, to avoid</t>
  </si>
  <si>
    <t>Dear brothers,   We are issuing the following revised drawings for your project:   LR-S-102-S1: Saw-cut location   Please be sure to remove all previous versions from circulation and either destroy them or safely lock them away, to avoid</t>
  </si>
  <si>
    <t>Marriott, Brian; Coombs, Shaun; OGuin, Colin</t>
  </si>
  <si>
    <t>COD Kamina RTO</t>
  </si>
  <si>
    <t>Revised Drawing S-102-S4 Saw cut location</t>
  </si>
  <si>
    <t>Dear brothers,   We are issuing the following revised drawings for your project:   KQ-S-102-S4 : Saw-cut location   Please be sure to remove all previous versions from circulation and either destroy them or safely lock them away, to avoi</t>
  </si>
  <si>
    <t>Dear brothers,   We are issuing the following revised drawings for your project:   MB-S-102-S1: Saw-cut location   Please be sure to remove all previous versions from circulation and either destroy them or safely lock them away, to avoid</t>
  </si>
  <si>
    <t>InboxPRCHBranchRequests.ZA</t>
  </si>
  <si>
    <t>Bent, Symon; Bateman, Tristan; Reichel, Venessa; Sampson, Ferdy; Silva, Johnny; Murray, Duncan; Allan, Mark; Smith, Caleb; Sondell, Henrik</t>
  </si>
  <si>
    <t>Brick</t>
  </si>
  <si>
    <t>Brick force (60mm wide for 100 CMU)</t>
  </si>
  <si>
    <t>Good morning,   Please cancel lines 20, 30 &amp; 40 on NLBR ZMB-6189 for the brick force. We will purchase R6 bar locally instead. Thank you for your hard work.   Davin   From: Murray, Duncan Sent: Wednesday, May 06, 2015 10:50 AM To: All</t>
  </si>
  <si>
    <t>Paekau, Ryan; OGuin, Colin; Washburn, Nathan</t>
  </si>
  <si>
    <t>RDC review of NLBR -11468 plywood, tarps, razorwire (APPROVED)</t>
  </si>
  <si>
    <t>Dear brothers,   We have reviewed the following Non-Literature Branch Requests (NLBRs) that we received from you on Tuesday, May 05, 2015 for the ZMB Choma RTO project :   Req. #11468 : Plywood, tarps, razorwire   We are in agreement wit</t>
  </si>
  <si>
    <t>Paekau, Ryan; Washburn, Nathan; OGuin, Colin; Allan, Mark; Bateman, Tristan</t>
  </si>
  <si>
    <t>Preliminary DCP for Residence SOG, 2015-05-01</t>
  </si>
  <si>
    <t>Hi Shane,   Analysis from Structural on your DCP tests.   Symon   From: Allan, Mark Sent: Tuesday, May 05, 2015 17:46 To: Bent, Symon Cc: Bateman, Tristan Subject: ZMB Choma RTO; Preliminary DCPs for Residence SOG, 2015-05-01  </t>
  </si>
  <si>
    <t>Bent, Symon; IRUNG, Joël NZENG; Kamony, Paulin; Väänänen, Uula</t>
  </si>
  <si>
    <t>Civil Elevation Adjustment</t>
  </si>
  <si>
    <t>Hi Ben,   That is fine with me.  We are setting out the site with that official benchmark today.   We can wait for the later revision.   Thank you    David Eichner LUBUMBASHI RTO CONSTRUCTION       From: Schiller, Be</t>
  </si>
  <si>
    <t>AC, Network</t>
  </si>
  <si>
    <t>Malawi - Number of Air Conditioning Units per TER</t>
  </si>
  <si>
    <t>HYPERLINK "url:orbit://WID&amp;A89A241B-0769-4FE8-B2D0-63A003D784E9"Worldwide Design/Construction FYI Scarselletta, Anthony 5/6/2015 3:56pm  WDC copied. HYPERLINK "url:orbit://WID&amp;A89A241B-0769-4FE8-B2D0-63A003D784E9"Orbit Link [cid:3152</t>
  </si>
  <si>
    <t>Bateman, Tristan; Watson, Toby; Bent, Symon; OGuin, Colin</t>
  </si>
  <si>
    <t>Block, Test</t>
  </si>
  <si>
    <t>Crush Test Results, Hollow Block (OK)</t>
  </si>
  <si>
    <t>Hi Andre – when you bang the blocks together, do you get a ‘dull thud’ or a ‘ringing clang’?   Unfortunately the LAB took the ‘crush load (kN)’ and divided by the net area, which is incorrect; cover sheet says to use ‘gross area without any deductio</t>
  </si>
  <si>
    <t>Lessons, Setup</t>
  </si>
  <si>
    <t>Surprised how long site set-up has taken!</t>
  </si>
  <si>
    <t>Yes: ·         Get a contractor involved asap to build the wall fence concurrently with site setup or before o   Our contractor makes us look good.  It look like we’re doing stuff and things are progressing but it’s really the contractor.  It’s also</t>
  </si>
  <si>
    <t>Mukendi, Félicien</t>
  </si>
  <si>
    <t>COD Gungu RTO</t>
  </si>
  <si>
    <t>Kipende RTO Project Description</t>
  </si>
  <si>
    <t>Dear brothers,   Thank you for the productive meeting. The following is what has been discussed: 1.      COD: To check with an engineer to make sure that the structure will support the weight of the roof (including ceiling made with plywood of</t>
  </si>
  <si>
    <t>Wilhjelm, Peter; Coombs, Shaun; OGuin, Colin; Dagostini, Franco</t>
  </si>
  <si>
    <t>Computer, Internet</t>
  </si>
  <si>
    <t>Internet connection possibilities, new unmanaged laptops</t>
  </si>
  <si>
    <t>Hi Jeff,   Some reference information for our COD meeting on Friday.   Tx, Symon   From: Weiss, Patrik Sent: Wednesday, May 06, 2015 15:45 To: Coombs, Shaun; Bent, Symon; Dagostini, Franco Cc: Wilhjelm, Peter Subject: RE: reques</t>
  </si>
  <si>
    <t>InboxCNSTRTOConstCommittee2.ZM; Negrette, Ralph; Agostinho, Rudi; ten Have, Fabian; OGuin, Colin</t>
  </si>
  <si>
    <t>Tuffa Tank Cabinet Location (OPT 3)</t>
  </si>
  <si>
    <t>Embedded (16)</t>
  </si>
  <si>
    <t>Hi Jared,   Answer below on your Tuffa tank query.   Symon   From: Agostinho, Rudi Sent: Wednesday, May 06, 2015 15:34 To: Bent, Symon Cc: ten Have, Fabian Subject: RE: ZMB Mongu RTO; Tuffa Tank Cabinet Location   HI Symon</t>
  </si>
  <si>
    <t>ZMB-BRANCH-Committee; InboxCNSTRTOConstCommittee2.ZM; Bent, Symon</t>
  </si>
  <si>
    <t>Closeout</t>
  </si>
  <si>
    <t>Handover to Bethel</t>
  </si>
  <si>
    <t>Dear Jared,   The date you are working towards for the handover, July 31, 2015, is suitable for the branch.   Do not feel bad that they completion date had to be adjusted.  You had a very challenging assignment in Mongu and all we can do is co</t>
  </si>
  <si>
    <t>Location of pole light &amp; data cable</t>
  </si>
  <si>
    <t>Hi Yoo, Davin,   Replies attached from Efraim.   Symon   From: O'Guin, Colin Sent: Wednesday, May 06, 2015 13:35 To: Bent, Symon Cc: De Meyer, Efraim Subject: FW: ZMB Katete RTO; location of pole light &amp; data cable   …  </t>
  </si>
  <si>
    <t>McDonald, Debbie</t>
  </si>
  <si>
    <t>OGuin, Colin; Coombs, Shaun; Sheridan, John Richard; McDonald, Darcy</t>
  </si>
  <si>
    <t>EST review of DC-41 Draft</t>
  </si>
  <si>
    <t>Updated accordingly. Symon   From: McDonald, Debbie Sent: Wednesday, May 06, 2015 10:14 To: Bent, Symon Cc: O'Guin, Colin; Coombs, Shaun; Sheridan, John Richard; McDonald, Darcy Subject: FW: AGO Lubango RTO; EST review of DC-41 Draft Import</t>
  </si>
  <si>
    <t>Jones, David M.; GHA-CNST-Committee</t>
  </si>
  <si>
    <t>DC-51 (31 March, 2015) Construction Overseer recommendation</t>
  </si>
  <si>
    <t>Please note comments below. Thank you. It is a pleasure to work together with you. Brad Housner     From: Shears, Matthew Sent: Friday, May 01, 2015 4:01 AM To: Housner, Bradley; Bent, Symon Cc: Jones, David M.; GHA-CNST-Committee Subj</t>
  </si>
  <si>
    <t>Philippines - Andrew and Gabriel Struyf assigned as CO</t>
  </si>
  <si>
    <t>Symon, Info on the Struyfs.  Note Brad’s comment below. Thanks, Nathan    From: InboxWDC Sent: Wednesday, May 06, 2015 8:10 AM To: Washburn, Nathan Subject: Orbit WDC: [FYI] Philippines - Andrew and Gabriel Struyf      HYPE</t>
  </si>
  <si>
    <t>Ndebele team in Buluwayo - December 4, 2014</t>
  </si>
  <si>
    <t>HYPERLINK "url:orbit://WID&amp;WHQ-WDC-EBD62BD2-1A26-43C4-A4DF-E3B27BD06291"Worldwide Design/Construction Waiting on Reply Watts, Jeffery 5/5/2015 3:54pm  Symon, any updates on expected due date of this CDP? McDonald, Darcy 4/22/2015 10:58</t>
  </si>
  <si>
    <t>WDC RDC AGENDA 013</t>
  </si>
  <si>
    <t>RDC review of AO-8 March 2015</t>
  </si>
  <si>
    <t>Dear brothers,   We have reviewed the DC-43 | AO-8 Financial Report for the month of  Mar 2015 for the ZMB Kabompo RTO project :   We are in agreement.  Once the comments belwo are rectified please go ahead and submit to WDC.   Kind rega</t>
  </si>
  <si>
    <t>InboxCNSTRTOConstCommittee3.ZM; Bent, Symon; Washburn, Nathan</t>
  </si>
  <si>
    <t>Civil, Drawing</t>
  </si>
  <si>
    <t>Revised grading field sketch</t>
  </si>
  <si>
    <t>Dear brothers,   We are issuing a field sketch that adjusts the grading in response to input from the construction staff.  The drawings affected are as follows:   1.       LV-C-102   Please be sure to cross out the previous details where</t>
  </si>
  <si>
    <t>Crook, Arthur; Bent, Symon; Allan, Mark</t>
  </si>
  <si>
    <t>Conceptual Dwgs GHA Comments No 2</t>
  </si>
  <si>
    <t>Colin,   Here is the revised VMD design that incorporates their concerns. HYPERLINK "file:///\\bethel.jw.org\zaf\Dept\RDC\Engineering\Projects\Ghana\GHA%2003%20-%20Branch%20Expansion%20Phase%202\S2\PDF\2015_05_05%20CDP%20Estimating\MJ-A-104.pdf"H</t>
  </si>
  <si>
    <t>Equipment, Safety</t>
  </si>
  <si>
    <t>Senegal - SEN-2765 Safety Equipment ($12,818 23) zb0001</t>
  </si>
  <si>
    <t>Tx all!   Hi GPD. Your reference is: wid:WHQ-GPD-1BFEBAD3-BE5D-4159-88AE-57B7C63F7224   See e-trail below. Please can you inform Senegal that ZAF-RDC Maintenance Support will be contacting them about an alternative ‘tried and tested’ fall prot</t>
  </si>
  <si>
    <t>Coombs, Shaun; Gilden, David; Washburn, Nathan; Allan, Mark; OGuin, Colin; Fynn, Ryan</t>
  </si>
  <si>
    <t>Format for submitting DCPs, NLBRs and DC-43 AO-8s--Email subject line naming!</t>
  </si>
  <si>
    <t>Dear all,   I want to ask a big favour when submitting NLBR and DC-43/AO-8 reviews (and in fact any kind of email request).  Could you all try to apply the direction below to bring a little consistency into the process and help us handle them more effec</t>
  </si>
  <si>
    <t>InboxCNSTRTOConstCommittee3.ZM; Washburn, Nathan; OGuin, Colin</t>
  </si>
  <si>
    <t>AC, Mech, NLBR</t>
  </si>
  <si>
    <t>Draft NLBR; REQ 520-11482; Mech Order 9; Extra AC, Trunking and Tools; 20150422</t>
  </si>
  <si>
    <t>Dear brothers,   We have reviewed the following Non-Literature Branch Requests (NLBRs) that we received from you on Thursday, April 23, 2015 for the ZMB Katete RTO project :   Req. #11482 : AC, trunking, tools   We are in agreement with</t>
  </si>
  <si>
    <t>Draft NLBR; REQ 520-11457; Electrical Order-4; 20150421</t>
  </si>
  <si>
    <t>Dear brothers,   We have reviewed the following Non-Literature Branch Requests (NLBRs) that we received from you on Friday, April 24, 2015 for the ZMB Katete RTO project :   Req. #11457 : Electrical materials   We are in agreement with y</t>
  </si>
  <si>
    <t>InboxCNSTRTOConstCommittee3.ZM; Washburn, Nathan; Bateman, Tristan; OGuin, Colin; Allan, Mark</t>
  </si>
  <si>
    <t>FS LV-102-S6, Gable walls above ring beam height</t>
  </si>
  <si>
    <t>Dear brothers,   As requested we are issuing a field sketch that simplifies the gable wall design above the ring-beam.  The drawings affected are as follows:   LV-S-102-S6: Gable cavity wall closed   Please be sure to cross out the previ</t>
  </si>
  <si>
    <t>Allan, Mark; Bent, Symon; OGuin, Colin</t>
  </si>
  <si>
    <t>Potential future work at the branch</t>
  </si>
  <si>
    <t>Ed Finch emailed today to confirm they are still working on the survey. Having challenges with the 10 year forecast. The brothers who was working on it was away from the branch until today, so hopefully this will arrive soon.   Jeff Watts Worldwi</t>
  </si>
  <si>
    <t>Bateman, Tristan; Paekau, Ryan</t>
  </si>
  <si>
    <t>Block</t>
  </si>
  <si>
    <t>Front wall block column detail (APPROVED)</t>
  </si>
  <si>
    <t>Hi Shane, some extra details from Tristan. Symon   From: Bateman, Tristan Sent: Tuesday, May 05, 2015 11:55 To: Bent, Symon Subject: RE: ZMB Choma RTO; front wall block column detail [APPROVED]   Thanks Symon,   So just to clarify</t>
  </si>
  <si>
    <t>InboxCNSTRTOConstCommittee3.ZM; De Meyer, Efraim; Washburn, Nathan</t>
  </si>
  <si>
    <t>Furniture, Network</t>
  </si>
  <si>
    <t>Desk Clusters Furniture; change network layout</t>
  </si>
  <si>
    <t>Hi Davin,   As Raquel says they are not the prettiest but they are solid and functional.  To avoid the issue of the electrical power pole in the centre you can follow Efraim’s advice below and provide the data/network connection in the side wall, wh</t>
  </si>
  <si>
    <t>InboxCNSTRTOConstCommittee4.ZM; Washburn, Nathan</t>
  </si>
  <si>
    <t>RDC review of Draft NLBR 10404 for Mechanical pipe</t>
  </si>
  <si>
    <t>Dear brothers,   We have reviewed the following Non-Literature Branch Requests (NLBRs) that we received from you on Tuesday, May 05, 2015 for the ZMB Choma RTO project :   Req. #10404 : Pipe   We are in agreement with your requests.  Ple</t>
  </si>
  <si>
    <t>RDC review of DC-43 for March 2015</t>
  </si>
  <si>
    <t>Dear brothers,   We have reviewed the DC-43 | AO-8 Financial Report for the month of  May 2015 for the ZMB Choma RTO project :   We are in agreement.  Please go ahead and submit to WDC.   Kind regards, SymonBent South Africa RDC</t>
  </si>
  <si>
    <t>Hi Caleb,   This is fine, please go ahead and submit.   Thanks,   SymonBent South Africa RDC M: +27 61 699 6085  |  T: 2588  |  HYPERLINK "sip:sbent@bethel.jw.org"Lync         From: Smith, Caleb Sent: Wednesday, Ap</t>
  </si>
  <si>
    <t>RDC review of AO-8 March AO-8</t>
  </si>
  <si>
    <t>Hi Jared,   Please go ahead and submit.   Thanks, SymonBent South Africa RDC M: +27 61 699 6085  |  T: 2588  |  HYPERLINK "sip:sbent@bethel.jw.org"Lync         From: Fruciano, Jared Sent: Wednesday, April 22, 2015 08:</t>
  </si>
  <si>
    <t>RDC review of DC-43 March 2015</t>
  </si>
  <si>
    <t>Thank for the explanations, once you’ve made the changes please go ahead and submit.   Symon   From: Lester, Davin Sent: Monday, May 04, 2015 22:06 To: Bent, Symon Subject: RE: ZMB Katete RTO; DC-43 review by RDC   Thanks Symon,  </t>
  </si>
  <si>
    <t>Shears, Matthew; Gibbings-Johns, Micah</t>
  </si>
  <si>
    <t>Contractor NO VAT, lower price</t>
  </si>
  <si>
    <t>Hi Symon, I thought it would be good to keep you in the loop with the below information.  If the contractor for Baatsona SKE is not VAT registered his bid is lower by 68,000 USD.     Thank you, Jean-Marc Dodin     From: Gibbings</t>
  </si>
  <si>
    <t>Imai, Masaaki; ten Have, Fabian; Rodney van Dam &lt;rodney@mrhce.co.za&gt; (rodney@mrhce.co.za); Patrick.Riley@WSPGroup.co.za; Allan, Mark; Bent, Symon</t>
  </si>
  <si>
    <t>CDP, Drawing</t>
  </si>
  <si>
    <t>Arthur &amp; Sarah,   Sorry, but I missed this one in my inbox over the weekend.  Please see Ghana’s response mentioned below, attached &amp; stored here: HYPERLINK "file:///H:\RDC\Engineering\Projects\Ghana\GHA%2003%20-%20Branch%20Expansion%20Phase%202\</t>
  </si>
  <si>
    <t>Mukendi, Félicien; Wilhjelm, Peter; Mbete, François; Watts, Jeffery; St. Jean, Zeny; Kamony, Paulin; OGuin, Colin</t>
  </si>
  <si>
    <t>DC-31, DC-41, PD</t>
  </si>
  <si>
    <t>(Kipende) RTO Project Description</t>
  </si>
  <si>
    <t>Hi Syms,   Looks like the resale column needs checking, in the project description it says “The idea is to use the whole furniture, generators, main electrical panels and ACs to the future standard RTO which will be built in the same city...”  not a</t>
  </si>
  <si>
    <t>HDA:HDN</t>
  </si>
  <si>
    <t>DC-41 No 1 Ghana School Facility Baatsona Renovation (USD 83,709)</t>
  </si>
  <si>
    <t>We are writing in response to your Project Approval Request (DC_x001E_41) form No. 1, for the Ghana School Facility Baatsona Renovation project, in the amount of USD 83,709. This is in harmony with the Publishing Committee’s letter dated HPA:HDA May 20, 2014, N</t>
  </si>
  <si>
    <t>Bateman, Tristan; OGuin, Colin; Bent, Symon; Schiller, Ben; Watson, Toby</t>
  </si>
  <si>
    <t>GHA Viepe RTO Laterite Test [SCS lab tests]</t>
  </si>
  <si>
    <t>Procedure for Backfill &amp; Compaction</t>
  </si>
  <si>
    <t>Mark Thanks a lot for the good explanation and the sketch. I just talked with the brothers on site about it and they will start today with a test section. We hope to be able to send you the results soon.   Thanks for helping us to make this</t>
  </si>
  <si>
    <t>Watch Tower - Soil Testing Quotation Request</t>
  </si>
  <si>
    <t>Welcome to Africa! Symon   From: Shears, Matthew Sent: Monday, May 04, 2015 14:14 To: Bent, Symon; O'Guin, Colin; Allan, Mark Cc: GHA-CNST-Committee Subject: FW: Watch Tower - Soil Testing Quotation Request   Symon, We have received</t>
  </si>
  <si>
    <t>Symon, We have received the first results from the soil tests.   For your initial review and comments, as we await the remaining tests. Matthew Shears               Ghana Branch Construction Office                                Ext: 224</t>
  </si>
  <si>
    <t>Washburn, Nathan; OGuin, Colin</t>
  </si>
  <si>
    <t>ZMB Kasempa RTO</t>
  </si>
  <si>
    <t>Translators unhappy with purchased location</t>
  </si>
  <si>
    <t>This is great news Caleb, thanks for all your hard work in sorting this out.  We shall get moving properly on Kasempa then as planned.   Symon   From: Smith, Caleb Sent: Monday, May 04, 2015 13:34 To: Bent, Symon Cc: Washburn, Nathan Subj</t>
  </si>
  <si>
    <t>Location is now approved again</t>
  </si>
  <si>
    <t>Hi Symon,   Just as a follow up, it seems that after their BC meeting (and discussions with myself and E Finch.), the idea of changing properties has been dropped.  Thus, I believe things can go ahead as planned with the originally purchased propert</t>
  </si>
  <si>
    <t>NGA LDC</t>
  </si>
  <si>
    <t>LDC, Meeting</t>
  </si>
  <si>
    <t>LDC RDC Engineering Support Meeting Minutes</t>
  </si>
  <si>
    <t>Hi All    I hate taking minutes when you actually called the meeting….we need a Jeff ;O)   Minutes attached, I think it gets the main points.   Thanks for the meet. D   Mark A: Not too sure where to save these on the network!</t>
  </si>
  <si>
    <t>Laterite Test (Updated with new test results from SCS lab)</t>
  </si>
  <si>
    <t>Embedded (9)</t>
  </si>
  <si>
    <t>Mark The 3 different laterite samples are from 3 different quarries. We asked the supplier for samples from different locations so that we can chose the material that is most suitable for us.   Thanks Andre   From: Allan, Mark Sent:</t>
  </si>
  <si>
    <t>Coombs, Shaun; Gilden, David</t>
  </si>
  <si>
    <t>Meeting, Shipping</t>
  </si>
  <si>
    <t>Shipping Coordination Meeting Minutes</t>
  </si>
  <si>
    <t>Suggestion for improvement between Branch and RTOs</t>
  </si>
  <si>
    <t>FYI: we are working at improving the purchasing/transport arrangement for the ZMB projects.  Some good thoughts in here. Symon   From: Smith, Caleb Sent: Monday, May 04, 2015 07:37 To: Blackman, Innes; Fruciano, Jared; Lester, Davin; Sadler, S</t>
  </si>
  <si>
    <t>ZMB Shipping Coordination Meeting Minutes</t>
  </si>
  <si>
    <t>Hi Brothers,                    Thanks again for your time this morning.  I think we had some productive ideas and sharing of suggestions.   Please find attached the Minutes from the meeting.  Note the follow up points.    Caleb Smith Zambi</t>
  </si>
  <si>
    <t>Shears, Matthew; Wilcox, Stephanie Kate; Allan, Mark; OGuin, Colin</t>
  </si>
  <si>
    <t>RDC review of NLBR Package -47 SUBMITTAL</t>
  </si>
  <si>
    <t>Dear brothers,   We have reviewed the following Non-Literature Branch Requests (NLBRs) that we received from you on Friday, May 01, 2015 for the GHA BEX project :   Requisition # 57200 - Mechanical Plumbing– Tap Pillar Adapters- ZAF Sea Freigh</t>
  </si>
  <si>
    <t>GHA-CNST-Committee; Allan, Mark; OGuin, Colin</t>
  </si>
  <si>
    <t>Finishes</t>
  </si>
  <si>
    <t>Memo Standard Finishes--Bethel Res Rooms (to be followed)</t>
  </si>
  <si>
    <t>Dear David,   To our mind what you are proposing is within the spirit of the guidelines, especially if the colour choices are future-friendly.  We suggest you continue as outlined below, and we’ll seek to apply these guidelines more fully during the</t>
  </si>
  <si>
    <t>Shears, Matthew; Wilcox, Stephanie Kate; Allan, Mark; Meinders, Andre</t>
  </si>
  <si>
    <t>RDC review of NLBR Package -48 SUBMITTAL</t>
  </si>
  <si>
    <t>Dear brothers,   We have reviewed the following Non-Literature Branch Requests (NLBRs) that we received from you on Friday, May 01, 2015 for the GHA BEX project :   Requisition # 57675- Electrical– VIEPE RTO- ZAF Sea Freight Requisition # 576</t>
  </si>
  <si>
    <t>Revised RTO Project Description (Comments so far not incorporated)</t>
  </si>
  <si>
    <t>WIP</t>
  </si>
  <si>
    <t>Hi Colin,   Here’s the comments I have not yet had time to add to the HYPERLINK "file:///\\bethel.jw.org\zaf\DeptArchive\RDC\Reference\Forms%20&amp;%20Templates\RTO%20Project%20Description\2015-04-21%20RTO%20Standard%20Project%20Description.docx"RTO Pro</t>
  </si>
  <si>
    <t>Lindstrom, Carl-Johan; Hale, Timothy; InboxLDC.ZW; Bent, Symon; Coombs, Shaun</t>
  </si>
  <si>
    <t>Drawing, KH</t>
  </si>
  <si>
    <t>2014-05-01 ZWE KH Standard drawings COMMENTS 2</t>
  </si>
  <si>
    <t>Hi Manuel,   Could you please check and see if this one has worked. You should see sticky notes on the first page.   Thanks Paul   Paul Carnell (ZAF-RDC) (REC) Watch Tower Bible and Tract Society of South Africa, NPC. Registration num</t>
  </si>
  <si>
    <t>Andriniaina, Manampisoa</t>
  </si>
  <si>
    <t>Randrianantenaina, Jacques</t>
  </si>
  <si>
    <t>Elevation info</t>
  </si>
  <si>
    <t>Hi Symon, I think that these are what you need. Regards,  Manampisoa LDC Department Madagascar Branch   From: Bent, Symon Sent: Friday, May 01, 2015 2:56 PM To: Andriniaina, Manampisoa Cc: Randrianantenaina, Jacques Subject: MDG</t>
  </si>
  <si>
    <t>Commuter DCP Results prior to soilcrete, 2015-05-01</t>
  </si>
  <si>
    <t>Hi Tristan,   Here’s some more DCP results for the commuter building in Choma also for your assessment.   Kind regards,   SymonBent South Africa RDC M: +27 61 699 6085  |  T: 2588  |  HYPERLINK "sip:sbent@bethel.jw.org"Lync  </t>
  </si>
  <si>
    <t>Prelim Review of dwgs by Branch; RPC-PWG Matters</t>
  </si>
  <si>
    <t>Sounds like a plan! Thanks for pointing us in the right direction J   Regards, Mark Allan (ZAF-RDC) (REC) Watch Tower Bible and Tract Society of South Africa, NPC. Registration number: 2006/022758/08. PBO number: 930021658   From: St. Je</t>
  </si>
  <si>
    <t>OGuin, Colin; Allan, Mark; Shears, Matthew</t>
  </si>
  <si>
    <t>Embedded (20)</t>
  </si>
  <si>
    <t>Hi Symon, Please find enclosed the first draft Master key Schedule for GHA existing and Phase I for RDC review.   The enclosed folder Union vs Dom shows a cylinder type 333D that has been chosen by the Branch. However, the excel format does not a</t>
  </si>
  <si>
    <t>Hopper, Keith</t>
  </si>
  <si>
    <t>Washburn, Nathan; Kapata, Henry; Bent, Symon; Sharp, Dayrell</t>
  </si>
  <si>
    <t>LED Video Display Standard for Open-Air Assembly Site in Developed Lands</t>
  </si>
  <si>
    <t>Dear Keith,   We’ve recently received a copy of WHQ memorandum HBA:HBD March 31, 2015 RE: LED Video Display Standard for Enclosed Assembly Halls in Developed Lands. I am sending this message to ask you about the possibility of having a standard p</t>
  </si>
  <si>
    <t>InboxCNSTRTOConstCommittee3.ZM; Washburn, Nathan</t>
  </si>
  <si>
    <t>Hardware, NLBR</t>
  </si>
  <si>
    <t>RDC review of Draft NLBR; REQ 520-11384; Door Hardware; 20150420</t>
  </si>
  <si>
    <t>Dear brothers,   We have reviewed the following Non-Literature Branch Requests (NLBRs) that we received from you on Wednesday, April 22, 2015 for the ZMB Katete RTO project :   Req. #11384 : Door hardware   We are in agreement with your</t>
  </si>
  <si>
    <t>Budget, LDC</t>
  </si>
  <si>
    <t>Request to Increase the 2015 LDC Annual Budget</t>
  </si>
  <si>
    <t>After consulting our RDC office in South Africa and having their approval we write requesting for further funding for our Kingdom hall construction program for the current service year.</t>
  </si>
  <si>
    <t>FEV, Meeting</t>
  </si>
  <si>
    <t>SEN FEV Notes 2015-04-28</t>
  </si>
  <si>
    <t>COD Kisonge RTO</t>
  </si>
  <si>
    <t>COD RTO Notes 2015-04-09</t>
  </si>
  <si>
    <t>COD Goma MH</t>
  </si>
  <si>
    <t>DC-32</t>
  </si>
  <si>
    <t>DC-32-E for Goma Renovation Project</t>
  </si>
  <si>
    <t>And you’ll need this one too! Symon   From: Wilhjelm, Peter Sent: Thursday, April 30, 2015 18:58 To: Coombs, Shaun; Bent, Symon; O'Guin, Colin Subject: FW: DC-32-E for Goma Renovation Project   Dear Brothers, Contrary to what I was t</t>
  </si>
  <si>
    <t>Estimate, FEV</t>
  </si>
  <si>
    <t>Senegal FEV Project - April 28, 2015</t>
  </si>
  <si>
    <t>Hi Jeff,  I ain’t been ignoring you, actually been trying to get my head around this project and all its ins and outs since Hilton left it.  So the state of play is as follows:   1.       We have a final FEV cost of WT items. 2.       We have</t>
  </si>
  <si>
    <t>Estimate, Financial</t>
  </si>
  <si>
    <t>% Cost of importation</t>
  </si>
  <si>
    <t>Hi Paulin,   Good questions (as always!):   Basically we like to find the average cost of the last 10-15 containers of materials (not literature), e.g. branch home equipment, cleaning products, computer equipment, construction material, etc… </t>
  </si>
  <si>
    <t>Goma Missionanry Home Renovation CN-27</t>
  </si>
  <si>
    <t>Dear Brothers, I have now arrived in Goma and I can send you what we have for Goma.  DC-32 was not used when we made the evaluation for buying the house but the 27 with photos. Also the budget was made.  I send you what I have here.  Hope these item</t>
  </si>
  <si>
    <t>Allan, Mark; Bent, Symon; Annan, Benjamin; Gibbings-Johns, Micah; GHA-CNST-Committee</t>
  </si>
  <si>
    <t>Contractor not VAT Registered</t>
  </si>
  <si>
    <t>Hi Colin,   We have addressed this issue to our accounts department and we have their clearance to use the contractor. (See email enclosed)   Thank you, Jean-Marc Dodin Construction Office GHANA BEX Extension:  22431 Cell: 054 4</t>
  </si>
  <si>
    <t>GHA-BRANCH-Committee; GHA-MNT-Overseer; McDonald, Darcy; GHA-CNST-Committee</t>
  </si>
  <si>
    <t>Estimate, Fence</t>
  </si>
  <si>
    <t>Frontage chain link fence cost estimate</t>
  </si>
  <si>
    <t>Go for it!  Glad you could make it work.  And the cost spread over  a couple of months is reasonable---it’s not luxuries you are asking for!   Regards, SymonBent South Africa RDC M: +27 61 699 6085  |  T: 2588  |  HYPERLINK "sip:sbent@bethe</t>
  </si>
  <si>
    <t>Washburn, Nathan; Coombs, Shaun; Bent, Symon; Salvidge, Mark; Franken, Ton; Morgan, Wendell</t>
  </si>
  <si>
    <t>DC-71, KH</t>
  </si>
  <si>
    <t>DC-71 Query Cost of Renovated Expandable KH</t>
  </si>
  <si>
    <t>Dave, First of all, I love your learner signature logo. I feel like I’m wearing a shirt like that as well. So, what I am learning regarding the DC-71 is that it is a tool to capture some of the numbers that WDC is currently interested in. There are man</t>
  </si>
  <si>
    <t>Design, Meeting</t>
  </si>
  <si>
    <t>Concept design meeting w WSP</t>
  </si>
  <si>
    <t>Ben, I’ve been tasked with trying to get this project moving.  Would you have a moment to help me understand the progress so far on the drainage and wall solution so that we can begin to price it?   Symon   From: Essop, Shakir [mailto:Shakir.E</t>
  </si>
  <si>
    <t>Härngren, Mikael</t>
  </si>
  <si>
    <t>Floor finish issues</t>
  </si>
  <si>
    <t>Might need future replacement!</t>
  </si>
  <si>
    <t>Dear Brothers,   We are equally confident that the Brothers and Sisters will arrive next Wednesday to take up occupancy of the RTO. This Date was established after negotiation and is seven days later than the branch initially planned for. This was d</t>
  </si>
  <si>
    <t>AC, Mech</t>
  </si>
  <si>
    <t>Move location of inside A C units to eliminate trunking</t>
  </si>
  <si>
    <t>Answer below from the great Ten Have!   Symon   From: ten Have, Fabian Sent: Thursday, April 30, 2015 11:59 To: Allan, Mark; Agostinho, Rudi Cc: Bent, Symon; Cruthirds, Nathan Subject: RE: ZMB Mongu RTO - Move location of inside A/C units</t>
  </si>
  <si>
    <t>Prinsloo, Jurie</t>
  </si>
  <si>
    <t>Keen, Anthony; Gilden, David; Bent, Symon; Allan, Mark; Washburn, Nathan; Fynn, Ryan</t>
  </si>
  <si>
    <t>Modular</t>
  </si>
  <si>
    <t>GPD flat pack options - Ideas for expediting and value engineering RTO's</t>
  </si>
  <si>
    <t>Hi Jurie,   How have you progressed with GPD and Korea on the flat pack KH option, have you get to the point where you have a product you’d like to try and know the landed costs?   The Star House option as used by MOZ (as per the attached) see</t>
  </si>
  <si>
    <t>Shears, Matthew; Asante-Sakyi, Joseph</t>
  </si>
  <si>
    <t>AV, CDP</t>
  </si>
  <si>
    <t>CDP Existing Whisper Room Area in Former Library</t>
  </si>
  <si>
    <t>Dear Brothers, FYI Is the header line what we should be using when referring to phase II?   Joseph: Thank you for the prompt reply.     Thank you, Jean-Marc Dodin         From: Asante-Sakyi, Joseph Sent: Wednesday,</t>
  </si>
  <si>
    <t>Revised layout and comments</t>
  </si>
  <si>
    <t>Just keeping this all together Colin, here is the HYPERLINK "file:///\\bethel.jw.org\zaf\Dept\RDC\Constr%20Support\QS\Congo\Choral%20Studio"recent estimate we did on the last Choral Studio design.  Greg Tagg will need this plus the latest drawings from Ar</t>
  </si>
  <si>
    <t>Shears, Matthew; Thomson, Cameron; OGuin, Colin</t>
  </si>
  <si>
    <t>Preparation for WTP Commissioning</t>
  </si>
  <si>
    <t>HI Symon, JM,   Please go ahead with the testing &amp; flushing.   Please note that Masaaki will arrive next week Tuesday and will bring all the parts that we be needed to remotely start/stop the pumps.    When I arrive on May 18 we will sta</t>
  </si>
  <si>
    <t>HCA:HCC</t>
  </si>
  <si>
    <t>Revised Disaster Relief Guidelines</t>
  </si>
  <si>
    <t>We are writing to inform you that a revised version of Disaster Relief Guidelines (S-180) has been posted on MDS. In addition to the procedures outlined in our letter HCA:HCC March 17, 2014, No. C-26833C, to all branches, the following are significant adj</t>
  </si>
  <si>
    <t>COD Brazzaville MH</t>
  </si>
  <si>
    <t>Estimate, Meeting</t>
  </si>
  <si>
    <t>2015-04-29 meeting minutes - next steps</t>
  </si>
  <si>
    <t>Dear Brothers,   Here are the meeting minutes for the part of the meeting having to do with the Congo Brazzaville Missionary Home.  We look forward to see how Jehovah blesses our efforts to follow through.   Colin O'Guin Engineering Project</t>
  </si>
  <si>
    <t>Air frieght parts for Generator zy861 201504029</t>
  </si>
  <si>
    <t>You have our approval Innes, Symon   From: Blackman, Innes Sent: Wednesday, April 29, 2015 17:41 To: Bent, Symon Subject: ZMB RTO Kabompo Generator zy861 201504029   Good afternoon Symon,   I just received this from the branch Sym</t>
  </si>
  <si>
    <t>Shears, Matthew; McDonald, Darcy</t>
  </si>
  <si>
    <t>DC-41 No 1 ; School Facility Baatsona Renovation</t>
  </si>
  <si>
    <t>Dear brothers,   Please find attached the DC-41 No.1 for the Baatsona SKE project.  You may go ahead and enter this into Admin.  Please feel free to contact InboxRDCAdminPTSupport.ZA HYPERLINK "mailto:InboxRDCAdminPTSupport.ZA@zaf.wtbts.net"InboxRDC</t>
  </si>
  <si>
    <t>Spanner, Simon</t>
  </si>
  <si>
    <t>Sukram, Sarah; Michalakis, Evangelos; Chiappetta, Raquel; ten Have, Fabian; Agostinho, Rudi; Imai, Masaaki; De Meyer, Efraim; Washburn, Nathan; Coombs, Shaun; St. Jean, Zeny; Luccioni, Robert; Verschoor, Peter; Coombs, Shaun; Bent, Symon; Gilden, David; Fynn, Ryan; OGuin, Colin</t>
  </si>
  <si>
    <t>Double Story - RTO Approved Layout, large AV</t>
  </si>
  <si>
    <t>Greetings Brothers,   We have revised the plans and elevations of the two-storey RTO to accommodate the larger AV facilities, etc. without enlarging the building.   Please give us your comments. Arthur Crook Architectural Coordinator</t>
  </si>
  <si>
    <t>Shears, Matthew; Meinders, Andre; Allan, Mark; OGuin, Colin</t>
  </si>
  <si>
    <t>RDC review of NLBR Package -46 SUBMITTAL</t>
  </si>
  <si>
    <t>Dear brothers,   We have reviewed the following Non-Literature Branch Requests (NLBRs) that we received from you on Tuesday, April 28, 2015 for the GHA BEX project :   Requisition # 56454- RTO VIEPE– Electrical Items- ZAF Sea Freight Requisit</t>
  </si>
  <si>
    <t>Bateman, Tristan; Coombs, Shaun; PETTENÒ, Massimiliano; OGuin, Colin</t>
  </si>
  <si>
    <t>DCP under OFFICE Slab-on-Grade (Pending tests--OK)</t>
  </si>
  <si>
    <t>I will handle this one, since I was still in the process of looking into this   Approved. Proceed. Thanks.   Saved as “COD Kikwit DCP # 4 Office Slab-on-Grade 20150429.pdf” in: HYPERLINK "file:///\\bethel.jw.org\zaf\Dept\RDC\Engineering\Pro</t>
  </si>
  <si>
    <t>RDC review of Draft NLBR 10477 for the whisper room</t>
  </si>
  <si>
    <t>Dear brothers,   We have reviewed the following Non-Literature Branch Requests (NLBRs) that we received from you on Friday, April 24, 2015 for the ZMB Choma RTO project :   Req. #10477 : Whisper-Room   We are in agreement with your reque</t>
  </si>
  <si>
    <t>Generator zy830 maintenance issues</t>
  </si>
  <si>
    <t>Hi Symon,   I thought I had sent this to you also. Here you go. Thank you  Dave   From: Eichner, David P. Sent: Tuesday, April 28, 2015 11:04 AM To: O'Guin, Colin Cc: Coombs, Shaun; IRUNG, Joël NZENG; Kamony, Paulin; Väänänen, Uul</t>
  </si>
  <si>
    <t>Bent, Symon; OGuin, Colin; GHA-CNST-Committee</t>
  </si>
  <si>
    <t>Structural, Window lintel sag, seperating from concrete bricks above</t>
  </si>
  <si>
    <t>Mark We are writing because some of our 2400mm lintels in the new residence buildings are separating from the concrete bricks above.(see attached pictures)   The problem became obvious when the plasterers started to fix their corner beads around</t>
  </si>
  <si>
    <t>Metalwork, Struct</t>
  </si>
  <si>
    <t>REP Engineering Quotation</t>
  </si>
  <si>
    <t>Hi Shane Attached the REP engineering quote for the porches and Diesel generator room.  Kind Regards Greg Fitzpatrick WatchtowerPurchasing M: 082 655 5190|  T: 011 761 1210 E: gfitzpatrick@jw.org Watch Tower Bible and Tract Society of South Af</t>
  </si>
  <si>
    <t>OGuin, Colin; Watts, Jeffery; McDonald, Darcy; Bent, Symon</t>
  </si>
  <si>
    <t>Branch FEV cost estimate--range only (POR style)</t>
  </si>
  <si>
    <t>At this stage a range of costs with risks included will be sufficient.    Thanks,   Zeny   From: Coombs, Shaun Sent: Tuesday, April 28, 2015 3:30 PM To: St. Jean, Zeny Cc: O'Guin, Colin; Watts, Jeffery; McDonald, Darcy; Bent, Symon</t>
  </si>
  <si>
    <t>Fence</t>
  </si>
  <si>
    <t>Concertina razor wire and straining wire</t>
  </si>
  <si>
    <t>Yes it does. Thank you. Shane   From: Bent, Symon Sent: Tuesday, April 28, 2015 5:29 PM To: Sadler, Shane Cc: Paekau, Ryan; O'Guin, Colin Subject: FW: ZMB Choma RTO; concertina razor wire and straining wire   Is this of any help to</t>
  </si>
  <si>
    <t>Bent, Symon; Shears, Matthew; Sellden, Erik</t>
  </si>
  <si>
    <t>Lightning Protection Material Issue</t>
  </si>
  <si>
    <t>Hi Masaaki, Thanks for the proposal. Erik will see how to adapt it on site or we’ll have to order as proposed.   Thank you, Jean-Marc Dodin       From: Imai, Masaaki Sent: Tuesday, April 28, 2015 7:59 AM To: DODIN, Jean-Marc</t>
  </si>
  <si>
    <t>WSP and RDC - 'the way forward' (MINUTES)</t>
  </si>
  <si>
    <t>Some background of where we are at with the SEN FEV assessment.  See Mark A’s highlight below. Symon   From: Allan, Mark Sent: Tuesday, April 28, 2015 5:02 PM To: Bent, Symon Subject: SEN Branch Reno; WSP and RDC - 'the way forward' (MINUTES)</t>
  </si>
  <si>
    <t>Bent, Symon; Bateman, Tristan; Cruthirds, Nathan; Schiller, Ben; OGuin, Colin</t>
  </si>
  <si>
    <t>Substitute for Sikagard 63N; Epoxy Tar Coating</t>
  </si>
  <si>
    <t>Based on attached e-mail “ZMB Kabompo RTO; SEWER TANK EPOXY--Plascon Reply.pdf” (original MSG saved in same folder mentioned below)   1.       Use Sikagard 720 Epocem as PRIMER   2.       For topcoat(s) – use Plascon PLASCOTUFF EPOXY COAL TAR</t>
  </si>
  <si>
    <t>Use of photo reports to update congregations and friends</t>
  </si>
  <si>
    <t>Hi Shane, We discussed this one around the office and we all agree that the photo report is an official WT document and should not be forwarded to other parties. There could be actions or situations in the reports that we might comment on as an office</t>
  </si>
  <si>
    <t>Guideline, Photo</t>
  </si>
  <si>
    <t>GHA-4865 Parts for Lawn Mower ($2,609 81)</t>
  </si>
  <si>
    <t>Dear Brothers:   Message received. Thank you for your reply.   Your brothers,   Global Purchasing Department From: InboxRDC.ZA [mailto:InboxRDC.ZA@zaf.wtbts.net] Sent: Tuesday, April 28, 2015 3:47 AM To: Bent, Symon Cc: InboxGloba</t>
  </si>
  <si>
    <t>Hi Jean-Mark,   I think the solution would work but more robust solution would be something like below. This is a DEHN product but could be made on site, perhaps combination with the cramps you have already.   Thank you, Masaaki Imai</t>
  </si>
  <si>
    <t>InboxCNSTRTOConstCommittee3.ZM; Sondell, Henrik; OGuin, Colin; Washburn, Nathan</t>
  </si>
  <si>
    <t>Request for BCV - Tile Setter</t>
  </si>
  <si>
    <t>Fine from my side Davin, Symon   From: Lester, Davin Sent: Monday, April 27, 2015 4:37 PM To: O'Guin, Colin Cc: Bent, Symon; InboxCNSTRTOConstCommittee3.ZM; Sondell, Henrik Subject: FW: ZMB Katete; Request for BCV   Hi Br. O’Guin,  </t>
  </si>
  <si>
    <t>OGuin, Colin; Washburn, Nathan; Bateman, Tristan; Meinders, Andre; Bent, Symon</t>
  </si>
  <si>
    <t>DCP Test Roadway Slabs - 1-4 20150425</t>
  </si>
  <si>
    <t>Hi Innes   May I commend you for your DCP Test Worksheets – clear, easy to read, neatly done, sketches very descriptive; “well done!!!” It makes it so much quicker for us to analyse and at a quick glance see what’s happening underground. (You should</t>
  </si>
  <si>
    <t>Bent, Symon; Bateman, Tristan; Cruthirds, Nathan</t>
  </si>
  <si>
    <t>Hi Caleb   I assume the ‘existing Sikagard’ you are talking about is the Epocem 720?   If so, it would seem that we can use this Sika product as the PRIMER, and then we can apply the topcoats on as PLASCOTUFF EPOXY COAL TAR. Perhaps your Plasc</t>
  </si>
  <si>
    <t>InboxBTHLVolunteerDesk.ZA</t>
  </si>
  <si>
    <t>Work Experience Form - Symon Bent</t>
  </si>
  <si>
    <t>Voila.   From: Washburn, Nathan Sent: Monday, April 27, 2015 3:46 PM To: ZAF-RDC-Everyone Subject: FW: Memo   Everyone, I attach a form we got from the Bethel Office (it came today).  They are creating a database in Admin of the work sk</t>
  </si>
  <si>
    <t>OGuin, Colin; Allan, Mark; GHA-CNST-Committee</t>
  </si>
  <si>
    <t>Creek, Comments on proposed creek design</t>
  </si>
  <si>
    <t>Brothers Thank you for sending us the design of the creek for review. Below you find a few comments from the CC on the proposed design:   1)      Inlet Grating C-501/502 Proposal: Change inlet grating to attached proposal or similar.  </t>
  </si>
  <si>
    <t>Adjustment in the Construction Committee</t>
  </si>
  <si>
    <t>We received your memorandum SA March 27, 2015 regarding suggested adjustments to the Construction Committee. You recommend Brothers Batista Francisco and Genésio Verdiano come off the committee and that Brothers Geraldo Hisatomi and Orlando Cardoso replac</t>
  </si>
  <si>
    <t>PETTENÒ, Massimiliano; Bateman, Tristan; Coombs, Shaun; OGuin, Colin</t>
  </si>
  <si>
    <t>Concrete Test Result--updates</t>
  </si>
  <si>
    <t>The ratio mix is 1 cement, 1 sand and 2 gravel……. There is just 2  cubes, because the brother in charge forgot and  just made 2 cubes….. no more  explanation just 2. This week we have 2more test, 3 each time they will be ready Thursday, it is the same mix</t>
  </si>
  <si>
    <t>OGuin, Colin; Bent, Symon; Coombs, Shaun</t>
  </si>
  <si>
    <t>Design, Laundry, Mech</t>
  </si>
  <si>
    <t>Laundry Ventilation Issues Raised by David Jones</t>
  </si>
  <si>
    <t>Hi Fabian – this e-mail should not have come to you directly; since we are at CDP stage, it should have come to the RPC (me).    Please reply to David (copying me) and say “tx for the e-mail, Bro. Jones, but since we are at CDP stage, would you mind</t>
  </si>
  <si>
    <t>Evaluating Local Design Construction (LDC) Departments</t>
  </si>
  <si>
    <t>HYPERLINK "url:orbit://WID&amp;WHQ-WDC-DD42F39E-D530-481B-9782-E31AE4F35CB4"Worldwide Design/Construction Waiting on Reply Scarselletta, Anthony 4/27/2015 9:22am  Proofed and sent. Set reminder for May 15. Luccioni, Robert 4/22/2015 5:33pm</t>
  </si>
  <si>
    <t>Shears, Matthew; Bent, Symon; Schmidt, Linus; InboxPRCHBranchRequests.ZA; OGuin, Colin; Hupston, Vanessa; Murray, Duncan; Legere, Shaun; Niia, Krister Lars-Ola</t>
  </si>
  <si>
    <t>RFQ BEX Ceiling Tile Materials RQ- 447331 (ZAF RDC to comment on alternative)</t>
  </si>
  <si>
    <t>Hi Sarah, For the sake of good communication, I checked with site and we are happy to go ahead and cut the tiles.   Thank you, Jean-Marc Dodin Construction Office GHANA BEX Extension:  22431 Cell: 054 431 4831        </t>
  </si>
  <si>
    <t>DC-41 No 1 Ghana Assembly Hall Swedru (USD 206,833)</t>
  </si>
  <si>
    <t>HYPERLINK "url:orbit://WID&amp;WHQ-WDC-0736B1F1-27CD-4A7F-B3B3-DDB712D397F5"Worldwide Design/Construction FYI Scarselletta, Anthony 4/27/2015 9:06am  FYI Symon: This DC-41 was approved. Luccioni, Robert 4/24/2015 9:04pm  Marked approv</t>
  </si>
  <si>
    <t>Ryan, Craig; Sukram, Sarah; Allan, Mark</t>
  </si>
  <si>
    <t>CDP, civil, design</t>
  </si>
  <si>
    <t>Irrigation sizing</t>
  </si>
  <si>
    <t>Hello everyone,   Craig and I sat down and went over the irrigation costs for the Ghana expansion. Craig used as a base the system in Mozambique, which he fully designed and priced. So this is just a rough estimate, but it is based on recent figures</t>
  </si>
  <si>
    <t>Allan, Mark; Proszek, Fred</t>
  </si>
  <si>
    <t>DC-43 montly review by PO now</t>
  </si>
  <si>
    <t>Men: As a direct result of Fred’s visit, it has become clear that the monthly review of DC-43 forms (and by extension, AO-8 forms) should no longer be handled by the Estimating discipline.  Our new direction is that these should go directly to the Proj</t>
  </si>
  <si>
    <t>Evaluating LDCs, workload, low spending</t>
  </si>
  <si>
    <t>During the recent RPC seminar in Brooklyn, it became apparent that because of the tremendous workload of the Regional Design/Construction Departments (RDC), certain aspects of their work could be delegated to the Local Design/Construction Departments (LDC</t>
  </si>
  <si>
    <t>UGA LDC</t>
  </si>
  <si>
    <t>LDC - Question regarding recent direction on informmation needed for visit of Circuit overseer</t>
  </si>
  <si>
    <t>FYI...   Thanks,  Shaun   From: Myklebust, Trond Sent: Friday, April 24, 2015 7:03 PM To: Coombs, Shaun Subject: RE: Ugnda: LDC - Question regarding recent direction on informmation needed for visit of Circuit overseer   Shaun,</t>
  </si>
  <si>
    <t>Assessing the Kingdom Hall Program Progress</t>
  </si>
  <si>
    <t>HYPERLINK "url:orbit://WID&amp;WHQ-WDC-E0318AAC-667C-4FB9-9618-8F985D3AD9D9"Worldwide Design/Construction For Direction Scarselletta, Anthony 4/24/2015 7:23am  Incoming. Letter went out to the 10 branches. Assigning to Trond. HYPERLINK "url</t>
  </si>
  <si>
    <t>Design, Estimate, Mech</t>
  </si>
  <si>
    <t>Mechanical design program and cost estimate</t>
  </si>
  <si>
    <t>Hi all,    The cost calculation and design program for the mechanical work for the GHA CDP are finilized.   The design program (GHA03 Branch Design Program--Mechanical - 20140424 - DRAFT.doc) is saved in this location: HYPERLINK "file:///\\bet</t>
  </si>
  <si>
    <t>Drawing, Planning</t>
  </si>
  <si>
    <t>Conceptual plan</t>
  </si>
  <si>
    <t>Gentlemen,   Here is the basic conceptual plan that we came up with. Please let me know if you want any changes, or if/when this concept is approved for us to move forward.  Thanks,   Ben</t>
  </si>
  <si>
    <t>DC-41 -1 RESUBMITTAL; REVISED 23 4 2015</t>
  </si>
  <si>
    <t>Darcy,   There’s not really anything for the architects/engineers to check here, since DC-41 #1 is mostly project &amp; personnel support costs.  Do you feel anyone else needs to look at this, or are you satisfied with it?   Colin O'Guin Enginee</t>
  </si>
  <si>
    <t>Viana Assembly Hall Power Supply</t>
  </si>
  <si>
    <t>As a follow up to the Memorandum REA:REF April 9, 2015, we are writing to ask an electrician who is qualified to install the generator, fuel connection, control wires, changeover switch, etc. Please find enclosed a DC-51.</t>
  </si>
  <si>
    <t>DC-41 PROP No 1 (Twi) (USD 800,000)</t>
  </si>
  <si>
    <t>We are writing in response to your Project Approval Request (DC_x001E_41) No. 1, dated April 24, 2015, for the purchase of the Ghana RTO Kumasi (Twi) property for the sum of USD 800,000. This is in harmony with the Publishing Committee’s letter HPA:HDA April 22</t>
  </si>
  <si>
    <t>DC-41 No 1 (Twi) (USD 595,317)</t>
  </si>
  <si>
    <t>We are writing in response to your Project Approval Request (DC_x001E_41) No. 1, dated April 24, 2015, for the Ghana RTO Kumasi (Twi) project for the sum of USD 595,317. This is in harmony with the Publishing Committee’s letter HPA:HDA April 22, 2015, No. 37229</t>
  </si>
  <si>
    <t>Shears, Matthew; Allan, Mark; Bent, Symon; OGuin, Colin</t>
  </si>
  <si>
    <t>Bethel Frontage - Chain link fence</t>
  </si>
  <si>
    <t>Yes.    From: DODIN, Jean-Marc Sent: Thursday, April 23, 2015 4:16 PM To: Jones, David M. Cc: Shears, Matthew; Allan, Mark; Bent, Symon; O'Guin, Colin Subject: GHA BEX 1; Bethel Frontage - Chain link fence   David, To sum up this email</t>
  </si>
  <si>
    <t>Bateman, Tristan; OGuin, Colin; Bent, Symon</t>
  </si>
  <si>
    <t>DCP Results - 21 April, 2015 RESIDENCE</t>
  </si>
  <si>
    <t>Sorry Mark, I should have been more involved in sending this information but Sarah sent it from Lusaka because it would have taken forever to scan and send via the internet from Choma.  Please see the comments below. Regards, Shane   From:</t>
  </si>
  <si>
    <t>Drawing, Permit</t>
  </si>
  <si>
    <t>Building Permit Drawings (PDF)</t>
  </si>
  <si>
    <t>Mark I know that it is not ideal this way…thanks for making it work though.   We appreciate everyone’s quick help with this.     Thanks Andre    From: Allan, Mark Sent: Thursday, April 23, 2015 2:28 PM To: Meinders, Andre Cc</t>
  </si>
  <si>
    <t>Davis, Sarah Louise</t>
  </si>
  <si>
    <t>Bateman, Tristan; OGuin, Colin; Sadler, Shane</t>
  </si>
  <si>
    <t>DCP Results - 21 April, 2015</t>
  </si>
  <si>
    <t>Good Afternoon Brothers,   Shane Sadler asked me to send you the DCP results for the Residence Building of the ZMB Chitonga RTO.  We followed the same format as our previous tests.  Please let us know if you have any questions.     Kind regard</t>
  </si>
  <si>
    <t>Akrong, Isaac; GHA-CNST-Committee</t>
  </si>
  <si>
    <t>Obtaining Building Permit</t>
  </si>
  <si>
    <t>Dear Brothers,   The CC was in agreement to mention to you that we seek to obtain the Baatsona Facility Building Permit through Mubarak Abubakari (Baastona consultant we used)  instead of pursuing through our Bethel Legal Department.  It is our desi</t>
  </si>
  <si>
    <t>Shears, Matthew; OGuin, Colin; McDonald, Darcy; Gibbings-Johns, Micah</t>
  </si>
  <si>
    <t>Hi Symon, Please find enclosed the DC-41 #1 package for the Baatsona SKE. Included are the replies to Darcy’s queries.   In your absence I am copying Colin and Darcy so that the office can proceed with the review.   Thank you, Jean-Marc</t>
  </si>
  <si>
    <t>Coombs, Shaun; Jubber, John; Bent, Symon</t>
  </si>
  <si>
    <t>Dish Washer Requirement</t>
  </si>
  <si>
    <t>Dear Paul   Please provide the RTO Bulawayo with a dishwasher,   Thanks   Carl     From: Carnell, Paul Sent: Wednesday, April 22, 2015 8:55 AM To: Lindstrom, Carl-Johan Cc: Coombs, Shaun; Jubber, John; Bent, Symon Subject:</t>
  </si>
  <si>
    <t>OGuin, Colin; Bent, Symon; Bateman, Tristan; GHA-CNST-Committee</t>
  </si>
  <si>
    <t>DCP Tests Office Building FOOTING 2015-04-22</t>
  </si>
  <si>
    <t>Hi Andre   Thanks for Lync call; very helpful. For ease of reference, I have attached PDF versions of previous e-mails I have sent you so you can refer to these when handling the bullet points below (links to these e-mails on our folders appear furt</t>
  </si>
  <si>
    <t>Washburn, Nathan; Allan, Mark; Fynn, Ryan; Gilden, David; Cruthirds, Nathan; Burgfeld, Melanie</t>
  </si>
  <si>
    <t>Design, Septic</t>
  </si>
  <si>
    <t>New Branch BIO systems - Tanzania version ZY849</t>
  </si>
  <si>
    <t>In talking with Symon on the description of the system it is somewhere between a septic system/field drain and a BIO System.  If the land and soil is available the first is preferable.  If the site is too cramped or soil is bad but a lower capacity field</t>
  </si>
  <si>
    <t>White, Tara; OGuin, Colin; Gilden, David; Bent, Symon</t>
  </si>
  <si>
    <t>2015-04-23 Salto wireless NOT LOOKING GOOD</t>
  </si>
  <si>
    <t>FYI    I think the correct south African expression would be  Eeeesh!   Thanks Paul   Paul Carnell (ZAF-RDC) (REC) Watch Tower Bible and Tract Society of South Africa, NPC. Registration number: 2006/022758/08. PBO number: 930021658</t>
  </si>
  <si>
    <t>Memo Standard Finishes--Bethel Res Rooms</t>
  </si>
  <si>
    <t>Mallan/Colin,   Asseblief!  J Yes -  they should incorporate the principles into phase I. Porquoi pas?   Gracias hermanos,   Zeny   From: Allan, Mark Sent: Wednesday, April 22, 2015 10:34 AM To: O'Guin, Colin Cc: Bent, Symon; S</t>
  </si>
  <si>
    <t>Projects Overseer Report</t>
  </si>
  <si>
    <t>We received the Projects Overseer Report to your branch and LDC dated January 30 – February 12, 2015. We appreciate the efforts put into this visit by Brother Bent, as well as the fine support you gave him and his wife. We agree with the report and have t</t>
  </si>
  <si>
    <t>REA:REH</t>
  </si>
  <si>
    <t>Roof repairs, leaking</t>
  </si>
  <si>
    <t>Thank you for your memorandum FA:MB March 2, 2015, in which you describe problems with water infiltration into the insulation beneath the roof above your dining room. The following are some suggestions from our architects and engineers about finding the s</t>
  </si>
  <si>
    <t>Berger, Xavier; Bent, Symon; Allan, Mark</t>
  </si>
  <si>
    <t>Commissioning, Elec</t>
  </si>
  <si>
    <t>Power House Commissioning</t>
  </si>
  <si>
    <t>Hi Jean-Marc, Xavier,   Please find the attached draft commissioning schedule. Your review would be appreciated.   Thank you, Masaaki Imai RDC-South Africa Ext. 41448  </t>
  </si>
  <si>
    <t>Washburn, Nathan; Allan, Mark; Bent, Symon; Gilden, David; OGuin, Colin; McDonald, Darcy</t>
  </si>
  <si>
    <t>Passive ventilation in Standard Kingdom Hall design - in Africa</t>
  </si>
  <si>
    <t>Hi Shaun,   We will look into the issues you are dealing with and propose some solutions bearing in mind Marks comments on the structure and areas where it could be applied.   Simon   From: Coombs, Shaun Sent: Wednesday, April 22, 2015</t>
  </si>
  <si>
    <t>Washburn, Nathan; Bent, Symon; Coombs, Shaun; Allan, Mark</t>
  </si>
  <si>
    <t>Standard Kingdom Hall Design - in Africa (Heating and Cooling)</t>
  </si>
  <si>
    <t>Anecdotal, nice wordage!   Symon Bents going to love you! D   From: O'Guin, Colin Sent: Wednesday, April 22, 2015 4:39 PM To: Spanner, Simon Cc: Washburn, Nathan; Bent, Symon; Gilden, David; McDonald, Darcy; ten Have, Fabian; InboxWDC;</t>
  </si>
  <si>
    <t>Bent, Symon; Sellden, Erik; Berger, Xavier; Shears, Matthew</t>
  </si>
  <si>
    <t>Commissioning Queries on LYNC</t>
  </si>
  <si>
    <t>Hi Jean-Mark,   Let me also send you a draft power feeder schematic for reference purpose. I will try to update this drawing during my visit.   Thank you, Masaaki Imai RDC-South Africa Ext. 41448   From: DODIN, Jean-Marc Se</t>
  </si>
  <si>
    <t>Fuentes, Miguel; Sadler, Shane; Murray, Duncan; Mumba, Misheck; InboxCNSTRTOConstCommittee1.ZM</t>
  </si>
  <si>
    <t>Elec, NLBR</t>
  </si>
  <si>
    <t>The case of the mysterious Missing Light poles</t>
  </si>
  <si>
    <t>Dear Brothers,   It Seems the Mystery has been solved.    And the conclusion is quite illuminating.   Our light poles have been on the road trip of a lifetime.  See Attachment   And they all lived happily ever after……….   ..…</t>
  </si>
  <si>
    <t>Watts, Jeffery; Bent, Symon; Coombs, Shaun; Washburn, Nathan</t>
  </si>
  <si>
    <t>Estimate, MH</t>
  </si>
  <si>
    <t>Brazzaville MH Request for direction</t>
  </si>
  <si>
    <t>Zeny,   I was not copied on any estimate breakdown but  it would seem that the new costs seems a tad high if it was based on the last plan I saw (attached), coming in at around $2500/m2, but it goes to show that this option is more and more unreal.</t>
  </si>
  <si>
    <t>Guideline, LDC, Maintenance</t>
  </si>
  <si>
    <t>LDC Operations and Maintenance Desk</t>
  </si>
  <si>
    <t>In letter HLA:HLB January 8, 2015 No. C-34793L from the Personnel Committee it was stated that the LDC would care for all theocratic facilities outside of the branch. It also stated that an Operations and Maintenance Desk would be established at each LDC</t>
  </si>
  <si>
    <t>DC-41 No 1 Zimbabwe Chiredzi RTO (USD 38,539)</t>
  </si>
  <si>
    <t>We are writing in response to your Project Approval Request (DC_x001E_41), dated April 21, 2015, for USD 38,539 for the Zimbabwe Chiredzi RTO project. We understand that the estimated completion date is May, 2015. This DC_x001E_41 is approved on behalf of the Publish</t>
  </si>
  <si>
    <t>KH, Property</t>
  </si>
  <si>
    <t>Use of Congregation-Owned Property</t>
  </si>
  <si>
    <t>In your letter SDA April 1, 2015, No. 955, you informed us that there are a total of 52 Kingdom Hall and Assembly Hall apartments in your branch territory, most of which are occupied by individuals who are not serving special full-time servants. You also</t>
  </si>
  <si>
    <t>Proposed Purchase for Kumasi (Twi) Remote Translation Office</t>
  </si>
  <si>
    <t>Approval to purchase</t>
  </si>
  <si>
    <t>In their memorandum dated REA:REL April 13, 2015, the South Africa Regional Design/Con_x001F_struction Department (RDC) provided a copy of the Property Evaluation (DC_x001E_31) and Building Evaluation (DC_x001E_32) forms for an apartment complex that can be used to provide</t>
  </si>
  <si>
    <t>Conceptual Design Review</t>
  </si>
  <si>
    <t>Did u save this one too? Can I delete?   Regards, Mark Allan (ZAF-RDC) (REC) Watch Tower Bible and Tract Society of South Africa, NPC. Registration number: 2006/022758/08. PBO number: 930021658   From: Bent, Symon Sent: 15 April 2015 1</t>
  </si>
  <si>
    <t>Review of Open Channel Concept Design (PDFs)</t>
  </si>
  <si>
    <t>I noticed the PDFs you sent weren’t actually in the PDF folder, so I created: HYPERLINK "file:///\\bethel.jw.org\zaf\Dept\RDC\Engineering\Projects\Ghana\GHA%2003%20-%20Branch%20Expansion%20Phase%202\S2\PDF\2015-04-10%20SW%20Concepts%20Branch%20Review"H</t>
  </si>
  <si>
    <t>Answers needed for phase 2 CDP &amp; design (Answer for Q 1,2,3,4)</t>
  </si>
  <si>
    <t>Are you saving this e-mail?   Regards, Mark Allan (ZAF-RDC) (REC) Watch Tower Bible and Tract Society of South Africa, NPC. Registration number: 2006/022758/08. PBO number: 930021658   From: Bent, Symon Sent: 09 April 2015 05:42 PM To</t>
  </si>
  <si>
    <t>Civil, Contract, Quote</t>
  </si>
  <si>
    <t>WSP SW Quote (Variation 1)</t>
  </si>
  <si>
    <t>Hi Colin   Herewith the first draft of the PROCSA agreement for your comments.   Regards,   Patrick Riley Pr Tech Eng Office Director WSP | Parsons Brinckerhoff, Development, Transportation and Infrastructure, Africa 3rd Floor, 35 W</t>
  </si>
  <si>
    <t>Percolation test explanations and locations</t>
  </si>
  <si>
    <t>I remember that this was that engineer who was touchy about being directed to do things…   From: Schiller, Ben Sent: Tuesday, April 21, 2015 1:28 PM To: Bent, Symon; Allan, Mark; Bateman, Tristan Cc: Washburn, Nathan Subject: RE: ZMB Petauke RT</t>
  </si>
  <si>
    <t>Compliment</t>
  </si>
  <si>
    <t>May Jehovah be praised!</t>
  </si>
  <si>
    <t>FYI! See Rob’s comments below! Well done to u all!   Regards, Mark Allan (ZAF-RDC) (REC) Watch Tower Bible and Tract Society of South Africa, NPC. Registration number: 2006/022758/08. PBO number: 930021658   From: Luccioni, Robert Sent</t>
  </si>
  <si>
    <t>RDC review of NLBR 11350 FOR SPIRAL DUCT AND 90 DEG ELBOWS 100MM</t>
  </si>
  <si>
    <t>Dear brothers,   We have reviewed the following Non-Literature Branch Requests (NLBRs) that we received from you on Tuesday, April 21, 2015 for the ZMB Mongu RTO project :   Req. #11350 : Spiral Ducting   We are in agreement with your re</t>
  </si>
  <si>
    <t>Lester, Davin; ten Have, Fabian; Agostinho, Rudi</t>
  </si>
  <si>
    <t>AC unit in the Maintenance, Home Office (YES)</t>
  </si>
  <si>
    <t>Hi brothers,   Answer below.   Tx, Symon   From: Agostinho, Rudi Sent: Tuesday, April 21, 2015 11:33 To: Bent, Symon; ten Have, Fabian Subject: RE: ZMB Katete RTO; AC unit in the Maintenance, Home Office?   Hi Symon   Som</t>
  </si>
  <si>
    <t>Hi    A nice message from the translation overseer in Moz Massinga.   Well done to all.     From: Jeremias, Neves Sent: Tuesday, April 21, 2015 9:39 AM To: Wridgway, Wayne; Gilden, David; Rendon, Hector; Mordecki, Martin; Fanica, E</t>
  </si>
  <si>
    <t>Cruthirds, Nathan; Crook, Arthur</t>
  </si>
  <si>
    <t>Equipment, Kitchen, Laundry, Procurement</t>
  </si>
  <si>
    <t>Early procurement of laundry kitchen equipment</t>
  </si>
  <si>
    <t> Early procurement of laundry/kitchen equipment Tuesday, April 21, 2015 11:10 Laundry Equipment JK: Laundry resources stretched; washing for 400 persons; getting through the next 2 years until new laundry is complete Universal finisher outp</t>
  </si>
  <si>
    <t>Shears, Matthew; Meinders, Andre; Allan, Mark</t>
  </si>
  <si>
    <t>RDC review of NLBR Package -46 SUBMITTAL (56454 Revised)</t>
  </si>
  <si>
    <t>Dear brothers,   We have reviewed the following Non-Literature Branch Requests (NLBRs) that we received from you on Tuesday, April 21, 2015 for the GHA Viepe RTO project :   Requisition # 56454- RTO VIEPE– Electrical Items- ZAF SeaFrieght  </t>
  </si>
  <si>
    <t>Nolan, Todd</t>
  </si>
  <si>
    <t>Bent, Symon; Fruciano, Jared</t>
  </si>
  <si>
    <t>Mech, Solar</t>
  </si>
  <si>
    <t>Vacuum breaker on solar geysers</t>
  </si>
  <si>
    <t>Hi Todd,    The difference between a vent valve and a vacuum breaker is that the vent valve will let air out of the tank when the system gets filled, and a vacuum breaker will let air into the tank when the system gets drained. So both valves are ne</t>
  </si>
  <si>
    <t>Marriott, Brian; Coombs, Shaun; Allan, Mark; OGuin, Colin; Reichel, Venessa</t>
  </si>
  <si>
    <t>FS S-102-S2, Gable wall options</t>
  </si>
  <si>
    <t>Dear brothers,   Based on your recent query we are issuing a field sketch that affects the gable walls on your buildings.  The drawings affected are as follows:   KQ-S-102-S2: Gable Wall Options Added   Please be sure to cross out the pr</t>
  </si>
  <si>
    <t>Kitchen</t>
  </si>
  <si>
    <t>kitchen upgrade plan</t>
  </si>
  <si>
    <t>Suggested Kitchen adjustments on current Kitchen.   Thank you. Neill   From: Keller, Timothy Sent: Friday, March 06, 2015 3:13 PM To: Arthur, Gideon Cc: Ryan, Neill; Avorgbedor, Abel; Saunders, Tareyton; Charway, Daniel Subject: kitche</t>
  </si>
  <si>
    <t>Sondell, Henrik; Allan, Mark; Schiller, Ben; OGuin, Colin</t>
  </si>
  <si>
    <t>Initial soil test results</t>
  </si>
  <si>
    <t>Hi Symon, Below is the response from the brother that did the soils survey. Let me know if there are any further concerns. Davin  -----Original Message----- From: JONATHAN CHILESHE [mailto:explorer.engineering@gmail.com] Sent: Monday, April 20</t>
  </si>
  <si>
    <t>Jones, David M.; McDonald, Darcy; Allan, Mark; Washburn, Nathan</t>
  </si>
  <si>
    <t>Additional temp (10) ten-room temp residence (APPROVED)</t>
  </si>
  <si>
    <t>Approved</t>
  </si>
  <si>
    <t>Dear Brothers,    You have our approval to go ahead with these 10 temporary rooms.  We expect the maximum cost to be $50,000.  These funds should be carefully tracked and recorded and will be added to the phase 2 budget as part of your Personnel Sup</t>
  </si>
  <si>
    <t>Allan, Mark; Finlayson, Gerald; Bent, Symon; McDonald, Darcy</t>
  </si>
  <si>
    <t>NGA COTC</t>
  </si>
  <si>
    <t>These two mails (below and attached) came from BC members... the door is open to ‘come again’.   The students loved the Lync connection with the rest of the world, it really did come across well.  RDC has become a little more real, particularly to t</t>
  </si>
  <si>
    <t>Estimate</t>
  </si>
  <si>
    <t>Review of Cost Plan</t>
  </si>
  <si>
    <t>Hi Colin, I would say yes, the total is not going to change according to Darcy.   Here’s the memo reference to the total cost; note the highlights!     WORLD HEADQUARTERS HPA:HDA   October 1, 2014   No. 32489P  Branch Committee CON</t>
  </si>
  <si>
    <t>DC-41 No 1 Zimbabwe Construction Yard (USD 8,507)</t>
  </si>
  <si>
    <t>We are writing in response to your Project Approval Request (DC_x001E_41) dated April 21, 2015, in the amount of USD 8,507 for the Zimbabwe Construction Yard project. We understand that the estimated completion date is May 22, 2015. This DC_x001E_41 is approved on be</t>
  </si>
  <si>
    <t>DC-41 No 1 Angola RTO Lubango (Nyaneka) Property</t>
  </si>
  <si>
    <t>We are writing in response to your memorandum ACO April 20, 2015, which included the Project Approval Request (DC_x001E_41) for the Angola RTO Lubango (Nyaneka) Property purchase for the sum of USD 1,400,000. This is in harmony with the Publishing Committee’s l</t>
  </si>
  <si>
    <t>Additional temp ten-room residence</t>
  </si>
  <si>
    <t>Approval to build from Zeny</t>
  </si>
  <si>
    <t>This is a great idea - the housing that is.  BTW - what is the cost plan looking like? Thanks, Zeny On Apr 20, 2015, at 5:07 PM, Watts, Jeffery &lt;HYPERLINK "mailto:JFWATTS@usa.wtbts.net"JFWATTS@usa.wtbts.net&gt; wrote:  Symon,   Zeny has</t>
  </si>
  <si>
    <t>Budget, Financial</t>
  </si>
  <si>
    <t>Final Project Financial Report AO-9 for GHA-0013 (draft edit)</t>
  </si>
  <si>
    <t>Well I think you have massaged this as much as we can.  As they say in the north of England: “job’s a good ‘un.”  Let’s get it submitted!   Symon   From: DODIN, Jean-Marc Sent: Wednesday, April 1, 2015 13:56 To: Shears, Matthew Cc: Bent, S</t>
  </si>
  <si>
    <t>Allan, Mark; Bent, Symon; Shears, Matthew; Sukram, Sarah</t>
  </si>
  <si>
    <t>AV, CDP, Meeting</t>
  </si>
  <si>
    <t>CDP Meeting Minutes 2015-04-16 AV Floor Plan Review</t>
  </si>
  <si>
    <t>Dear Jean-Marc,   Please distribute this among the those reviewing the architectural plans this week at the branch.  We executed this option (see clouded portion for what is different) in order to more closely match the proportions, spatial relation</t>
  </si>
  <si>
    <t>Legere, Shaun</t>
  </si>
  <si>
    <t>Shears, Matthew; DODIN, Jean-Marc; Bent, Symon; Niia, Krister Lars-Ola; Wilcox, Stephanie Kate</t>
  </si>
  <si>
    <t>Shaun,   Attached are specifications and price lists (unit of measurements) for the Gyproc tee system, Owa Constellation Ceiling Tile, and the Lafarge or Everite (Nutec) Fibre-Cement Ceilng Tiles.   It would be up to ZAF purchasing to decide w</t>
  </si>
  <si>
    <t>OGuin, Colin; Sukram, Sarah; Bent, Symon; Watts, Jeffery</t>
  </si>
  <si>
    <t>WHQ Approve Translation into Twi (Akuapem) and Twi (Asante)</t>
  </si>
  <si>
    <t>Agree that provision needs to be made for short to mid term. With 1600 pubs they will need A/V almost immediately as well.  Thanks, Zeny On Apr 20, 2015, at 8:31 AM, Allan, Mark &lt;HYPERLINK "mailto:MAllan@zaf.wtbts.net"MAllan@zaf.wtbts.net&gt; wrote:</t>
  </si>
  <si>
    <t>symonbent@gmail.com</t>
  </si>
  <si>
    <t>WDC Group Photos</t>
  </si>
  <si>
    <t>    From: Scarselletta, Tony Jr. Sent: Friday, February 27, 2015 16:23 To: Bradfield, Darrin; Franken, Ton; Henderson, Phillip; Housner, Bradley; McCarthy, Benjamin; Morgan, Wendell; Myklebust, Trond; Pollock, Robert Jr.; Proszek, Fred; Spanner,</t>
  </si>
  <si>
    <t>InboxPRCH.GH</t>
  </si>
  <si>
    <t>Adashie, Daniel; InboxRDC.ZA; Oppong, Kofi</t>
  </si>
  <si>
    <t>GHA Requisition Number 57476 ; Wall Plates and Washers</t>
  </si>
  <si>
    <t>Dear brothers,   We have reviewed the following Non-Literature Branch Requests (NLBRs) that we received from you on Monday, April 20, 2015 for the GHA LDC :   Req. #57476 : Wall plates and washers for LDC stock   We are in agreement with</t>
  </si>
  <si>
    <t>OGuin, Colin; Schiller, Ben</t>
  </si>
  <si>
    <t>Seems we have enough info from geotechnical point of view, but as Ben mentioned in another e-mail, would be good to see location plan for trial pit positions   Nice to see that they covered many of the points that other teams have sometimes failed t</t>
  </si>
  <si>
    <t>Reference, School</t>
  </si>
  <si>
    <t>Q Attending Pioneer School in your home country</t>
  </si>
  <si>
    <t>Voila!   From: Fruciano, Jared Sent: Thursday, April 16, 2015 14:05 To: Bent, Symon Subject: Attending Pioneers School in your home country   HI Symon,   With the pioneer school season coming up and many going on vacation some are in</t>
  </si>
  <si>
    <t>Madagascar - MDG-4418 Inverter ($706 01)</t>
  </si>
  <si>
    <t>Thanks Symon   Hi GPD. Your ref is: wid:WHQ-GPD-53DAE720-0B4F-4DF4-9A80-BEB890C9FD52   See below. We are in agreement. Please can u confirm receipt of this e-mail?   Thanks  Mark A   From: Bent, Symon Sent: 20 April 2015 12:04</t>
  </si>
  <si>
    <t>Cost of RTO maintenance</t>
  </si>
  <si>
    <t>Men, FYI…  For the meeting tomorrow.  I wrote Wendell Morgan. [4/20/2015 2:18 PM] Washburn, Nathan: Question from a PO report... Currently the maintenance costs for KHs, AHs, FR apartments come from the yearly LDC budgets.  However they asked abou</t>
  </si>
  <si>
    <t>Busciglio, Dominic; Jones, David M.; Finch, Ed; Jefferson, Ian</t>
  </si>
  <si>
    <t>New AH Operations Guidelines</t>
  </si>
  <si>
    <t>Dear brothers,   We attach the latest AH Operations Guidelines for your information.   Kind regards,   SymonBent South Africa RDC M: +27 61 699 6085  |  T: 2588  |  HYPERLINK "sip:sbent@bethel.jw.org"Lync      </t>
  </si>
  <si>
    <t>Crook, Arthur; Chiappetta, Raquel</t>
  </si>
  <si>
    <t>Electrolux Steamer oven 20150402</t>
  </si>
  <si>
    <t>Long term solution is that as of the MOZ Tete RTO the exterior doors are increasing in width by at least 50mm, that should solve the problem for the upcoming RTOs.  Not sure about the ones already under construction.   Kind Regards, Van.  </t>
  </si>
  <si>
    <t>GHA Somanya RTO</t>
  </si>
  <si>
    <t>Google Earth KMZ; Somanya AH Options; ASSESS</t>
  </si>
  <si>
    <t>This is the latest I have…   Regards, Mark Allan (ZAF-RDC) (REC) Watch Tower Bible and Tract Society of South Africa, NPC. Registration number: 2006/022758/08. PBO number: 930021658   From: Allan, Mark Sent: 31 March 2015 06:16 PM To:</t>
  </si>
  <si>
    <t>InboxCNSTRTOConstCommittee3.ZM</t>
  </si>
  <si>
    <t>Petauke Soils Survey</t>
  </si>
  <si>
    <t>Hi Symon,   I am still working on getting the site survey for the Petauke project but I have been able to arrange the soils survey and got the results back. Cam said I will need to send these officially in a memo once I have all the surveys but I th</t>
  </si>
  <si>
    <t>Bent, Symon; OGuin, Colin; DODIN, Jean-Marc</t>
  </si>
  <si>
    <t>CIVIL - Truck Dimensions Needed</t>
  </si>
  <si>
    <t>Hi Mark, This has just come in… Tx   Matt Shears CONSTRUCTION OFFICE GHANA BRANCH Ext. 22430   VOLVO FH   From ZAF RDC: Is it possible you can arrange for someone to provide some additional measurements for the trucks?</t>
  </si>
  <si>
    <t>SAF LDC Polokwane RTO</t>
  </si>
  <si>
    <t>WORKFLOW MEETING (incl EQUIPMENT)</t>
  </si>
  <si>
    <t>Thanks RF, SB, NC and AC   One concern RF raised some time back re: equipment: “LDC is not very happy to install and maintain the Electrolux, so we will need to set up a meeting to discuss further with them and RDC Maintenance. ”   I replied:</t>
  </si>
  <si>
    <t>Pollock, Robert Jr.; Washburn, Nathan; Finlayson, Gerald; McDonald, Darcy; Bent, Symon; Gilden, David; Allan, Mark; Snyder, Charles; Barkow, Tim</t>
  </si>
  <si>
    <t>NGA COTC Thank you</t>
  </si>
  <si>
    <t>Bro’s,    Attached is a very nice letter of appreciation from the students here in Nigeria... they did say they would like to see a picture of the students there in Central Europe, if possible?   They enjoyed themselves as did we, thanks for t</t>
  </si>
  <si>
    <t>Zeny, We have gone over the properties, and still feel that the Katwishi property is the best of the options.  However, as to location, we have not pushed this with the Branch Committee.     I don’t know if we have had a meeting with them regardi</t>
  </si>
  <si>
    <t>Allan, Mark; Jones, David M.; Kwesie, Samuel</t>
  </si>
  <si>
    <t>Meeting Minutes 2015-04-16 AV Floor Plan Review</t>
  </si>
  <si>
    <t>Purpose of this meeting: to review the proposed spatial organization with Branch Committee and WHQ AVS Department representatives. Personnel listing (cumulative) AV TEAMPersons NeededTotal Audio TWI33 Audio GA36 Audio Bible Team (Twi/Ga)2</t>
  </si>
  <si>
    <t>DODIN, Jean-Marc; Sukram, Sarah</t>
  </si>
  <si>
    <t>Residence Bldgs; Concrete Plinth under cabinets (NO)</t>
  </si>
  <si>
    <t>Hi Matt,   What looks like a concrete plinth is in fact the aluminium kick board as Sarah shows below.  Ben B. installed exactly the same units in MDG.   Tx, Symon   From: Sukram, Sarah Sent: Friday, April 17, 2015 11:57 To: Bent, Sym</t>
  </si>
  <si>
    <t>van Rensburg, Gerhard</t>
  </si>
  <si>
    <t>Contract, Mech</t>
  </si>
  <si>
    <t>Detailled Mech &amp; HVAC engineering proposal</t>
  </si>
  <si>
    <t>Hi All Please find attached the quote from Enviroware for the Ghana project Kind Regards Gerrie van Rensburg Watch Tower Purchasing SA +2711-761-1228 +2771-898-9986 (Mobile) Watch Tower Bible and Tract Society of South Africa, NPC. Regist</t>
  </si>
  <si>
    <t>Soil, Struct</t>
  </si>
  <si>
    <t>G5 material photos</t>
  </si>
  <si>
    <t>-----Original Message----- From: Sadler, Shane Sent: Friday, April 17, 2015 13:50 To: Bent, Symon Subject: ZMB Choma RTO:G5 material.  Hello Symon, This is the under slab material. Ss</t>
  </si>
  <si>
    <t>Symon I had a look at the design and overall I think it is good.   The only real concern is the grating at the entry. Experience during the last rainy season has shown that this kind of grating blocks up quickly since there is a lot of garbage</t>
  </si>
  <si>
    <t>Allan, Mark; Gilden, David; Pollock, Robert Jr.; Washburn, Nathan</t>
  </si>
  <si>
    <t>ACRONYMS at COTC</t>
  </si>
  <si>
    <t>Some people are just never satisfied!  J   Syms you’ll have to do the Excel conversion...    Thanks,  Shaun   From: Bent, Symon Sent: Friday, April 17, 2015 8:16 AM To: Washburn, Nathan; Coombs, Shaun Cc: Allan, Mark; Gilden, Davi</t>
  </si>
  <si>
    <t>SDX:TDA</t>
  </si>
  <si>
    <t>GHA Dagaare RTO</t>
  </si>
  <si>
    <t>Request for a Permanent Dagaare Translation Team</t>
  </si>
  <si>
    <t>Approval to form team</t>
  </si>
  <si>
    <t>The Dagaare translation team has been approved as a temporary translation team since 2011. The team has worked hard over the years and has produced various publications into Dagaare as well as Level 1 of the jw.org Website and Web Audio publications.</t>
  </si>
  <si>
    <t>HWB:ETA</t>
  </si>
  <si>
    <t>Approve Translation into Twi (Akuapem) and Twi (Asante)</t>
  </si>
  <si>
    <t>In your letter dated SDX March 10, 2015, No. 778, you request permission to begin translation into Twi (Akuapem) (TWK) and Twi (Asante) (TWS). This is approved. Twi (TW) will be discontinued as a language our organization translates into. All current Twi</t>
  </si>
  <si>
    <t>NLBR Draft -10360 A V Doors (DEU INC;17673)</t>
  </si>
  <si>
    <t>This looks fine, Van and I checked one for another RTO a few days ago.  Matches up.   Symon   From: Sadler, Shane Sent: Wednesday, April 15, 2015 19:23 To: Bent, Symon Subject: FW: ZMB Choma RTO: NLBR Draft #10360 A/V Doors [DEU INC:17673]</t>
  </si>
  <si>
    <t>Allan, Mark; OGuin, Colin; Coombs, Shaun</t>
  </si>
  <si>
    <t>Earth works contract vs DCP testing</t>
  </si>
  <si>
    <t>Hi Dave,   The answer is as you surmised: testing yourself is the safest route and as Mark A. says: it keeps them honest(ish),   Regards,   SymonBent South Africa RDC M: +27 61 699 6085  |  T: 2588  |  HYPERLINK "sip:sbent@bethel.j</t>
  </si>
  <si>
    <t>Coombs, Shaun; Gilden, David; Washburn, Nathan; Reichel, Venessa</t>
  </si>
  <si>
    <t>Fence, Photo</t>
  </si>
  <si>
    <t>Photos of new style wall caps</t>
  </si>
  <si>
    <t>Thought you all might enjoy this, Hilton would be proud---the first step in RTO simplification!   Greets and treats, SymonBent South Africa RDC M: +27 61 699 6085  |  T: 2588  |  HYPERLINK "sip:sbent@bethel.jw.org"Lync      </t>
  </si>
  <si>
    <t>Robert Collin</t>
  </si>
  <si>
    <t>SEN FEV Notes 2015-04-15 docx</t>
  </si>
  <si>
    <t>List of current projects</t>
  </si>
  <si>
    <t>I’m busy updating my own list of what is pending…  I asked Peter to send me what he knows.  Good reading.   From: Wilhjelm, Peter Sent: Thursday, April 16, 2015 12:11 To: Bent, Symon Subject: FW:    Dear Symon, Here is a list of Project</t>
  </si>
  <si>
    <t>DODIN, Jean-Marc; Shears, Matthew; McDonald, Darcy; McDonald, Debbie</t>
  </si>
  <si>
    <t>DC-41 1 &amp; 2 to be entered in Admin</t>
  </si>
  <si>
    <t> </t>
  </si>
  <si>
    <t>Early procurement of kitchen &amp; laundry equipment</t>
  </si>
  <si>
    <t>Hi Colin,   All the memos, blurb and attachments to the kitchen/laundry escapade.   Symon   _____   MEMORANDUM GHANA branch BOA:BMA   March 31, 2015    SOUTH AFRICA   Re:    Expansion of Ghana Kitchen Dear Brothers:</t>
  </si>
  <si>
    <t>Kaarna, Arno; Adjei, Elishama; OGuin, Colin</t>
  </si>
  <si>
    <t>GHA Bolgatanga RTO</t>
  </si>
  <si>
    <t>Cost of ISP; how to budget RTOs</t>
  </si>
  <si>
    <t>Hi Daniel/Arno,   We now follow the attached directive for all network and computer installations for an RTO.  I think that it is pretty clear, maybe you can review this with your computer department and see how to follow thorough.  Internet provide</t>
  </si>
  <si>
    <t>Smith, Leah Doneen; Philpott, Petula; MUSONDA, LO-RUHAMAH CHANDA; Mumba, Misheck; Schmidt, Anna; Basikoti, Stephen</t>
  </si>
  <si>
    <t>NLBR 6295 and 6291 for choma</t>
  </si>
  <si>
    <t>Dear Brothers, My sincerest apologies for not being present at the meeting today.   I have no good excuse.  I just got busy and forgot.  Not nice considering that I caused this mess and you are the ones fixing it.   I like the solution presented.  I</t>
  </si>
  <si>
    <t>St. Jean, Zeny; Bent, Symon</t>
  </si>
  <si>
    <t>Jeff, If you read the chain below, it is the reply to your original request to let you know about the lodge for the Cibemba team.   The lodge price is now $1mil.  It is in bad condition.  Ed says the Branch Committee has abandoned the idea.  </t>
  </si>
  <si>
    <t>Guideline, KH, Maintenance</t>
  </si>
  <si>
    <t>Kingdom Hall maintenance query</t>
  </si>
  <si>
    <t xml:space="preserve">Circuit overseers are no longer being directed to review the latest Kingdom Hall </t>
  </si>
  <si>
    <t>Here is the ‘unofficial’ version, but body is the same. N   From: Gilden, David Sent: Wednesday, April 15, 2015 4:03 PM To: Cruthirds, Nathan; Coombs, Shaun; Bent, Symon Cc: Washburn, Nathan Subject: RE: UGA LDC : Kingdom Hall maintenance qu</t>
  </si>
  <si>
    <t>Bent, Symon; Bateman, Tristan; DODIN, Jean-Marc; Watson, Toby</t>
  </si>
  <si>
    <t>Embedded (18)</t>
  </si>
  <si>
    <t>Mark:   Ghana Viepe Ewe RTO – Laterite Tests for Building Platform   We submitted a laterite sample to the SCS laboratory, as we were not getting the results from AESL. Please see the attachments, for your review.   We look forward to</t>
  </si>
  <si>
    <t>Equipment, Kitchen</t>
  </si>
  <si>
    <t>Kitchen equipment for Phase 2 (Information for PO)</t>
  </si>
  <si>
    <t>Weekly Meeting with Po; April 14th 2015.   Request to procure Kitchen Equipment for Phase II. List with RDC In progress. Extra support facilities are being considered by ZAF RDC with a view to what is needed for PHASE II. Need to confirm the ite</t>
  </si>
  <si>
    <t>GHA Dangme RTO</t>
  </si>
  <si>
    <t>Design, Fence</t>
  </si>
  <si>
    <t>    From: Michalakis, Evangelos Sent: Wednesday, March 25, 2015 4:27 PM To: Allan, Mark Cc: Bent, Symon Subject: RE: GHA Dangme RTO; Google Earth KMZ; Somanya AH Options; ASSESS   Hi Mark,    I tried to do a preliminary “hand sketch</t>
  </si>
  <si>
    <t>Hi Caleb,   That certainly was some interesting reading, thanks for keeping us up-to-date on this stuff!  I asked Nathan’s input on this one, and like he said the ZMB BC will need to weigh in here.  If they are in agreement with the concerns of the</t>
  </si>
  <si>
    <t>Crudass, Paul</t>
  </si>
  <si>
    <t>Allan, Mark; Sukram, Sarah; Crook, Arthur; St. Jean, Zeny; Watts, Jeffery</t>
  </si>
  <si>
    <t>Dear brothers,   We have attached the conceptual design for the Ghana Branch Expansion Phase 2 project.  This includes layout and elevation drawings of each new building and remodelled area, plus some 3D sketches to help better visualise the look, s</t>
  </si>
  <si>
    <t>Schiller, Ben; Coombs, Yolanda; Murray, Duncan; Imai, Masaaki; De Meyer, Efraim; Agostinho, Rudi; Washburn, Nathan; Bent, Symon; McDonald, Darcy; ten Have, Fabian; OGuin, Colin; Carnell, Paul; Chiappetta, Raquel; Reichel, Venessa; Bateman, Tristan; Coombs, Shaun</t>
  </si>
  <si>
    <t>Simplification - Additional Points (SOLAR GEYSER Shift)</t>
  </si>
  <si>
    <t>Just keeping all the e-mails together…   Regards, Mark Allan (ZAF-RDC) (REC) Watch Tower Bible and Tract Society of South Africa, NPC. Registration number: 2006/022758/08. PBO number: 930021658   From: Cruthirds, Nathan Sent: 15 Ap</t>
  </si>
  <si>
    <t>PPR on roof to solar</t>
  </si>
  <si>
    <t>Hi Todd,   The solar panels will come with all the fittings, valves, etc. installed and insulated. These section of piping will be made in copper; you can connect you PPR piping system to these copper pipes.    The mixing valve will be supplie</t>
  </si>
  <si>
    <t>Hale, Timothy</t>
  </si>
  <si>
    <t>Lindstrom, Carl-Johan; Pembele, Manuel; Coombs, Shaun; Bent, Symon</t>
  </si>
  <si>
    <t>DC41 REVIEW COMMENTS</t>
  </si>
  <si>
    <t>In Message (5)</t>
  </si>
  <si>
    <t>Hi Tim,   The information sent through has now been reviewed by RDC and PT Support. Please note the comments below:   1.       Please verify that there are no expected costs in Area 10 Project Support, such as legal fees, permits, etc.  2. </t>
  </si>
  <si>
    <t>ten Have, Fabian; Agostinho, Rudi; Imai, Masaaki; De Meyer, Efraim; Washburn, Nathan; Coombs, Shaun; St. Jean, Zeny; Luccioni, Robert; Verschoor, Peter; Coombs, Shaun; Bent, Symon; Gilden, David; Fynn, Ryan; OGuin, Colin</t>
  </si>
  <si>
    <t>Double Story - RTO Approved Layout</t>
  </si>
  <si>
    <t>Thanks Simon   Arch – see below and attached. Please save the attached PDF in a logical place and send to all?   Regards, Mark Allan (ZAF-RDC) (REC) Watch Tower Bible and Tract Society of South Africa, NPC. Registration number: 2006/0227</t>
  </si>
  <si>
    <t>Trades certification example</t>
  </si>
  <si>
    <t>This is our apprentice program.  The branch is on Board.  Wonder if they’ll let us issue a certificate with their name on it? We’ll see. SS   From: Sadler, Shane Sent: Tuesday, April 14, 2015 8:54 PM To: ZMB-BRANCH-Committee Cc: InboxCNSTR</t>
  </si>
  <si>
    <t>Gilbert Doume</t>
  </si>
  <si>
    <t>Barreto-Fernandes, Thierry; Robert Collin; Coombs, Shaun; Imai, Masaaki</t>
  </si>
  <si>
    <t>Video Equipment for AH (RDC Review OK)</t>
  </si>
  <si>
    <t>Dear brothers,   We have reviewed your questionnaires and drawings.  They look fine, therefore please go ahead with the step no. 2 and forward to the Broadcasting Department.   Kind regards,   SymonBent South Africa RDC M: +27 61 6</t>
  </si>
  <si>
    <t>RDC review of NLBR Fibreless wool 20150414</t>
  </si>
  <si>
    <t>Dear brothers,   We have reviewed the following Non-Literature Branch Requests (NLBRs) that we received from you on Tuesday, April 14, 2015 for the ZMB Kabompo RTO project :   Req. #??? : Rockwool insulation rolls   We are in agreement w</t>
  </si>
  <si>
    <t>InboxCNSTRTOConstCommittee2.ZM; ten Have, Fabian; Cruthirds, Nathan; Schiller, Ben; Washburn, Nathan</t>
  </si>
  <si>
    <t>Recommend Paving up to Utility Building for better access to Tuffa tanks etc (APPROVED)</t>
  </si>
  <si>
    <t>Hi Jared,   We have unanimity, please go ahead with your plan for increasing the paving to the utility building.   Kind regards,   SymonBent South Africa RDC M: +27 61 699 6085  |  T: 2588  |  HYPERLINK "sip:sbent@bethel.jw.org"Lyn</t>
  </si>
  <si>
    <t>InboxCNSTRTOConstCommittee2.ZM; Washburn, Nathan</t>
  </si>
  <si>
    <t>RDC review of NLBR Misc Items - Draft 10976</t>
  </si>
  <si>
    <t>Dear brothers,   We have reviewed the following Non-Literature Branch Requests (NLBRs) that we received from you on Tuesday, April 14, 2015 for the ZMB Mongu RTO project :   Req. #10976 Door seal, threshold, cover plates, survey staff  </t>
  </si>
  <si>
    <t>Lessons Learned' RTOs - Massinga &amp; Chintheche</t>
  </si>
  <si>
    <t>Greetings all   Attached are the Commissioning Visit Reports done for Massinga and Chintheche RTOs. First two ‘out-of-ZAF’ custom built RTOs ‘ready for action’. We have as an office really done great in getting a ‘standard package’ together, so well</t>
  </si>
  <si>
    <t>ten Have, Fabian; Washburn, Nathan; Finlayson, Gerald; McDonald, Darcy; Bent, Symon; Coombs, Shaun</t>
  </si>
  <si>
    <t>MWI Chinteche RTO</t>
  </si>
  <si>
    <t>Noise Levels dBa in Rec Studio</t>
  </si>
  <si>
    <t>Van – see below. What say you?   Recording Studio Ventilation The sound level from fan and grills with the fan on speed 5 (=1/2 speed) is 41dba.  That’s the same as the running Samsung AC at low fan in an empty room. [MA: how does this compare to</t>
  </si>
  <si>
    <t>AV, Studio</t>
  </si>
  <si>
    <t>Smaller recording rooms proposal (type A)</t>
  </si>
  <si>
    <t>Hi Colin,   Looks like we have enough information to set up a meeting now.  Myself, Shaun, Arthur, Darcy I guess.   Regards,   SymonBent South Africa RDC M: +27 61 699 6085  |  T: 2588  |  HYPERLINK "sip:sbent@bethel.jw.org"Lync</t>
  </si>
  <si>
    <t>DODIN, Jean-Marc; Shears, Matthew; Bateman, Tristan</t>
  </si>
  <si>
    <t>Photo, Soil, Struct</t>
  </si>
  <si>
    <t>Fill Material Needed - Under footings and SOG</t>
  </si>
  <si>
    <t>Embedded (17)</t>
  </si>
  <si>
    <t>Tx! J   Regards, Mark Allan (ZAF-RDC) (REC) Watch Tower Bible and Tract Society of South Africa, NPC. Registration number: 2006/022758/08. PBO number: 930021658   From: Meinders, Andre Sent: 14 April 2015 03:01 PM To: Allan, Mark; Ben</t>
  </si>
  <si>
    <t>Symon Bent Passport photo</t>
  </si>
  <si>
    <t>    From: Cox, Mitzi Sent: Tuesday, April 14, 2015 11:03 To: Bent, Symon Subject: Your digital picture:          mitzicox2089    </t>
  </si>
  <si>
    <t>Cox, Mitzi</t>
  </si>
  <si>
    <t>Passport photo, Symon</t>
  </si>
  <si>
    <t>      mitzicox2089    </t>
  </si>
  <si>
    <t>Status update</t>
  </si>
  <si>
    <t>Hi Colin,   This is more for me to ‘explain’ than Nathan, although I’d be happy for him to do so!   The project was conceptually approved for 4.7-5.5M back in October 2011, the attached memo gives you a brief history, in part it says:    </t>
  </si>
  <si>
    <t>SDX:AVA</t>
  </si>
  <si>
    <t>AV</t>
  </si>
  <si>
    <t>Requesting Whisperrooms and Recording Workstations for new RTOs</t>
  </si>
  <si>
    <t>We have received approval to move some language teams to Remote Translation Offices. In preparation for the moves and considering the lead time for obtaining equipment, we are requesting your approval at this time to obtain equipment for setting up and pr</t>
  </si>
  <si>
    <t>Snyder, Charles</t>
  </si>
  <si>
    <t>Luccioni, Robert; St. Jean, Zeny; Verschoor, Peter; Morgan, Wendell; Pollock, Robert Jr.</t>
  </si>
  <si>
    <t>Committee, Meeting</t>
  </si>
  <si>
    <t>DC-61 CCM template, open close in prayer</t>
  </si>
  <si>
    <t>Dear Brothers, Previously, we allowed each construction committee to decide whether to include an opening and closing prayer. However, the importance of prayer cannot be underestimated. To emphasize the spiritual aspect of our assignments and to ask fo</t>
  </si>
  <si>
    <t>Mech, Water</t>
  </si>
  <si>
    <t>Status of water treatment system from UK</t>
  </si>
  <si>
    <t>See attached, sent Shaun this email on Saturday, forgot to copy Symon.   Thank you,   Fabian ten Have South Africa Regional Design/Construction Department   From: Bent, Symon Sent: Monday, April 13, 2015 4:29 PM To: ten Have, Fabia</t>
  </si>
  <si>
    <t>Kaarna, Arno; McDonald, Darcy; McDonald, Debbie</t>
  </si>
  <si>
    <t>Ghana AH Swedru DC-41 approved</t>
  </si>
  <si>
    <t>Dear brothers,   Please go ahead and enter this DC-41 into Admin.  Before submitting please contact the HYPERLINK "mailto:InboxRDCAdminPTSupport.ZA%20%3cInboxRDCAdminPTSupport.ZA@zaf.wtbts.net%3e"PT Support desk to ensure that all details have been</t>
  </si>
  <si>
    <t>RDC review of Draft NLBR; REQ 520-11145; Wheelbarrow Tires and Chairs; 2015 0413</t>
  </si>
  <si>
    <t>Dear brothers,   We have reviewed the following Non-Literature Branch Requests (NLBRs) that we received from you on Monday, April 13, 2015 for the ZMB Katete RTO project :   REQ #520-11145; Wheelbarrow Tires and Chairs   We are in agreem</t>
  </si>
  <si>
    <t>Lindstrom, Carl-Johan; Jubber, John; Michalakis, Evangelos; Crook, Arthur; Chiappetta, Raquel; Hale, Timothy; Porter, Tony; Ndebele, Norman; De Meyer, Efraim; Bent, Symon</t>
  </si>
  <si>
    <t>2015-04-13 ZWE07 Bulawayo RES Building and Laundry Requirements</t>
  </si>
  <si>
    <t>Hi Shaun/Carl,   The outcome from the Lync call this PM to determine the Res &amp; laundry requirements was:   1.       The guest room is required. 2.       Laundry will serve the 3 room on site but will also be used by the rest of the team as</t>
  </si>
  <si>
    <t>Carnell, Paul; Lindstrom, Carl-Johan; Hale, Timothy; InboxLDC.ZW; Bent, Symon</t>
  </si>
  <si>
    <t>Zimbabwe KH Standard drawings</t>
  </si>
  <si>
    <t>Dear Shaun,   Please, find attached Zimbabwe standard plans for KHs. We look forward to receiving your reviews soon.   Kind regards   Manuel Pembele Zimbabwe - LDC  </t>
  </si>
  <si>
    <t>Bateman, Tristan; Reichel, Venessa; ten Have, Fabian; Agostinho, Rudi; Bent, Symon</t>
  </si>
  <si>
    <t>BIO System - e-mails back and forth</t>
  </si>
  <si>
    <t>HYPERLINK "file:///\\bethel.jw.org\zaf\DeptArchive\RDC\Engineering\Disciplines\Civil\Sewage\Sewage\Sewage%20design%20examples\BIO%20Systems"N:\RDC\Engineering\Disciplines\Civil\Sewage\Sewage\Sewage design examples\BIO Systems   Regards, Mark Alla</t>
  </si>
  <si>
    <t>Haanpaa, Pekka</t>
  </si>
  <si>
    <t>Straub, David; Swinney, Jay; Allan, Mark; Coombs, Shaun; Bent, Symon; Gilden, David</t>
  </si>
  <si>
    <t>Bathroom Trailers Draft JW ORG Postings</t>
  </si>
  <si>
    <t>Pekka, We have reviewed the bathroom trailers, and we very much agree with them.  It seems like a good solution.   Of course, it will depend on the country and the circumstances who should use these, because we can foresee that in some countries,</t>
  </si>
  <si>
    <t>While, Mark</t>
  </si>
  <si>
    <t>Washburn, Nathan; Allan, Mark; Bent, Symon; McDonald, Darcy; Finlayson, Gerald; Pause, Adrian; Kent, Wayne</t>
  </si>
  <si>
    <t>Unmanaged Laptop Specifications and Usage</t>
  </si>
  <si>
    <t>Morning Shaun,   This memo is in our system, I have copied Adrian so he can send a copy to your correspondence.   We will work along with the spirit of the memo earlier memo CD:CDA February 17, 2015 which provided the direction.  You may not h</t>
  </si>
  <si>
    <t>Allan, Mark; Schiller, Ben; OGuin, Colin</t>
  </si>
  <si>
    <t>Dear brothers,   We have attached all the design development drawings for the new open channel (culvert) to cross the property.  We ask that you review these within the next week and revert to us with your comments.  We ask you also to review these</t>
  </si>
  <si>
    <t>DODIN, Jean-Marc; Shears, Matthew; Allan, Mark; Bateman, Tristan; Cruthirds, Nathan</t>
  </si>
  <si>
    <t>Mitek</t>
  </si>
  <si>
    <t>Use of Wood Trusses instead of Mitek (Possible)</t>
  </si>
  <si>
    <t>Symon/Mark We are on it… Thank you for the good cooperation J   Andre   From: Bent, Symon Sent: Friday, April 10, 2015 1:15 PM To: Meinders, Andre Cc: DODIN, Jean-Marc; Shears, Matthew; Allan, Mark; Bateman, Tristan; Cruthirds, Natha</t>
  </si>
  <si>
    <t>“HYPERLINK "https://www.youtube.com/watch?v=Hzr27jhvWiQ"Good news everyone!”  So Andre can you start the ball rolling on this one?  As follows as I understand matters:   1.       Get your structural engineer Jerry Mensah to prepare a design [GHA]</t>
  </si>
  <si>
    <t>Bateman, Tristan; Bent, Symon; InboxCNSTRTOConstCommittee3.ZM</t>
  </si>
  <si>
    <t>Office Slab DCP 20150407</t>
  </si>
  <si>
    <t>Agreed. Approved. Proceed. Tx!   Saved as “ZMB Katete RTO Office Slab DCP 20150408.pdf” in: HYPERLINK "file:///\\bethel.jw.org\zaf\Dept\RDC\Engineering\Projects\Zambia\ZMB%2013%20-%20Katete%20RTO\S4\Struct\DCP%20Tests\Office"H:\RDC\Engineering\Pr</t>
  </si>
  <si>
    <t>DODIN, Jean-Marc; Meinders, Andre; Thomson, Cameron; Allan, Mark; Sukram, Sarah</t>
  </si>
  <si>
    <t>Swimming Pool Quotation Needed</t>
  </si>
  <si>
    <t>Hi Matt,   Could you ask your purchasing department to begin looking for quotation(s) for a swimming pool: the recommended size is 15m X 8m, going from 1m to 3m deep.  That would include the entire package: pool, surround, pumps, filters, etc… and i</t>
  </si>
  <si>
    <t>Schiller, Ben; Sukram, Sarah</t>
  </si>
  <si>
    <t>Civil, Design, Contract</t>
  </si>
  <si>
    <t>CIVIL - Additional Info for WSP (Sidewalks; Trucks; Precast)</t>
  </si>
  <si>
    <t>Attachments listed below (and this e-mail) saved in: HYPERLINK "file:///\\bethel.jw.org\zaf\Dept\RDC\Engineering\Projects\Ghana\GHA%2003%20-%20Branch%20Expansion%20Phase%202\S2\Civil\Info%20to%20WSP%20for%20Design%20Program%20Apr2015"H:\RDC\Engineering</t>
  </si>
  <si>
    <t>Gilden, David; Bent, Symon; Washburn, Nathan; Gleaves, Kent</t>
  </si>
  <si>
    <t>Hi Shaun,   I agree with what Kent says. Although WHQ Broadcasting recommends flat screens, I think portable projector is better choice in Africa to be honest. The attached is what Bosmont congregation is using, an ordinary less expensive project</t>
  </si>
  <si>
    <t>Washburn, Nathan; InboxCNSTRTOConstCommittee3.ZM</t>
  </si>
  <si>
    <t>Order mattresses and beds not in approved budget</t>
  </si>
  <si>
    <t>Yes, we agreed that we should do so.  Should have been in the budget.  Work with the branch to ensure the right quantity and single/double amounts.   Tx,   SymonBent South Africa RDC M: +27 61 699 6085  |  T: 2588  |  HYPERLINK "sip:sben</t>
  </si>
  <si>
    <t>Schiller, Ben; Coombs, Yolanda; Murray, Duncan</t>
  </si>
  <si>
    <t>Simplification - Additional Points</t>
  </si>
  <si>
    <t>Hi All,    Here are the points/resolutions from our meeting earlier regarding the additional RTO simplification possibilities.   We will need to schedule another meeting to discuss any further points that Nathan C would like us to take not</t>
  </si>
  <si>
    <t>Hi Mark,   Here are the results again. We have tried to address your concerns below with regards to reporting and # of tests.   Analysis: Test 3 is much harder than the rest since the native soil at the west end of the excavation was the sa</t>
  </si>
  <si>
    <t>Lindstrom, Carl-Johan; Pembele, Manuel</t>
  </si>
  <si>
    <t>Draft DC-41 for review</t>
  </si>
  <si>
    <t>Dear Brothers   Please find attached the DC-41, approval request and forecast worksheet for the proposed Chiredzi RTO for your review. We hope we have included everything you need. Please let us know if not.   The translators are in Chiredzi a</t>
  </si>
  <si>
    <t>ten Have, Fabian; De Meyer, Efraim</t>
  </si>
  <si>
    <t>Elec, Generator</t>
  </si>
  <si>
    <t>Tuffa Tanks Wiring Diagrams</t>
  </si>
  <si>
    <t>Here you go!   Symon   From: ten Have, Fabian Sent: Friday, April 10, 2015 07:53 To: De Meyer, Efraim; Bent, Symon Subject: RE: Tuffa Tanks Wiring Diagrams   Hi Symon,   The info in this folder should be send:   HYPERLINK</t>
  </si>
  <si>
    <t>DODIN, Jean-Marc; Shears, Matthew; Allan, Mark; Reichel, Venessa</t>
  </si>
  <si>
    <t>FS S-304 - Detail description corrected</t>
  </si>
  <si>
    <t>Dear brothers,   We are issuing a field sketch for your project.  The drawings affected are as follows:   LR-S-304-S1 : Entrance to Office Building   Please be sure to cross out the previous details where appropriate, then staple these s</t>
  </si>
  <si>
    <t>Fuentes, Gloria; Fuentes, Miguel</t>
  </si>
  <si>
    <t>Budget Analysis for March 2015</t>
  </si>
  <si>
    <t>Hi Shaun, I’m happy with this revised analysis, leave it to you now MR. PO.   Symon   From: Fuentes, Miguel Sent: Friday, April 10, 2015 07:59 To: Bent, Symon Cc: Coombs, Shaun; Fuentes, Gloria Subject: RE: COD Kamina RTO; Budget Analysis</t>
  </si>
  <si>
    <t>Hi Symon,   The info in this folder should be send:   HYPERLINK "file:///\\bethel.jw.org\zaf\Dept\RDC\Engineering\Projects\Malawi\MWI%2008%20-%20Chinteche%20RTO\S3\Mech\Tuffa%20Diesel%20installation\Tuffa,%20diesel%20installation\000%20-%20inf</t>
  </si>
  <si>
    <t>Dear brothers,   Attached is some recent information about using large LED TVs in city kingdom halls.  Might prove useful.   Kind regards,   SymonBent South Africa RDC M: +27 61 699 6085  |  T: 2588  |  HYPERLINK "sip:sbent@bethel.</t>
  </si>
  <si>
    <t>Hi Symon, The information-gathering is moving along. We have discussed all points with the CC, and have answers/information for Query’s 1, 2, 3, 4.   As for Query 5, DJ had these comments in the attached email: GHA BEX; Existing Main Bethel En</t>
  </si>
  <si>
    <t>PWG Meeting notes</t>
  </si>
  <si>
    <t>Coombs, Shaun; Bent, Symon; Washburn, Nathan; Salvidge, Mark</t>
  </si>
  <si>
    <t>Elec, TV</t>
  </si>
  <si>
    <t>CAF-Video Systems for Kingdom Halls</t>
  </si>
  <si>
    <t>Thanks for this Masa. It helps a lot, copying others FYF (for your files ;o) D _____________________________________________ From: Imai, Masaaki Sent: 09 April 2015 14:24 To: Gilden, David Subject: RE: CAF-Video Systems for Kingdom Halls</t>
  </si>
  <si>
    <t>Moore, Benjamin; Silva, Johnny; Bent, Symon</t>
  </si>
  <si>
    <t>GHA-4758 Angle valves ( $3,024 00)</t>
  </si>
  <si>
    <t>Thanks Nathan    Hi GPD. Your ref is: wid:WHQ-GPD-0CA4450B-091D-473B-BBB6-03247E2A3057   See below. We are in agreement. Please can u confirm receipt of this e-mail?   Thanks  Mark A   From: Cruthirds, Nathan Sent: 09 April 20</t>
  </si>
  <si>
    <t>GHA GSL RTO</t>
  </si>
  <si>
    <t>Approval, Planning</t>
  </si>
  <si>
    <t>Request to relocate the Ghanaian Sign Language to Kumasi is approved GHAETP02</t>
  </si>
  <si>
    <t>InboxCD.ZA</t>
  </si>
  <si>
    <t>ZAF-GEN-AllUsers</t>
  </si>
  <si>
    <t>New Telephone Ranges in ZAF Branch</t>
  </si>
  <si>
    <t>Dear Brothers,   Please find below the new work telephone number ranges which you may find helpful.     Main Range Department Number Function 40000 Bethel Office  40000     Coffee Bars 40090     Housek</t>
  </si>
  <si>
    <t>Domingos, Salvador; Filipe, Baruque; InboxPRCHBranchRequests.ZA; Washburn, Nathan; Bent, Symon; Domingos, Salvador; Francisco, Batista; Sheridan, John Richard; Verdiano, Genesio</t>
  </si>
  <si>
    <t>Podiums &amp; Contribution Boxes Draft NLBR for review</t>
  </si>
  <si>
    <t>Dear Jessica,   We received your draft NLBR 4625 for 80 podiums and 200 contribution boxes for your Kingdom Hall program to a value of USD 12,062.   Please insert the taxes, duties, freight and shipping as separate items in the header note</t>
  </si>
  <si>
    <t>ten Have, Fabian; Agostinho, Rudi</t>
  </si>
  <si>
    <t>AC, Water</t>
  </si>
  <si>
    <t>Water test and AC commissioning</t>
  </si>
  <si>
    <t>Answers below gentlemen.   Symon   From: ten Have, Fabian Sent: Thursday, April 9, 2015 11:38 To: Bent, Symon; Agostinho, Rudi Subject: RE: ZMB Katete RTO; Water test and AC commissioning   Hi Symon,   Regarding the AC units: t</t>
  </si>
  <si>
    <t>Mlambo, Dennis</t>
  </si>
  <si>
    <t>Coombs, Shaun; Lindstrom, Carl-Johan; Jubber, John; Porter, Tony; Bent, Symon</t>
  </si>
  <si>
    <t>Design, Video</t>
  </si>
  <si>
    <t>Dining Room Renovation BROADCASTING Speakers only</t>
  </si>
  <si>
    <t>Thanks Dennis,   It looks like you have it all covered. We will include for just the new ceiling mounted speakers in the renovation project.   Thanks Paul   Paul Carnell (ZAF-RDC) (REC) Watch Tower Bible and Tract Society of South Afr</t>
  </si>
  <si>
    <t>DC-41 Drafts</t>
  </si>
  <si>
    <t>Symon:   Please find attached the DC-41s for the property and renovations for the Kumasi RTO project.   I tried to adjust the DC-41’s Word document but could not so I will leave it to you to make the adjustments as recommended below.   T</t>
  </si>
  <si>
    <t>Paekau, Ryan; Agostinho, Rudi; ten Have, Fabian</t>
  </si>
  <si>
    <t>Braided Hose for Wash Basins</t>
  </si>
  <si>
    <t>Hi Shane,   Here’s an excellent answer from Mech about your hose issues.  Hope this covers it all!   Kind regards,   SymonBent South Africa RDC M: +27 61 699 6085  |  T: 2588  |  HYPERLINK "sip:sbent@bethel.jw.org"Lync    </t>
  </si>
  <si>
    <t>Property, Water</t>
  </si>
  <si>
    <t>Storm Water control at front of property (Quotation from JOB360)</t>
  </si>
  <si>
    <t>Hi Mark, Ben,   This is a quotation I asked Ghana to obtain to sorting out the flooding problem in front of the branch.  No plans are provided, however would it make sense for us to include this either into the CDP overall cost, and ask WSP to inclu</t>
  </si>
  <si>
    <t>Sukram, Sarah; Bent, Symon; Patrick.Riley@WSPGroup.co.za</t>
  </si>
  <si>
    <t>CIVIL Info for WSP - Folder</t>
  </si>
  <si>
    <t>Patrick,   Here are the DWG files and PDF printouts of the concept design of the GHA culvert, and a sketch-up model (with PDF printouts) of the transition from the rectangular inlet section to the open channel shape. The transition from the channel</t>
  </si>
  <si>
    <t>CONTRACTOR RECCOMENDATION; PACKAGE FOR REVIEW</t>
  </si>
  <si>
    <t>Hi Symon, Micah has compiled the GHA Baatsona SKE Contractor Recommendation Package. For your review. We look forward to your comments.   Matt Shears CONSTRUCTION OFFICE GHANA BRANCH Ext. 22430  </t>
  </si>
  <si>
    <t>Commissioning, Personnel</t>
  </si>
  <si>
    <t>Completion Date Commissioning Handover Next Project Personnel Vacations</t>
  </si>
  <si>
    <t>Hi Symon,   Here is the longest email I’ve ever written:   Completion Date- We first discussed with our trades and then as a CC and feel that July 15th is a realistic completion date followed by another two weeks after commissioning for any</t>
  </si>
  <si>
    <t>Sukram, Sarah; Bent, Symon; Schiller, Ben</t>
  </si>
  <si>
    <t>CDP, Civil, Contract</t>
  </si>
  <si>
    <t>Hi Patrick. We are still waiting for some info from site etc. See e-mails below. What we have so far is attached:   ·         GHA - LINKS TO PRECAST CONC COMPANIES (for WSP).docx (self-explanatory) ·         GHA Picture of Truck and Concrete Road</t>
  </si>
  <si>
    <t>Bent, Symon; Crudass, Paul; Kwesie, Samuel; Jones, David M.; InboxWDC; Sukram, Sarah</t>
  </si>
  <si>
    <t>CDP Update ADJUSTED LT BEX Staffing Figures (REV 2; 2015-04-08)</t>
  </si>
  <si>
    <t>Hi all. Sorry about this. I am not thinking straight. Sarah has again pointed out the error of my ways J   The attached is now the correct one – see “20150408 Ghana Staffing Survey (ADJUSTED for TWI and GSL leaving)_REVISED2.xlsx”   Regards,</t>
  </si>
  <si>
    <t>Mtg Minutes -- Service Centre needs on floor plans</t>
  </si>
  <si>
    <t>Meeting Minutes   GHA BEX LT; Service Centre needs on floor plans Wednesday, April 8, 2015 08:33 Discussion: Smaller items = fenced in  area, large open area, like ZAF Also provides space for LDC storage Commissary has separate sto</t>
  </si>
  <si>
    <t>CDP UpdateADJUSTED LT BEX Staffing Figures</t>
  </si>
  <si>
    <t>AAAAAAAAAAAAAAAAAARRRRRRRRRRRRRRRRRRGGGGGGGGGGGGGGGGGHHHHHHHHHHHHHHHHHHHHHHH!!!!!   Please take 1 each out of laundry and kitchen to get the 44, rename the file (keep your notes) with today’s date, and send to me?   Regards, Mark Allan (ZAF</t>
  </si>
  <si>
    <t>RDC review of Draft NLBR; REQ 520-11130; Electrical Order -3; 20150402</t>
  </si>
  <si>
    <t>Dear brothers,   We have reviewed the following Non-Literature Branch Requests (NLBRs) that we received from you on Tuesday, April 07, 2015  for the ZMB Katete RTO project :   Req. #11130 : Electrical items   We are in agreement with you</t>
  </si>
  <si>
    <t>Design, Mech, Meeting</t>
  </si>
  <si>
    <t>Enviroware Mtg 2015-04-07 for Mech Design Eng</t>
  </si>
  <si>
    <t>Enviroware Mtg 2015-04-07 Tuesday, April 7, 2015 13:43 WT: Fabian Ten Have (RDC) Symon Bent (RDC) Gerrie Van Rensberg (PUR) Enviroware: Johan Buys Abe Lash   Goal: Use Enviroware (EVW) for GHA Service Bldg mechanical desig</t>
  </si>
  <si>
    <t>DODIN, Jean-Marc; Shears, Matthew; ten Have, Fabian</t>
  </si>
  <si>
    <t>Diesel Filter Question</t>
  </si>
  <si>
    <t>Hi Cam,   See Fabian’s response below and attached.  As he says I think we should try to order these in ZAF, especially as the spares will later come from here anyway.  Could you check with them as to available models?   Greets,   SymonB</t>
  </si>
  <si>
    <t>Coombs, Shaun; Schiller, Ben; PETTENÒ, Massimiliano</t>
  </si>
  <si>
    <t>Locations of underground pipes - Dwg drawings</t>
  </si>
  <si>
    <t>Dear Gratian,   At this link you can download the civil drawings for your project in .dwg format:   https://copy.com/eZuHktkTRLuji8xd   The usual proviso applies: these drawings are for your use in confirming locations and should not be</t>
  </si>
  <si>
    <t>Coombs, Shaun; McDonald, Darcy; Finlayson, Gerald; Bent, Symon</t>
  </si>
  <si>
    <t>CV Report - MA Comments in BLUE</t>
  </si>
  <si>
    <t>Commissioning visit report</t>
  </si>
  <si>
    <t>See attached…</t>
  </si>
  <si>
    <t>InboxPRCH.HK</t>
  </si>
  <si>
    <t>Straub, David; Bent, Symon; Brewster, Darryl; Washburn, Nathan; Haanpaa, Marianne</t>
  </si>
  <si>
    <t>Inquiry Zambia Mpongwe RTO (Incident No 12229)</t>
  </si>
  <si>
    <t>Dear Pekka,   As per your request, A new incident has been assigned to you with Marianne assisting “Inquiry Zambia Mpongwe RTO” Number 12229.  Please include this incident number in the subject line of emails related to this inquiry.     This</t>
  </si>
  <si>
    <t>Bent, Symon; Carnell, Paul; Porter, Tony; Lindstrom, Carl-Johan; Pembele, Manuel; InboxRDCAdminPTSupport.ZA; InboxRDCEstimating.ZA</t>
  </si>
  <si>
    <t>New RTO location</t>
  </si>
  <si>
    <t>Hi Tim/Carl,   I’m forwarding all the latest info on this project to Symon B and Paul C, as an FYI.     This rental option as you are planning was approved by WDC, the data and network package will be coming from Netherlands through the WHQ co</t>
  </si>
  <si>
    <t>Gilbert Doume; Bent, Symon; Robert Collin</t>
  </si>
  <si>
    <t>Plot for Bamako North West KH</t>
  </si>
  <si>
    <t>Hi Thierry,   We understand the property search options are challenging, and expensive in the city areas.  Maybe some things to consider, if you have not already... are there existing properties available that could be bought and converted into a su</t>
  </si>
  <si>
    <t>Gilbert Doume; Robert Collin; Bent, Symon</t>
  </si>
  <si>
    <t>MLI Bambara RTO</t>
  </si>
  <si>
    <t>Advice rented house for small team</t>
  </si>
  <si>
    <t>RDC to reply</t>
  </si>
  <si>
    <t>Hi Thierry,   It seems you received no reply to the memo below re your RTO in Mali?  I just saw the memo today by accident, normally it would have been assigned to me which is strange, sorry for that.   To help you with this, can you please cl</t>
  </si>
  <si>
    <t>CDP - Electrical Update</t>
  </si>
  <si>
    <t>Excellent! I will make notes in the next agenda about what you say below. Tx!   Regards, Mark Allan (ZAF-RDC) (REC) Watch Tower Bible and Tract Society of South Africa, NPC. Registration number: 2006/022758/08. PBO number: 930021658   Fr</t>
  </si>
  <si>
    <t>Template</t>
  </si>
  <si>
    <t>DC-71 Nov 2014</t>
  </si>
  <si>
    <t>Reichel, Lionel</t>
  </si>
  <si>
    <t>Nudd, Don; Bhana, Teresh; Raubenheimer, Deuel; Bent, Symon</t>
  </si>
  <si>
    <t>GHA RTO-shipping</t>
  </si>
  <si>
    <t>Dear brothers, I just wanted to keep you all in the loop with regards our support of Ghana RTOs over the next 8 months.   RDC have informed us that Kikam has now gone on the back burner and Kumasi is in the forefront. This will mean less shipp</t>
  </si>
  <si>
    <t>Construction Personnel Request (DC-51)</t>
  </si>
  <si>
    <t>Hi Brad,   Answers below:   Less critical 1.       Plumber - BCF Plumbing Trade Overseer needed for RTO crew #2. Will be involved in plumbing QC for a contracted SKE project, and move onto RTO construction.  Needs to have a broad knowledge</t>
  </si>
  <si>
    <t>Bent, Symon; Bateman, Tristan; Coombs, Shaun</t>
  </si>
  <si>
    <t>DCP under OFFICE footing (end)</t>
  </si>
  <si>
    <t>Tx! Understood. Will file accordingly.   Regards, Mark Allan (ZAF-RDC) (REC) Watch Tower Bible and Tract Society of South Africa, NPC. Registration number: 2006/022758/08. PBO number: 930021658   From: Moulanier, Gratian Sent: 06 April</t>
  </si>
  <si>
    <t>Nolan, Todd; De Meyer, Efraim; Imai, Masaaki</t>
  </si>
  <si>
    <t>Generator Exhaust direction</t>
  </si>
  <si>
    <t>Sounds good, keep us posted about the result!   Symon   From: Fruciano, Jared Sent: Monday, April 6, 2015 08:12 To: Bent, Symon Cc: Nolan, Todd; De Meyer, Efraim; Imai, Masaaki Subject: RE: ZMB Mongu RTO; Generator Exhaust direction  </t>
  </si>
  <si>
    <t>Future Branch Needs</t>
  </si>
  <si>
    <t>Barkow, Tim</t>
  </si>
  <si>
    <t>Pollock, Robert Jr.; Snyder, Charles; Gilden, David</t>
  </si>
  <si>
    <t>COTC, Photo</t>
  </si>
  <si>
    <t>COTC Seating Arrangement (Instructors)</t>
  </si>
  <si>
    <t>Shaun Here we go with our seating plan. Have fun. Greetings … Tim   From: Coombs, Shaun Sent: Samstag, 4. April 2015 13:20 Uhr To: Washburn, Nathan; McDonald, Darcy; Bent, Symon; Allan, Mark Cc: Pollock, Robert Jr.; Barkow, Tim; Snyder,</t>
  </si>
  <si>
    <t>Pollock, Robert Jr.; Barkow, Tim; Snyder, Charles; Gilden, David</t>
  </si>
  <si>
    <t>Bro’s,   Attached is the seating arrangement for the classroom here...   We are missing one couples photo’s and we have tweaked the front row I believe.  So we will resend you an update on Monday morning... at least you have something to media</t>
  </si>
  <si>
    <t>Upcoming Personnel Needs</t>
  </si>
  <si>
    <t>Cam Thomson from ZMB to GHA</t>
  </si>
  <si>
    <t>Good. I talked with them yesterday and they are willing to go anywhere! With his mechanical background and potential, I think he’ll do well in MOZ.   Brad Housner     From: Washburn, Nathan Sent: Friday, April 03, 2015 8:57 AM To: Housne</t>
  </si>
  <si>
    <t>InboxCNSTRTOConstCommittee3.ZM; Kirkland, Jason; Sondell, Henrik; Makungo, Evans; Yoo, Shang-chae; Bent, Symon; Smith, Caleb</t>
  </si>
  <si>
    <t>Roof, Struct</t>
  </si>
  <si>
    <t>3 Awning on Office building</t>
  </si>
  <si>
    <t>Hi Greg,   The decision of the construction committee here is that we can eliminate the 3rd awning for the office building. Please change our order from 5 awning structures to 4. Thanks.   Davin Lester Katete RTO Zambia 0961098319</t>
  </si>
  <si>
    <t>AH, Video</t>
  </si>
  <si>
    <t>LED Video Display Standard for Enclosed Assembly Halls in Developed Lands</t>
  </si>
  <si>
    <t>We have updated our standard LED video display for use in enclosed Assembly Halls in developed lands. Attached is a specification sheet and other detailed drawings about this new display. We have no objection if these attachments are sent to your Regional</t>
  </si>
  <si>
    <t>RDC review of NLBR Draft Mech -7 10406</t>
  </si>
  <si>
    <t>Dear brothers,   We have reviewed the following Non-Literature Branch Requests (NLBRs) that we received from you on Thursday, April 2, 2015 for the ZMB Choma RTO project :   Req. #10406 : Mech accessories   We are in agreement with your</t>
  </si>
  <si>
    <t>Väänänen, Uula; Coombs, Shaun; Schiller, Ben; OGuin, Colin</t>
  </si>
  <si>
    <t>AutoCAD civil drawings</t>
  </si>
  <si>
    <t>Hi Dave,   Here are the civil drawings in AutoCAD format for use by your civil contractor.  As our usual proviso applies: please do not make changes on these drawings; the official AFC drawings for your project are still the previously issued PDFs. </t>
  </si>
  <si>
    <t>Paekau, Ryan; Allan, Mark</t>
  </si>
  <si>
    <t>Bending Schedules 12m Length Query</t>
  </si>
  <si>
    <t>Thanks Brothers, Duly noted.  We will proceed according to the plan.   Shane   From: Bent, Symon Sent: Thursday, April 02, 2015 2:36 PM To: Sadler, Shane Cc: Paekau, Ryan; Allan, Mark Subject: FW: ZMB Choma RTO; Bending Schedules 12m Leng</t>
  </si>
  <si>
    <t>NLBR Draft for ZAF aluminum doors and windows</t>
  </si>
  <si>
    <t>Dear brothers,   We have reviewed the following Non-Literature Branch Requests (NLBRs) that we received from you on Thursday, April 2, 2015 for the ZMB Choma RTO project :   Req. #10368 : Alum Doors and windows (from ZAF)   We are in agr</t>
  </si>
  <si>
    <t>ryanpaekau1@yahoo.com</t>
  </si>
  <si>
    <t>how to count hours for those being trained</t>
  </si>
  <si>
    <t>These hours are just considered as part of project support costs (like kitchen, laundry, offices etc…).  We only track hours productively applied the defined project/buildings.  You often have to use discernment with the hours for congregation volunteers</t>
  </si>
  <si>
    <t>RDC review of NLBR A V Doors from Germany revised Draft</t>
  </si>
  <si>
    <t>Dear brothers,   We have reviewed the following Non-Literature Branch Requests (NLBRs) that we received from you on Wednesday, April 1, 2015  for the ZMB Choma RTO project :   Req. #10360 : AV Doors from CE   We are in agreement with you</t>
  </si>
  <si>
    <t>Target Dates - April 1, 2015</t>
  </si>
  <si>
    <t>Saved as follows; see action items in particular J   HYPERLINK "file:///\\bethel.jw.org\zaf\Dept\RDC\Engineering\Projects\Ghana\GHA%2003%20-%20Branch%20Expansion%20Phase%202\S2\Minutes\Misc\GHA%20WDC-RDC%20MINUTES%202015-04-01.docx"\\bethel.jw.org\z</t>
  </si>
  <si>
    <t>DODIN, Jean-Marc; Shears, Matthew</t>
  </si>
  <si>
    <t>Electrical Query; Position of Outlet in the Residence Room Bathroom</t>
  </si>
  <si>
    <t>Hi Symon,   As my note on the E-101 shows, the outlet needs to be in the cabinet. Final location needs to be decided on site depends on the cabinet shape, size, etc.   Thank you, Masaaki Imai RDC-South Africa Ext. 2586   From</t>
  </si>
  <si>
    <t>Civil, Mtg with WSP Apr 2, 2015</t>
  </si>
  <si>
    <t> Mtg with WSP Apr 2, 2015 Thursday, April 2, 2015 09:07   ·         To discuss points in yellow below (we will Skype Patrick…Patrick – just re-send your Skype name please? Just in case it is no longer in my Skype on the computer here?) ·   </t>
  </si>
  <si>
    <t>Generator, NLBR</t>
  </si>
  <si>
    <t>RDC review of NLBR for SDMO generators</t>
  </si>
  <si>
    <t>Dear brothers,   We have reviewed the following Non-Literature Branch Requests (NLBRs) that we received from you on Monday, March 30, 2015  for the MDG RTO projects :   Req. #??? : SDMO generators (local purchase)   We are in agreement w</t>
  </si>
  <si>
    <t>Recommendation for Revised Construction Committees</t>
  </si>
  <si>
    <t>Below is the content for a memorandum asking for a change in the makeup of the Construction Committees for the various projects in Ghana, as already informally reviewed by your Branch Committee. We ask that you adjust the memorandum as you feel needed, an</t>
  </si>
  <si>
    <t>GHA-BRANCH-Committee; Bent, Symon; GHA-CNST-Committee</t>
  </si>
  <si>
    <t>Bros Ryan and Arthur Invited at CC</t>
  </si>
  <si>
    <t>Dear Neill and Gideon, The question of the Branch Expansion Construction Committee Members was recently discussed with the Branch and the Projects Overseer. A number of CC members will be away for some weeks. Following this discussion, we are happy</t>
  </si>
  <si>
    <t>Shears, Matthew; Imai, Masaaki</t>
  </si>
  <si>
    <t>Residence Bldg Corridor Push Switch</t>
  </si>
  <si>
    <t>All agreed.   SymonBent South Africa RDC M: +27 61 699 6085  |  T: 2588  |  HYPERLINK "sip:sbent@bethel.jw.org"Lync         From: Imai, Masaaki Sent: Wednesday, April 1, 2015 16:10 To: Bent, Symon Subject: RE: GHA BEX; Resid</t>
  </si>
  <si>
    <t>Paekau, Ryan; Allan, Mark; Bateman, Tristan</t>
  </si>
  <si>
    <t>DCP Test Results - Commuter, Office &amp; Utility Buildings</t>
  </si>
  <si>
    <t>Hi Shane,   DCP analysis below from Structural.  Hope this allows you to move forwards.   Kind greetings,   SymonBent South Africa RDC M: +27 61 699 6085  |  T: 2588  |  HYPERLINK "sip:sbent@bethel.jw.org"Lync        </t>
  </si>
  <si>
    <t>Annan, Benjamin</t>
  </si>
  <si>
    <t>Breakell, Emma; Bent, Symon; GHA-CNST-Committee</t>
  </si>
  <si>
    <t>CC Meeting Action Item</t>
  </si>
  <si>
    <t>Hi Ben, After reviewing the scope of the work for  Phase I of the Branch expansion, it was noted that some expenses belonging to the Branch or to other projects are actually charged to BEX Phase I. In order to charge these expenses correctly, please no</t>
  </si>
  <si>
    <t>Darby, Julie</t>
  </si>
  <si>
    <t>Allen, David A; DODIN, Jean-Marc; Bent, Symon</t>
  </si>
  <si>
    <t>Power</t>
  </si>
  <si>
    <t>GHA 04 - Schneider Power Factor Control unit</t>
  </si>
  <si>
    <t>Hi Julie,   It wasn’t something I was expecting but it seems they’ve never made their own shop drawings for control wires, which is a bit surprising for me. But anyways, thank you for your effort to help me. I will try to arrange tracing all t</t>
  </si>
  <si>
    <t>Washburn, Nathan; Allan, Mark; GHA-BRANCH-Committee</t>
  </si>
  <si>
    <t>Draft recommedation for CCs</t>
  </si>
  <si>
    <t>Looks good to me. As we say here - “Ayeeko!”   Paul Crudass    Tel:  22701   From: Bent, Symon Sent: Tuesday, March 31, 2015 1:38 PM To: GHA-BRANCH-Committee Cc: Washburn, Nathan; Allan, Mark Subject: GHA Branch; Draft recommedation</t>
  </si>
  <si>
    <t>Civil, Photo</t>
  </si>
  <si>
    <t>Security Grating Removed by Storm</t>
  </si>
  <si>
    <t>This is all addressed in the new culvert design.  I think this is just maintenance trying to push us to get the design complete and the culvert built.  They’ll have to make a plan on site for the time being…   Symon   From: Allan, Mark Sent:</t>
  </si>
  <si>
    <t>Washburn, Nathan; Sharp, Dayrell</t>
  </si>
  <si>
    <t>Commissioning arrival dates</t>
  </si>
  <si>
    <t>Details below.   Symon   From: Härngren, Mikael Sent: Tuesday, March 31, 2015 14:29 To: Bent, Symon Subject: RE: ZMB Kabompo RTO; Commissioning arrival dates   Hi Bent! Yes they will be with us. Do you need their tickets too? (Jus</t>
  </si>
  <si>
    <t>BOA:BMA</t>
  </si>
  <si>
    <t>Expansion of Ghana Kitchen</t>
  </si>
  <si>
    <t>We are writing to request for approval to expand our existing kitchen which has now become too small to serve the increasing number of Bethel and Construction families, to provide a temporary relief to the kitchen operations.</t>
  </si>
  <si>
    <t>Marriott, Brian; Coombs, Shaun; De Meyer, Efraim; Imai, Masaaki</t>
  </si>
  <si>
    <t>Generator Diesel supply line, controls, level switches</t>
  </si>
  <si>
    <t>Hi Miguel,   Here is the reply to your question, make sure to read the reply from Efraim and Fabian below, plus the attachments.  Hope it helps!   Kind regards,    SymonBent South Africa RDC M: +27 61 699 6085  |  T: 2588  |  HYPER</t>
  </si>
  <si>
    <t>5th porch off conference room</t>
  </si>
  <si>
    <t>Thanks   Davin   From: Bent, Symon Sent: Monday, March 30, 2015 4:44 PM To: Lester, Davin Cc: Sondell, Henrik; InboxCNSTRTOConstCommittee3.ZM; Washburn, Nathan Subject: RE: ZMB Katete RTO; 5th porch off conference room   Hi Davin,</t>
  </si>
  <si>
    <t>Paekau, Ryan; Murray, Duncan; Washburn, Nathan; Bhana, Teresh</t>
  </si>
  <si>
    <t>RDC review of NLBR 10424 Cookchill equipment</t>
  </si>
  <si>
    <t>Dear brothers,   We have reviewed the following Non-Literature Branch Requests (NLBRs) that we received from you on Monday, March 30, 2015 for the ZMB Choma RTO project :   Req. #10424 : Cookchill kitchen equipment   We are in agreement</t>
  </si>
  <si>
    <t>Bent, Symon; Watts, Jeffery; Crudass, Paul; Kwesie, Samuel; Jones, David M.</t>
  </si>
  <si>
    <t>CDP Update ADJUSTED LT BEX Staffing Figures</t>
  </si>
  <si>
    <t>Thanks Sarah! Good job!   Hi Zeny. (Copying Ghana too, since they asked for the latest ‘design size’.)    You asked in another e-mail: “Mallan/Symon – has anyone updated the long term forecast numbers on the attached spreadsheet (this is the l</t>
  </si>
  <si>
    <t>Lichtenhahn, Wyatt; De Meyer, Efraim; ten Have, Fabian; Imai, Masaaki</t>
  </si>
  <si>
    <t>Gensets;Diesel Float for each tank, where to terminate wire on Tuff Tank controls</t>
  </si>
  <si>
    <t>Hi Innes,   Did you get these control panel drawings and explanations from Elec/Mech?  They are attached again.  If something is still not clear we can arrange a Lync meeting to resolve whatever is needed.   Kind regards,   SymonBent</t>
  </si>
  <si>
    <t>Bent, Symon; Crook, Arthur</t>
  </si>
  <si>
    <t>CDP, Personnel</t>
  </si>
  <si>
    <t>CDP Update; Decrease in personnel due to Twi moveout</t>
  </si>
  <si>
    <t>Mark,   Here is how we calculated the updated design size.   5-Team RTO (TWI) – 14 rooms – 28 people 3-Team RTO (GHSL) – 8 Rooms – 16 people Total of 44 people leaving (not all from translation because some are support people and others</t>
  </si>
  <si>
    <t>Shears, Matthew; Legere, Shaun; Allan, Mark</t>
  </si>
  <si>
    <t>RDC review of NLBR Package -45- SUBMITTAL</t>
  </si>
  <si>
    <t>Dear brothers,   We have reviewed the following Non-Literature Branch Requests (NLBRs) that we received from you on Friday, March 27, 2015  for the GHA BEX &amp; GHA Viepe RTO projects :   Requisition # 55716- RTO VIEPE– Tools- ZAF Sea Freight Re</t>
  </si>
  <si>
    <t>Bent, Symon; Watts, Jeffery; St. Jean, Zeny; GHA-BRANCH-Committee</t>
  </si>
  <si>
    <t>Design, Planning</t>
  </si>
  <si>
    <t>Confirmation of Residence Layout - 'New' vs 'Traditional'</t>
  </si>
  <si>
    <t>Hi Paul. That’s excellent! It will speed things up design wise!   As to long term ‘final figure’…don’t worry – we are working on that figure right now…Zeny also asked; should have it on Monday J   Sarah – see above and below…   Regards,</t>
  </si>
  <si>
    <t>GHA-BRANCH-Committee; Watts, Jeffery; Allan, Mark; Bent, Symon</t>
  </si>
  <si>
    <t>Reply Bolgatanga Request approval</t>
  </si>
  <si>
    <t>Thanks Paul – it sounds like a very practical plan.    Thanks,   Zeny   From: Crudass, Paul Sent: Saturday, March 28, 2015 11:49 AM To: St. Jean, Zeny Cc: GHA-BRANCH-Committee; Watts, Jeffery; Allan, Mark; Bent, Symon Subject: Reply</t>
  </si>
  <si>
    <t>GHA-4726 Stoves ($7,136 38)</t>
  </si>
  <si>
    <t>Dear Brothers:   Thank you for your reply.   Your brothers,   Global Purchasing Department From: InboxRDC.ZA [mailto:InboxRDC.ZA@zaf.wtbts.net] Sent: Friday, March 27, 2015 2:33 AM To: Bent, Symon;InboxGlobalPurchasing Subject: RE</t>
  </si>
  <si>
    <t>OGuin, Colin; McDonald, Darcy; St. Jean, Zeny; Crook, Arthur; Allan, Mark</t>
  </si>
  <si>
    <t>Syms,   It looks good.  Would we not need to have the cost plan by when Arthur finishes the design?    ·       Do we need to run the revised design past AVS? – Zeny? ·       Cost Plan : April 6 to April 17, 2015?   - Darcy? ·       Final</t>
  </si>
  <si>
    <t>Bent, Symon; Bateman, Tristan</t>
  </si>
  <si>
    <t>DCP Carpark Slab #7 -9; -10; HARD SPOTS</t>
  </si>
  <si>
    <t>Agreed. Approved. Proceed. Tx.   Saved PDFs in: HYPERLINK "file:///\\bethel.jw.org\zaf\Dept\RDC\Engineering\Projects\Zambia\ZMB%2009%20-%20Kabompo%20RTO\S4\Struct\DCP%20Tests%20June%202014%20onward\Site\ZMB%20Kabompo%20DCP%20Carpark%20PDFs"H:\RDC</t>
  </si>
  <si>
    <t>RDC review of Draft NLBR; REQ 520-10989; UPvc Ceiling and Cove; 20150325</t>
  </si>
  <si>
    <t>Dear brothers,   We have reviewed the following Non-Literature Branch Requests (NLBRs) that we received from you on Mar 25, 2015 for the ZMB Choma RTO project:   Req. #10989 : UPVC ceiling and coving   We are in agreement with your reque</t>
  </si>
  <si>
    <t>Approval, Setup</t>
  </si>
  <si>
    <t>Approval to build simple block accommodation</t>
  </si>
  <si>
    <t>This works for me, it’s always best to have everyone on site if possible.  Don't worry we all forget something on our MTO/budget.  I'm sure you can make it work within the total budget amount!  You have my approval.   Symon   -----Original Mes</t>
  </si>
  <si>
    <t>Schmidt, Linus</t>
  </si>
  <si>
    <t>Paekau, Ryan; ten Have, Fabian; Murray, Duncan</t>
  </si>
  <si>
    <t>Silikon instead of Dektite</t>
  </si>
  <si>
    <t>Hello, Thanks – just in case I organized the Silicon from Soudal: SILICONE; NEUTRAL CURE SILRUB N05 -60*C TO +180*C Might be a thing to put in the catalog for future to replace the Dektite? We can also store it here because the company sells only in</t>
  </si>
  <si>
    <t>Budget Delay Letter of Intent to Secure Property</t>
  </si>
  <si>
    <t>Hi all. To summarize our (Symon B and Mark A) quick ‘urgent’ discussion yesterday with Paul Crudass (see also Zeny’s comments below):   ·         All seem convinced that the option of buying an existing facility for the TWI language in Kumasi is a g</t>
  </si>
  <si>
    <t>Photo Report Freezer Container</t>
  </si>
  <si>
    <t>Voila! -----Original Message----- From: Breakell, Emma Sent: Thursday, March 26, 2015 19:19 To: Bent, Symon Subject: GHA BEX-Photo Report Freezer Container Hi Symon Please find attached the photos of the Freezer Container. Hope you are bot</t>
  </si>
  <si>
    <t>RDC review of HK china door NLBR 10419 Inc. 4996 (Ref. 3908)</t>
  </si>
  <si>
    <t>Dear brothers,   We have reviewed the following Non-Literature Branch Requests (NLBRs) that we received from you on Tuesday, February 24, 2015  for the ZMB Choma RTO project :   Req. #10419 : Doors from China   We are in agreement with y</t>
  </si>
  <si>
    <t>RDC review of Draft NLBR 10414for Cabinets from China</t>
  </si>
  <si>
    <t>Dear brothers,   We have reviewed the following Non-Literature Branch Requests (NLBRs) that we received from you on Thursday, March 5, 2015  for the ZMB Choma RTO project :   Req. #10414 : Cabinets from China   We are in agreement with y</t>
  </si>
  <si>
    <t>RDC review of NLBR revised mech -1,2,3,4,5</t>
  </si>
  <si>
    <t>Dear brothers,   We have reviewed the following Non-Literature Branch Requests (NLBRs) that we received from you on Wednesday, February 18, 2015  for the ZMB Choma RTO project :   Req. 10399 : Mech items #1 Req. 10400 : Mech items #2 Req. 10</t>
  </si>
  <si>
    <t>RDC review of NLBR FOR ALUMINUM DOORS AND WINDOWS, TUFFA TANKS,ORENCO FILTER, A V DOORS, WHISPERROOM</t>
  </si>
  <si>
    <t>Dear brothers,   We have reviewed the following Non-Literature Branch Requests (NLBRs) that we received from you on Tuesday, February 17, 2015  for the ZMB Choma RTO project :   Req. #10362 : Tuffa and Orenco Filter   We are in agreement</t>
  </si>
  <si>
    <t>Franken, Ton</t>
  </si>
  <si>
    <t>Nilkalmal AH plastic chairs</t>
  </si>
  <si>
    <t>FYI   From: Adashie, Daniel Sent: Monday, March 2, 2015 10:26 To: Bent, Symon Cc: Kaarna, Arno; Keteku, Barnabas Subject: RE: GHA LDC; Nilkalmal AH plastic chairs   Dear Symon, The location is Takoradi AH in the Western region of Ghana</t>
  </si>
  <si>
    <t>Nolan, Todd; Allan, Mark; Reichel, Venessa; Bateman, Tristan</t>
  </si>
  <si>
    <t>Utility Structure Posts Best way to Correct Angle</t>
  </si>
  <si>
    <t>Dear brothers,   We are issuing a field sketch that affect the roof structure of your Utilities Building.  The drawing affected is as follows:   LL-S303-S1: Utilities Building Stub Column Details   Please be sure to cross out the previou</t>
  </si>
  <si>
    <t>Need for larger 30kVA generators</t>
  </si>
  <si>
    <t>This is fine with me.   Thank you, Masaaki Imai RDC-South Africa Ext. 2586   From: Bent, Symon Sent: 26 March 2015 03:30 PM To: Imai, Masaaki Subject: FW: MDG RTO; need for larger 30kVA generators   Hi Masaki, this is the fi</t>
  </si>
  <si>
    <t>Bent, Symon; Bateman, Tristan; PETTENÒ, Massimiliano</t>
  </si>
  <si>
    <t>Concrete, Struct</t>
  </si>
  <si>
    <t>Concrete Blinding Layer</t>
  </si>
  <si>
    <t>Fine by me…what you describe below is how we designed it: 75mm cover for pouring directly on top of the ground   I will file this e-mail under STRUCTURAL.   Regards, Mark Allan (ZAF-RDC) (REC) Watch Tower Bible and Tract Society of South</t>
  </si>
  <si>
    <t>Hi Jeff,   I have spoken with them this week, and I know that they are working on this, however Kumasi RTO is getting priority right now---they are at the edge of their resources/capacity for new projects (the one team is handling branch expansion,</t>
  </si>
  <si>
    <t>Congo Choral Studio Notes 2015-03-19; Design</t>
  </si>
  <si>
    <t>Planning, Survey</t>
  </si>
  <si>
    <t>Hi Mark,    I tried to do a preliminary “hand sketch” layout for the Dangme RTO property, and it is very similar to Option 2, except the parking area for the RTO is on the northern part  of the property, between where the Utility Bld, commuter bld  </t>
  </si>
  <si>
    <t>Shears, Matthew; DODIN, Jean-Marc</t>
  </si>
  <si>
    <t>Use of Soilguard termite treatment products, instead of Premise</t>
  </si>
  <si>
    <t>Here is our previous reply, I think it covers the answer.   Tx, SymonBent South Africa RDC M: +27 61 699 6085  |  T: 2588  |  HYPERLINK "sip:sbent@bethel.jw.org"Lync         From: Bent, Symon Sent: Thursday, February 13, 20</t>
  </si>
  <si>
    <t>RDC Review of Draft NLBR; REQ 520-10987; Manhole Covers; 20150325</t>
  </si>
  <si>
    <t>Dear brothers,   We have reviewed the following Non-Literature Branch Requests (NLBRs) that we received from you on Wednesday, March 25, 2015 for the ZMB Katete RTO project :   Req. #10987 : Manhole covers   We are in agreement with your</t>
  </si>
  <si>
    <t>DCP under OFFICE footing</t>
  </si>
  <si>
    <t>Hey Gratian. Good news!!! Your compactions are actually looking fairly decent J   The only ones I would like you to re-look at are: 6; 10; 11   These tests are sitting at 37mm/blow for about the top 200mm. So if you could just compact the top</t>
  </si>
  <si>
    <t>CDP, Civil</t>
  </si>
  <si>
    <t>Hi Symon, Please see the attached quotation from the Civil Contractor.   The Scope of Works is:    1. FRONTAGE/ENTRY - Construction of levee to direct surface storm water away from the entryway:  -Removal of existing concrete curbs; remo</t>
  </si>
  <si>
    <t>Layout Proposal (RDC Comments)</t>
  </si>
  <si>
    <t>Tx Sarah!   Agreed to yellow below. Let them buy the buildings now, without us muddying the waters too much beforehand. Tx!   Regards, Mark Allan (ZAF-RDC) (REC) Watch Tower Bible and Tract Society of South Africa, NPC. Registration numb</t>
  </si>
  <si>
    <t>GHA-BRANCH-Committee; Bent, Symon; Washburn, Nathan; Meinders, Andre</t>
  </si>
  <si>
    <t>What next, RDC comments</t>
  </si>
  <si>
    <t>Oops. Sorry L. I based my e-mails on the project described in the subject line, thus the confusion J. So as regards Kumasi:   ·         See attached e-mail “GHA Kumasi Twi RTO DC-31 DC-32 (ZAF-RDC Comments) - UPDATE.msg”. Andre must just finalize th</t>
  </si>
  <si>
    <t>Swedru AH DC-41 Review</t>
  </si>
  <si>
    <t>Hi Darcy,   This estimate look fine, matches well with their AH master plan, well done to them!  One small thing I noticed is the dates on the approval request docx, they seem to be using two different date formats, USA and UK, might be good to stic</t>
  </si>
  <si>
    <t>LBR, Vehicle</t>
  </si>
  <si>
    <t>Madagascar - MDG-4400 Land Cruiser ($49,036 32)</t>
  </si>
  <si>
    <t>Thanks Symon   Hi GPD. Your ref is: wid:WHQ-GPD-D6701F8D-56C3-406A-A621-A9870D877C07   See below. We are in agreement. Please can u confirm receipt of this e-mail?   Thanks  Mark A   From: Bent, Symon Sent: 23 March 2015 06:47</t>
  </si>
  <si>
    <t>RDC review of Property Evaluation DC-31s (responses)</t>
  </si>
  <si>
    <t>Hi Cam,   Many apologies for delaying you on this one!  Yes, we are in agreement with Option no. 1 the Jones Katwishi property.  We had just held off any reply while you were researching the Lodge option…   Kind regards,   SymonBent S</t>
  </si>
  <si>
    <t>Draft NLBR; REQ 520-10803; Replacement NLBR for AVR; 20150313 +D-IMP</t>
  </si>
  <si>
    <t>Dear brothers,   We have reviewed the following Non-Literature Branch Requests (NLBRs) that we received from you on Monday, March 23, 2015 for the ZMB Katete RTO project :   Req. #10803 : AVR Unit [Replacement]   We are in agreement with</t>
  </si>
  <si>
    <t>Fence, Soil</t>
  </si>
  <si>
    <t>Soil Test, Fence Design</t>
  </si>
  <si>
    <t>Thank you Mark This design will be much easier to understand for a contractor.  As you can see, I have not yet looked through the Kikam estimating drawings J   Thanks Andre   From: Allan, Mark Sent: Monday, March 23, 2015 8:48 AM T</t>
  </si>
  <si>
    <t>Oppong, Kofi; Adashie, Daniel; Oh, Kristin; InboxRDC.ZA</t>
  </si>
  <si>
    <t>KH, NLBR</t>
  </si>
  <si>
    <t>RDC review of NLBR  for KH signs</t>
  </si>
  <si>
    <t>Dear brothers,   We have reviewed the following Non-Literature Branch Requests (NLBRs) that we received from you on Monday, March 23, 2015 for the GHA LDC project :   Req. &lt;No Req Number&gt; : Small KH signs (2 x 100pc)   We are in agreemen</t>
  </si>
  <si>
    <t>Imai, Masaaki; Bent, Symon</t>
  </si>
  <si>
    <t>Utilities (Status of conduit installation) (RESEARCH INFO)</t>
  </si>
  <si>
    <t>Tx for discussion! Masaaki is happy   Ben – please save this particular one under ‘civil’ and then send separate edited reply to GHA CC for them to implement? Tx!   Regards, Mark Allan (ZAF-RDC) (REC) Watch Tower Bible and Tract Society</t>
  </si>
  <si>
    <t>Agenda 2015-03-19 docx</t>
  </si>
  <si>
    <t>Thanks Jeff!   Regards, Mark Allan (ZAF-RDC) (REC) Watch Tower Bible and Tract Society of South Africa, NPC. Registration number: 2006/022758/08. PBO number: 930021658     _____________________________________________ From: Watts, Je</t>
  </si>
  <si>
    <t>CDP - Culvert Update</t>
  </si>
  <si>
    <t>Got it! Saving this message.   Jeff Watts Worldwide Design/Construction   From: Allan, Mark Sent: Friday, March 20, 2015 1:42 PM To: Watts, Jeffery Cc: Bent, Symon Subject: RE: GHA CDP - Culvert; LT BEX Update   J Full paragraph</t>
  </si>
  <si>
    <t>Hupston, Vanessa</t>
  </si>
  <si>
    <t>Applying to be Bethelites in foreign countries</t>
  </si>
  <si>
    <t>Procedure</t>
  </si>
  <si>
    <t>Dear Brothers,   Please find attached.     With warm Christian love and greetings,   Volunteer Desk  |  South Africa Watch Tower Bible and Tract Society of South Africa, NPC.  Registration number: 2006/022758/08. PBO number: 930</t>
  </si>
  <si>
    <t>Bent, Symon; GHA-CNST-Committee; Bateman, Tristan</t>
  </si>
  <si>
    <t>Hey Andre! Well done on getting this done so quickly!   Sarah / Van / Raquel – see e-mail comments below as well as PDFs in this folder: HYPERLINK "file:///\\bethel.jw.org\zaf\Dept\RDC\Engineering\Projects\Ghana\GHA%20xx%20-%20Kumasi%20RTO%20Reno</t>
  </si>
  <si>
    <t>Schmidt, Gregory</t>
  </si>
  <si>
    <t>Imai, Masaaki; Washburn, Nathan; Chiposa, Emmanuel; ten Have, Fabian</t>
  </si>
  <si>
    <t>AC, DC-41</t>
  </si>
  <si>
    <t>Multi-split AC replacement project -- draft DC-41</t>
  </si>
  <si>
    <t>Hi Greg,   This is looking good now.  I will finalise the DC-41 and have it imported and reviewed by our estimators.  Then it seems the best next step is for us to send a memo to ZMB explaining the history behind this work, as it has grown well beyo</t>
  </si>
  <si>
    <t>Bent, Symon; Thomson, Cameron; Bateman, Tristan</t>
  </si>
  <si>
    <t>Residence DCP Under slab 20150115</t>
  </si>
  <si>
    <t>Excellent! Tx for u the update…I will file this…   Regards, Mark Allan (ZAF-RDC) (REC) Watch Tower Bible and Tract Society of South Africa, NPC. Registration number: 2006/022758/08. PBO number: 930021658   From: Sondell, Henrik Sent: 2</t>
  </si>
  <si>
    <t>DCP Test Results - Commuter, Office and Utility Buildings</t>
  </si>
  <si>
    <t>Hi Shane,   I’ve just put all these e-mails together for ease of reference and filing purposes.   I think when Nathan says you can deal directly with me, it would still be good to copy Symon, and Mark too, as Mark is prioritizing my work, and</t>
  </si>
  <si>
    <t>Congo Choral Studio Notes 2015-03-19 docx</t>
  </si>
  <si>
    <t>Dear Brothers, Notes from our meeting today are attached for your records. We appreciated the opportunity to meet with you. Jeff Watts Worldwide Design/Construction      </t>
  </si>
  <si>
    <t>Toilet connection problem in Residence building</t>
  </si>
  <si>
    <t>FYI.   Thanks,  Shaun   From: Fuentes, Miguel Sent: Thursday, March 19, 2015 2:58 PM To: Fruciano, Jared; Coombs, Shaun Cc: Marriott, Brian; Bent, Symon Subject: RE: COD-Kamina RTO Toilet connection problem in Residence building  </t>
  </si>
  <si>
    <t>PV, Solar</t>
  </si>
  <si>
    <t>Solar PV panels Roofs Proposal</t>
  </si>
  <si>
    <t>See comment below.   Thank you, Jean-Marc Dodin Construction Office GHANA BEX Extension:  22431 Cell: 054 431 4831       From: Jones, David M. Sent: Thursday, March 19, 2015 2:58 PM To: GHA-BRANCH-Committee; DODIN, Jean</t>
  </si>
  <si>
    <t>M Ross</t>
  </si>
  <si>
    <t>Silva, Johnny; Allan, Mark; Bent, Symon</t>
  </si>
  <si>
    <t>WWTF changing media of trickling filter, Lilliput</t>
  </si>
  <si>
    <t>  Dear Fabian   The media that I had proposed is bigger than the one you saw when you were with us.  See next paragraph from my March 12, 2015 mail to you:   “While I am not a trickling filter proponent nor expert, yes the application of ra</t>
  </si>
  <si>
    <t>Allan, Mark; Shears, Matthew; Sellden, Erik; Berger, Xavier</t>
  </si>
  <si>
    <t>Area 23 - Queries PFC, Logo, Gen Start</t>
  </si>
  <si>
    <t>Hi Jean-Marc,   I appreciate for picking up the details and apology for not 100% drawings. Please see my comments below. As regards to the PFC control, I sent the attached question to David in GB.   Thank you, Masaaki Imai RDC-Sout</t>
  </si>
  <si>
    <t>Request for Extra On-Site Accommodation</t>
  </si>
  <si>
    <t>Hi Symon, We have on site a temporary Residence Building of 6 small rooms at first intended for IV’s but now full of IS’s. The cost was under 29,000 USD, excluding the items Bethel usually provides when an annex is rented, i.e generator, boiler, A/C un</t>
  </si>
  <si>
    <t>Mitek, Roof, Struct</t>
  </si>
  <si>
    <t>QUERY; Mitek Roof; Fall protection placement (recommended solution)</t>
  </si>
  <si>
    <t>Hi Tristan, If the move them one truss I don’t suppose it will make a big difference.  However, it would appear if the detail is used and there are two trusses back to back then the sling just needs to be longer to wrap around both. Thanks,  </t>
  </si>
  <si>
    <t>Nunnaley, Tiffani; Bent, Symon</t>
  </si>
  <si>
    <t>WSP Account 1 (50% Topo Fees) PROOF OF PAYMENT</t>
  </si>
  <si>
    <t>Hi Patrick – see below…   Regards, Mark Allan (ZAF-RDC) (REC) Watch Tower Bible and Tract Society of South Africa, NPC. Registration number: 2006/022758/08. PBO number: 930021658   From: Nunnaley, Tiffani Sent: 18 March 2015 08:48 AM</t>
  </si>
  <si>
    <t>Michalakis, Evangelos; Blackman, Innes</t>
  </si>
  <si>
    <t>ZMB-12 RTO; Mwinilunga Survey for Review</t>
  </si>
  <si>
    <t>Symon &amp; Cam, Innes just lynced me and cleared it up. So they did the survey &amp; set the beacons, and then made this agreement. So it is true that 3 of the beacons are not in the 'correct' places now. However, they plan on sending the surveyor out agai</t>
  </si>
  <si>
    <t>Bent, Symon; GHA-CNST-Committee; InboxWDC; St. Jean, Zeny</t>
  </si>
  <si>
    <t>Structural Report (RDC Comments)</t>
  </si>
  <si>
    <t>Thanks TB!   Hi Andre – we are happy with the structural report i.e. we would be happy to live in the building J   Regards, Mark Allan (ZAF-RDC) (REC) Watch Tower Bible and Tract Society of South Africa, NPC. Registration number: 2006/02</t>
  </si>
  <si>
    <t>Gracious Siame</t>
  </si>
  <si>
    <t>Blackman, Innes; Thomson, Cameron; Bent, Symon; Smith, Caleb; Michalakis, Evangelos</t>
  </si>
  <si>
    <t>Aha, I think I understand. Thanks. -----Original Message----- From: Gracious Siame [mailto:nchila@mail.zamtel.zm] Sent: Tuesday, March 17, 2015 6:39 PM To: Schiller, Ben Cc: Blackman, Innes; Thomson, Cameron; Bent, Symon; Smith, Caleb; Michalakis,</t>
  </si>
  <si>
    <t>Procedure-Purchase of Property; TS Review of Plans</t>
  </si>
  <si>
    <t>Mark,   Here was TS comments. Sorry for not forwarding these to you::   Office space looks just perfect.  As to the rooms… they will be just different from the Zulu ones!  Thanks for the heads up!!!     Jeff Watts Worldwide D</t>
  </si>
  <si>
    <t>Bent, Symon; McDonald, Darcy; GHA-CNST-Committee</t>
  </si>
  <si>
    <t>Estimate, Planning</t>
  </si>
  <si>
    <t>Update Cost Estimate Clarification</t>
  </si>
  <si>
    <t>Tx! See red below…   Regards, Mark Allan (ZAF-RDC) (REC) Watch Tower Bible and Tract Society of South Africa, NPC. Registration number: 2006/022758/08. PBO number: 930021658   From: Meinders, Andre Sent: 17 March 2015 06:50 PM To: All</t>
  </si>
  <si>
    <t>Allan, Mark; GHA-CNST-Committee</t>
  </si>
  <si>
    <t>Arch, Planning</t>
  </si>
  <si>
    <t>Building Layout</t>
  </si>
  <si>
    <t>Symon As discussed a while back, we are looking at the option of using the existing AH property in Somanya for the Dangme RTO and also for Assemblies. I have attached a proposal from LDC here. They propose 4 options for a possible layout. Would y</t>
  </si>
  <si>
    <t>Bent, Symon; DODIN, Jean-Marc; Shears, Matthew</t>
  </si>
  <si>
    <t>Roof Covering ALUMINIUM (Purlin Spg; Fall Protection)</t>
  </si>
  <si>
    <t>Thanks   Tristan – what changes do you need to make for CLOTAN sheeting?   Regards, Mark Allan (ZAF-RDC) (REC) Watch Tower Bible and Tract Society of South Africa, NPC. Registration number: 2006/022758/08. PBO number: 930021658  </t>
  </si>
  <si>
    <t>Bent, Symon; Allan, Mark; GHA-CNST-Committee; Sellden, Erik; Berger, Xavier</t>
  </si>
  <si>
    <t>Unit for SMS alert - Installation</t>
  </si>
  <si>
    <t>Hi Masaaki,  Thanks for the information and for the manual. Symon has not replied yet regarding the extra cost. He is back tomorrow and we could have his comment then. Otherwise the idea of bringing the item with you is very good. We shall get ready fo</t>
  </si>
  <si>
    <t>2 Car Park Location (BC Query)</t>
  </si>
  <si>
    <t>Thanks David   Hi Sarah – see below and attached…   Regards, Mark Allan (ZAF-RDC) (REC) Watch Tower Bible and Tract Society of South Africa, NPC. Registration number: 2006/022758/08. PBO number: 930021658   From: Jones, David M.</t>
  </si>
  <si>
    <t>HTA:HBA</t>
  </si>
  <si>
    <t>Spiritual, Video</t>
  </si>
  <si>
    <t>Standard Video Packages for Streaming Bethel Spiritual Programs</t>
  </si>
  <si>
    <t>We are writing to provide direction regarding video systems in dining rooms and Kingdom Halls on branch property. In our letter HTA:HTB November 21, 2014, No. C-33562T, we informed you that local branch offices are now permitted to transmit certain spirit</t>
  </si>
  <si>
    <t>Shears, Matthew; Bent, Symon; Allan, Mark; Schiller, Ben</t>
  </si>
  <si>
    <t>Utilities around new service bldg</t>
  </si>
  <si>
    <t>Hi Jean-Mark,   To feed the new Services building, we would need 7x 110 pipes for power, 1x 50 pipe for fiber optic. New GHA03 residences (east of creek) will be fed from the Services building. Those pipes need be laid all the way from power hous</t>
  </si>
  <si>
    <t>Bent, Symon; Reichel, Venessa</t>
  </si>
  <si>
    <t>Civil - Electrical Trenches still Outstanding</t>
  </si>
  <si>
    <t>Yep. Venessa sent me a link to it.   From: Allan, Mark Sent: Monday, March 16, 2015 4:16 PM To: Schiller, Ben; Imai, Masaaki Cc: Bent, Symon; Reichel, Venessa Subject: RE: GHA BEX; Civil - Electrical Trenches still Outstanding   Please re</t>
  </si>
  <si>
    <t>Allan, Mark; Bateman, Tristan; Bent, Symon</t>
  </si>
  <si>
    <t>Drawing, Rebar</t>
  </si>
  <si>
    <t>Rebar bending schedules</t>
  </si>
  <si>
    <t>Embedded (15)</t>
  </si>
  <si>
    <t>Hi Venessa   These have been sent.   Syms: Email saved here HYPERLINK "file:///\\bethel.jw.org\zaf\Dept\RDC\Engineering\Projects\Zambia\ZMB%2011%20-%20Choma%20RTO\S3\EPC\CorLog"H:\RDC\Engineering\Projects\Zambia\ZMB 11 - Choma RTO\S3\EPC\CorLo</t>
  </si>
  <si>
    <t>Creek on the next property Wash away</t>
  </si>
  <si>
    <t>Received tx!   Regards, Mark Allan (ZAF-RDC) (REC) Watch Tower Bible and Tract Society of South Africa, NPC. Registration number: 2006/022758/08. PBO number: 930021658   From: Jones, David M. Sent: 16 March 2015 01:26 PM To: Bent, Sym</t>
  </si>
  <si>
    <t>Issued Field Sketch Res Off Dimension Correction</t>
  </si>
  <si>
    <t>Dear brothers,   We are not sure if you received this or not…   We are issuing a field sketch that affect the dimensions of the Residence and Office Building Section.  The drawing affected is as follows:   1.       MF-S-301: Residence an</t>
  </si>
  <si>
    <t>Query RE Mitek trusses position</t>
  </si>
  <si>
    <t>No probs – it’s always good to keep asking like u did J   Regards, Mark Allan (ZAF-RDC) (REC) Watch Tower Bible and Tract Society of South Africa, NPC. Registration number: 2006/022758/08. PBO number: 930021658   From: Fuentes, Miguel</t>
  </si>
  <si>
    <t>Imai, Masaaki; Bent, Symon; Allan, Mark</t>
  </si>
  <si>
    <t>Civil - Coordinates for EP-15</t>
  </si>
  <si>
    <t>Jean-Marc,   Masaaki has been looking at the electrical needs of the new building. We’ll probably have to come back when that building is ready to go and add in more utility pipes to the ones you just put in, which is kind of a shame, but there’s no</t>
  </si>
  <si>
    <t>Bent, Symon; Coombs, Shaun; Bateman, Tristan</t>
  </si>
  <si>
    <t>Concrete Test Result; RDC Comments</t>
  </si>
  <si>
    <t>A-ha – sorry! Kongo is the language…my mistake J   Hmmm…something is not right here though…   ·         There is no way you will get a 130-150MPa mix with the mix proportions you have below…typically you should be getting about 18MPa at 7 days</t>
  </si>
  <si>
    <t>McDonald, Darcy; Allan, Mark; Bent, Symon; Kaarna, Arno</t>
  </si>
  <si>
    <t>Info for DC-41 completion</t>
  </si>
  <si>
    <t>Dear Brothers, Thank you for the prompt response. We will work to send you all the needed info by close of day, Tuesday, March 17, 2015. Sincerely,   Daa    Ghana      LDC 22800   From: InboxRDCAdminPTSupport.ZA Sent: Friday, Mar</t>
  </si>
  <si>
    <t>Owusu-Mensah, Christian</t>
  </si>
  <si>
    <t>GHA-HOME-Overseer; Bent, Symon; Chiappetta, Raquel; Crook, Arthur; Fynn, Ryan</t>
  </si>
  <si>
    <t>Query - Internal fence Dog runs</t>
  </si>
  <si>
    <t>Shaun:               As promised, please find photo summary attached. Thank you.   Christian Owusu-Mensah For Home Office ( 22311/42311   From: Owusu-Mensah, Christian Sent: Thursday, March 12, 2015 5:14 PM To: Coombs, Shaun Cc</t>
  </si>
  <si>
    <t>Passport renewal cost for those assigned to serve in South Africa from overseas</t>
  </si>
  <si>
    <t>FYI   From: InboxTRAVEL.ZA Sent: 13 March 2015 01:24 PM To: InboxLDC.ZA; InboxCST.ZA; InboxPRNTOFF.ZA; InboxRDC.ZA; InboxSRV.ZA; InboxTRAVEL.ZA Cc: InboxBTHL.ZA; InboxACCTGeneral.ZA; Brookes, Rowen; Wiggill, Keith Subject: Passport renewal cost</t>
  </si>
  <si>
    <t>Bent, Symon; Bateman, Tristan; InboxCNSTRTOConstCommittee3.ZM; Smith, Caleb</t>
  </si>
  <si>
    <t>Office Footing DCP 20150312</t>
  </si>
  <si>
    <t>Your soil is like concrete J   Approved. Proceed   Regards, Mark Allan (ZAF-RDC) (REC) Watch Tower Bible and Tract Society of South Africa, NPC. Registration number: 2006/022758/08. PBO number: 930021658   From: Lester, Davin Sen</t>
  </si>
  <si>
    <t>Coombs, Shaun; Bent, Symon</t>
  </si>
  <si>
    <t>Maintenance, Meeting</t>
  </si>
  <si>
    <t>Maintenance Problems Meeting Summary 02-27-2015</t>
  </si>
  <si>
    <t>Tx NC – I copy PO and EPC too   Regards, Mark Allan (ZAF-RDC) (REC) Watch Tower Bible and Tract Society of South Africa, NPC. Registration number: 2006/022758/08. PBO number: 930021658   From: Cruthirds, Nathan Sent: 13 March 2015 08:5</t>
  </si>
  <si>
    <t>Structural Report</t>
  </si>
  <si>
    <t>Thanks Andre   Tristan – please take a look and provide us comments?   Regards, Mark Allan (ZAF-RDC) (REC) Watch Tower Bible and Tract Society of South Africa, NPC. Registration number: 2006/022758/08. PBO number: 930021658   From:</t>
  </si>
  <si>
    <t>Marriott, Brian; Bent, Symon; Allan, Mark; Coombs, Shaun; Michalakis, Evangelos; Bateman, Tristan</t>
  </si>
  <si>
    <t>Thanks so much Vanessa for this update. We will used this field sketch to install the trusses accordingly. Greetings.   FUENTES Miguel Construction Kamina RTO +243812334005         From: Reichel, Venessa Sent: Friday,</t>
  </si>
  <si>
    <t>Bent, Symon; Shears, Matthew; rodney@mrhce.co.za</t>
  </si>
  <si>
    <t>Phase II Soil Tests - Need Coordinates</t>
  </si>
  <si>
    <t>Hi Jean-Marc   Here is a scope of work outlining the testing required at each position. I hope it is clear to all.   Rodney, please comment if you feel anything else is necessary.   Regards,   Patrick Riley Pr Tech Eng Office Dire</t>
  </si>
  <si>
    <t>Arch, Design</t>
  </si>
  <si>
    <t>Layout Proposal</t>
  </si>
  <si>
    <t>Symon,   Here are comments from Architectural (Van, Raquel &amp; myself).   Sarah R. Sukram (SRS) South Africa Regional Design/Construction Office (RDC) HYPERLINK "mailto:ssukram@jw.org"ssukram@jw.org 011-761-1000 Ext. 2589   From:</t>
  </si>
  <si>
    <t>DCP carpark slab -6 reworked 20150306</t>
  </si>
  <si>
    <t>Hey Innes – your sketches are excellent. An example to others worthy of imitation!   Agreed / Approved / Proceed / Tx!   Regards, Mark Allan (ZAF-RDC) (REC) Watch Tower Bible and Tract Society of South Africa, NPC. Registration number: 2</t>
  </si>
  <si>
    <t>Washburn, Nathan; Bent, Symon; Allan, Mark; Gilden, David</t>
  </si>
  <si>
    <t>PWG, Planning</t>
  </si>
  <si>
    <t>Ethiopia - Bethel Full</t>
  </si>
  <si>
    <t>Jeff – seems best for now for us to wait and see what ETH says in their letter to PC –    BRANCH COMMITTEE:  You state your Bethel is full and you are thinking about renting nearby facilities.  You cite Audio/Video expansion needs among other reason</t>
  </si>
  <si>
    <t>ZWE Changana RTO</t>
  </si>
  <si>
    <t>Agenda 2015-03-12 docx</t>
  </si>
  <si>
    <t>Lindstrom, Carl-Johan; Bent, Symon; Hale, Timothy; Finlayson, Gerald; McDonald, Darcy</t>
  </si>
  <si>
    <t>DC-41, Estimate</t>
  </si>
  <si>
    <t>Cost Estimate Queries</t>
  </si>
  <si>
    <t>Hi Tony,   This’ll make your head hurt... we need your input on the attached list.    If you can go over it and provide your input we can then setup a discussion on Tuesday to go over any gaps or queries.  We understand that some of the points</t>
  </si>
  <si>
    <t>Purchasing support of Design Construction doc</t>
  </si>
  <si>
    <t>Chaps - You might find the thread below of interest...    Thanks,  Shaun   From: Proszek, Fred Sent: Thursday, March 12, 2015 2:22 PM To: Coombs, Shaun; McCarthy, Benjamin Subject: Fwd: Purchasing support of Design Construction doc</t>
  </si>
  <si>
    <t>Salvidge, Mark; Bent, Symon; Washburn, Nathan; Allan, Mark</t>
  </si>
  <si>
    <t>CC Meeting_15 Minutes</t>
  </si>
  <si>
    <t>Zeny – You’ll be seeing this officially via the branch, but sadly George Kalengayi a BCS who was serving on the Lubumbashi project CC in COD was dismissed this week as a result of stealing.     We wait to hear from the bro’s there what lessons can b</t>
  </si>
  <si>
    <t>Bent, Symon; Sukram, Sarah; Schiller, Ben; Kwesie, Samuel; Crudass, Paul; St. Jean, Zeny; Watts, Jeffery</t>
  </si>
  <si>
    <t>Elec, PV</t>
  </si>
  <si>
    <t>Solar PV panels</t>
  </si>
  <si>
    <t>Thanks Masaaki. David – how is this proposal?   Regards, Mark Allan (ZAF-RDC) (REC) Watch Tower Bible and Tract Society of South Africa, NPC. Registration number: 2006/022758/08. PBO number: 930021658   From: Imai, Masaaki Sent: 11 Mar</t>
  </si>
  <si>
    <t>Quote, Soil</t>
  </si>
  <si>
    <t>Soil testing (Ghana Highway Authority ) - Quote; WSP RECOMMENDATION</t>
  </si>
  <si>
    <t>Agreed. Tx for handling!   Regards, Mark Allan (ZAF-RDC) (REC) Watch Tower Bible and Tract Society of South Africa, NPC. Registration number: 2006/022758/08. PBO number: 930021658   From: Schiller, Ben Sent: 11 March 2015 03:45 PM To:</t>
  </si>
  <si>
    <t>Frafra RTO Kickoff Meeting - December 11, 2014</t>
  </si>
  <si>
    <t>Seems from below that the ball is in Ghana’s court…and they are quite good at tracking down locations / properties; don’t sit idle J    ACTION ITEMS (for meeting notes) PERSON RESPONSIBLE DEADLINE  Continue search for office/residence ren</t>
  </si>
  <si>
    <t>GHA-LDC-Overseer</t>
  </si>
  <si>
    <t>Field Representatives</t>
  </si>
  <si>
    <t>Symon,    Please, in light of the direction below, we would like to set up two field representative offices in Sunyani and Takoradi. We may be able to set up simple offices in KH in the respective areas with the brothers commuting from their homes.</t>
  </si>
  <si>
    <t>St. Jean, Zeny; Allan, Mark; Bent, Symon; Kaarna, Arno; Avorgbedor, Abel; Keller, Timothy; GHA-CNST-Committee</t>
  </si>
  <si>
    <t>Procedure- Purchase of Property (for Twi RTO)</t>
  </si>
  <si>
    <t>Brothers,   As suggested below, here are the proposed renovation floor plans for the Kumasi RTO projects. We should receive the report on the structural analysis by the end of this week. Assuming this is OK, the team put together to oversee this sta</t>
  </si>
  <si>
    <t>Grassy swales detail</t>
  </si>
  <si>
    <t>Much appreciated!   Just saved a bit of digging. Glad we could chat.   Regards, Jared Fruciano Mongu RTO Construction   From: Schiller, Ben Sent: Wednesday, March 11, 2015 3:35 PM To: Fruciano, Jared Cc: Bent, Symon Subject: G</t>
  </si>
  <si>
    <t>Shears, Matthew; Bent, Symon; Allan, Mark</t>
  </si>
  <si>
    <t>Soil testing (Ghana Highway Authority ) - Quote</t>
  </si>
  <si>
    <t>Thank you very much, Patrick.   I know we were just waiting on WSP’s input, and I believe it’s technically their decision. But in any case I completely agree, and in the absence of Mark or Symon to countermand that J, I would say that RDC is in agre</t>
  </si>
  <si>
    <t>Civil, Mech</t>
  </si>
  <si>
    <t>WWTF upgrade</t>
  </si>
  <si>
    <t>HI Fabian, To add to the conversation.  The effluent quality is not acceptable.  The recirculation is less than one now.  The limitation is the controls.  It was setup so that the runtime of the pumps could not be more than half of the 20 minute cycle.</t>
  </si>
  <si>
    <t>Watts, Jeffery; Allan, Mark; Bent, Symon; Crudass, Paul</t>
  </si>
  <si>
    <t> Hi David,   Thanks for the good discussion today on the Fante &amp; Ahanta languages.    On the question of the Kumasi facility next steps – after the structural evaluation is received -  it seems like we are on Step #3 and you brothers will be s</t>
  </si>
  <si>
    <t>GHA CDP</t>
  </si>
  <si>
    <t>Mark: This is probably NOT what you wanted to hear.  This project has not seen the progress we hoped for.  The idea of relocating the Twi and Sign language translation teams combined with key decision making personnel leaving the office has not helped</t>
  </si>
  <si>
    <t>ZMB Mongu RTO Updated Cost Projection February 2015</t>
  </si>
  <si>
    <t>Dear Brothers,   Just wanted to keep you informed about where the overall budget is headed.  At this point we are about 20,000USD under budget.   As mentioned earlier we have gone over budget in many areas including food.  In doing some research</t>
  </si>
  <si>
    <t>Lester, Davin; Bent, Symon; Allan, Mark</t>
  </si>
  <si>
    <t>DCP Commuter SOG</t>
  </si>
  <si>
    <t>Hi Hendrik,   Mark is away, but has e-mail access.   The results look good, and you may proceed.   Mark: This e-mail has been saved in: HYPERLINK "file:///\\bethel.jw.org\zaf\Dept\RDC\Engineering\Projects\Zambia\ZMB%2013%20-%20Katete%20R</t>
  </si>
  <si>
    <t>jadine974@gmail.com</t>
  </si>
  <si>
    <t>WWTF changing media of trickling filter, JJR</t>
  </si>
  <si>
    <t>Hello Jean-Jacques,   Hope you are well. In the past Zeny contacted you regarding the needed upgrade of the waste water treatment facility in Ghana. Currently I’m busy with this project. I looked through all the emails that you send regarding the Gh</t>
  </si>
  <si>
    <t>Shears, Matthew; Bent, Symon</t>
  </si>
  <si>
    <t>SCS Quote (Soils Tests)</t>
  </si>
  <si>
    <t>Hi Jean-Marc    Notice please how I renamed the XLS for easier filing? J   Also please copy Patrick Riley with these e-mails too for a speedier process while Symon and I are on the road?   Patrick – see attached   Ben – please file</t>
  </si>
  <si>
    <t>Hale, Timothy; Pembele, Manuel; Bent, Symon; Allan, Mark; Washburn, Nathan</t>
  </si>
  <si>
    <t>ZWE-Face bricks for Urban Halls</t>
  </si>
  <si>
    <t>Hi Carl,   This concept was discussed at length during our last visit, so it’s good to see you move forward with this approach.  We would be in agreement, thanks for keeping us in the loop on this.   Look forward to seeing the results.  </t>
  </si>
  <si>
    <t>Imai, Masaaki; Bent, Symon; ten Have, Fabian; Allan, Mark</t>
  </si>
  <si>
    <t>Commissioning, Generator</t>
  </si>
  <si>
    <t>Commissioning Schedule for Generators and WTP</t>
  </si>
  <si>
    <t>Dear Brothers, We have some more serious dates for our commissioning for your consideration. If we all agree, we should inform GBR so they can plan the travel of the company’s representative. Another point for the agenda tomorrow.   Thank y</t>
  </si>
  <si>
    <t>Nolan, Todd; Paekau, Ryan; Sondell, Henrik; Lichtenhahn, Wyatt; Shears, Matthew; Meinders, Andre; Jacques Randrianantenaina (jrandrianantenaina@mdg.wtbts.net)</t>
  </si>
  <si>
    <t>DC-41, Guideline</t>
  </si>
  <si>
    <t>(FYI) Global Purchasing Department - Nonliterature Branch Requests for DC-41 Approved Construction Projects</t>
  </si>
  <si>
    <t>New review process for NLBRs--no email to GPD</t>
  </si>
  <si>
    <t>Dear brothers,   Please note in the attached memo the adjusted direction in the review process of NLBRs on DC-41 approved projects.   Thanks,    SymonBent South Africa RDC M: +27 61 699 6085  |  T: 2588  |  HYPERLINK "sip:sbent@bet</t>
  </si>
  <si>
    <t>Ferreiro, Lucas</t>
  </si>
  <si>
    <t>While, Mark; DODIN, Jean-Marc; Bent, Symon; Allan, Mark</t>
  </si>
  <si>
    <t>Wifi APPROVED</t>
  </si>
  <si>
    <t>Hi Lucas,   Thank you very much! John-Mark, please refer to the attached.   Thank you, Masaaki Imai RDC-South Africa Ext. 2586   From: Ferreiro, Lucas Sent: 07 March 2015 07:42 PM To: Imai, Masaaki Cc: While, Mark Subjec</t>
  </si>
  <si>
    <t>CDP - Culvert LT BEX Update</t>
  </si>
  <si>
    <t>Tx. Also keeping my other e-mail below in this thread so there’s only one to save. Please can u reply using this one later?   Regards, Mark Allan (ZAF-RDC) (REC) Watch Tower Bible and Tract Society of South Africa, NPC. Registration number: 20</t>
  </si>
  <si>
    <t>Bent, Symon; Allan, Mark; Schiller, Ben; Shears, Matthew</t>
  </si>
  <si>
    <t>Upcoming Land Survey and Soil Tests - Work Plan</t>
  </si>
  <si>
    <t>Hi Shaun, Please forward to our contacts at the two labs and please ask them if the table could be filled in and returned to us by the end of the day.   RDC:  Please note that during our meeting with the surveyors, Lab is expected to be on site o</t>
  </si>
  <si>
    <t>RDC review of Draft NLBR; REQ 520-10644; Roof Sheeting; 20150304</t>
  </si>
  <si>
    <t>Hi Symon,    Raquel and I have checked it, and it looks fine. (no comments) Not sure if we will be getting a revised quote from GRS based on Davin requesting the extra lengths of products.   Kind Regards, Van.   From: Bent, Symon</t>
  </si>
  <si>
    <t>Bent, Symon; Schiller, Ben</t>
  </si>
  <si>
    <t>AFC, CDP, Contract</t>
  </si>
  <si>
    <t>Ghana Branch Expansion - WSP QUOTE (CDP and AFC) (DMCD INPUT)</t>
  </si>
  <si>
    <t>Patrick: Sorry for the delay in responding.  I was jolling about in Hermanus last week.     Here is the history; there is a large tree just across the road from the existing reception area inside the branch property.  It is starting to push the r</t>
  </si>
  <si>
    <t>DCP carpark slabs -3 and -5 reworked 20150305</t>
  </si>
  <si>
    <t>Agreed. Approved. Proceed. Thanks!   Regards, Mark Allan (ZAF-RDC) (REC) Watch Tower Bible and Tract Society of South Africa, NPC. Registration number: 2006/022758/08. PBO number: 930021658   From: Blackman, Innes Sent: 05 March 2015 0</t>
  </si>
  <si>
    <t>McDonald, Darcy; Schiller, Ben; Bent, Symon; Patrick.Riley@WSPGroup.co.za</t>
  </si>
  <si>
    <t>WSP Account 1 (50% Topo Fees)</t>
  </si>
  <si>
    <t>Hi Tiffani   Agreed. (We did say that we would pay 50% ‘up front’ in our negotiations.) We can pay this   There is an approved DC-41 for ‘outsourced engineering’ for the Ghana Long Term BEX Project. Darcy and his team can find out all the deta</t>
  </si>
  <si>
    <t>Bent, Symon; Smith, Caleb; Kirkland, Jason; InboxCNSTRTOConstCommittee3.ZM</t>
  </si>
  <si>
    <t>Test, Water</t>
  </si>
  <si>
    <t>Water Quality Test</t>
  </si>
  <si>
    <t>Hi Davin,   Thank you for this, results look good.   Thank you,   Fabian ten Have South Africa Regional Design/Construction Department   From: Lester, Davin Sent: Tuesday, March 03, 2015 4:15 PM To: ten Have, Fabian Cc: Bent</t>
  </si>
  <si>
    <t>Allan, Mark; McDonald, Darcy; GHA-CNST-Committee</t>
  </si>
  <si>
    <t>Equipment, Laundry</t>
  </si>
  <si>
    <t>Order new Laundry Equipment</t>
  </si>
  <si>
    <t>Dear Brothers, The Branch would like to request part of the laundry equipment proposed for phase II of the BEX project. See request below and list enclosed. Please give your comments.   Thank you, Jean-Marc Dodin Construction Office G</t>
  </si>
  <si>
    <t>Hi Mark,   So these look a little better. I have just put the third corner test on a separate sheet. As instructed we just spent a bit of extra time really compacting this corner and the results have matched the other three corners quite nicely now.</t>
  </si>
  <si>
    <t>Shipping fees committed in Project Tracking</t>
  </si>
  <si>
    <t>More reading for you.   Thank You for your work, Project Tracking Support South Africa   From: InboxGlobalPurchasing Sent: Wednesday, March 04, 2015 8:41 PM To: InboxRDCAdminPTSupport.ZA Cc: InboxPRCH.ZA; InboxWDC; Morgan, Wendell; No</t>
  </si>
  <si>
    <t>Allan, Mark; McDonald, Darcy</t>
  </si>
  <si>
    <t>RDC review of NLBR Package -42- SUBMITTAL</t>
  </si>
  <si>
    <t>Jean-Marc, This should go to Symon to check, not Darcy.  However, Symon is on vacation so if you don’t hear from him soon, please go ahead and submit the NLBR, and you can state that we agree. Thanks, Nathan    From: DODIN, Jean-Marc Sent</t>
  </si>
  <si>
    <t>Washburn, Nathan; Gilden, David; Bent, Symon</t>
  </si>
  <si>
    <t>Commissioning of Kabompo RTO</t>
  </si>
  <si>
    <t>Hi all – please get together and discuss this (unless already done)?   Dave – can you coordinate things a la MOZ? Symon not checking his e-mails that regularly   Regards, Mark Allan (ZAF-RDC) (REC) Watch Tower Bible and Tract Society of</t>
  </si>
  <si>
    <t>Musonda, Albert</t>
  </si>
  <si>
    <t>Washburn, Nathan; Watts, Jeffery; Sharp, Dayrell; Rajalehto, Timo; Crevatin, Roberto; Bent, Symon</t>
  </si>
  <si>
    <t>ZMB Chibombo RTO</t>
  </si>
  <si>
    <t>Lenje RTO locations</t>
  </si>
  <si>
    <t>Dear Zeny,   The one they checked on is dilapidated as you will see from the pics.  They will keep checking on the short term opportunities and forward the recommendations over to you.  Thanks. Albert   From: St. Jean, Zeny Sent: Wednesda</t>
  </si>
  <si>
    <t>DCP carpark slabs -3, -5 and -6 20150303</t>
  </si>
  <si>
    <t>Hi Mark,   thanks for taking the time to help us by looking at these.   I hadn’t spotted the 38mm result sorry. Just glanced at it, scanned it and sent it. The others were as expected for 5 &amp; 6. We began the remedial work this morning and hope</t>
  </si>
  <si>
    <t>InboxPRCH.GB</t>
  </si>
  <si>
    <t>Allen, David A; Shears, Matthew; ten Have, Fabian; Legere, Shaun; Bent, Symon; Allan, Mark</t>
  </si>
  <si>
    <t>Elec, Mech</t>
  </si>
  <si>
    <t>Reply, Envirogen Water Technologies_Up dates</t>
  </si>
  <si>
    <t>Dear David, Please see our reply (Bold Red) in your message copied below.   Thank you, Jean-Marc Dodin Construction Office GHANA BEX Extension:  22431 Cell: 054 431 4831         From: Allen, David A Sent: Monday, M</t>
  </si>
  <si>
    <t>Sondell, Henrik; Bent, Symon</t>
  </si>
  <si>
    <t>Agreed…Davin – please proceed?   Notice too how I changed the subject line for easier filing / referencing J   I will save this on H…   Regards, Mark Allan (ZAF-RDC) (REC) Watch Tower Bible and Tract Society of South Africa, NPC. R</t>
  </si>
  <si>
    <t>Bent, Symon; Legere, Shaun; DODIN, Jean-Marc; Shears, Matthew</t>
  </si>
  <si>
    <t>Envirogen Water Technologies_Updates</t>
  </si>
  <si>
    <t>Masaaki / Fabian – please sort out and jus copy me and Symon when replying to JM Dodin directly?   Regards, Mark Allan (ZAF-RDC) (REC) Watch Tower Bible and Tract Society of South Africa, NPC. Registration number: 2006/022758/08. PBO number: 9</t>
  </si>
  <si>
    <t>InboxBTHL.ZA</t>
  </si>
  <si>
    <t>Adjustments to Worldwide order of SFTS</t>
  </si>
  <si>
    <t>Dear Brothers,   Please find attached memorandum.   Thank you, BETHEL OFFICE | VOLUNTEER DESK Email:volunteerdesk.za@jw.org Watch Tower Bible and Tract Society of South Africa, NPC.  Registration number: 2006/022758/08. PBO numb</t>
  </si>
  <si>
    <t>Restructuring the LDC</t>
  </si>
  <si>
    <t>FYI    Thanks,   Zeny   From: Jones, David M. Sent: Tuesday, March 3, 2015 8:57 AM To: St. Jean, Zeny Subject: RE: Kofi Duose   Sounds interesting. We are restructuring our LDC and need good overseers in 4 areas under Dan’s ove</t>
  </si>
  <si>
    <t>Borehole Pump Pipe Recommendations</t>
  </si>
  <si>
    <t>Hi Symon,   At the risk of being a pest…we are still waiting for a response from Fabian on our borehole recommendations.   Thank you   David Eichner LUBUMBASHI RTO CONSTRUCTION       From: Bent, Symon Sent: Wednesday, Fe</t>
  </si>
  <si>
    <t>Utilities to proposed new KH on NE corner</t>
  </si>
  <si>
    <t>Hi Symon, Please see the reply from LDC on the proposed new Kingdom Hall on the NE corner on the Bethel property. Tx Matt   FROM LDC   Dear Dave, This morning, I went to the site and then met with Matt Shears. It seems that it will</t>
  </si>
  <si>
    <t>Mordecki, Martin</t>
  </si>
  <si>
    <t>Gilden, David; Bent, Symon; White, Tara; Washburn, Nathan</t>
  </si>
  <si>
    <t>MOZ BEX</t>
  </si>
  <si>
    <t>Estimate, SALTO</t>
  </si>
  <si>
    <t>20150302 MOZ SALTO price estimate</t>
  </si>
  <si>
    <t>Hi Martin,   Please find attached the price estimate for the SALTO system for MOZ. The prices are in GBP and are ex VAT.   I have split the quotation into two sections.    1.       Common external entry doors and all needed infrastructur</t>
  </si>
  <si>
    <t>Bent, Symon; Watts, Jeffery; Allan, Mark</t>
  </si>
  <si>
    <t>WHQGHAETP01 - Frafra to Bolgatanga</t>
  </si>
  <si>
    <t>Handling setup cost of rental RTO</t>
  </si>
  <si>
    <t>OK Zeny, Thanks for the clarification.  We will proceed as you suggest.   Paul Crudass    Tel:  22701   From: St. Jean, Zeny Sent: Sunday, March 01, 2015 1:31 PM To: Crudass, Paul Cc: Bent, Symon; Watts, Jeffery; Allan, Mark Subject</t>
  </si>
  <si>
    <t>Nolan, Todd; Fruciano, Jared; Bent, Symon; Bhana, Teresh</t>
  </si>
  <si>
    <t>Fall Protection Plate system - Any further info</t>
  </si>
  <si>
    <t>Hi Tristan and Mark, I went to see Tersia.  The following screws are what we need and where they are used. 1.       When attaching only to the roof sheets a 6mm x 20 mm self tapping Stitching screw with neoprene or plastic washer.  This screw has a</t>
  </si>
  <si>
    <t>Purchasing, Template</t>
  </si>
  <si>
    <t>PPB Meeting template, New PP template</t>
  </si>
  <si>
    <t>I copy the other POs, they can decide if they want to send these to the LDCs.  I will save them somewhere logical. N   From: InboxRDC.ZA Sent: Friday, February 27, 2015 3:06 PM To: Washburn, Nathan Subject: FW: MDS Activity: (PD-62-E) PG Tr</t>
  </si>
  <si>
    <t>CDP, Design, Meeting</t>
  </si>
  <si>
    <t>Meeting with WSP 2015-02-05; SW DESIGN-DEV Dwgs for Review</t>
  </si>
  <si>
    <t>Understood.   From: Allan, Mark Sent: Saturday, February 28, 2015 9:11 PM To: Schiller, Ben Cc: Bent, Symon Subject: GHA LT BEX; Meeting with WSP 2015-02-05; SW DESIGN-DEV Dwgs for Review   Hi Ben – as mentioned below:   The culvert</t>
  </si>
  <si>
    <t>Culvert, Estimate</t>
  </si>
  <si>
    <t>Review Culvert Cost Comparison--Swale vs Closed Box</t>
  </si>
  <si>
    <t>Sorry – wanted to give you two weeks for this; so target date should be MARCH 13th! J   Regards, Mark Allan (ZAF-RDC) (REC) Watch Tower Bible and Tract Society of South Africa, NPC. Registration number: 2006/022758/08. PBO number: 930021658</t>
  </si>
  <si>
    <t>InboxCNSTRTOConstCommittee1.ZM; Bateman, Tristan</t>
  </si>
  <si>
    <t>DCP tests 2nd and 4th Carpark slabs 20150228</t>
  </si>
  <si>
    <t>Saved as “ZMB Kabompo DCP Carpark Slabs #2 and #4  20150228.pdf” in: HYPERLINK "file:///\\bethel.jw.org\zaf\Dept\RDC\Engineering\Projects\Zambia\ZMB%2009%20-%20Kabompo%20RTO\S4\Struct\DCP%20Tests%20June%202014%20onward\Site"H:\RDC\Engineering\Projects\</t>
  </si>
  <si>
    <t>Ghana - GHA-4781 Washer and Dryer ($11,635 08)</t>
  </si>
  <si>
    <t>Thanks Symon   Hi GPD. Your ref is: wid:WHQ-GPD-6945E8D3-2FD3-4288-8C20-0FC1A5964249   See below. We are in agreement. Please can u confirm receipt of this e-mail?   Thanks  Mark A   From: Bent, Symon Sent: 27 February 2015 10</t>
  </si>
  <si>
    <t>Report for prefabricated steel structures</t>
  </si>
  <si>
    <t>Thanks JM – nice to get ‘lessons learned’   Tristan:     ·         Please consider this and see what adjustments we can make to our steel structures of this nature?    ·         Also, have you ever changed the purlin thickness as per wha</t>
  </si>
  <si>
    <t>Reichel, Venessa; Bent, Symon</t>
  </si>
  <si>
    <t>Office Building Slab 'joint fix-up' (QUERY )</t>
  </si>
  <si>
    <t>Now I remember! Sorry-o!!!   Understood! Agreed! Proceed!   Regards, Mark Allan (ZAF-RDC) (REC) Watch Tower Bible and Tract Society of South Africa, NPC. Registration number: 2006/022758/08. PBO number: 930021658   From: Bateman, T</t>
  </si>
  <si>
    <t>ZMB-BRANCH-Committee; Kapata, Henry; Smith, Caleb; Bent, Symon</t>
  </si>
  <si>
    <t>Kasama Property options</t>
  </si>
  <si>
    <t>Nathan,   I am not sure who to address this to as we have not received an answer to the memo listed below. It was to review the property options in Kasama. Please note that we would still like to pursue a property there and a new development l</t>
  </si>
  <si>
    <t>PM</t>
  </si>
  <si>
    <t>Project Management solutions research</t>
  </si>
  <si>
    <t>Hi Wendell/Darrin,   Here’s the little bit of research I did on project management:   It tried and studied many different solutions, but this one stood out as focused and capturing well our present workflow:  HYPERLINK "http://www.activecollab</t>
  </si>
  <si>
    <t>Kamony, Paulin; Bent, Symon; McDonald, Darcy; Finlayson, Gerald</t>
  </si>
  <si>
    <t>DC-41, MH</t>
  </si>
  <si>
    <t>DC-41 questions for Brazzaville MH</t>
  </si>
  <si>
    <t>Hi Shaun , please see written in red below. Best regards,   MFélicien LDC /Office n° 2421 Portable n° +243 81 266 98 60 Congo Kinshasa     From: Coombs, Shaun Sent: jeudi 26 février 2015 13:57 To: Mukendi, Félicien Cc: Kamon</t>
  </si>
  <si>
    <t>Civil, Estimate</t>
  </si>
  <si>
    <t>Review of culvert cost comparison--swale vs closed box</t>
  </si>
  <si>
    <t>Hi Symon, Good to get a message from you. It’s been a long time. Branch Committee is unanimous in recommending the combined option with a projected cost of 250,758 USD. There are however, some questions that remain unanswered: ·         How is</t>
  </si>
  <si>
    <t>Bent, Symon; Kamony, Paulin; Washburn, Nathan</t>
  </si>
  <si>
    <t>Renovation of Goma Shipping apartment Project</t>
  </si>
  <si>
    <t>Dear Peter,   Sorry, We found that what we sent answers was the questions on whisper rooms. Goma will be sent this afternoon. We are working on it.   Regards,   MFélicien LDC /Office n° 2421 Portable n° +243 81 266 98 60 Congo K</t>
  </si>
  <si>
    <t>Aubrey Bwalya Mulenga</t>
  </si>
  <si>
    <t>ZMB- Soil and site Surveys in Petauke</t>
  </si>
  <si>
    <t>Cam,   Jonathan and I have agreed to travel on Wednesday 4th March 2015 to Petauke.    Please send me the survey diagram ASAP so that I can do some research at the Surveyor General’s Office.   Best regards, Aubrey Mulenga Le Geomat</t>
  </si>
  <si>
    <t>Kaarna, Arno</t>
  </si>
  <si>
    <t>Do projects under 250,000 need monthly report</t>
  </si>
  <si>
    <t>I think that this guidelines still applies.  Darcy: could we have you input on this question (this is an AH project, with the master AH plan)?   Q. “Please we are writing to inquire if for our approx. $250K project, we need to be sending monthly rep</t>
  </si>
  <si>
    <t>Coombs, Shaun; Moore, Benjamin; Bhana, Teresh; ten Have, Fabian; Bent, Symon</t>
  </si>
  <si>
    <t>Meeting, Septic</t>
  </si>
  <si>
    <t>Bio Sewage Query Meeting with LEON DU CASS</t>
  </si>
  <si>
    <t>Hi Nathan – for ease of reference, I have attached ‘status’ e-mails from some of the projects where BIO was spec’d   Hi Johnny – may be good to invite Ben Schiller and Fabian Ten Have too (to the meeting) please?   Hi Ben (Schiller) – can you</t>
  </si>
  <si>
    <t>Michalakis, Evangelos; Bateman, Tristan; Bent, Symon</t>
  </si>
  <si>
    <t>Office Mitek Roof SCREWS FOR KL CLIP INSULATION</t>
  </si>
  <si>
    <t>Embedded (10)</t>
  </si>
  <si>
    <t>Nice e-mail, Greg!   I will do some further follow up now that I know what’s what, and will copy you, Van and Tristan   I will also make sure we save the attachments you sent too – very valuable info to keep on file for future reference  </t>
  </si>
  <si>
    <t>Qestion about Main panel in Utilities Building ((drawing E-601 1 19)</t>
  </si>
  <si>
    <t>Answer from Efraim.  Thanks to checking as always! Symon   From: De Meyer, Efraim Sent: Wednesday, February 25, 2015 09:42 To: Bent, Symon Subject: RE: COD Kamina RTO; Qestion about Main panel in Utilities Building ((drawing E-601/1.19)  </t>
  </si>
  <si>
    <t>AC, CDP, Design</t>
  </si>
  <si>
    <t>VRF instead of single split or chilled water</t>
  </si>
  <si>
    <t>Hi Symon,   Thanks for the reply. I only wanted to make sure we thought it through before we made the final decision on this. I still agree with what we discussed a while back: single splints are not an option, and a chilled water installation wi</t>
  </si>
  <si>
    <t>Schmidt, Gregory; Imai, Masaaki; Washburn, Nathan</t>
  </si>
  <si>
    <t>Multi split estimate REVISED</t>
  </si>
  <si>
    <t>Hi Gregory,   Thank you very much for your work on this!   Symon: we will wait for your direction on preparing the DC-41 for this job (current cost calculation shows $207.172 for materials and $17.347 for labor).   And another point: whe</t>
  </si>
  <si>
    <t>Car park location</t>
  </si>
  <si>
    <t>Brothers,   We were wondering about the location for the additional car park during Phase-2. We see that the drawings show additional parking bays north of the current covered parking and east of the existing service department.  We wonder if a b</t>
  </si>
  <si>
    <t>Shears, Matthew; Bent, Symon; Legere, Shaun</t>
  </si>
  <si>
    <t>Quote, Soil, Test</t>
  </si>
  <si>
    <t>SCS Quote</t>
  </si>
  <si>
    <t>Hi Mark/Ben, Please review the enclosed quote from SCS and tell us  if you need more information.   Thank you, Jean-Marc Dodin Construction Office GHANA BEX Extension:  22431 Cell: 054 431 4831       From: Legere, Shaun</t>
  </si>
  <si>
    <t>Bent, Symon; Allan, Mark; McDonald, Darcy</t>
  </si>
  <si>
    <t>Borehole, Elec</t>
  </si>
  <si>
    <t>Electrical - Cables to DB =0+C2 feeding Borehole 3 and 4</t>
  </si>
  <si>
    <t>Hi Jean-Marc,   My intention was to use the feeders to be spliced in the future and to feed the new sports field building. Therefore, can we leave the spec as is? In the future, we can install a manhole where the temporary DB =0+C2 is, then exten</t>
  </si>
  <si>
    <t>Fuel Pipe size</t>
  </si>
  <si>
    <t>Hi Wyatt,   No problem when using ¾” copper pipe. Please mark up your as-built drawings accordingly.   Thank you,   Fabian ten Have South Africa Regional Design/Construction Department   From: Lichtenhahn, Wyatt Sent: Tuesday,</t>
  </si>
  <si>
    <t>Ghana - Nonliterature Branch Request No 4710-Regional Convention Tents</t>
  </si>
  <si>
    <t>Dear Mark, Thanks for the mail. It has been received and well noted.   Daa    Ghana      LDC 22800   From: InboxRDC.ZA Sent: Monday, February 23, 2015 4:55 PM To: Bent, Symon; Jones, David M.; Adashie, Daniel; InboxGlobalPurchasing</t>
  </si>
  <si>
    <t>PETTENÒ, Massimiliano; Coombs, Shaun; Mukendi, Félicien</t>
  </si>
  <si>
    <t>Aggregate, Approval, Concrete</t>
  </si>
  <si>
    <t>Concrete Aggregate for Approval (STRUCT Comment)</t>
  </si>
  <si>
    <t>Join with this answer some picture of the actual gravel we found now in Kikwit. This is the same gravel than the sample that you have, but better calibrate, as you could see in the picture join if this gravel is agreable to you. We plan to do concrete tes</t>
  </si>
  <si>
    <t>Watts, Jeffery; Bent, Symon</t>
  </si>
  <si>
    <t>Translation Services - Approve to Relocate Twi RTO in Kumasi</t>
  </si>
  <si>
    <t>See attached e-mail for further info…the DC-31 and DC-32 are actually complete; just the structural report we waiting for now…it’s in hand though; Andre Meinders has it ‘under control’   Regards, Mark Allan (ZAF-RDC) (REC) Watch Tower Bible an</t>
  </si>
  <si>
    <t>Civil, Septic</t>
  </si>
  <si>
    <t>Septic tanks in series (CUSTOM MH AT END)</t>
  </si>
  <si>
    <t>Dear brothers,   We are issuing the following revised drawings for your project:   1.       LL-C-103: Revised sewer layout with FRP septic tanks   Please be sure to remove all previous versions from circulation and either destroy them or</t>
  </si>
  <si>
    <t>Imai, Masaaki; ten Have, Fabian</t>
  </si>
  <si>
    <t>Commissioning Visit - Generators and WT Plant</t>
  </si>
  <si>
    <t>Symon - I leave this with you to resolve. I am deleting my side...   Regards, Mark Allan (ZAF-RDC) (REC) Watch Tower Bible and Tract Society of South Africa, NPC. Registration number: 2006/022758/08. PBO number: 930021658   From: ten Hav</t>
  </si>
  <si>
    <t>McDonald, Darcy; Bent, Symon; Schiller, Ben</t>
  </si>
  <si>
    <t>AFC, CDP</t>
  </si>
  <si>
    <t>WSP QUOTE (CDP and AFC) (DMCD INPUT)</t>
  </si>
  <si>
    <t>Hi Patrick – please can you liaise with Darcy and see if Rudolph can take a look at this one please (when he goes for the topo survey)? See green below…   Regards, Mark Allan (ZAF-RDC) (REC) Watch Tower Bible and Tract Society of South Africa,</t>
  </si>
  <si>
    <t>MDG Gilead SKE</t>
  </si>
  <si>
    <t>Suggestion from baatsona for the new SKE at Gilead</t>
  </si>
  <si>
    <t>Here are the basic drawings for the Ghana SKE, this is a combination of new and remodelled.  But the basic area sizes may help.  Maybe we don’t need such big residence room thought.   Symon   From: Andriniaina, Manampisoa Sent: Friday, Febru</t>
  </si>
  <si>
    <t>Zambia - ZMB-6275 Carpet and Floor Machines ($8,846 53)</t>
  </si>
  <si>
    <t>I go with what Ben says J   Hi GPD. Your ref is: wid:WHQ-GPD-763B202F-9615-4B4D-8119-27C60FC28645   See below. We are in agreement. Please can u confirm receipt of this e-mail?   Thanks  Mark A   From: Bent, Symon Sent: 19 Feb</t>
  </si>
  <si>
    <t>solahart water geysers</t>
  </si>
  <si>
    <t>Thanks. That makes it easy. I need some good news. Ive had better days.     From: Bent, Symon Sent: Thursday, February 19, 2015 3:29 PM To: Sadler, Shane Cc: Paekau, Ryan Subject: FW: ZMB Choma RTO; solahart water geysers    Answer bel</t>
  </si>
  <si>
    <t>Bent, Symon; Washburn, Nathan; Allan, Mark</t>
  </si>
  <si>
    <t>COD Mbuji-Mayi RTO</t>
  </si>
  <si>
    <t>Tshiluba Translation - December 15, 2014</t>
  </si>
  <si>
    <t>Shaun: I am not super happy with the estimate we did on this initially so we have pretty much shelved this estimate, I think it was too high by far.  I feel that it is not fair to submit what we have but rather to fine tune it considerably and make any</t>
  </si>
  <si>
    <t>Electrical Query; Moving Room D B in Residence Buildings</t>
  </si>
  <si>
    <t>Hi Jean-Marc,   The reason why I located the DB there was not to block possible space to put a tall furniture there at the proposed location. But if you don’t see such possibilities, I have no objection.   Thank you, Masaaki Imai RDC-</t>
  </si>
  <si>
    <t>Impact of gas vs electric appliances (Meeting Minutes)</t>
  </si>
  <si>
    <t>Update: I called David Jones and Neil Ryan (Kitchen overseer), and they are in support of our design decision to use as much gas powered kitchen equipment as possible.  Sorry this took so long to resolve.   Symon   From: Allan, Mark Sent: Mo</t>
  </si>
  <si>
    <t>Somanya RTO Property</t>
  </si>
  <si>
    <t>Hi Symon   I had a meeting with the Service Department and LDC today and we came to an agreement to use the existing Assembly hall site in Somanya for the Dangme RTO.   I made a quick sketch ( see attached) that shows the possible RTO Layout.</t>
  </si>
  <si>
    <t>Drawing Revisions (revised elevations)</t>
  </si>
  <si>
    <t>Dear brothers,   In response to your queries and our discussions, we are issuing the following revised drawings to your project:   1.       KQ-C-101 REV 20141229 (Revised grading and soakaways) 2.       KQ-C-508 AFC 20140218 (Stormwater soa</t>
  </si>
  <si>
    <t>Bent, Symon; McDonald, Darcy; Shears, Matthew; Legere, Shaun</t>
  </si>
  <si>
    <t>Hi JM   Please ask them to send the actual test methods they are recommending so we can see what results we will actually get out of these tests? E.g. ASTM or BS or whatever?   And RDC-ZAF is snowed under with all of us gone right now; Darcy i</t>
  </si>
  <si>
    <t xml:space="preserve">Your request to move the Twi team to Kumasi is approved GHAETP01 </t>
  </si>
  <si>
    <t>Kliptite roofing is not in the MTO</t>
  </si>
  <si>
    <t>Shane, Buy the roof.  It will difficult to build an RTO without it.   At the end, we see what it does to our budget.  If we go over, you get a new assignment in Siberia.  It’s simple. Nathan    From: Sadler, Shane Sent: Sunday, Februar</t>
  </si>
  <si>
    <t>Bent, Symon; Bateman, Tristan; Cruthirds, Nathan; Schiller, Ben</t>
  </si>
  <si>
    <t>Septic tanks in series (CUSTOM MH AT END; PDF Issued)</t>
  </si>
  <si>
    <t>Tx!   Hey RDC – I saved this e-mail in:   HYPERLINK "file:///\\bethel.jw.org\zaf\Dept\RDC\Engineering\Projects\Zambia\ZMB%2010%20-%20Mongu%20RTO\S4\Struct"H:\RDC\Engineering\Projects\Zambia\ZMB 10 - Mongu RTO\S4\Struct   Regards, Mark</t>
  </si>
  <si>
    <t>Studio Approval Memos</t>
  </si>
  <si>
    <t>    From: Bent, Symon Posted At: Wednesday, October 22, 2014 09:21 Posted To: Conversation: MDG Studio Approvals Subject: MDG Studio Approvals   GEA:ETK  June 24, 2008  No. 334W In your letter dated March 17, 2008, No. 169, you reques</t>
  </si>
  <si>
    <t>Foster, Sean; Shears, Matthew; McDonald, Darcy; Bent, Symon</t>
  </si>
  <si>
    <t>Borehole piping - copper stainless steel connection</t>
  </si>
  <si>
    <t>Hi Jean-Marc,   Regarding the question highlighted below: “Would it have their approval to use a short section of copper piping that would do the final connection to the HDPE?”   Yes, you can install the copper and stainless steel fittings as</t>
  </si>
  <si>
    <t>Michalakis, Evangelos; De Meyer, Efraim; Bent, Symon; InboxCNSTRTOConstCommittee2.ZM</t>
  </si>
  <si>
    <t>Electric Hand Dryer Query</t>
  </si>
  <si>
    <t>Don’t, get the plastic one.  The high speed one will dry your hands faster and use less electricity, but will make more noise.   Thanks, Kind regards,   Nathan Cruthirds Maintenance Support Regional Design/Construction Office Watch To</t>
  </si>
  <si>
    <t>ten Have, Fabian; Imai, Masaaki; Crook, Arthur; Schiller, Ben; Washburn, Nathan; Bateman, Tristan; Bent, Symon; GHA-CNST-Committee; McDonald, Darcy; Fynn, Ryan</t>
  </si>
  <si>
    <t>Coord Corrections; FEO Set</t>
  </si>
  <si>
    <t>Thanks to all for getting the PDFs done in good time! Well done!   Hi Andre. We have put a ‘FOR ESTIMATING ONLY’ (FEO) set in the folder below. Once you have it, please let us know, and we can delete it to free up space on the server HYPERLINK "f</t>
  </si>
  <si>
    <t>Bent, Symon; InboxCNSTRTOConstCommittee2.ZM; Coombs, Yolanda; Schiller, Ben; Bateman, Tristan; Reichel, Venessa</t>
  </si>
  <si>
    <t>Unreinforced 150mm SOG QUERY</t>
  </si>
  <si>
    <t>Nope. Steel in SOGs is only for crack control. It is not structural. If you keep your control joints (keyed or sawn) to a spacing of less than 30 x thickness of slab or 4.5m (lesser of the two), then the panel size is fine. No rebar then needed   Bu</t>
  </si>
  <si>
    <t>Bent, Symon; Shears, Matthew; Sampson, Ferdy; Raubenheimer, Deuel; DODIN, Jean-Marc; Wilcox, Stephanie Kate; Breakell, Ben; Sukram, Sarah</t>
  </si>
  <si>
    <t>GHA-4695; Hafele Products</t>
  </si>
  <si>
    <t>Hi Nadia,   We have checked with our trade overseer and he is in agreement to your recommendation to purchase the initial Hafele Indicators.   If you have any further questions please let us know.   Thank you again for your help with thi</t>
  </si>
  <si>
    <t>DC-31 DC-32 (ZAF-RDC Comments)</t>
  </si>
  <si>
    <t>Mark Very good comments indeed. We will look into this and try to answer the questions as soon as possible.   Thanks again for your help and good support.   Andre     From: Allan, Mark Sent: Wednesday, February 11, 2015 12:41</t>
  </si>
  <si>
    <t>NLBR DRAFT FOR BRICKFORCE AND WALL TIES</t>
  </si>
  <si>
    <t>Shane, Please find a zip file enclosed of the NLBRs you sent us.  We agree with all of these.   Please go ahead and submit them to WHQ, feel free to mention this email and that RDC is in agreement.   Thanks, Nathan     From: Sadler</t>
  </si>
  <si>
    <t>InboxPRCH.DE</t>
  </si>
  <si>
    <t>Raubenheimer, Deuel; Sampson, Ferdy; InboxPRCHBranchRequests.ZA; Bent, Symon; Murray, Duncan</t>
  </si>
  <si>
    <t>ZMB-6223 - Electrolux items [wid Admin-incident-9135)</t>
  </si>
  <si>
    <t>Good morning brothers,   Here is the answer from the electrical engineer. Let me know if you need any more information. Thanks   Davin   From: De Meyer, Efraim Sent: Wednesday, February 11, 2015 10:54 AM To: Lester, Davin Cc: Bent, S</t>
  </si>
  <si>
    <t>Bent, Symon; GHA-CNST-Committee; Lutterodt, Albert</t>
  </si>
  <si>
    <t>WRES in New Residences</t>
  </si>
  <si>
    <t>Please can you handle it? Symon is not around, and I am busy finalizing things before jetting off tomorrow to USA for WDC Seminar. So my time is limited….   Regards, Mark Allan (ZAF-RDC) (REC) Watch Tower Bible and Tract Society of South Afric</t>
  </si>
  <si>
    <t>Salvidge, Mark; GHA-CNST-Committee; Bent, Symon</t>
  </si>
  <si>
    <t>DC-31 DC-32 (STRUCT REPORT done for BouakeCOST)</t>
  </si>
  <si>
    <t>Just keeping all the e-mails together…including Andre’s below…   DC-41 #1 that has already been approved for this project is for ‘outsourced engineering work on the concept design proposal’; see WDC memo HDA:HDL Dec 29, 2014 RE: DC-41 No. 1 Ghana Br</t>
  </si>
  <si>
    <t>Would that then be a DC-43?  (AO-7)?  I always battle to figure out how we should charge these types of nebulous costs…. Darcy   From: Allan, Mark Sent: Wednesday, February 11, 2015 8:15 AM To: Meinders, Andre; McDonald, Darcy Cc: Salvidge, M</t>
  </si>
  <si>
    <t>AFC</t>
  </si>
  <si>
    <t>AFC Package Release</t>
  </si>
  <si>
    <t>We received a copy of WDC memorandum HDA:HDN February 8, 2015 approving DC-41 #2 for the Viepe Remote Translation Office project. We are now pleased to issue the Approved-For-Construction (AFC) drawing package. The documents can be downloaded from:</t>
  </si>
  <si>
    <t>We received a copy of WDC memorandum HDA:HDN February 4, 2015 approving DC-41 #2 for the Choma Remote Translation Office project. We are now pleased to issue the Approved-For-Construction (AFC) drawing package. The documents can be downloaded from:</t>
  </si>
  <si>
    <t>Bent, Symon; ten Have, Fabian</t>
  </si>
  <si>
    <t>DC-31 DC-32 Comments from RDC</t>
  </si>
  <si>
    <t>Mark,   If the building is to be used for both residence and office, the zoning needs to be checked that allows for mixed use – Office and Other Residential – two purpose groups.   I doubt that the actual building was designed to be used as mi</t>
  </si>
  <si>
    <t>Mechanical Query - AHU Ducting</t>
  </si>
  <si>
    <t>Thanks Fabian   Hi Jean-Marc – see below; hope this helps!   Symon – I will save this in CorLog   Regards, Mark Allan (ZAF-RDC) (REC) Watch Tower Bible and Tract Society of South Africa, NPC. Registration number: 2006/022758/08. PB</t>
  </si>
  <si>
    <t>Agostinho, Rudi; ten Have, Fabian; De Meyer, Efraim; Imai, Masaaki; Bent, Symon</t>
  </si>
  <si>
    <t>Thanks Efraim and Fabian   Mark S / Darcy / Yolanda / Sarah / Van – I need your comments no later than lunchtime tomorrow (Wed 11th Feb) please? Tristan – can you also give it the once over please?   Regards, Mark Allan (ZAF-RDC) (REC) W</t>
  </si>
  <si>
    <t>ten Have, Fabian; Bent, Symon</t>
  </si>
  <si>
    <t>Plaster, Struct</t>
  </si>
  <si>
    <t>Portland Cement Plaster additive (LIME not RHEOMIX)</t>
  </si>
  <si>
    <t>Embedded (14)</t>
  </si>
  <si>
    <t>Hi all. Thank you for the extra info.   After reading this blurb below, please do not use this additive. We have already expressed our concerns quite clearly in the e-mails below, and the item in blue highlight below does not change our worry that “</t>
  </si>
  <si>
    <t>Order of filters for AHU</t>
  </si>
  <si>
    <t>Thanks Fabian   Hi Jean-Marc – see below   Hi Symon – I will file this in CorLog   Regards, Mark Allan (ZAF-RDC) (REC) Watch Tower Bible and Tract Society of South Africa, NPC. Registration number: 2006/022758/08. PBO number: 93002</t>
  </si>
  <si>
    <t>Guideline, Security</t>
  </si>
  <si>
    <t>Security at Construction Sites</t>
  </si>
  <si>
    <t>The world in which we endeavor to accomplish our ministry is becoming ever more greedy and violent. At the same time, the organization is making great strides to spread the good news to the ends of the earth. As the preaching work expands, our constructio</t>
  </si>
  <si>
    <t>Resolving NLBR 4710 for party tents</t>
  </si>
  <si>
    <t>This relates to the memo I just sent you…please can you handle this now?   Regards, Mark Allan (ZAF-RDC) (REC) Watch Tower Bible and Tract Society of South Africa, NPC. Registration number: 2006/022758/08. PBO number: 930021658   From: K</t>
  </si>
  <si>
    <t>Crook, Arthur; ten Have, Fabian; Schiller, Ben; Imai, Masaaki; Bateman, Tristan; Bent, Symon; Washburn, Nathan</t>
  </si>
  <si>
    <t>Issue AFC PDFs</t>
  </si>
  <si>
    <t>So Choma RTO was approved – see memo further below   Please can you now all add AFC stamp to the dwgs, and make the PDFs (PS CATS too); place into folder below? HYPERLINK "file:///\\bethel.jw.org\zaf\Dept\RDC\Engineering\Projects\Zambia\ZMB%2011%</t>
  </si>
  <si>
    <t>Zambia Mwinilunga RTO - Soil Analysis</t>
  </si>
  <si>
    <t>Tx!. Saved as “20150209 Zambia Mwinilunga RTO - Soil Analysis.msg” in: HYPERLINK "file:///\\bethel.jw.org\zaf\Dept\RDC\Engineering\Projects\Zambia\ZMB%2012%20-%20Mwinilunga%20RTO\S3\Struct"H:\RDC\Engineering\Projects\Zambia\ZMB 12 - Mwinilunga RTO\S3\S</t>
  </si>
  <si>
    <t>Zambia Kasempa RTO - Soil Analysis</t>
  </si>
  <si>
    <t>Tx! Saved as “20150209 Zambia Kasempa RTO - Soil Analysis.msg” in:   HYPERLINK "file:///\\bethel.jw.org\zaf\Dept\RDC\Engineering\Projects\Zambia\ZMB%20xx%20-%20Kasempa%20RTO\S3\Struct"H:\RDC\Engineering\Projects\Zambia\ZMB xx - Kasempa RTO\S3\Struct</t>
  </si>
  <si>
    <t>SOILS TESTS</t>
  </si>
  <si>
    <t>Thanks. So let’s get their quotes then   Patrick – see below…good comments from Jean-Marc!   Regards, Mark Allan (ZAF-RDC) (REC) Watch Tower Bible and Tract Society of South Africa, NPC. Registration number: 2006/022758/08. PBO number: 9</t>
  </si>
  <si>
    <t>Schiller, Ben; McDonald, Darcy</t>
  </si>
  <si>
    <t>Culvert, Photo</t>
  </si>
  <si>
    <t>STORM WATER CULVERT</t>
  </si>
  <si>
    <t>Embedded (19)</t>
  </si>
  <si>
    <t>Hi Symon – another pending one from your side that impacts on the office work load please?   Regards, Mark Allan (ZAF-RDC) (REC) Watch Tower Bible and Tract Society of South Africa, NPC. Registration number: 2006/022758/08. PBO number: 9300216</t>
  </si>
  <si>
    <t>rodney@mrhce.co.za</t>
  </si>
  <si>
    <t>Patrick.Riley@WSPGroup.co.za; Bent, Symon; Sukram, Sarah</t>
  </si>
  <si>
    <t>MRH</t>
  </si>
  <si>
    <t>Contract, Soil</t>
  </si>
  <si>
    <t>WSP &amp; MRH Engineering (PDFs and DWGsSOILS TESTS)</t>
  </si>
  <si>
    <t>Thanks. I will send info to Ghana then so this can start being ‘put into motion’!   Regards, Mark Allan (ZAF-RDC) (REC) Watch Tower Bible and Tract Society of South Africa, NPC. Registration number: 2006/022758/08. PBO number: 930021658  </t>
  </si>
  <si>
    <t>Agostinho, Rudi</t>
  </si>
  <si>
    <t>ten Have, Fabian; Imai, Masaaki; Crook, Arthur; Schiller, Ben; Washburn, Nathan</t>
  </si>
  <si>
    <t>Coordination Corrections</t>
  </si>
  <si>
    <t>See Symon’s comment below. So I think once we have all the comments fixed up that we can fix up, we can see what ‘bubbled pink’ comments still need handling; but probably we can make ‘FEO’ PDFs and send to Andre even if these ‘bubbled pink’ comments are n</t>
  </si>
  <si>
    <t>Blackman, Innes; Fruciano, Jared; Smith, Caleb; Schiller, Ben</t>
  </si>
  <si>
    <t>ZMB- Liquid Limit Tests-Kasempa-Mwinilunga</t>
  </si>
  <si>
    <t>Brothers,   Please find attached the Liquid Limit tests for the Kasempa and Mwinilunga properties.       Thanks  Cam Thomson Zambia Construction Projects 0964302509  Voip(093) 6167  </t>
  </si>
  <si>
    <t>DC-41 No 2 Ewe (USD 1,415,994)</t>
  </si>
  <si>
    <t>We are writing in response to your branch’s memorandum COA:COC February 3, 2015, which included the DC_x001E_41 No. 2 for the Viepe Remote Translation Office project for the sum of USD 1,415,994. This is in harmony with the Publishing Committee’s letter HPA:HDA</t>
  </si>
  <si>
    <t>Utility layout Update &amp; Revised Dwgs</t>
  </si>
  <si>
    <t>Dear brothers,   See e-mails below; in response, we are issuing the following revised drawings for your project:   1.       KM-LAYOUT.pdf: Layout 2.       KM-C-103-Rev3.pdf: Utility Plan 1 3.       KM-C-104-Rev1.pdf: Utility Plan 2 4.</t>
  </si>
  <si>
    <t>Utility layout update (informal)</t>
  </si>
  <si>
    <t>Tx!   Regards, Mark Allan (ZAF-RDC) (REC) Watch Tower Bible and Tract Society of South Africa, NPC. Registration number: 2006/022758/08. PBO number: 930021658   From: Schiller, Ben Sent: 06 February 2015 03:05 PM To: Allan, Mark Cc:</t>
  </si>
  <si>
    <t>Bent, Symon; InboxCNSTRTOConstCommittee2.ZM; Bateman, Tristan</t>
  </si>
  <si>
    <t>DCP, Manhole, Test</t>
  </si>
  <si>
    <t>DCP Test Under Manhole @ elevation change 15 02 06</t>
  </si>
  <si>
    <t>Agreed. Approved. Proceed. Tx.   Saved as “ZMB Mongu RTO DCP Test Results for Sewer Manhole @Southeast Corner of Office Building.pdf” in: HYPERLINK "file:///\\bethel.jw.org\zaf\Dept\RDC\Engineering\Projects\Zambia\ZMB%2010%20-%20Mongu%20RTO\S4\St</t>
  </si>
  <si>
    <t>St. Jean, Zeny; Bent, Symon; GHA-CNST-Committee; Washburn, Nathan; McDonald, Darcy</t>
  </si>
  <si>
    <t>You are welcome! J   Regards, Mark Allan (ZAF-RDC) (REC) Watch Tower Bible and Tract Society of South Africa, NPC. Registration number: 2006/022758/08. PBO number: 930021658   From: Jones, David M. Sent: 06 February 2015 11:01 AM To:</t>
  </si>
  <si>
    <t>Oppong, Kofi</t>
  </si>
  <si>
    <t>Jones, David M.; Bent, Symon</t>
  </si>
  <si>
    <t>Ghana - GHA-4697 Construction material ($7,851 56)</t>
  </si>
  <si>
    <t>Thanks Kofi   Hi GPD. Your ref is: wid:WHQ-GPD-076F35CF-6E42-4BCE-936D-B92CF1AE7BD9   See below. We are in agreement. Please confirm receipt of this e-mail?   Thanks  Mark A   From: Oppong, Kofi Sent: 05 February 2015 08:37 PM</t>
  </si>
  <si>
    <t>Meeting with WSP 2015-02-05 (MINUTES)</t>
  </si>
  <si>
    <t>Thanks for the meeting; attendees in ‘To…’ line. Action items: as highlighted below…   ·         Which lab to use? Patrick says not too much between the two labs, but GHANA HIGHWAY LAB appears to be just that bit better. [MA to check with Ghana Crew</t>
  </si>
  <si>
    <t>Bent, Symon; Imai, Masaaki; De Meyer, Efraim; Marriott, Brian</t>
  </si>
  <si>
    <t>Query AVR bypass utility building</t>
  </si>
  <si>
    <t>Thanks Efraim.   Hi Miguel,   Please see the recommendation below.   Thanks,  Shaun   Sym’s:  Will you file this on the server?   From: De Meyer, Efraim Sent: Thursday, February 5, 2015 12:28 PM To: Coombs, Shaun Cc: B</t>
  </si>
  <si>
    <t>Bateman, Tristan; Bent, Symon; Reichel, Venessa; Allan, Mark; Schmidt, Linus</t>
  </si>
  <si>
    <t>Brick force option</t>
  </si>
  <si>
    <t>Shane, Note below the sketch on your drawings which shows a 60mm brickforce in the 90mm walls.  Using 57mm brickforce is an acceptable substitution.   Of course, you will need to wait until you get the final AFC drawings (due to be issued next we</t>
  </si>
  <si>
    <t>JOHN VECCHIO (j.vecchio@btinternet.com)</t>
  </si>
  <si>
    <t>White, Tara; Bent, Symon; Washburn, Nathan; garethjekins@gmail.com; Ramesh Gurdev (r.gurdev@saltosystems.com); Rex Palmer (r.palmer@saltosystems.com); g.dosanjh@saltosystems.com</t>
  </si>
  <si>
    <t>20150205 SAF LPD Salto Quotation</t>
  </si>
  <si>
    <t>Hi John,   As discussed, I have gone through all our previous correspondence and produced the following scope of what needs quoting on for the SA branch. There are a number of questions in blue, which will require answering or further discussion to</t>
  </si>
  <si>
    <t>Bateman, Tristan; Michalakis, Evangelos; Bent, Symon</t>
  </si>
  <si>
    <t>office building Fall arrest system 20140112</t>
  </si>
  <si>
    <t>Yes, the more narrow ridge will allow us to connect in.   From: Allan, Mark Sent: Wednesday, February 04, 2015 1:08 PM To: Blackman, Innes; Cruthirds, Nathan Cc: Bateman, Tristan; Michalakis, Evangelos; Bent, Symon Subject: RE: ZMB Kabompo RTO;</t>
  </si>
  <si>
    <t>We received a copy of the Publishing Committee’s Letter HPA:HDA January 21, 2015 No. 35091P approving DC-41 #2 for the Lubumbashi Remote Translation Office project. We are now pleased to issue the Approved-For-Construction (AFC) drawing package. The docum</t>
  </si>
  <si>
    <t>REA:REG</t>
  </si>
  <si>
    <t>COTC in Nigeria 2015, Attendees</t>
  </si>
  <si>
    <t>We are very happy to inform you that approval has been given to hold the Construction Oversight Training Course (COTC) from April 6-17, 2015 at the Nigeria Branch. The following brothers along with their wives from your branch are approved to attend the C</t>
  </si>
  <si>
    <t>Marriott, Brian; Salvidge, Mark; De Meyer, Efraim; Imai, Masaaki; Bent, Symon</t>
  </si>
  <si>
    <t>Question about data system</t>
  </si>
  <si>
    <t>Thanks Shaun we will proceeded like that   FUENTES Miguel Construction Kamina RTO +243812334005       From: Coombs, Shaun Sent: Tuesday, February 03, 2015 11:34 PM To: Fuentes, Miguel Cc: Marriott, Brian; Salvidge, Mark; De</t>
  </si>
  <si>
    <t>Mbiiru, John</t>
  </si>
  <si>
    <t>KEN Branch</t>
  </si>
  <si>
    <t>Door survey for Access Control</t>
  </si>
  <si>
    <t>Dear Brothers, We are requesting your input on the door survey and matrix for our key system. We appreciate your advice and are looking forward to your input to source a key system for our Branch. Kind Regards, John Mbiiru   From: Mbiiru, J</t>
  </si>
  <si>
    <t>BOA:BOL</t>
  </si>
  <si>
    <t>Travel</t>
  </si>
  <si>
    <t>Bents trip to USA itinerary USAZAFbol01</t>
  </si>
  <si>
    <t>DC-41 No 2 (USD 1,208,965)</t>
  </si>
  <si>
    <t>We are writing in response to your Project Approval Request (DC_x001E_41) form No. 2 for approval of the Zambia RTO Choma Chitonga project for the sum of USD 1,208,965. This is in harmony with the Publishing Committee’s letter HPA:HDA October 21, 2014, No. 3292</t>
  </si>
  <si>
    <t>ZMB Kabompo Mitek Truss Queries of 2015-02-03</t>
  </si>
  <si>
    <t>Excellent, Thanks Mark.    We will use this “long pack” method of securing the runners and we will adjust the runners and Braces to give us the best rigidity we can without clashing with the truss. We appreciate the quick answer, Brothers.   T</t>
  </si>
  <si>
    <t>Proposed utility layout for new buildings</t>
  </si>
  <si>
    <t>Symon &amp; Mark,   Here are the revised civil sheets for the proposed utility layouts. I spoke a few times to Matt and Jean-Marc; their input helped out quite a bit, since I wasn’t involved in the original design.   Please look these over and let</t>
  </si>
  <si>
    <t>Recording Studio Size for Viepe RTO</t>
  </si>
  <si>
    <t>Symon Please see the comments below from our A/V Department.   Looking at the plans, we can see that we only have to increase the size of the RTO Office Building by about 2 meters on the east end to accommodate the new A/V Studio size.  This w</t>
  </si>
  <si>
    <t>Bent, Symon; Imai, Masaaki</t>
  </si>
  <si>
    <t>Electrical query- Water Treatment Bldg Connecting the Plant</t>
  </si>
  <si>
    <t>Hi Mark,   We agree with all what is stated below in the email from Jean-Marc.   Regarding his query (E-630/2 –PLC1 Q7 and Q8: Need locations where to connect these cables.(Where is Water CTL panel and where in the existing Water Treatment Roo</t>
  </si>
  <si>
    <t>Fruciano, Jared; Bent, Symon</t>
  </si>
  <si>
    <t>Expansion loops in PPR Pipe</t>
  </si>
  <si>
    <t>Hi Todd,   I promised to get back to you last Friday, sorry for the delay.   You are right: the long runs are in the corridor are only cold water! In the email below I discussed them as being hot water. Sorry for this.   From the four po</t>
  </si>
  <si>
    <t>AO-6, Culvert, Estimate</t>
  </si>
  <si>
    <t>AO-6 -1 Culvert Original Estimate (2015-02-02 14-54) xlsx</t>
  </si>
  <si>
    <t>Syms: Sorry for the delay on this, I forgot until we had the OCM this morning.  Thanks, Darcy   From: Nordin, Timothy Sent: Monday, February 02, 2015 2:57 PM To: McDonald, Darcy Subject: GHA AO-6 #1 Culvert Original Estimate (2015-02-02</t>
  </si>
  <si>
    <t>Pause, Adrian</t>
  </si>
  <si>
    <t>Language</t>
  </si>
  <si>
    <t>Translation Services - Location for Ahanta and Fante Teams</t>
  </si>
  <si>
    <t>Hi Adrian – please could you also enter the attached memo and attachment into Admin for us please? We were not copied…   Regards, Mark Allan (ZAF-RDC) (REC) Watch Tower Bible and Tract Society of South Africa, NPC. Registration number: 2006/02</t>
  </si>
  <si>
    <t>GHA-04 Utilities routing (UPDATED additional comment on routing)</t>
  </si>
  <si>
    <t>Jean-Marc and Matt-   I made adjustments according to your comments. Plus, since you’re thinking of running the electrical in the roadway, I moved the water there too. That should simplify things a bit. Either that, or route things over to the south</t>
  </si>
  <si>
    <t>Bent, Symon; InboxCNSTRTOConstCommittee2.ZM; Reichel, Venessa; Bateman, Tristan</t>
  </si>
  <si>
    <t>Civil, Spec</t>
  </si>
  <si>
    <t>Grease trap - Backfill &amp; Interior Protective Coating Query</t>
  </si>
  <si>
    <t>Tx Jared.   Your understanding in blue below is correct.   The coatings inside are NOT for waterproofing; they are to protect against things like acid attack etc. The tank must be ‘waterproof’ of its own accord   Regards, Mark Allan (</t>
  </si>
  <si>
    <t>H-Drive, K-Drive; Timesheets - Revised Naming Convention (Feb 2015)</t>
  </si>
  <si>
    <t>Greetings – see below…Tim will also make sure the grey boxes in OCM reflect these changes…I will also save this e-mail in folder below: HYPERLINK "file:///\\bethel.jw.org\zaf\Dept\RDC\Office\Office%20Data\Procedures%20etc"H:\RDC\Office\Office Data\Proc</t>
  </si>
  <si>
    <t>HMA:PBA</t>
  </si>
  <si>
    <t>Meeting, Purchasing</t>
  </si>
  <si>
    <t>Local Purchasing Department Meeting Minutes</t>
  </si>
  <si>
    <t>Each of your branches is planning or actively working on a large scale construction project under the supervision of a Regional Design/Construction Department. The Primary Purchasing Branch (PPB) and the local Purchasing Department play a key role in supp</t>
  </si>
  <si>
    <t>Guideline, Property</t>
  </si>
  <si>
    <t>Protecting Branch-Owned Property</t>
  </si>
  <si>
    <t>We find it necessary to write concerning the need to protect properties that are intended to be used for branch functions, remote translation offices, Kingdom Halls, and other facilities. As we move deeper into the last days, we observe the increasingly d</t>
  </si>
  <si>
    <t>Remote Translation Office Design Guidelines</t>
  </si>
  <si>
    <t>With our letter HPA:HDA November 18, 2014, No. C_x001E_33546P, we released updated Remote Translation Office Facility Guidelines (DC_x001E_15), and we noted that standard plans for purpose-built facilities were being revised. The updated Design Guidelines for Remote</t>
  </si>
  <si>
    <t>Ghana Daikin installer research</t>
  </si>
  <si>
    <t>Hi Symon,   Please find attached a draft floor plan of the services building for Ghana. We included for every room a text block showing the amount of cooling capacity needed.   Please note that we will work with the South African Daikin suppli</t>
  </si>
  <si>
    <t>Gilden, David; Bent, Symon; Washburn, Nathan; Coombs, Shaun; Salvidge, Mark; Fynn, Ryan</t>
  </si>
  <si>
    <t>Financial, Property</t>
  </si>
  <si>
    <t>Support Costs Associated with Property Search and Investigation</t>
  </si>
  <si>
    <t>FYI…memo will be in Admin too   Regards, Mark Allan (ZAF-RDC) (REC) Watch Tower Bible and Tract Society of South Africa, NPC. Registration number: 2006/022758/08. PBO number: 930021658   From: InboxWDC Sent: 30 January 2015 05:30 PM T</t>
  </si>
  <si>
    <t>NLBR 4539 - Request Air freight Items</t>
  </si>
  <si>
    <t>Agreed   Regards, Mark Allan (ZAF-RDC) (REC) Watch Tower Bible and Tract Society of South Africa, NPC. Registration number: 2006/022758/08. PBO number: 930021658   From: DODIN, Jean-Marc Sent: 30 January 2015 04:16 PM To: Allan, Mark</t>
  </si>
  <si>
    <t>Washburn, Nathan; Coombs, Shaun; Bent, Symon; Fynn, Ryan</t>
  </si>
  <si>
    <t>RTO Re-design &amp; simplification Kick Off (MINUTES)</t>
  </si>
  <si>
    <t>Hi to All   Please find attached minutes from our recent meeting.   Many thanks it was most enlightening.   No actions needed yet from anyone, watch this space!   Dave</t>
  </si>
  <si>
    <t>Washburn, Nathan; Bradfield, Darrin; St. Jean, Zeny; Bent, Symon; Watts, Jeffery; Michalakis, Evangelos; Chiappetta, Raquel</t>
  </si>
  <si>
    <t>ZMB-Pursuing RTO Options in Kasama (Cibemba)</t>
  </si>
  <si>
    <t>Thanks Cam. Looks good!   Hi Arthur – can Van or Raquel please assess the info in the folder below and see if it is viable? Remembering too the extra offices we need nowadays, the AV etc?   HYPERLINK "file:///\\bethel.jw.org\zaf\Dept\RDC\Engin</t>
  </si>
  <si>
    <t>Reichel, Venessa; Bateman, Tristan; Schiller, Ben; Coombs, Yolanda</t>
  </si>
  <si>
    <t>Sika Products QUERIES - REPLY</t>
  </si>
  <si>
    <t>Thanks Mark,   That’s nice and clear. Appreciate your help with that.    Innes   From: Allan, Mark Sent: Thursday, January 29, 2015 5:53 PM To: Bent, Symon; Blackman, Innes Cc: Reichel, Venessa; Bateman, Tristan; Schiller, Ben; Coomb</t>
  </si>
  <si>
    <t>ZMB-Pursuing RTO Options in Kasama</t>
  </si>
  <si>
    <t>Symon,   We have been moving ahead on 2 fronts for the Cibemba RTO in Kasma. We have the property options, which you have seen, but we are also pursuing renting/buying a lodge that could be used for this purpose. We are wanting to see which one turn</t>
  </si>
  <si>
    <t>HMA:HMC</t>
  </si>
  <si>
    <t>Periodic Reviews of jw org Supplier Arrangements</t>
  </si>
  <si>
    <t>With the recent changes in Primary Purchasing Branch assignments in addition to the change in oversight of the purchasing activity in China, a number of supplier arrangements on jw.org have changed. It is important to make sure that the supplier informati</t>
  </si>
  <si>
    <t>Budget, Property</t>
  </si>
  <si>
    <t>We are replying to your memorandum REA:REP January 28, 2015. As you note, the inclusions for the six project dimensions for the PROP type project in Project Tracking are very clear and do not include support costs, such as food and travel for those involv</t>
  </si>
  <si>
    <t>Equipment, KH, Video</t>
  </si>
  <si>
    <t>Video Equipment in Kingdom Halls</t>
  </si>
  <si>
    <t>With the integration of video as a teaching tool during congregation meetings, we have received a number of questions related to video equipment installations for Kingdom Halls. Some branches have commented that, on occasion, congregations have invested a</t>
  </si>
  <si>
    <t>Update on property search</t>
  </si>
  <si>
    <t>Thanks for the update Syms,  keep us posted.  If the bro’s still favor that property and we can make it work, good.  ci le vie as we say here in Cameroon...   Thanks,  Shaun   From: Bent, Symon Sent: Thursday, January 29, 2015 3:22 PM To</t>
  </si>
  <si>
    <t>Copy of Mongu Actual and Committed USD xls</t>
  </si>
  <si>
    <t>Thanks! Darcy   From: Bent, Symon Sent: Thursday, January 29, 2015 12:12 PM To: McDonald, Darcy; Washburn, Nathan Subject: Copy of Mongu Actual and Committed USD.xls   Hi Darcy/Nathan,   Just an update on the budget for Mongu RTO</t>
  </si>
  <si>
    <t>Bent, Symon; GHA-BRANCH-Committee; Bradfield, Darrin; St. Jean, Zeny</t>
  </si>
  <si>
    <t>Space for Translation and Residence Room Design</t>
  </si>
  <si>
    <t>Hi Paul – this sounds very exciting! Thanks so much for all the investigative work that was done with this. Looking forward to the Lync call    Regards, Mark Allan (ZAF-RDC) (REC) Watch Tower Bible and Tract Society of South Africa, NPC. Regis</t>
  </si>
  <si>
    <t>Grease Trap (BjS Replies)</t>
  </si>
  <si>
    <t>Thanks Ben. Just keeping everything together for now…when I reply, I will just use grey below   Regards, Mark Allan (ZAF-RDC) (REC) Watch Tower Bible and Tract Society of South Africa, NPC. Registration number: 2006/022758/08. PBO number: 9300</t>
  </si>
  <si>
    <t>Grass Culvert - January 2015 xlsx</t>
  </si>
  <si>
    <t>Symon:   Here is the estimate for the grass swale for Ghana.   There are no bridges indicated on the plans so none are included in this price.   Please review and we look forward to your comments     Thank you Debbie McDonald</t>
  </si>
  <si>
    <t>We received a copy of WDC’s memorandum HDA:HDL January 19, 2015 approving DC-41 #2. The approved budget for your project now totals USD 1,879,498. In this memo from WDC, you were also encouraged to “look for ways to reduce costs further during the project</t>
  </si>
  <si>
    <t>Coombs, Shaun; Gilden, David; Salvidge, Mark</t>
  </si>
  <si>
    <t>RDC review of NLBR GHA-4710--Party tents, TVs</t>
  </si>
  <si>
    <t>Hi NW and SB. FYI – see attached WDC reply to GPD…not sure what’s next? I copy the other POs too…   Tx Mark A   From: InboxRDC.ZA Sent: 20 January 2015 04:34 PM To: InboxGlobalPurchasing Cc: Washburn, Nathan; Bent, Symon; Jones, David M</t>
  </si>
  <si>
    <t>DC-41 -2 Funding Request</t>
  </si>
  <si>
    <t>We are forwarding for your review the DC-41 #2 Funding Request for the Zambia Choma RTO project. If you are in agreement with the content then please go ahead and enter it into Admin Project Tracking and submit to WDC for approval, as outlined in the step</t>
  </si>
  <si>
    <t>Elec, Security</t>
  </si>
  <si>
    <t>ERG - Perimeter lights for RTO, branches</t>
  </si>
  <si>
    <t>Hi Brothers,   The attached is our decision from today’s meeting. I will save this in our discipline folder for future reference.   Thank you, Masaaki Imai RDC-South Africa Ext. 2586  </t>
  </si>
  <si>
    <t>Render Assistance to LDC Departments</t>
  </si>
  <si>
    <t>With the accelerated Kingdom Hall construction program, there is an evident need for each Local Design/Construction Department (LDC) to develop thorough project development procedures. It is apparent that some branches have yet to put in place good proced</t>
  </si>
  <si>
    <t>Accelerating Kingdom Hall Construction</t>
  </si>
  <si>
    <t>Thank you very much for your assistance in collecting the Local Design/Construction Report (DC_x001E_71) forms for the first quarter of the 2015 service year from the countries in your region. The work put into compiling the information and completing the repor</t>
  </si>
  <si>
    <t>Washburn, Nathan; Watts, Jeffery; Salvidge, Mark</t>
  </si>
  <si>
    <t>Choral studio needs</t>
  </si>
  <si>
    <t>Shaun,   I can’t see that I responded to this.  However – please do use the new guidelines for anything to do with this studio or even the temporary one planned for the Warehouse.   From: Coombs, Shaun Sent: Friday, January 2, 2015 7:10 AM</t>
  </si>
  <si>
    <t>Schiller, Ben; Sukram, Sarah; Fynn, Ryan; Bent, Symon</t>
  </si>
  <si>
    <t>WSP TOPO Survey - MID FEB; Accom ; 50% up-front</t>
  </si>
  <si>
    <t>Thank you Mark.   All noted!!   Patrick Riley Pr Tech Eng Regional Director WSP, Development, Transportation and Infrastructure, Africa 3rd Floor, 35 Wale Street, Cape Town, 8001, South Africa Tel: +27 21 481 8650  |  Mobile: +27 82 779</t>
  </si>
  <si>
    <t>Quotation for 200kVA transformer</t>
  </si>
  <si>
    <t>Hi Miguel, This is the quote we received to replace the transformer for your project.     Gr.  Efraim</t>
  </si>
  <si>
    <t>Washburn, Nathan; St. Jean, Zeny; Watts, Jeffery</t>
  </si>
  <si>
    <t>Potential apartment block for the Twi RTO in Kumasi</t>
  </si>
  <si>
    <t>No probs…a ‘teaser’, as they say J             Regards, Mark Allan (ZAF-RDC) (REC) Watch Tower Bible and Tract Society of South Africa, NPC. Registration number: 2006/022758/08. PBO number: 930021658   From: Bent, Symon</t>
  </si>
  <si>
    <t>SDMO exhaust pipe 21050122 (Use air deflector only)</t>
  </si>
  <si>
    <t>Sounds good Symon, thanks for your help with that. We will sort it and let you know.  Question answered. þ   From: Bent, Symon Sent: Friday, January 23, 2015 2:19 PM To: Blackman, Innes Subject: RE: ZMB Kabompo RTO; SDMO exhaust pipe 21050122 [U</t>
  </si>
  <si>
    <t>Marriott, Brian; Coombs, Shaun; Salvidge, Mark</t>
  </si>
  <si>
    <t>6606 - Reinaerdt doors - ID349 [wid Admin-incident-6554)</t>
  </si>
  <si>
    <t>Hi Miguel, can you make a decision based on Van’s explanation below?   Symon   From: Michalakis, Evangelos Sent: Friday, January 23, 2015 13:28 To: Bent, Symon Subject: RE: COD-6606 - Reinaerdt doors - ID349 [wid:Admin-incident-6554]  </t>
  </si>
  <si>
    <t>Washburn, Nathan; Murray, Duncan; Schmidt, Linus; Finch, Ed; Sharp, Dayrell; Musonda, Albert</t>
  </si>
  <si>
    <t>Suggested wording for RTO’s ZMB</t>
  </si>
  <si>
    <t>Hi Symon, Suggested sign is fine, we will raise a branch order for 17 signs. Thanks Henry   _____________________________________________ From: Kapata, Henry Sent: 21 January 2015 11:21 To: Musonda, Albert; Sharp, Dayrell; Finch, Ed Subject: FW:</t>
  </si>
  <si>
    <t>Bent, Symon; Nolan, Todd; ZMB-ENG-ConstructionCommittee</t>
  </si>
  <si>
    <t>DCP Test after rip and recompact for Manhole at NW of Res building 15 01 22</t>
  </si>
  <si>
    <t>Agreed. Approved. Proceed. Tx   Saved as “ZMB Mongu RTO Manhole NW corner of Res Building DCP Test after rip and recompact 15.01.22_NEW.pdf” in: HYPERLINK "file:///\\bethel.jw.org\zaf\Dept\RDC\Engineering\Projects\Zambia\ZMB%2010%20-%20Mongu%20RT</t>
  </si>
  <si>
    <t>Bent, Symon; Nolan, Todd; ZMB-ENG-ConstructionCommittee; Bateman, Tristan</t>
  </si>
  <si>
    <t>DCP Test for Manhole at NW of Res building 15 01 21</t>
  </si>
  <si>
    <t>Hi J. Sorry for not replying any sooner. Yesterday was a bad day L   Thanks for your recommendation below. Much appreciated. Agreed. Approved. Proceed.   Worksheet saved as: HYPERLINK "file:///\\bethel.jw.org\zaf\Dept\RDC\Engineering\Projec</t>
  </si>
  <si>
    <t>Shears, Matthew; Sellden, Erik; Boye-Row, Thomas; Lutterodt, Albert; Allan, Mark</t>
  </si>
  <si>
    <t>MOXA Remote IO system tests</t>
  </si>
  <si>
    <t>Hi All,   I am happy to know that the internal E-Mail test went well. That means, when an input were activated on whichever the MOXA unit, a message can be sent via Outlook, which is exactly I had in mind. Perhaps, MOXA on the generator panel cou</t>
  </si>
  <si>
    <t>Civil, Culvert</t>
  </si>
  <si>
    <t>Stormwater PIPE culvert calculations</t>
  </si>
  <si>
    <t>Please inform me next time   Regards, Mark Allan (ZAF-RDC) (REC) Watch Tower Bible and Tract Society of South Africa, NPC. Registration number: 2006/022758/08. PBO number: 930021658   From: Schiller, Ben Sent: 22 January 2015 11:17 AM</t>
  </si>
  <si>
    <t>SRUCT PS Cat - Roofing</t>
  </si>
  <si>
    <t>  From: Reichel, Venessa Sent: Thursday, January 22, 2015 10:29 To: Allan, Mark; Bateman, Tristan Cc: Michalakis, Evangelos; Bent, Symon Subject: RE: COD Kikwit SRUCT PS Cat - Roofing?   Mark,   This was changed because Craftlock w</t>
  </si>
  <si>
    <t>Budget Analysis</t>
  </si>
  <si>
    <t>Hi Darcy,   Here is my analysis of the ZMB Kabompo RTO budget; looks like we’ll be about $56,000 over budget.  I spent some time going over this with Innes the CO there, and we think that this paints an accurate portrayal of the situation.  You’ll n</t>
  </si>
  <si>
    <t>Branch Requisition 441182 - ZMB99 - AC system for residence rooms</t>
  </si>
  <si>
    <t>Hi Johhny,    We requested and received a quote from the Fourways company; requisition and quote attached. It is for our Zambia branch.   Now we would like to ask Fourways a few more technical details:   -          Does the outdoor unit</t>
  </si>
  <si>
    <t>Schiller, Ben; Bent, Symon; rodney@mrhce.co.za; Sukram, Sarah</t>
  </si>
  <si>
    <t>Contract, Survey</t>
  </si>
  <si>
    <t>WSP &amp; MRH Engineering (Update - TOPO SURVEYSOILS TESTS)</t>
  </si>
  <si>
    <t>Hi Mark   The surveyor has indicated they will aim for mid February as yellow fever injections etc need to be done two weeks prior to entering. Would that be suitable for your team on site?   He also indicated that they would require a 50% dep</t>
  </si>
  <si>
    <t>GHA-BTHL-Everyone</t>
  </si>
  <si>
    <t>Bent, Symon; DODIN, Jean-Marc; Shears, Matthew; Allan, Mark</t>
  </si>
  <si>
    <t>Accommodation for WSP surveyor</t>
  </si>
  <si>
    <t>David:   Hotel: Crismon. This is owned by one Bro. Chris Afedzi who served on the same body of elders with Simon and I. (Simon: you remember the sweet little twin girls—Aba and Baaba? Their dad’s hotel is what I am talking about). So the standards a</t>
  </si>
  <si>
    <t>Bent, Symon; Thomson, Cameron; Smith, Caleb; Sondell, Henrik; Murray, Duncan</t>
  </si>
  <si>
    <t>NLBR ZMB - 6226; Roof Structure</t>
  </si>
  <si>
    <t>Hello,   According to admin our roof package has already been ordered from MiTek. We would like to make one small change if possible with the office building design. We are going to drop the awning for the conference room entrance so that it falls b</t>
  </si>
  <si>
    <t>Seedat, Haroon</t>
  </si>
  <si>
    <t>Coombs, Shaun; Salvidge, Mark; Riley, Patrick</t>
  </si>
  <si>
    <t>Civil drawing package--final comments</t>
  </si>
  <si>
    <t>Morning Mr. Haroon,   Please can you go ahead and issue the final drawings for this job, as follows, in .dwg format:   ·         C1000 : Bulk earthworks ·         C1001 : Typical cut and fill sections ·         C1002 : Setting out plan</t>
  </si>
  <si>
    <t>Service requisition for tents for assemblies</t>
  </si>
  <si>
    <t>That sounds reasonable; I think that the main issue here might be that the money for these tents was not included in the master AH plan; so the additional $300,000+ comes as a surprise to the brothers in WHQ who may have thought that the AH plan covered a</t>
  </si>
  <si>
    <t>Permanent Ahanta and Fante Teams</t>
  </si>
  <si>
    <t>New languages</t>
  </si>
  <si>
    <t>In your stamper dated HWB:ETA January 13, 2015, you ask where the Ahanta and Fante teams would be located and who will be the language overseers for each team.</t>
  </si>
  <si>
    <t>Approval, DC-4</t>
  </si>
  <si>
    <t>DC-41 No 2 Congo (Kinshasa) Lubumbashi RTO</t>
  </si>
  <si>
    <t>We are writing in response to your Project Approval Request (DC_x001E_41) form No. 2 for the Lubumbashi Remote Translation Office project. The requested amount for this DC_x001E_41 is USD 1,761,413, which is in excess of the amount we approved with our letter HPA:HDA</t>
  </si>
  <si>
    <t>Apartments Attached to Kingdom Halls</t>
  </si>
  <si>
    <t>Approval needed</t>
  </si>
  <si>
    <t>This is in response to your letter BOA:DCA January 12, 2015, No. 750, regarding the approval process for new Kingdom Hall projects with apartments. You ask specifically whether new Kingdom Hall projects that have attached special full-time servant apartme</t>
  </si>
  <si>
    <t>Design, Training</t>
  </si>
  <si>
    <t>Training Initiatives for Local Design Construction Departments</t>
  </si>
  <si>
    <t>We are very happy to inform you that your branches have been selected to participate in a pilot training program between LDCs here on the African continent. This pilot training is envisaged to have far reaching effects that may benefit other LDCs around t</t>
  </si>
  <si>
    <t>Estimate, Price</t>
  </si>
  <si>
    <t>Material prices for culvert swale estimate (grass blocks)</t>
  </si>
  <si>
    <t>Hi Symon, Please see the reply from the local ACP concrete company on the grass blocks. Exorbitant! 333GHc per m2   Matt   From: InboxCNST.GH Sent: Tuesday, January 20, 2015 12:17 PM To: Shears, Matthew; DODIN, Jean-Marc Subject:</t>
  </si>
  <si>
    <t>Washburn, Nathan; McDonald, Darcy</t>
  </si>
  <si>
    <t>see if the duty on this project can be eliminated or reduced significantly</t>
  </si>
  <si>
    <t>Thanks Debbie, I think that I will prepare a memo for both countries, spelling out the process of entering it into PT, and covering all the details you mention below and on the other emails.  Thanks for the support!   Busy doing a Kabompo analysis r</t>
  </si>
  <si>
    <t>Coombs, Shaun; Salvidge, Mark</t>
  </si>
  <si>
    <t>Tie-back bar lap detail</t>
  </si>
  <si>
    <t>Does this help you Miguel? Symon   From: Bateman, Tristan Sent: Tuesday, January 20, 2015 13:10 To: Bent, Symon Cc: Allan, Mark; Reichel, Venessa Subject: RE: COD Kamina RTO; Tie-back bar lap detail   Hi Symon,   The tie back bar</t>
  </si>
  <si>
    <t>Allan, Mark; Sukram, Sarah; GHA-CNST-Committee</t>
  </si>
  <si>
    <t>Replace tile on Ghana NLBR 4670 with local RAK (APPROVED)</t>
  </si>
  <si>
    <t>Hi Symon,   Thanks for this prompt reply. We shall discuss these points again at the CC meeting this morning.   Thank you, Jean-Marc Dodin Construction Office GHANA BEX Extension:  22431 Cell: 054 431 4831     From:</t>
  </si>
  <si>
    <t>Concrete Aggregate for Approval</t>
  </si>
  <si>
    <t>Thanks gents,     As of today, Kikwit now has budget approval, so the sooner the better! J   Thanks,  Shaun   From: Allan, Mark Sent: Tuesday, January 20, 2015 9:02 AM To: Bateman, Tristan Cc: Bent, Symon; Reichel, Venessa; Coombs</t>
  </si>
  <si>
    <t>Site Survey for Review (ZMB Comments) Soil tests</t>
  </si>
  <si>
    <t>Hi Symon,   The points about time and manpower being an issue are valid.   For the time being what they have done is ok, but at a later stage the six test should be done, and the results sent to Ben as he will be sizing the soak away. From pre</t>
  </si>
  <si>
    <t>DC-50, Form</t>
  </si>
  <si>
    <t>LDC Volunteer Applications (DC-50)</t>
  </si>
  <si>
    <t>Along with our letter HPA:HDA October 14, 2014, No. C_x001E_32715P, a new volunteer application, the Local Design/Construction Volunteer Application (DC_x001E_50), and a letter to all congregations were posted on MDS. After further review and in conjunction with refi</t>
  </si>
  <si>
    <t>DC-41 Project Approval Requests—Review by Regional Design Construction Department (RDC)</t>
  </si>
  <si>
    <t>We are writing to provide additional information regarding the review process for Project Approval Request (DC-41) or Project Change Order Request (DC-42) forms. The Publishing Committee letter September 9, 2014 No. C_x001E_31986P stated that “requests submitte</t>
  </si>
  <si>
    <t>Studio Design Guidelines</t>
  </si>
  <si>
    <t>To assist with the continued need for audio/video productions, a Studio Guideline for the planning of audio, sign language, and choral studios has been prepared, and a copy is attached with this letter. Since this direction affects the Regional Design/Con</t>
  </si>
  <si>
    <t>Cracks Walls of Service Dept Bldg (INFO to TB)</t>
  </si>
  <si>
    <t>Hi TB. Info saved in: HYPERLINK "file:///\\bethel.jw.org\zaf\Dept\RDC\Engineering\Projects\Ghana\GHA%2099%20-%20Misc\Wall%20Cracks%20Serv.Bldg\Info%20Rec'd%20Jan%202014"\\bethel.jw.org\zaf\Dept\RDC\Engineering\Projects\Ghana\GHA 99 - Misc\Wall Cracks S</t>
  </si>
  <si>
    <t>Size of AV if GHS (or Twi and Ga) moved out (CHART)</t>
  </si>
  <si>
    <t>FYI – this was in the latest WDC Report to the Publishing Committee:   Phase 1 of the Ghana branch expansion is well underway as the attached photos show. As part of the concept design proposal for Phase 2 we are considering with the branch and Tran</t>
  </si>
  <si>
    <t>Wallace, Nadia</t>
  </si>
  <si>
    <t>Key System diagram</t>
  </si>
  <si>
    <t>Hi Nadia,   I still have their latest matrix in my inbox ready to review---not been done yet for lack of time.  Let me look through it.  If it looks promising then there is a brother in the UK branch who can also help us peer review it.  Once that i</t>
  </si>
  <si>
    <t>Water Test results</t>
  </si>
  <si>
    <t>For you perusal Fabian,   Symon   From: Meinders, Andre Sent: Friday, January 16, 2015 17:58 To: Bent, Symon Cc: DODIN, Jean-Marc; Shears, Matthew Subject: GHA Kikam RTO Water Tests   Symon I have attached  2 water test results.</t>
  </si>
  <si>
    <t>DC-41 No 2 Kikwit Remote Translation Office</t>
  </si>
  <si>
    <t>We are writing in response to your Project Approval Request (DC_x001E_41) form No. 2 for the Kikwit Remote Translation Office (RTO) project for the sum of USD 1,684,526. This is in connection with the Publishing Committee’s letter HPA:HDA January 21, 2014, No. </t>
  </si>
  <si>
    <t>Jones, David M.; Kwesie, Samuel; Bent, Symon; Shears, Matthew; Bateman, Tristan; DODIN, Jean-Marc; Washburn, Nathan</t>
  </si>
  <si>
    <t>Cracks Walls of Service Dept Bldg (INFO NEEDED)</t>
  </si>
  <si>
    <t>Thanks very much – received. Will take a look at this soon   Regards, Mark Allan (ZAF-RDC) (REC) Watch Tower Bible and Tract Society of South Africa, NPC. Registration number: 2006/022758/08. PBO number: 930021658   From: Arthur, Gideon</t>
  </si>
  <si>
    <t>RTO Standard Sign</t>
  </si>
  <si>
    <t>Arthur Crook Architectural Coordinator RDC-SAF</t>
  </si>
  <si>
    <t>Smith, Caleb; Washburn, Nathan; Michalakis, Evangelos; Schiller, Ben</t>
  </si>
  <si>
    <t>RDC review of Property Evaluation DC-31s</t>
  </si>
  <si>
    <t>Hi Symon,   I will make some inquires/investigations and get back to you.   Thanks Cam From: Bent, Symon Sent: Friday, January 16, 2015 11:04 AM To: Thomson, Cameron Cc: Smith, Caleb; Washburn, Nathan; Michalakis, Evangelos; Schiller</t>
  </si>
  <si>
    <t>ESTA payment-$14; New York trip</t>
  </si>
  <si>
    <t>Yes, sorry Bill for not getting back to you sooner, the morning got busy!  I finally had to use my UK debit card, the site seems to refuse any SA cards.  We agree that it would be good to wait till next week before booking the USA flight.  We’ll be connec</t>
  </si>
  <si>
    <t>Planning for Long-Term Needs</t>
  </si>
  <si>
    <t>We thank you for your Memorandum PCA December 26, 2014, and we appreciated the opportunity to meet with you on January 12, 2015, to start the process of investigating the long-term needs at your branch facility. As we discussed, the move of translation te</t>
  </si>
  <si>
    <t>Shears, Matthew; Breakell, Ben</t>
  </si>
  <si>
    <t>Hardware Substitutions on GHA-4695; Hafele Products</t>
  </si>
  <si>
    <t>Comments from Sarah below.  She has also provided some other options you might want to consider.   Kind regards,   SymonBent South Africa RDC M: +27 61 699 6085  |  T: 2588       From: Sukram, Sarah Sent: Thursday, January</t>
  </si>
  <si>
    <t>Ghana - GHA-4663 Sound equipment ($25,398 44)</t>
  </si>
  <si>
    <t>Dear Brothers: We confirm receipt. Please return this code in your e-mail when replying. [wid:WHQ-GPD-3087F48D-7369-42AC-A700-B605102404FB] Thank you. Your brothers, Global Purchasing Department From: InboxRDC.ZA [mailto:InboxRDC.ZA@zaf.</t>
  </si>
  <si>
    <t>Paekau, Ryan; Thomson, Cameron; Smith, Caleb; Washburn, Nathan</t>
  </si>
  <si>
    <t>Autocad drawings for permit applications with city council</t>
  </si>
  <si>
    <t>Hi Shane,   Here’s the AutoCAD drawings you need for your building permit submission.  Apologies for the tardiness (Tardis..ness : when a job is bigger on the inside than the outside!)   Kind regards,   SymonBent South Africa RDC M</t>
  </si>
  <si>
    <t>DC-14, Guideline</t>
  </si>
  <si>
    <t>Kingdom Hall Design Construction Guidelines (DC-14)</t>
  </si>
  <si>
    <t>We are pleased to inform you that a new document entitled Kingdom Hall Design/Construction Guidelines (DC_x001E_14) has been posted to MDS. These guidelines provide new direction on how each branch can organize a Kingdom Hall construction program adapted to loc</t>
  </si>
  <si>
    <t>Watts, Jeffery; Bent, Symon; Allan, Mark; GHA-BRANCH-Committee; Bradfield, Darrin</t>
  </si>
  <si>
    <t>Response to Ghana - Space for Translation and Residence Room Design</t>
  </si>
  <si>
    <t>OK.  Thanks for the quick response. That explains things nicely for us.  We expect a little more information by the end of the week. Sometime next week we will be in further touch about setting up a meeting.  Regarding the translation overseer, well, that</t>
  </si>
  <si>
    <t>Sound box area for audio video transmission in Dining Room area</t>
  </si>
  <si>
    <t>Symon,   How bid does this “box” need to be? Does it need to be in another space? I have an separate Storage room next to the Chemical Store just opposite the toilets, if that would work.   Arthur   From: Bent, Symon Sent: Wednesday, J</t>
  </si>
  <si>
    <t>InboxWDC; Bent, Symon; Salvidge, Mark</t>
  </si>
  <si>
    <t>CPP, DC-41</t>
  </si>
  <si>
    <t>Kikwit and Lubumbashi DC-41 no 2 submittals - why over the CPP</t>
  </si>
  <si>
    <t>Shaun: Many thanks for this I will prepare the memo’s accordingly – if I have any further questions I will get back to you      From: Coombs, Shaun Sent: Wednesday, January 14, 2015 9:53 AM To: Proszek, Fred Cc: InboxWDC; Bent, Symon; Salvidg</t>
  </si>
  <si>
    <t>HTA:IVA</t>
  </si>
  <si>
    <t>AV, Approval</t>
  </si>
  <si>
    <t>Audio Recording Equipment for Nsenga and Lunda Languages</t>
  </si>
  <si>
    <t>We are writing in response to your letter dated PCA December 15, 2014, No. 815, wherein you request “permission to move the on-site audio recording of the Nsenga and Lunda languages.” You mention that you have received permission from the Writing Committe</t>
  </si>
  <si>
    <t>Jason and Kelly Ritchie (BCF assignment)</t>
  </si>
  <si>
    <t>We are writing regarding the construction servant applications we received from Jason and Kelly Ritchie. We are happy to inform you that they have been approved to serve as expatriate construction servants in Zambia for two years. During this period Broth</t>
  </si>
  <si>
    <t>DC-41 No 2 Ghana Nyanyanu Assembly Hall (USD 242,110)</t>
  </si>
  <si>
    <t>FYI   Regards, Mark Allan (ZAF-RDC) (REC) Watch Tower Bible and Tract Society of South Africa, NPC. Registration number: 2006/022758/08. PBO number: 930021658   From: InboxWDC Sent: 12 January 2015 08:44 PM To: Luccioni, Robert; Bradf</t>
  </si>
  <si>
    <t>Draft cost of Falcon Eng construction project management</t>
  </si>
  <si>
    <t>Here’s how I understand their quote, let’s discuss this this afternoon.   Greets,   SymonBent South Africa RDC M: +27 61 699 6085  |  T: 2588     P.S. perhaps you could get one of your capable secretaries to do a quick analysis</t>
  </si>
  <si>
    <t>Design, PV, Solar</t>
  </si>
  <si>
    <t>Theocratic Facility PV System Evaluation and Design Support - Questionnaire</t>
  </si>
  <si>
    <t>We are pleased to see your interest in using the solar photovoltaic (PV) system at various theocratic facilities in your country. To start evaluating the feasibility of the system, we need some preliminary information from you. We kindly ask that you fill</t>
  </si>
  <si>
    <t>Projects Overseer Report - December 2014 RDC reply</t>
  </si>
  <si>
    <t>We were pleased to receive the Projects Overseer Report to your branch dated December 1-12, 2014. We would like to thank the Branch Committee and the three RTO teams for their good support during the visit, as well as the work of Brothers Washburn and Ben</t>
  </si>
  <si>
    <t>Security</t>
  </si>
  <si>
    <t>Security for Remote Construction Projects - Africa</t>
  </si>
  <si>
    <t>Recently our office was directed to investigate what security measures are put in place by LDC’s for projects located outside of a branch, typically in remote locations. In order to get a clear picture, we wrote to all LDC’s in Africa as well all Construc</t>
  </si>
  <si>
    <t>Elongo, Robert</t>
  </si>
  <si>
    <t>Mukendi, Félicien; Coombs, Shaun; Bent, Symon; Belotti, Christian; St. Jean, Zeny</t>
  </si>
  <si>
    <t>RTO property search group for this month’s work</t>
  </si>
  <si>
    <t>Dear Brother Salvidge, Ok thank you.  This is the way I read the instructions on this: 1.       Translation dept. in a meeting with LDC indicates the area, the city or town to investigate (related to the language spoken) 2.       Property Sear</t>
  </si>
  <si>
    <t>Ghana construction projects and the RDC</t>
  </si>
  <si>
    <t>Men, I agree whole heartedly with you both.   You men are doing a good job to keep this moving considering all the ‘road blocks’ that you have encountered.  Let’s not let the comments from one Branch Committee member slow us down.   Of cour</t>
  </si>
  <si>
    <t>Use of Requisitions in Admin</t>
  </si>
  <si>
    <t>List of requisition type and how to use them</t>
  </si>
  <si>
    <t>The purpose of this letter is to provide direction on the use of requisitions in Admin. This is in addition to the direction found in Branch Organization, Accounting Guidelines, and Purchasing Guidelines. Please carefully consider the following points.</t>
  </si>
  <si>
    <t>HLA:HLB</t>
  </si>
  <si>
    <t>Guideline, Maintenance</t>
  </si>
  <si>
    <t>LDC Supervise maintenance of remote facilities</t>
  </si>
  <si>
    <t>In many countries, the branch Maintenance Department has taken the lead in supervising the maintenance operations for remote facilities. We appreciate very much the fine work of these brothers. However, since the number of these facilities is growing, the</t>
  </si>
  <si>
    <t>Coombs, Shaun; Salvidge, Mark; Bent, Symon</t>
  </si>
  <si>
    <t>POR, Planning</t>
  </si>
  <si>
    <t>Need for branch staffing analysis</t>
  </si>
  <si>
    <t>Zeny  We asked the BC to work on updating their branch staffing analysis form allowing for translation teams being out of the branch and also to get together with all department overseers to really see their real needs not just follow the staffing memo</t>
  </si>
  <si>
    <t>Gas line dimension query</t>
  </si>
  <si>
    <t>For you. Symon   From: DODIN, Jean-Marc Sent: Wednesday, January 7, 2015 13:51 To: Bent, Symon Cc: Foster, Sean; Shears, Matthew Subject: GHA03 - Gas line dimension query   Hi Symon, Replies below.   Thank you, Jean-Marc Do</t>
  </si>
  <si>
    <t>Expatriate Construction Servant Evaluation Forms 2014 (DC-53)</t>
  </si>
  <si>
    <t>We have enclosed for your attention the GHA BEX Expatriate Construction Servant Evaluation Forms (DC-53) for the year 2014.</t>
  </si>
  <si>
    <t>Elec, Generator, Transformer</t>
  </si>
  <si>
    <t>Damaged 24V Transformer in Generator Control Board</t>
  </si>
  <si>
    <t>Hi Symon,   The enclosed report is to inform Maasaki and Nathan of a recent situation at the generator control board.     Thank you, Jean-Marc Dodin Construction Office GHANA BEX Extension:  22431 Cell: 054 431 4831    </t>
  </si>
  <si>
    <t>Thomson, Cameron; Smith, Caleb; Washburn, Nathan</t>
  </si>
  <si>
    <t>RDC review of Draft NLBR; REQ 520-9535; Ventilation &amp; Ducting; 20141230 pdf</t>
  </si>
  <si>
    <t>Dear brothers,   We have reviewed the following Non-Literature Branch Requests (NLBRs) that we received from you on Tuesday, January 6, 2015 for the ZMB Katete RTO project :   1.       REQ #9535 Ventilation and Ducting   We are in agreem</t>
  </si>
  <si>
    <t>ZMB-ENG-ConstructionCommittee; ten Have, Fabian</t>
  </si>
  <si>
    <t>Trox louvers; Order 220534 Discrepancy 20140106</t>
  </si>
  <si>
    <t>I agree with Fabian below. Symon   From: ten Have, Fabian Sent: Tuesday, January 6, 2015 13:44 To: Bent, Symon Subject: RE: ZMB Kabompo RTO; Trox louvers: Order 220534 Discrepancy 20140106   Hi Symon,    I prefer option 3. The lou</t>
  </si>
  <si>
    <t>Simplifying RTO Minutes from our discussion</t>
  </si>
  <si>
    <t>Here you go.   From: Bent, Symon Sent: Friday, January 2, 2015 16:59 To: Washburn, Nathan; Gilden, David; Coombs, Shaun; Salvidge, Mark Cc: Nardini, Andrea; Stone, James Wayne; Blamey, Leon Delroy Subject: Simplifying RTO; minutes from our disc</t>
  </si>
  <si>
    <t>Shears, Matthew; Allan, Mark; Sukram, Sarah</t>
  </si>
  <si>
    <t>RDC review of NLBR Package - 27- SUBMITTAL</t>
  </si>
  <si>
    <t>Dear brothers,   We have reviewed the following Non-Literature Branch Requests (NLBRs) that we received from you on Wednesday, December 24, 2014 for the GHA BEX project :   REQ #52961- Carpentry-Door Hardware for Res 3.2, 3.3, &amp; 4.2- GBR Sea F</t>
  </si>
  <si>
    <t>Väänänen, Uula; Coombs, Shaun; Salvidge, Mark; ten Have, Fabian</t>
  </si>
  <si>
    <t>RTO Borehole (final depth = 80m)</t>
  </si>
  <si>
    <t>Answer below. Symon   From: ten Have, Fabian Sent: Tuesday, January 6, 2015 09:42 To: Bent, Symon Subject: RE: COD LSH RTO Borehole    Hi Symon,    Based on the information below I would leave it by 80 meters and do not pursue the</t>
  </si>
  <si>
    <t>SKE</t>
  </si>
  <si>
    <t>Theocratic School Facilities Survey</t>
  </si>
  <si>
    <t>As directed in the School for Kingdom Evangelizers Office Guidelines (skeog), Chapter 3, “generally a Kingdom Hall or an Assembly Hall is used as the location for the School for Kingdom Evangelizers (SKE)”. This principle also applies to the School for Ci</t>
  </si>
  <si>
    <t>CDP, Design, Mech</t>
  </si>
  <si>
    <t>Meeting Minutes Date:     Monday, January 5, 2015 Att:        Fabian, Arthur, Nathan C., Masaaki Re:        GHA BEX LT; Impact of gas vs electric appliances   ­Actions: Keep the two existing electric combi-ovens Stick with assessment: e</t>
  </si>
  <si>
    <t>Shears, Matthew; Allan, Mark</t>
  </si>
  <si>
    <t>RDC review of NLBR Package -30 - Submittal - REQ 52642 Only</t>
  </si>
  <si>
    <t>Dear brothers,   We have reviewed the following Non-Literature Branch Requests (NLBRs) that we received from you on Thursday, December 25, 2014 for the GHA BEX project :   1.       REQ #52642 : Maxidor retractable security gates   We are</t>
  </si>
  <si>
    <t>Shears, Matthew; ten Have, Fabian</t>
  </si>
  <si>
    <t>NLBR 4623 Ghana Lines 210 310 (replacing the MSZ-GE25 AC units with the MSZ-SF25 AC units)</t>
  </si>
  <si>
    <t>Answer below. Symon   From: ten Have, Fabian Sent: Monday, January 5, 2015 11:41 To: Bent, Symon Subject: RE: GHA BEX; NLBR 4623 Ghana Lines 210 310    Hi Symon,   This time a reply without the attachments (11MB).   I have n</t>
  </si>
  <si>
    <t>Sondell, Henrik; Smith, Caleb; Thomson, Cameron; Washburn, Nathan</t>
  </si>
  <si>
    <t>RDC review of Draft NLBR; REQ 520-9533; Air Conditioners &amp; Parts; 20141230 pdf</t>
  </si>
  <si>
    <t>Dear brothers,   We have reviewed the following Non-Literature Branch Requests (NLBRs) that we received from you on Monday, January 5, 2015 for the ZMB Katete RTO project :   1.       REQ #9533 : Air conditioners   We are in agreement wi</t>
  </si>
  <si>
    <t>Sondell, Henrik; Thomson, Cameron; Smith, Caleb; Washburn, Nathan</t>
  </si>
  <si>
    <t>RDC review of Draft NLBR; REQ 520-9530; Bathroom Sinks &amp; Vanities; 20141230 pdf</t>
  </si>
  <si>
    <t>Dear brothers,   We have reviewed the following Non-Literature Branch Requests (NLBRs) that we received from you on Monday, January 5, 2015 for the ZMB Katete RTO project :   REQ #9530 : bathroom sinks and vanities   We are in agreement</t>
  </si>
  <si>
    <t>RDC review of NLBR-GHA-4633 Line 200</t>
  </si>
  <si>
    <t>Good from our side gents, Symon   From: Imai, Masaaki Sent: Monday, January 5, 2015 08:05 To: Bent, Symon Subject: RE: GHA BEX; NLBR-GHA-4633 Line 200   Hi Symon,   It looks good to me, thanks!   Thank you, Masaaki Imai</t>
  </si>
  <si>
    <t>Generator diesel filters (REPLY)</t>
  </si>
  <si>
    <t>Answers attached. Symon   From: ten Have, Fabian Sent: Monday, January 5, 2015 08:47 To: Imai, Masaaki Cc: Bent, Symon Subject: RE: GHA BEX; Generator diesel filters   Hi Symon,    The questions are answered in the email which I</t>
  </si>
  <si>
    <t>Eichner, David P.; Coombs, Shaun; Salvidge, Mark; Moulanier, Gratian; Bent, Symon; Väänänen, Uula; Washburn, Nathan; Schiller, Ben; Allan, Mark; PETTENÒ, Massimiliano; Kamony, Paulin</t>
  </si>
  <si>
    <t>Resubmit budgets without duty</t>
  </si>
  <si>
    <t>Done.       Paulin K.   From: Nordin, Timothy Sent: Tuesday, December 30, 2014 2:14 PM To: Kamony, Paulin Cc: Eichner, David P.; Coombs, Shaun; Bikubusyo, Symphorien; Simpson, Jack; Salvidge, Mark; Moulanier, Gratian; Bent, Symon;</t>
  </si>
  <si>
    <t>Cruthirds, Nathan; Moore, Benjamin; Washburn, Nathan</t>
  </si>
  <si>
    <t>Zambia - ZMB-6167 Plasma cutter ($3,650 79) (RDC APPROVAL)</t>
  </si>
  <si>
    <t>Thanks Symon   Hi GPD – your ref is: wid:WHQ-GPD-6D7DA78D-1B43-41B6-9DF1-9B9294E331B2   We agree to this request. Please confirm receipt of this e-mail?   Tx Mark A   From: Bent, Symon Sent: 03 January 2015 05:35 PM To: Inbox</t>
  </si>
  <si>
    <t>Arthur, Gideon; InboxMNTStore.GH</t>
  </si>
  <si>
    <t>AC, Maintenance, NLBR</t>
  </si>
  <si>
    <t>GHA-4512 Air Conditioner ($18,978 58) (REVISED)</t>
  </si>
  <si>
    <t>So will you revise the NLBR and resubmit a new one?  I need something to give approval to!   Symon   From: Keller, Timothy Sent: Monday, December 29, 2014 13:26 To: Bent, Symon Cc: Arthur, Gideon; InboxMNTStore.GH Subject: RE: GHA Bra</t>
  </si>
  <si>
    <t>decision to be made about contractor</t>
  </si>
  <si>
    <t>Hi Shane,   Thanks for the opportunity to contribute a few words!  I would personally lean to using a 2nd contractor.  Even though there would be a another ramp-up period I think that if it all works out well then you’ll all be setting yourselves up</t>
  </si>
  <si>
    <t>RDC review of Draft NLBR; REQ 520-9411; 20141223; Plumbing; Mixers, Traps, Insulation</t>
  </si>
  <si>
    <t>Dear brothers,   We have reviewed the following Non-Literature Branch Requests (NLBRs) that we received from you on Thursday, December 25, 2014 for the ZMB Katete RTO project :   1.       REQ #9411 Plumbing; Mixers, Traps, Insulation   W</t>
  </si>
  <si>
    <t>Approve to Establish the Lenje Team in Chibombo</t>
  </si>
  <si>
    <t>Hi NSW – FYI   Will have to see what the video conference outlines…may not need anything from us; then no need to add to OCM. Maybe just add to the RTO Schedule as ‘scope to be confirmed’ for now so it’s easier to find later   Regards, Mark</t>
  </si>
  <si>
    <t>Nardini, Andrea; Stone, James Wayne; Blamey, Leon Delroy</t>
  </si>
  <si>
    <t>FYI---remember this is not a decision, just a discussion!   SymonBent South Africa RDC M: +27 61 699 6085  |  T: 2588  </t>
  </si>
  <si>
    <t>2014-01-02 Morning Picture</t>
  </si>
  <si>
    <t>Symon A picture from this morning.  It’s a screenshot from a Video. I send the Link to that one a bit later.   Have a good Weekend   Andre  </t>
  </si>
  <si>
    <t>Murray, Duncan; Miyagi, Tsutomu; InboxPRCH.HK</t>
  </si>
  <si>
    <t>ZM NLBR 6124 - Door Drws - REVIEW NEEDED</t>
  </si>
  <si>
    <t>I agree. Symon   From: Lester, Davin Sent: Friday, January 2, 2015 14:07 To: Brewster, Darryl; Bent, Symon Cc: Murray, Duncan; Miyagi, Tsutomu; InboxPRCH.HK Subject: RE: ZM NLBR 6124 - Katete RTO Door Drws - REVIEW NEEDED   Hi Darryl,</t>
  </si>
  <si>
    <t>Mitek roof Insulation 20140102</t>
  </si>
  <si>
    <t>Foil side down (towards the Mitek truss), it also acts as a vapour barrier.   Symon   From: Blackman, Innes Sent: Friday, January 2, 2015 10:00 To: Bent, Symon Subject: ZMB Kabompo RTO Mitek roof Insulation 20140102   Hi Symon just a</t>
  </si>
  <si>
    <t>Brazing Of Split unit lines at the evaporator</t>
  </si>
  <si>
    <t>Hi Todd,    No problem, please leave the compression fittings in place.  We have to remove that line from our commissioning guidelines.   Thank you,   Fabian ten Have South Africa Regional Design/Construction Department   Fro</t>
  </si>
  <si>
    <t>New Arrangement for Trucking of Materials</t>
  </si>
  <si>
    <t>FYI   From: Smith, Caleb Sent: Thursday, January 01, 2015 6:15 PM To: Blackman, Innes; Blackman, Helen; Fruciano, Jared; Fruciano, Marisa; Lester, Davin; Lester, Ashley; Sadler, Shane Cc: Thomson, Cameron; Mahole, Nehemiah; Sharp, Dayrell; Thoms</t>
  </si>
  <si>
    <t>Holmes, James</t>
  </si>
  <si>
    <t>Washburn, Nathan; Salvidge, Mark; Coombs, Shaun; Bent, Symon; Fynn, Ryan; Gilden, David; De Meyer, Efraim; Goode, John; Allan, Mark</t>
  </si>
  <si>
    <t>KH, Solar</t>
  </si>
  <si>
    <t>Solar KH - Haiti</t>
  </si>
  <si>
    <t>Dear Jim,   I am about to join our regular Lync meeting of global PV research group in a half hour. I really appreciate for your kind support of providing us with the information and looking forward to hearing from John.   Thank you, Mas</t>
  </si>
  <si>
    <t>Personnel, Photo</t>
  </si>
  <si>
    <t>Temp Residence Photos</t>
  </si>
  <si>
    <t>Symon A few pictures of our new temp Residence. The Couples will move in by next Wednesday. The interior panorama makes the room look slightly bigger of course. I wish our electricians would have bought white cables though…. J   Andre  </t>
  </si>
  <si>
    <t>Swimming pool, and a multifunction court missing from project description</t>
  </si>
  <si>
    <t>I’m in the process of drafting a reply to that very email at this moment (well, mainly I’m trying to decipher the scribble of figures I worked out with Architectural last week…)!  Yes, we have anticipated the new SL guidelines as you mention, they certain</t>
  </si>
  <si>
    <t>Interior door T brackets</t>
  </si>
  <si>
    <t>Hi Symon,   FYI.     Thank you   David Eichner RTO CONSTRUCTION   From: Väänänen, Uula Sent: Wednesday, December 31, 2014 1:44 PM To: Marriott, Brian Cc: Fuentes, Miguel; Eichner, David P. Subject: Kamina interior door T- b</t>
  </si>
  <si>
    <t>Bent, Symon; Sondell, Henrik; ZMB-ENG-ConstructionCommittee; Bateman, Tristan</t>
  </si>
  <si>
    <t>Res Bldg DCP underfooting (Comments on Tests 3 and 4)</t>
  </si>
  <si>
    <t>Sorry for the delay…   Saved the worksheet as “ZMB Katete RTO Residence DCP Footing 20141229 (COMPLETE).pdf” in: HYPERLINK "file:///\\bethel.jw.org\zaf\Dept\RDC\Engineering\Projects\Zambia\ZMB%2013%20-%20Katete%20RTO\S4\Struct\DCP%20Tests\Res%20B</t>
  </si>
  <si>
    <t>Nolan, Todd; ZMB-ENG-ConstructionCommittee; Bateman, Tristan</t>
  </si>
  <si>
    <t>Office Building DCP Re-Test -5 Final 150mm below Slab 14 12 29 (APPROVED)</t>
  </si>
  <si>
    <t>Saved as “ZMB Mongu RTO Office Building DCP Re-Test on Point #5 14.12.29 .pdf” in: HYPERLINK "file:///\\bethel.jw.org\zaf\Dept\RDC\Engineering\Projects\Zambia\ZMB%2010%20-%20Mongu%20RTO\S4\Struct\DCP%20Tests\Office%20Bldg"\\bethel.jw.org\zaf\Dept\RDC\E</t>
  </si>
  <si>
    <t>Tender Package review</t>
  </si>
  <si>
    <t>Symon Please find attached the Tender Documents we received from our consultant.   I also attached the comments from a sister who is a construction contract document reviewer.   Thanks Andre    </t>
  </si>
  <si>
    <t>Personnel List Projection (updated Dec 29 2014)</t>
  </si>
  <si>
    <t>    Matt Shears CONSTRUCTION OFFICE GHANA BRANCH Ext. 22430  </t>
  </si>
  <si>
    <t>Väänänen, Uula; Coombs, Shaun; Salvidge, Mark</t>
  </si>
  <si>
    <t>Interior door frame T-Anchor bracket</t>
  </si>
  <si>
    <t>Hi Dave,   Some great info from Sarah as always, this might help you make a decision.   Tx,    SymonBent South Africa RDC M: +27 61 699 6085  |  T: 2588       From: Sukram, Sarah Sent: Monday, December 29, 2014 13:47</t>
  </si>
  <si>
    <t>Shears, Matthew; Sellden, Erik; Berger, Xavier</t>
  </si>
  <si>
    <t>Proposed Location Pit changes in Existing Generator Bldg</t>
  </si>
  <si>
    <t>Masaaki agrees. Symon   From: Imai, Masaaki Sent: Monday, December 29, 2014 11:36 To: Bent, Symon Subject: RE: GHA BEX; Prposed Location/Pit changes in Existing Generator Bldg   Hi Symon,   I agree with their recommendations.  </t>
  </si>
  <si>
    <t>Coombs, Shaun; Mukendi, Félicien; Salvidge, Mark; Kamony, Paulin</t>
  </si>
  <si>
    <t>Understanding NLBR COD-7317</t>
  </si>
  <si>
    <t>Yes I do have it, I’m sending to them then. Thanks. Paulin K.   From: Bent, Symon Sent: Monday, December 29, 2014 10:25 AM To: Kamony, Paulin Cc: Coombs, Shaun; Mukendi, Félicien; Salvidge, Mark Subject: COD Kamina RTO; Understanding N</t>
  </si>
  <si>
    <t>ZMB-ENG-ConstructionCommittee; Washburn, Nathan; Nolan, Todd</t>
  </si>
  <si>
    <t>RDC review of Draft NLBR-Fluke Tester</t>
  </si>
  <si>
    <t>Dear brothers,   We have reviewed the following Non-Literature Branch Requests (NLBRs) that we received from you on Friday, December 26, 2014 for the ZMB Mongu RTO project :   NLBR #9485 : Electrical multimeter, Fluke   We are in agreeme</t>
  </si>
  <si>
    <t>FR, Guideline</t>
  </si>
  <si>
    <t>Residences for Special Full-Time Servants in the Field</t>
  </si>
  <si>
    <t>We are writing to give updated direction on residences for special full-time servants (SFTS) in the field. This is related to recent changes regarding field residences owned by the organization, where all such residences are now cared for by the Local Des</t>
  </si>
  <si>
    <t>Assessment of Inventory and Purchasing Processes</t>
  </si>
  <si>
    <t>Pascal Lepage temp assignment</t>
  </si>
  <si>
    <t>The Global Purchasing Department reports that the purchasing and inventory assessment at your branch was successful. We commend you for your hard work and willingness to implement the Purchasing Guidelines. We agree with the recommendations from Brothers</t>
  </si>
  <si>
    <t>DCP, Manhole</t>
  </si>
  <si>
    <t>SAN Manhole -2 DCP TESTS 20141222</t>
  </si>
  <si>
    <t>Tristan – please save the attached PDF ‘ZMB Kabompo RTO DCP TEST SAN Manhole #2 20141225’ in HYPERLINK "file:///\\bethel.jw.org\zaf\Dept\RDC\Engineering\Projects\Zambia\ZMB%2009%20-%20Kabompo%20RTO\S4\Struct\DCP%20Tests%20June%202014%20onward\Site"H:\RDC\</t>
  </si>
  <si>
    <t>Washburn, Nathan; St. Jean, Zeny</t>
  </si>
  <si>
    <t>Can we approve extra scaffolding</t>
  </si>
  <si>
    <t>Symon   I agree with option 1 – Please go ahead - thanks   Regards   Fred Proszek Worldwide Design/Construction Department   From: St. Jean, Zeny Sent: Thursday, December 25, 2014 10:02 PM To: Proszek, Fred Cc: Washburn, Nat</t>
  </si>
  <si>
    <t>Borehole Pipe spec (NEED DEPTH FIRST)</t>
  </si>
  <si>
    <t>Hi Dave,   Here’s the answer from Mechanical.   Tx, SymonBent South Africa RDC M: +27 61 699 6085  |  T: 2588       From: ten Have, Fabian Sent: Friday, December 26, 2014 16:24 To: Bent, Symon Subject: RE: COD Lubumbas</t>
  </si>
  <si>
    <t>SDMO exhaust pipes J66K J130K 20141225</t>
  </si>
  <si>
    <t>Does this help you with your question Innes?  Perhaps you could come up with a temporary solution for now, and order the correct items?    Tx,  SymonBent South Africa RDC M: +27 61 699 6085  |  T: 2588       From: De Meyer, Efra</t>
  </si>
  <si>
    <t>Elec, Estimate, NLBR, Network</t>
  </si>
  <si>
    <t>ZAF RTO CPT PSN NLBR import list xlsx</t>
  </si>
  <si>
    <t>Hi Masaaki,   Here is the RTO pricing guide from WHQ for data/telecom networks.  Should provide a good basis for estimates in the coming months.   Tx, Symon   From: Lester, Warren Sent: Thursday, December 25, 2014 13:34 To: Bent, S</t>
  </si>
  <si>
    <t>Marriott, Brian; Coombs, Shaun; Eichner, David P.; Väänänen, Uula</t>
  </si>
  <si>
    <t>Hi Miguel,   Does this picture below help you?   Thanks,   SymonBent South Africa RDC M: +27 61 699 6085  |  T: 2588       From: Sukram, Sarah Sent: Wednesday, December 24, 2014 16:47 To: Bent, Symon Subject: RE: CO</t>
  </si>
  <si>
    <t>DC-41 No 1 Review</t>
  </si>
  <si>
    <t>Hi Tim,   Could you look this over and revert?  From my side just the first sentence in the description needs to be shortened to remove the mention of AFC.   Regards,   SymonBent South Africa RDC M: +27 61 699 6085  |  T: 2588  </t>
  </si>
  <si>
    <t>DCP Wallfence; West Footing</t>
  </si>
  <si>
    <t>Saved as “ZMB Katete RTO Wallfence DCP Footing 20141224.pdf” in folder below   Approved. Proceed. Tx.   Regards, Mark Allan (ZAF-RDC) (REC) Watch Tower Bible and Tract Society of South Africa, NPC. Registration number: 2006/022758/08. PB</t>
  </si>
  <si>
    <t>Salvidge, Mark; Washburn, Nathan; Allan, Mark; Crook, Arthur</t>
  </si>
  <si>
    <t>Choral recording studio combined with all AV; new drawing option</t>
  </si>
  <si>
    <t>Hi Shaun,   Trying to gather together all the disparate notes, comments, meeting notes and sketches...   Attached is Arthur’s latest permutation of the Choral Studio combined with all other Audio/Video studios, editing rooms and offices.  The</t>
  </si>
  <si>
    <t>Quote, Transformer</t>
  </si>
  <si>
    <t>Zesco Quote for Transformer and Moving Pole</t>
  </si>
  <si>
    <t>Thanks   Davin   From: Bent, Symon Sent: Wednesday, December 24, 2014 11:43 AM To: Lester, Davin Cc: Thomson, Cameron; Smith, Caleb; Sondell, Henrik; Washburn, Nathan Subject: RE: ZMB Katete; Zesco Quote for Transformer and Moving Pole I</t>
  </si>
  <si>
    <t>Thomson, Cameron; Smith, Caleb; Sondell, Henrik; Washburn, Nathan</t>
  </si>
  <si>
    <t>Elec, Transformer</t>
  </si>
  <si>
    <t>Hi Davin,   Then you have approval from RDC to go ahead and order the transformer as per quotation from ZESCO.  The extra cost will be considered as an unforeseen budget overrun in the specific cost dimension.  However we confidently feel that it wi</t>
  </si>
  <si>
    <t>Oppong, Kofi; Allan, Mark</t>
  </si>
  <si>
    <t>RDC review of NLBR-  60pc Folding table for KH use</t>
  </si>
  <si>
    <t>Dear brothers,   We have reviewed the following Non-Literature Branch Requests (NLBRs) that we received from you on Monday, December 22for the GHA LDC KH Program:   NLBR # ??? : 60 pc Table; Folding   We understand that this is a top-up</t>
  </si>
  <si>
    <t>Lester, Davin; Thomson, Cameron; Smith, Caleb</t>
  </si>
  <si>
    <t>Mech, Purchasing</t>
  </si>
  <si>
    <t>Use of Local Water Tanks (APPROVED)</t>
  </si>
  <si>
    <t>Affirmative! Symon   From: ten Have, Fabian Sent: Wednesday, December 24, 2014 09:08 To: Bent, Symon Subject: FW: ZMB Katete RTO; Use of Local Water Tanks?   Hi Symon,    No objections.   Thank you,   Fabian ten Have</t>
  </si>
  <si>
    <t>Water flow Creek</t>
  </si>
  <si>
    <t>Symon I don’t know if you got some info on this already…   Here are two videos and a picture of the water flow during the present dry season. https://onedrive.live.com/redir?resid=21E839B49D5EE10F!306&amp;authkey=!ANV4p6xaPFjlToQ&amp;ithint=folder%2c</t>
  </si>
  <si>
    <t>Allan, Mark; GHA-BRANCH-Committee</t>
  </si>
  <si>
    <t>IF GHS moved out</t>
  </si>
  <si>
    <t>Paul, These are really good questions!   We'll talk this over in office tomorrow and get back to you ASAP. Kind regards, Symon  -------- Original message -------- From: "Crudass, Paul" &lt;pcrudass@gha.wtbts.net&gt; Date: 2014/12/23 16:45 (GMT+02:</t>
  </si>
  <si>
    <t>Tunstall, Hilton; Gilden, David; Coombs, Shaun; Salvidge, Mark; Fynn, Ryan</t>
  </si>
  <si>
    <t>Contract, Fence</t>
  </si>
  <si>
    <t>ZMB-Katete Contracted Fence November 2014 Report</t>
  </si>
  <si>
    <t>Contracted fence in Zambia.   From: Thomson, Cameron Sent: Tuesday, December 23, 2014 13:53 To: Bent, Symon Cc: Sadler, Shane; Finch, Ed; Sharp, Dayrell; Lester, Davin Subject: ZMB-Katete Contracted Fence November 2014 Report   Symon,</t>
  </si>
  <si>
    <t>Sadler, Shane; Finch, Ed; Sharp, Dayrell; Lester, Davin</t>
  </si>
  <si>
    <t>Contracted Fence November 2014 Report</t>
  </si>
  <si>
    <t>Symon,   An update from James on the Fence work in Katete.   Thanks Cam   From: James Makalashi [mailto:jmakalashi@gmail.com] Sent: Tuesday, December 23, 2014 1:46 PM To: Lester, Davin; Sondell, Henrik Cc: Smith, Caleb; Thomson, C</t>
  </si>
  <si>
    <t>Lester, Davin; Smith, Caleb; De Meyer, Efraim</t>
  </si>
  <si>
    <t>RDC review of Draft NLBR; REQ 520-9408; 20141223; Electrical; Cables Conduit &amp; Adapters</t>
  </si>
  <si>
    <t>Dear brothers,   We have reviewed the following Non-Literature Branch Requests (NLBRs) that we received from you on Tuesday, December 23, 2014 for the ZMB Katete RTO project :   1.       NLBR #9408 : Electrical items   We are in agreemen</t>
  </si>
  <si>
    <t>Michalakis, Evangelos; Salvidge, Mark</t>
  </si>
  <si>
    <t>Have we exhausted all options to rent buy (MINUTES)</t>
  </si>
  <si>
    <t>Yes, we do but we cannot delay it too long.  That’s why we asked them to get on with searching for rent/buy ASAP.   Symon   From: Coombs, Shaun Sent: Tuesday, December 23, 2014 10:31 To: Bent, Symon Cc: Michalakis, Evangelos; Salvidge, Mar</t>
  </si>
  <si>
    <t>Location of control joints for exterior cement rendering</t>
  </si>
  <si>
    <t>Hi Symon – see also standard details below for what happens at a 10mm control joint when plastered; the joint gets a backer rod and caulking before plastering i.e. sealant is ‘flush’ with masonry edge   Then it is plastered up to joint with a chamfe</t>
  </si>
  <si>
    <t>HDA:HDE</t>
  </si>
  <si>
    <t>WDC Procurement and Cost Management Workshop</t>
  </si>
  <si>
    <t>We are writing to express our appreciation for your participation and support of the Cost Management Workshop held from December 1-12, 2014, in Brooklyn. We appreciate that many tied in remotely at times outside of normal working hours. A brief review of</t>
  </si>
  <si>
    <t>Thank you very much for your memorandum AA:SKE November 25, 2014, containing the master plan for Assembly Halls for your branch territory together with six project specific planning studies. We understand that of the six Assembly Halls you propose to buil</t>
  </si>
  <si>
    <t>HSC:ETA</t>
  </si>
  <si>
    <t>Adjustment in Number of Project Teams for Sign Languages</t>
  </si>
  <si>
    <t>We are pleased to inform you that the Governing Body has approved an adjustment in the number of project teams allowed for sign-language translation. This will enable more deaf brothers to receive publica_x001F_tions they need, such as the Bible Teach book, The</t>
  </si>
  <si>
    <t>Mitek hat channel splicing detail</t>
  </si>
  <si>
    <t>This is the detail from MOZ Massinga RTO project:      SymonBent South Africa RDC M: +27 61 699 6085  |  T: 2588  </t>
  </si>
  <si>
    <t>Coombs, Shaun; Michalakis, Evangelos; Salvidge, Mark</t>
  </si>
  <si>
    <t>Always to pleasure to talk with you all, may Jehovah bless your efforts!   ------   Just a quick summary of our conversation:   MDG have made efforts to investigate houses for rent and purchase in Toliara already.  The houses in the town</t>
  </si>
  <si>
    <t>Workflow for Project Tracking</t>
  </si>
  <si>
    <t>Hi Symon,  So here is a rough workflow for construction to run Project Tracking. Projects in the field who don’t have access to project tracking can record their expenses on a spreadsheet similar to the example template. They send these reports down</t>
  </si>
  <si>
    <t>Borehole, Civil, Survey</t>
  </si>
  <si>
    <t>exact location of borehole</t>
  </si>
  <si>
    <t>Here you go, borehole location for Kikam. Symon   From: Meinders, Andre Sent: Monday, December 22, 2014 14:00 To: Bent, Symon Subject: RE: GHA Kikam RTO; exact location of borehole?   Hi Symon Here it is.   Thanks Andre  </t>
  </si>
  <si>
    <t>ZMB-ENG-ConstructionCommittee; Fitch, Brian; De Meyer, Efraim</t>
  </si>
  <si>
    <t>Electrical Phase rotation Issue (SOLUTION)</t>
  </si>
  <si>
    <t>Sorry, forgot the cut-sheet. Symon   From: Bent, Symon Sent: Monday, December 22, 2014 13:43 To: Blackman, Innes Cc: ZMB-ENG-ConstructionCommittee; Fitch, Brian; De Meyer, Efraim Subject: FW: ZMB Kabompo RTO; Electrical Phase rotation Issue</t>
  </si>
  <si>
    <t>Fuentes, Gloria; Scriven, Ivan; Salvidge, Mark; Chiappetta, Raquel</t>
  </si>
  <si>
    <t>TER Measurements missing</t>
  </si>
  <si>
    <t>Answer attached.  Sorry for the delay!   Greetings, SymonBent South Africa RDC M: +27 61 699 6085  |  T: 2588       From: Chiappetta, Raquel Sent: Monday, December 22, 2014 11:14 To: Bent, Symon Subject: RE: COD Kamina RTO;</t>
  </si>
  <si>
    <t>Smith, Caleb; Lester, Davin</t>
  </si>
  <si>
    <t>DC-51 CV Request Katete RTO Carpenter</t>
  </si>
  <si>
    <t>Yes, makes sense. Symon   From: Thomson, Cameron Sent: Monday, December 22, 2014 09:30 To: Bent, Symon Cc: Smith, Caleb; Lester, Davin Subject: DC-51 CV Request Katete RTO Carpenter   Symon,   Are you in agreement with this reque</t>
  </si>
  <si>
    <t>Quote Request - Exterior Light Fittings for Residence Buildings</t>
  </si>
  <si>
    <t>Hi JMD,   Here’s the response from Masaaki…   Tx,   SymonBent South Africa RDC M: +27 61 699 6085  |  T: 2588       From: Imai, Masaaki Sent: Monday, December 22, 2014 08:43 To: Bent, Symon Subject: RE: GHA BEX; Quo</t>
  </si>
  <si>
    <t>Shears, Matthew; Imai, Masaaki; De Meyer, Efraim</t>
  </si>
  <si>
    <t>Earth Wire Around New Residences</t>
  </si>
  <si>
    <t>Answer below. Symon   From: Imai, Masaaki Sent: Monday, December 22, 2014 08:37 To: Bent, Symon Cc: De Meyer, Efraim Subject: RE: GHA BEX; Earth Wire Around New Residences   Hi Symon,   Use of the bolt connectors would be fine.</t>
  </si>
  <si>
    <t>RDC review of NLBR Package - 32 - SUBMITTAL</t>
  </si>
  <si>
    <t>Dear brothers,   We have reviewed the following Non-Literature Branch Requests (NLBRs) that we received from you on Friday, December 19 for the GHA BEX project :   1.       NLBR #52831 : aluminium windows   We are in agreement with your</t>
  </si>
  <si>
    <t>Shears, Matthew; Allan, Mark; Imai, Masaaki</t>
  </si>
  <si>
    <t>RDC Review of NLBR 53366 Package no 35</t>
  </si>
  <si>
    <t>Dear brothers,   We have reviewed the following Non-Literature Branch Requests (NLBRs) that we received from you on Friday, December 19 for the GHA BEX project :   NLBR #53366 : Siemens Logo units   We are in agreement with your requests</t>
  </si>
  <si>
    <t>RDC review of NLBR Package - 34 - New Tiles Proposal</t>
  </si>
  <si>
    <t>Dear brothers,   We have reviewed the following Non-Literature Branch Requests (NLBRs) that we received from you on Tuesday, December 16 for the GHA BEX project :   1.       NLBR #53221 : Floor and wall tile from HKG [as per PDF] 2.       N</t>
  </si>
  <si>
    <t>Washburn, Nathan; Coombs, Yolanda; Salvidge, Mark</t>
  </si>
  <si>
    <t>Civil, Earthworks</t>
  </si>
  <si>
    <t>Civil proposal</t>
  </si>
  <si>
    <t>I am also adverse to dropping FFLs without very careful consideration – we have to keep the buildings up as high as practical / reasonable.    Regards, Mark Allan (ZAF-RDC) (REC) Watch Tower Bible and Tract Society of South Africa, NPC. Regist</t>
  </si>
  <si>
    <t>Salvidge, Mark; Allan, Mark; Nordin, Timothy; McDonald, Darcy</t>
  </si>
  <si>
    <t>DC-41, Shipping</t>
  </si>
  <si>
    <t>Draft DC-41 for New Editing offices in Shipping</t>
  </si>
  <si>
    <t>With the estimate workbook also (keeping things together!) Symon   From: Bent, Symon Sent: Monday, December 22, 2014 08:02 To: Coombs, Shaun Cc: Salvidge, Mark; Allan, Mark; Nordin, Timothy; McDonald, Darcy Subject: RE: COD Branch; Draft DC-</t>
  </si>
  <si>
    <t>We received a copy of the Project Approval Request (DC-41) No. 2 for the Kikwit remote translation office project. With this request you asked for an increase in the budget due to unforeseen tax or duty charges. After a discussion with a member of the Bra</t>
  </si>
  <si>
    <t>We received a copy of the Project Approval Request (DC-41) No. 2 for the Lubumbashi remote translation office project. With this request you asked for an increase in the budget due to unforeseen tax or duty charges. After a discussion with a member of the</t>
  </si>
  <si>
    <t>Civil Layout Drawings</t>
  </si>
  <si>
    <t>Keep in mind Ben’s comments below. Symon   From: Schiller, Ben Sent: Tuesday, December 16, 2014 16:12 To: Bent, Symon Subject: RE: GHA Kikam RTO Civil Drawings   As long as you’re OK with it. Nothing should change, but we still have coo</t>
  </si>
  <si>
    <t>Marriott, Brian; Coombs, Shaun; Allan, Mark</t>
  </si>
  <si>
    <t>Drawing, Rebar, Struct</t>
  </si>
  <si>
    <t>Field sketch, stirrup length corrected</t>
  </si>
  <si>
    <t>Dear brothers,   We are issuing a field sketches.  The drawing affected is as follows:   1.       KQ-S-302-S4: Stirrup length corrected to 1020mm   Please be sure to cross out the previous details where appropriate, then staple these ske</t>
  </si>
  <si>
    <t>Renting out WT Scaffold</t>
  </si>
  <si>
    <t>Hi Davin,   Sorry this one got lost in the e-mail sea---we are generally in agreement with the idea to rent out your scaffolding to the contractor as long as you don’t need it yourselves.  Might be easier if you agree a price and simply deduce it fr</t>
  </si>
  <si>
    <t>Crook, Arthur; Watts, Jeffery; Wilhjelm, Peter; Kavusa, Delphin; Coombs, Shaun; Salvidge, Mark; Guffee, Joseph; Crevatin, Roberto</t>
  </si>
  <si>
    <t>COD BEX</t>
  </si>
  <si>
    <t>Sign language in studio</t>
  </si>
  <si>
    <t>Hi Symon,   We consulted with Translation Services and they recommend that the sign language translation team and the sign language recording be together. So it would be best not to plan sign language recording in this building – but rather in the l</t>
  </si>
  <si>
    <t>Sondell, Henrik; Nolan, Todd; Thomson, Cameron; Smith, Caleb; Väänänen, Uula; Marriott, Brian; Salvidge, Mark; Coombs, Shaun; Allan, Mark</t>
  </si>
  <si>
    <t>RTO Fall Protection Plate system - PAINT-RUST etc</t>
  </si>
  <si>
    <t>Hi all, please could you take note the note below from structural.   Kind regards,   SymonBent South Africa RDC M: +27 61 699 6085  |  T: 2588       From: Allan, Mark Sent: Friday, December 19, 2014 14:37 To: Bateman, Tris</t>
  </si>
  <si>
    <t>DODIN, Jean-Marc; Shears, Matthew; Allan, Mark; InboxRDC.ZA</t>
  </si>
  <si>
    <t>Construction material ($7,870 20)</t>
  </si>
  <si>
    <t>Dear brothers,   GHA BEX has corrected the concerns we had about this NLBR, it now has our approval and can proceed.   Kind regards,   SymonBent South Africa RDC M: +27 61 699 6085  |  T: 2588   [wid:WHQ-GPD-479C652D-A911-404</t>
  </si>
  <si>
    <t>InboxRDC.ZA; Shears, Matthew; DODIN, Jean-Marc</t>
  </si>
  <si>
    <t>4633 Construction materials ($74,356 92)</t>
  </si>
  <si>
    <t>Dear brothers,   Thank you for your reminder.  This submittal from GHA contained 5 different NLBRs some of which we had comments on.  We had no concerns about the NLBR#4633 (RQ#52873), this one has our approval.   Kind regards,   SymonBe</t>
  </si>
  <si>
    <t>Washburn, Nathan; De Meyer, Efraim; ten Have, Fabian; Sukram, Sarah; Crook, Arthur; Bateman, Tristan; ZMB-ENG-ConstructionCommittee; Gilden, David; Salvidge, Mark; Coombs, Shaun; Fynn, Ryan</t>
  </si>
  <si>
    <t>Gable wall above Ring Beam - 250 CAVITY or 200 CMU Single</t>
  </si>
  <si>
    <t>Thanks all!   Hi Jared – well done! Very good suggestion. We are turning you slowly but surely into an engineer J.   You may proceed with using 200 single skin block wall for gable walls only. Where Office walls and Residence passage walls tie</t>
  </si>
  <si>
    <t>HTA:HTB</t>
  </si>
  <si>
    <t>Spiritual</t>
  </si>
  <si>
    <t>Spiritual Programs for Construction Groups and Assembly Hall Servants</t>
  </si>
  <si>
    <t>This is a revision to our circular dated HTA:HTB November 21, 2014, No. C-33652T, wherein approval was given to transmit Bethel spiritual programs to certain special full-time servants in the field under your supervision. This provision is primarily for t</t>
  </si>
  <si>
    <t>Ghana - Space for Translation and Residence Room Design</t>
  </si>
  <si>
    <t>Yes, they already have plenty of those!   FTS Range Count % of Family  1-5 80 100% Extra New Bethelites (Guess!) 1-5 36 75%  6-10 88 64%  11-15 62 36%  16-20 18 17% Qualify for B-T</t>
  </si>
  <si>
    <t>Reichel, Venessa; Bateman, Tristan; Michalakis, Evangelos; Sukram, Sarah; Chiappetta, Raquel</t>
  </si>
  <si>
    <t>Block, Struct</t>
  </si>
  <si>
    <t>Brickforce - Galvanized Tensile Strength; Cross Strand Spg; Widths</t>
  </si>
  <si>
    <t>Hi EPCs, POs and such like   So Purchasing has sourced brickforce of various widths and given item codes. I will get VR to add info to PS CAT too…   TB / VR – I will save this on N under Masonry    Regards, Mark Allan (ZAF-RDC) (REC)</t>
  </si>
  <si>
    <t>Sondell, Henrik; Thomson, Cameron; Smith, Caleb; Allan, Mark; Bateman, Tristan</t>
  </si>
  <si>
    <t>Res and Office Footing Stirrups 950mm</t>
  </si>
  <si>
    <t>Hi Davin,   Here’s the reply from the structural maestro himself.  Note the highlight…   Thanks,   SymonBent South Africa RDC M: +27 61 699 6085  |  T: 2588       From: Allan, Mark Sent: Wednesday, December 17, 2014 1</t>
  </si>
  <si>
    <t>How to fix larger custom-made guttering to GRS roofsheets</t>
  </si>
  <si>
    <t>I feel much better now.  J   Thanks   H        Hi Teresh,   The only way to secure the gutter would be to use gutter brackets to suite the gutter, there is no other way of doing it. cid:image001.jpg@01CF3E02.B04125F0</t>
  </si>
  <si>
    <t>Kaarna, Arno; Allan, Mark; Oppong, Kofi; InboxPRCH.GH</t>
  </si>
  <si>
    <t>RDC review of NLBR 5935 Steel doors and hardware for KHs</t>
  </si>
  <si>
    <t>Dear brothers,   We have reviewed the following Non-Literature Branch Requests (NLBRs) that we received from you on Wednesday, December 17, 2014  for the GHA LDC:   1.       NLBR #5953 : Steel doors and hardware for KHs   We understand t</t>
  </si>
  <si>
    <t>BOA:DCA</t>
  </si>
  <si>
    <t>Ghana Nyanyanu Assembly Hall DC-41 No 1</t>
  </si>
  <si>
    <t>Submit</t>
  </si>
  <si>
    <t>We are happy to submit to you, attached to this memorandum, our DC-41 No. 1 form for the Ghana Nyanyanu Assembly Hall project. This is the only DC-41 form we are going to submit for this project.</t>
  </si>
  <si>
    <t>PO Visit Report for BEX and RTOs</t>
  </si>
  <si>
    <t>Hi Nathan,   For RDC review.   Many thanks,   SymonBent South Africa RDC M: +27 61 699 6085  |  T: 2588       From: Bent, Symon Sent: Wednesday, December 17, 2014 18:53 To: Finch, Ed Cc: Sharp, Dayrell; Washburn, Na</t>
  </si>
  <si>
    <t>Sharp, Dayrell; Washburn, Nathan</t>
  </si>
  <si>
    <t>Dear Ed,   Please find attached the final report for our projects overseer visit to Zambia.  As the report highlights we were thoroughly impressed by the amount of work done, the quality of it and the focus on training the Zambian brothers, commenda</t>
  </si>
  <si>
    <t>Bent, Symon; Bateman, Tristan; ZMB-ENG-ConstructionCommittee</t>
  </si>
  <si>
    <t>Sitework Manhole -1 from Septic Tank 20141217</t>
  </si>
  <si>
    <t>Nice subject line!   Saved PDF as “ZMB Kabompo SAN Manhole #1 20141217.pdf” (more descriptive attachment name J) in folder below: HYPERLINK "file:///\\bethel.jw.org\zaf\Dept\RDC\Engineering\Projects\Zambia\ZMB%2009%20-%20Kabompo%20RTO\S4\Struct\D</t>
  </si>
  <si>
    <t>Thomson, Cameron; Smith, Caleb; ZMB-ENG-ConstructionCommittee; Schiller, Ben; Washburn, Nathan; Allan, Mark</t>
  </si>
  <si>
    <t>Issuing Revised Civil Drawings--C-101, C-102, C-103 (Rev 1)</t>
  </si>
  <si>
    <t>Dear brothers,   Due to the land confiscated by the expanded road reserve in front of your property, and the poor percolation results at the leach field area, we are issuing the following revised drawings for your project:   1.       LV-C-101-</t>
  </si>
  <si>
    <t>Thomson, Cameron; Smith, Caleb; Washburn, Nathan; ZMB-ENG-ConstructionCommittee; Nolan, Todd</t>
  </si>
  <si>
    <t>RDC review of NLBR 9205 for CEILINGS &amp; Concrete Floor Sealant</t>
  </si>
  <si>
    <t>Dear brothers,   We have reviewed the following Non-Literature Branch Requests (NLBRs) that we received from you on Wednesday, December 10, 2014 for the ZMB Mongu RTO project :   NLBR #9205 : Ceilings and Floor Sealant   We are in agreem</t>
  </si>
  <si>
    <t>Aggregate</t>
  </si>
  <si>
    <t>Sand Analysis</t>
  </si>
  <si>
    <t>Apologies. With Venessa being away for her mom’s sickness / funeral, we did not get a PS CATALOGUE together for Choma J. See attached cutsheets from the PS CAT:   ·         27 CnCI Successful Plastering (6 Pages).pdf – inside are sand requirements a</t>
  </si>
  <si>
    <t>Termite poisons</t>
  </si>
  <si>
    <t>That would be great. If he can confirm the reliability of the supplier to a reasonable degree, I would be happy to ‘officially’ approve it.   From: Bent, Symon Sent: Wednesday, December 17, 2014 10:27 AM To: Schiller, Ben Cc: Allan, Mark Subjec</t>
  </si>
  <si>
    <t>Choma sand analysis</t>
  </si>
  <si>
    <t>Hi Shane See attached memo...your subject lines are getting better, but could still do with some work :-) I think Symon would be discussing this in Pre-Con Mtgs? Regards, Mark Allan (ZAF-RDC) (REC) Watch Tower Bible and Tract Society of South A</t>
  </si>
  <si>
    <t>ZMB-ENG-ConstructionCommittee; Washburn, Nathan; Sondell, Henrik; Bent, Symon</t>
  </si>
  <si>
    <t>Arch, NLBR</t>
  </si>
  <si>
    <t>Windows for Audio Editing room</t>
  </si>
  <si>
    <t>HI Davin, hope all is well there.   This is a good point you bringing up, and the short answer is Yes it does provide the same sound rating. Actually, the 8.76mm HPR (single) glazing gives us the sound rating that we need for the AV Editing Rooms</t>
  </si>
  <si>
    <t>Bateman, Tristan; Bent, Symon; ZMB-ENG-ConstructionCommittee</t>
  </si>
  <si>
    <t>Res Building Missing Valmatex at 2 wall intersections</t>
  </si>
  <si>
    <t>Keeping the image in the e-mail to file later…Thanks for presenting options! Well done!   Something in your favour is yellow below – the cores are all filled in   I would suggest a variation of Option 1 – use the HPS anchor but rather use hoop</t>
  </si>
  <si>
    <t>Shears, Matthew; Wilcox, Stephanie Kate; Legere, Shaun; Allan, Mark; ten Have, Fabian</t>
  </si>
  <si>
    <t>RDC review of NLBR Package - 33 - SUBMITTAL</t>
  </si>
  <si>
    <t>Dear brothers,   We have reviewed the following Non-Literature Branch Requests (NLBRs) that we received from you on Friday, December 12, 2014 for the GHA BEX project :   1.       NLBR #5143 : Plumbing fittings for test gauge   We are in</t>
  </si>
  <si>
    <t>ZMB-ENG-ConstructionCommittee; Washburn, Nathan</t>
  </si>
  <si>
    <t>RDC reivew of Draft NLBR; REQ 520-9238; 20141211; Aluminum Doors &amp; Windows</t>
  </si>
  <si>
    <t>Dear brothers,   We have reviewed the following Non-Literature Branch Requests (NLBRs) that we received from you on Thursday, December 11, 2014 for the ZMB Katete RTO project :   1.       NLBR #9238 : Aluminum windows and doors   We are</t>
  </si>
  <si>
    <t>TECHNICAL REVIEW GHA DC-41: Hyanyanu AH Budget and Drawings</t>
  </si>
  <si>
    <t>Hi Daniel, Please see below. This should help with getting it going again. Thanks, Tim Nordin ZAF-RDC Watch Tower Bible and Tract Society of South Africa, NPC. Registration number: 2006/022758/08.PBO number: 930021658 ______________________</t>
  </si>
  <si>
    <t>DCP Septic</t>
  </si>
  <si>
    <t>Approved. Proceed. Tx.   Saved as: HYPERLINK "file:///\\bethel.jw.org\zaf\Dept\RDC\Engineering\Projects\Zambia\ZMB%2013%20-%20Katete%20RTO\S4\Struct\DCP%20Tests\Septic%20Tank\ZMB%20Katete%20RTO%20Septictank%20DCP%20Footing%2020141212.pdf"\\bethel</t>
  </si>
  <si>
    <t>Bent, Symon; St. Jean, Zeny</t>
  </si>
  <si>
    <t>WDC recommendation on makeup of ZMB CCs</t>
  </si>
  <si>
    <t>Nathan, We agree with the proposal. In addition to the CO, ACO, and Caleb, we would like to have 2 local BCS be appointed to each construction committees. With training, it would be great if a local brother could then be appointed as an ACO when the RT</t>
  </si>
  <si>
    <t>Arch, Windows</t>
  </si>
  <si>
    <t>Proposal Window Dimension and Installation Method (SS COMMENTS)</t>
  </si>
  <si>
    <t>I am happy with the consensus on the detail.   GHA is making me ;-) lately.  Thanks   Sarah R. Sukram (SRS) South Africa Regional Design/Construction Office (RDC) HYPERLINK "mailto:Engineering.za@jw.org"Engineering.za@jw.org 011-761-1</t>
  </si>
  <si>
    <t>Washburn, Nathan; Bent, Symon; Fanica, Eduardo; Gustavsson, Östen; Nardini, Andrea; Wridgway, Wayne; Tunstall, Hilton; Woods, Dennis</t>
  </si>
  <si>
    <t>Doors, Keys</t>
  </si>
  <si>
    <t>2014-12-09 MOZ SALTO Revised Scope DOOR SURVEY UPDATED</t>
  </si>
  <si>
    <t>Paul,   Sorry for the delayed response. Thanks for sending this. We are working our way through this and will get back as soon as we are done.    Thanks, MM   From: Carnell, Paul Sent: Tuesday, December 09, 2014 1:28 PM To: Mordeck</t>
  </si>
  <si>
    <t>Proposal Window Dimension and Installation Method</t>
  </si>
  <si>
    <t>Excellent.  I agree with their proposed method.   I would suggest adding a drip groove in the plaster above the window, to prevent water from running backwards toward the window.      Sarah R. Sukram (SRS) South Africa Regional Design</t>
  </si>
  <si>
    <t>Bent, Symon; Thomson, Cameron</t>
  </si>
  <si>
    <t>Weepholes in the cavity wall</t>
  </si>
  <si>
    <t>Oops – you mean 50mm height L sorry J   Regards, Mark Allan (ZAF-RDC) (REC) Watch Tower Bible and Tract Society of South Africa, NPC. Registration number: 2006/022758/08. PBO number: 930021658   From: Allan, Mark Sent: 12 December 2014</t>
  </si>
  <si>
    <t>Bent, Symon; Sukram, Sarah; Michalakis, Evangelos; Shears, Matthew; Breakell, Ben</t>
  </si>
  <si>
    <t>Arch, Roof</t>
  </si>
  <si>
    <t>Barge board, fascia and soffit detail</t>
  </si>
  <si>
    <t>Hi Mark,   Fascia and Barge will match up. We shall be happy to keep Sarah happy J   Thank you, Jean-Marc Dodin Construction Office GHANA BEX Extension:  22431 Cell: 054 431 4831       From: Allan, Mark Sent: Frida</t>
  </si>
  <si>
    <t>NLBR DRAFT 9086 Utility Roof Structure 5 Porch Awnings; Hardware (STRUCT REPLY)</t>
  </si>
  <si>
    <t>If you have made the changes, I am happy. Go ahead – no need for a second review…   Symon – I will save this in: H:\RDC\Engineering\Projects\Zambia\ZMB 10 - Mongu RTO\S4\EPC\CorLog   Regards, Mark Allan (ZAF-RDC) (REC) Watch Tower Bib</t>
  </si>
  <si>
    <t>Bent, Symon; Bateman, Tristan; De Meyer, Efraim; ZMB-ENG-ConstructionCommittee</t>
  </si>
  <si>
    <t>ELEC OK Electrical Conduits run HORIZ in walls QUICK ANSWER</t>
  </si>
  <si>
    <t>Hi Jared   See below for ELEC COMMENTS…   Regards, Mark Allan (ZAF-RDC) (REC) Watch Tower Bible and Tract Society of South Africa, NPC. Registration number: 2006/022758/08. PBO number: 930021658   From: De Meyer, Efraim Sent: 11</t>
  </si>
  <si>
    <t>Reichel, Venessa; Bent, Symon; Bateman, Tristan; ZMB-ENG-ConstructionCommittee</t>
  </si>
  <si>
    <t>Grease Trap Foundation Detail C-506 (Y16s B2) FIELD SKETCH</t>
  </si>
  <si>
    <t>Thanks VR. Jared – see attached. So Y16s are shorter bars going across width and must be at B2 (top mat) because slab is hogging, not sagging   Symon – saved in: HYPERLINK "file:///\\bethel.jw.org\zaf\Dept\RDC\Engineering\Projects\Zambia\ZMB%2010</t>
  </si>
  <si>
    <t>Bent, Symon; DODIN, Jean-Marc; Bent, Symon</t>
  </si>
  <si>
    <t>CDP, Design, Survey</t>
  </si>
  <si>
    <t>Second Gate Entry Position</t>
  </si>
  <si>
    <t>Thanks Andre. Sarah – over to you.   Regards, Mark Allan (ZAF-RDC) (REC) Watch Tower Bible and Tract Society of South Africa, NPC. Registration number: 2006/022758/08. PBO number: 930021658   From: Meinders, Andre Sent: 12 December 201</t>
  </si>
  <si>
    <t>JOHN VECCHIO</t>
  </si>
  <si>
    <t>Bent, Symon; Washburn, Nathan; Tunstall, Hilton; garethjekins@gmail.com</t>
  </si>
  <si>
    <t>SAF LPD Salto Keyless Access DOOR LOCATIONS</t>
  </si>
  <si>
    <t>Hi Paul,   Again please accept my apologies for not getting back to you sooner with your questions.     Re: Installation &amp; Material Component cost’s for the Salto Cylinder and standard Salto Escutcheon Handle set.   I have detailed fo</t>
  </si>
  <si>
    <t>Nolan, Todd; ZMB-ENG-ConstructionCommittee</t>
  </si>
  <si>
    <t>Tuffa Tank - Which side to mount cabinet</t>
  </si>
  <si>
    <t>Answer below. Symon   From: ten Have, Fabian Sent: Thursday, December 11, 2014 07:27 PM To: Bent, Symon Subject: RE: ZMB Mongu RTO Tuffa Tank - Which side to mount cabinet   Hi Symon,   As far as I know the Tuffa tank system will</t>
  </si>
  <si>
    <t>Fruciano, Jared; ZMB-ENG-ConstructionCommittee; Bent, Symon; Michalakis, Evangelos; Bateman, Tristan</t>
  </si>
  <si>
    <t>Office Res Bldg Mono Truss Internal Wall Plate</t>
  </si>
  <si>
    <t>Hi Innes. This has come up before…some points:   ·         We no longer spec the timber wall plate for new RTOs – we spec the trusses to sit directly on the ring beam now. But MWI, one of our first, and with a timber wall plate too, had a similar qu</t>
  </si>
  <si>
    <t>HDA:HDG</t>
  </si>
  <si>
    <t>COTC, Training</t>
  </si>
  <si>
    <t>WDC Construction Oversight Training Classes</t>
  </si>
  <si>
    <t>Thank you for your recommendations regarding upcoming Construction Oversight Training Courses (COTC) for your regions. The Publishing Committee has approved the classes you recommended as follows:</t>
  </si>
  <si>
    <t>Form, safety</t>
  </si>
  <si>
    <t>Circular—Job Hazard Analysis Form</t>
  </si>
  <si>
    <t>The importance of maintaining a safe workplace cannot be overemphasized. As Branch Organization 4:101 states, “Imitating Jehovah, the Branch Committee places a high value on human life. (Ps. 36:9) The most valuable assets to Bethel are people. Therefore,</t>
  </si>
  <si>
    <t>Office Ring Beam CONTROL JOINT 20141210</t>
  </si>
  <si>
    <t>Hi Innes – thanks for your comments, and also your ideas / proposals   ·         Leave the R20 bar presently in place (cast in place with one end sticking out that will be sleeved/end taped up) – this bar was cast as per the method below  </t>
  </si>
  <si>
    <t>Jones, David M.; GHA-BRANCH-Committee; GHA-CNST-Committee</t>
  </si>
  <si>
    <t>Ghana Branch External Electronic door key system</t>
  </si>
  <si>
    <t>Dear Symon,   Concerning the existing 28 entrances we want to electronic system, we have attached details of the different types of doors we have.   Please, have a look at it and let us know if there is any further information needed to move t</t>
  </si>
  <si>
    <t>Nolan, Todd; Bent, Symon; Moore, Benjamin; Cruthirds, Nathan</t>
  </si>
  <si>
    <t>FRP septic tank questions</t>
  </si>
  <si>
    <t>Flip. The tough part is the manhole size. Speaking to Ben Moore this morning about installation, the filter will barely fit in there, normally you have one guy in there who helps glue everything in place and then crawls out. But you can’t do that here, th</t>
  </si>
  <si>
    <t>Mark,   Here are the notes Rene made on the two methods of installations for Residence 10.  Ghana is now being plastered so some of the issues will change since no facebrick.  Ghana is proposing foam and silicon but in a 5mm gap instead of the 10mm</t>
  </si>
  <si>
    <t>Wilcox, Stephanie Kate; Legere, Shaun</t>
  </si>
  <si>
    <t>Looks good, please go ahead. Symon   From: DODIN, Jean-Marc Sent: Monday, December 8, 2014 06:44 PM To: Bent, Symon Cc: Wilcox, Stephanie Kate; Legere, Shaun Subject: FW: GHA BEX; RDC review of NLBR Package # 32 - SUBMITTAL    Hi Symon</t>
  </si>
  <si>
    <t>Bent, Symon; ZMB-ENG-ConstructionCommittee; Bateman, Tristan; Nolan, Todd</t>
  </si>
  <si>
    <t>Office Building Prelayer DCP Results 14 12 09 (under SOG)</t>
  </si>
  <si>
    <t>Approved   Saved as “ZMB Mongu RTO Office Building Pre-layer DCP Results (under sog).pdf” in: HYPERLINK "file:///\\bethel.jw.org\zaf\Dept\RDC\Engineering\Projects\Zambia\ZMB%2010%20-%20Mongu%20RTO\S4\Struct\DCP%20Tests\Office%20Bldg"H:\RDC\Engine</t>
  </si>
  <si>
    <t>Office Building Pre-layer DCP Results (under SOG)</t>
  </si>
  <si>
    <t>Thanks. Good file name J   Tests as shown on ‘pre layer’ in “ZMB Mongu RTO Office Building DCP Test Pre-Layer - Dining Room Area 14.12.09.pdf” approved. Proceed.   Regards, Mark Allan (ZAF-RDC) (REC) Watch Tower Bible and Tract Society o</t>
  </si>
  <si>
    <t>Nordin, Timothy; Washburn, Nathan; DODIN, Jean-Marc</t>
  </si>
  <si>
    <t>Ghana A08 Reports for GHA0011, GHA0012, GHA0013, GHA0014</t>
  </si>
  <si>
    <t>Symon: I have returned these to you as the PO because it may be that Ghana does not understand the need for accurate information on the AO-8s.  I have highlighted several comments that raise questions that you should review.  The idea that the exchange</t>
  </si>
  <si>
    <t>rodney@mrhce.co.za; St. Jean, Zeny</t>
  </si>
  <si>
    <t>CDP, Design, Contract</t>
  </si>
  <si>
    <t>WSP MRH Engineering (Update TOPO SURVEY)</t>
  </si>
  <si>
    <t>Thanks Patrick. We will discuss here and inform you soonest   Regards, Mark Allan (ZAF-RDC) (REC) Watch Tower Bible and Tract Society of South Africa, NPC. Registration number: 2006/022758/08. PBO number: 930021658   From: Riley, Patrick</t>
  </si>
  <si>
    <t>Thomson, Bonny</t>
  </si>
  <si>
    <t>Blackman, Helen</t>
  </si>
  <si>
    <t>Blackman, Innes; Fruciano, Jared; Lester, Davin; InboxTRSR.ZM; InboxENG.ZM; Bent, Symon</t>
  </si>
  <si>
    <t>Petty Cash Auditing</t>
  </si>
  <si>
    <t>Hello All:   In the meeting with Treasury today some further direction was given regarding managing the petty cash on a remote site.  Brother Simon Bent recommended that the petty cash be checked and confirmed weekly.  He said that it is good to rot</t>
  </si>
  <si>
    <t>Meinders, Andre; Shears, Matthew; Allan, Mark; Washburn, Nathan</t>
  </si>
  <si>
    <t>Embedded (12)</t>
  </si>
  <si>
    <t>Dear brothers,   We have reviewed the following Non-Literature Branch Requests (NLBRs) that we received from you on Friday, December 5, 2014 for the GHA BEX project :   NLBR # 52831 – Architectural -Windows for Res 3.2, 3.3, 4.2 – HKG Sea Frei</t>
  </si>
  <si>
    <t>Hi,   An updated Incident Report (TO-5) has been issued and designed to replace the following forms: 1.      Accident Report (TO-5) 2.      Property Loss Report (TO-55) 3.      Incident Report for Construction Personnel (CN-20) 4.   </t>
  </si>
  <si>
    <t>Service Building Current Design</t>
  </si>
  <si>
    <t>Symon – I see you did not copy me when you sent the request to AC below to look at Bob Pollock’s comments. Please copy me as RPC on all such important e-mails?   Regards, Mark Allan (ZAF-RDC) (REC) Watch Tower Bible and Tract Society of South</t>
  </si>
  <si>
    <t>Elec, Planning</t>
  </si>
  <si>
    <t>Confirm electrical information</t>
  </si>
  <si>
    <t>TX Efraim   From: Bent, Symon Sent: Sunday, December 07, 2014 3:26 PM To: De Meyer, Efraim Subject: FW: GHA Kikam RTO; Confirm electrical information   FYI Symon   From: Meinders, Andre Sent: Sunday, December 7, 2014 03:00 PM</t>
  </si>
  <si>
    <t>Coombs, Shaun; Salvidge, Mark; Allan, Mark</t>
  </si>
  <si>
    <t>Combining all AV facilities into one building</t>
  </si>
  <si>
    <t>Morning Arthur,   I’m not the bearer of happy news, but as you know these things have a way of taking on a life of their own:   COD recently met with PWG and WDC to discuss their long-term studio needs and the upshot is the following:   </t>
  </si>
  <si>
    <t>Allan, Mark; Reichel, Venessa</t>
  </si>
  <si>
    <t>FS KQ-S-101-S2--location of saw-cut</t>
  </si>
  <si>
    <t>Dear brothers,   We are issuing some field sketches that affect the internal stem walls (see highlighted comments from Structural below also).  The drawings affected are as follows:   1.       KQ-S-101-S2: Internal wall footing section residen</t>
  </si>
  <si>
    <t>RDC review of Draft NLBR; REQ 520-8847; Plumbing; Order 2; 20141113</t>
  </si>
  <si>
    <t>Dear brothers,   We have reviewed the following Non-Literature Branch Requests (NLBRs) that we received from you on Thursday, December 4, 2014 for the ZMB Katete RTO project :   1.       NLBR #520-8847 : Plumbing materials   We are in ag</t>
  </si>
  <si>
    <t>Blackman, Innes; Fruciano, Jared; Nolan, Todd; Sadler, Shane; CHUNN, THEODIS; Lester, Davin; Kirkland, Jason; ten Have, Fabian; Thomson, Cameron</t>
  </si>
  <si>
    <t>Scalding tempuratures from Solar Panel</t>
  </si>
  <si>
    <t>Hi Wyatt,   Thorough reply from Fabian below, should help you resolve this one quickly!   Jared/Shane/Davin: could you check if you need this for your projects also?  Dunno if you are buying locally or not.   Kind regards,   SymonB</t>
  </si>
  <si>
    <t>Trond,  Please see some answers below.  Let us know what else is needed and we will gladly respond. I am handing this over to Symon, but will continue to assist since I started it. Thanks, Nathan      From: Myklebust, Trond Sent: Th</t>
  </si>
  <si>
    <t>Shears, Matthew; Breakell, Ben; Bateman, Tristan</t>
  </si>
  <si>
    <t>Roof Structure Wall Plate (INTERNAL SIDE OF RING BM)</t>
  </si>
  <si>
    <t>Thanks Van. Please save this e-mail under the main MiTek folder for future ref and send me a link to this folder so I can also then file it on my C-drive?   Symon – I will file this under STRUCT of S4 under Ghana project   Hi JM – see below</t>
  </si>
  <si>
    <t>Allan, Mark; Bent, Symon; Bateman, Tristan; Kirkland, Jason; Sondell, Henrik; ZMB-ENG-ConstructionCommittee</t>
  </si>
  <si>
    <t>Percolation Test results</t>
  </si>
  <si>
    <t>Hi Ben   Here are the results from the Perc tests. The holes were presoaked for a a solid 1 ½ days prior to the test. Since our leach field is already dug out, the test holes were dug at the bottom of the leach field.     Hole # (Results in</t>
  </si>
  <si>
    <t>Bent, Symon; Washburn, Nathan; Bateman, Tristan; ZMB-ENG-ConstructionCommittee</t>
  </si>
  <si>
    <t>DCP Tests; Office and Residence (PRELIM - Assess 1 2m wide ftg)</t>
  </si>
  <si>
    <t>So sorry about that. We should relaly have made it clear at the Pre-Construction Meetings – our fault.    What we have now done is add an extra note on the latest RTO dwgs stating that ‘it may be possible to reduce width of footing from what is show</t>
  </si>
  <si>
    <t>Drawing, Studio</t>
  </si>
  <si>
    <t>Revised Choral studio drawing without the sign language studio</t>
  </si>
  <si>
    <t>Brothers,    Please note this revised Choral studio drawing without the sign language studio.   Jeff Watts Worldwide Design/Construction   From: Wilhjelm, Peter Sent: Wednesday, December 03, 2014 1:52 AM To: Watts, Jeffery Cc: Kav</t>
  </si>
  <si>
    <t>Construction Committee in Zambia</t>
  </si>
  <si>
    <t>Symon,   I sent this a few weeks ago to Nathan. Anyway, things might have become clearer or direction changing, but maybe you would like to read my thoughts on the last few months and the unknown future.   Thanks Cam   From: Washbu</t>
  </si>
  <si>
    <t>Reichel, Venessa; ZMB-ENG-ConstructionCommittee</t>
  </si>
  <si>
    <t>Elec, Struct</t>
  </si>
  <si>
    <t>Concrete Base for light pole</t>
  </si>
  <si>
    <t>Thanks TB   Jared – see attached Field Sketch   Symon – over to you for filing when you get back…not sure if you want to ‘issue officially’ via e-mail in the format you normally do?   Regards, Mark Allan (ZAF-RDC) (REC) Watch Tower</t>
  </si>
  <si>
    <t>Finch, Ed; Kapata, Henry; Sharp, Dayrell; Smith, Caleb; Thomson, Cameron; Washburn, Nathan</t>
  </si>
  <si>
    <t>RDC review of NLBR 9069 Un-ordered electrical parts</t>
  </si>
  <si>
    <t>Dear brothers,   We have reviewed the following Non-Literature Branch Requests (NLBRs) that we received from you on Tuesday, December 2, 2014 for the ZMB Mongu RTO project :   1.       NLBR #9069 : Electrical parts for Utilities Building  </t>
  </si>
  <si>
    <t>Commissioning of Generators</t>
  </si>
  <si>
    <t>The Ethernet cables should be CAT 5 or 6.  The start command is a 1.5 mm pair cable.   Kind regards,   Nathan Cruthirds Maintenance Support Regional Design/Construction Office Watch Tower Bible and Tract Society of South Africa NPC</t>
  </si>
  <si>
    <t>Shears, Matthew; De Meyer, Efraim</t>
  </si>
  <si>
    <t>Exterior Light Fittings for Residence Buildings</t>
  </si>
  <si>
    <t>Thanks Masaaki   Hi JM – see below   Symon – please file this on your return?   Regards, Mark Allan (ZAF-RDC) (REC) Watch Tower Bible and Tract Society of South Africa, NPC. Registration number: 2006/022758/08. PBO number: 93002165</t>
  </si>
  <si>
    <t>Choral Studio Notes 2014-12-01 docx</t>
  </si>
  <si>
    <t>Brothers,   Notes from our meeting yesterday are attached for your review.   We appreciated the opportunity to meet with you.   Jeff Watts Worldwide Design/Construction  </t>
  </si>
  <si>
    <t>Bent, Symon; Sondell, Henrik; Bateman, Tristan; ZMB-ENG-ConstructionCommittee</t>
  </si>
  <si>
    <t>Thanks for copying me into this, I was waiting to hear more about the soakaways but haven’t seen it yet.   The percolation tests that we had received for this site a year ago were all under 5 minutes per 25mm, most around 2-3. There were 4 test pits</t>
  </si>
  <si>
    <t>Hi Symon   Please find attached PDF drawings incorporating changes as per your last comments.   Just a note, with the walkways, I have provided access to the walkways between the parking area and the utilities platform – see drawing C1000 – C1</t>
  </si>
  <si>
    <t>Utility Building Steel Structure and Porches Need to be Galvanized</t>
  </si>
  <si>
    <t>Please continue with GALVANIZED. Whenever we get these from REP, we get them galvanized.    For USD 800, the long term benefits (no re-painting in 5 years’ time etc) far outweigh the short term ‘extra cost’…and to get them painted will take longer p</t>
  </si>
  <si>
    <t>InboxRDCEngineering.ZA</t>
  </si>
  <si>
    <t>While, Mark; Bent, Symon; White, Tara; r.gurdev@saltosystems.com; g.dosanjh@saltosystems.com; garethjekins@gmail.com; Brandimarte, Samuele; Washburn, Nathan</t>
  </si>
  <si>
    <t>SAF LPD Salto Keyless Access FUEL AND GATE SYSTEMS</t>
  </si>
  <si>
    <t>Hi John,   Further to the gatehouse information I sent though last week, I have attached a copy of the new gatehouse booms that our maintenance team is planning to install as a straight replacement for the existing booms.  The new booms will be cont</t>
  </si>
  <si>
    <t>Bent, Symon; ZMB-ENG-ConstructionCommittee; Bateman, Tristan</t>
  </si>
  <si>
    <t>Rebar, Struct</t>
  </si>
  <si>
    <t>2 Q's on Cavity Wall details (MORTAR FILLETR6 BAR in OUTER SKIN)</t>
  </si>
  <si>
    <t>Thanks!   Regards, Mark Allan (ZAF-RDC) (REC) Watch Tower Bible and Tract Society of South Africa, NPC. Registration number: 2006/022758/08. PBO number: 930021658   From: Fruciano, Jared Sent: 02 December 2014 07:44 AM To: Allan, Mark</t>
  </si>
  <si>
    <t>Negrette, Ralph</t>
  </si>
  <si>
    <t>Explaining need for 2x BCV plumbers</t>
  </si>
  <si>
    <t>Dear Symon,    Thank you. Ralph Negrette RD/C Department   From: Bent, Symon Sent: Monday, December 01, 2014 9:48 AM To: Washburn, Nathan Cc: Negrette, Ralph Subject: GHA BEX; Explaining need for 2x BCV plumbers   Hi Ralph,  </t>
  </si>
  <si>
    <t>Construction Personnel Request DC-51</t>
  </si>
  <si>
    <t>Brandt couple</t>
  </si>
  <si>
    <t>Hi Brad,   I talked this one over thoroughly with the CC brothers there in GHA.  They all unanimously agree that this is an excellent couple and that they can fully utilise his skills (both blockwork and tile) for the coming year as they construct t</t>
  </si>
  <si>
    <t>Bent, Symon; Shears, Matthew; Wilcox, Stephanie Kate; DODIN, Jean-Marc</t>
  </si>
  <si>
    <t>RDC review of NLBR Package - 29 - SUBMITTAL</t>
  </si>
  <si>
    <t>Hi Mark, Symon,    Thank you for the explanation. I agree with the approach, no changes needed.   Thank you,   Fabian ten Have South Africa Regional Design/Construction Department   From: Allan, Mark Sent: Monday, December 01,</t>
  </si>
  <si>
    <t>Fuentes, Gloria; Coombs, Shaun; Salvidge, Mark</t>
  </si>
  <si>
    <t>Confirm sill height of windows</t>
  </si>
  <si>
    <t>Here is the reply.   Symon   From: Michalakis, Evangelos Sent: Monday, November 17, 2014 10:54 AM To: Bent, Symon Cc: Coombs, Shaun; Tunstall, Hilton; Chiappetta, Raquel Subject: RE: COD Kamina RTO; Confirm sill height of windows?  </t>
  </si>
  <si>
    <t>Kirchner, Johannes; Crudass, Paul; Meinders, Andre</t>
  </si>
  <si>
    <t>Arch, Design, Laundry</t>
  </si>
  <si>
    <t>Laundry check-in comments</t>
  </si>
  <si>
    <t>Hi Symon,   Last time we talked about this point at CC, we understood from Johannes comments that home would be able to work around the present layout even they come later with the option of  collecting dirty laundry from residences. I am copying</t>
  </si>
  <si>
    <t>/O=WATCHTOWER/OU=EXCHANGE ADMINISTRATIVE GROUP (FYDIBOHF23SPDLT)/CN=RECIPIENTS/CN=TUNSTALL, HILTONABC</t>
  </si>
  <si>
    <t>Coombs, Shaun; Allan, Mark; Gilden, David; Salvidge, Mark</t>
  </si>
  <si>
    <t>CDP, Template</t>
  </si>
  <si>
    <t>CDP cost summary template (draft)</t>
  </si>
  <si>
    <t>Symon:   FYI.  Copying the other chappies so that they know what is in the air.  Seems the approval submission is changing.    H   From: McCarthy, Benjamin Sent: Friday, November 28, 2014 3:40 PM To: Washburn, Nathan; Proszek, Fred C</t>
  </si>
  <si>
    <t>Shears, Matthew; Meinders, Andre; Allan, Mark; InboxWDC</t>
  </si>
  <si>
    <t>RDC review of NLBR Package -31 - Submittal</t>
  </si>
  <si>
    <t>Dear brothers,   We have reviewed the following Non-Literature Branch Requests (NLBRs) that we received from you on Friday, November 28, 2014 for the GHA BEX project :   1.       NLBR #52707 – Fusion fittings   We are in agreement with y</t>
  </si>
  <si>
    <t>Meinders, Andre; Allan, Mark; InboxWDC</t>
  </si>
  <si>
    <t>Dear brothers,   We have reviewed the following Non-Literature Branch Requests (NLBRs) that we received from you on Monday, November 24, 2014 for the GHA BEX project :   1.       NLBR #52459 - Electrical for Generator &amp; Utilities Bldg and Res</t>
  </si>
  <si>
    <t>Watts, Jeffery; Washburn, Nathan; InboxWDC</t>
  </si>
  <si>
    <t>RDC review of NLBR Grundfos Borehole Pump System</t>
  </si>
  <si>
    <t>Dear brothers,   We have reviewed the following Non-Literature Branch Requests (NLBRs) that we received from you on Friday, November 21, 2014 for the ZMB Mongu RTO project :   1.       NLBR #8954 : Grundfos borehole pump   We are in agre</t>
  </si>
  <si>
    <t>More detailed info needed for E-02 and E-03 kitchen prep tables</t>
  </si>
  <si>
    <t>Some mighty fine answers from Van below,   Regards, SymonBent South Africa RDC M: +27 61 699 6085  |  T: 2588       From: Michalakis, Evangelos Sent: Friday, November 28, 2014 04:37 PM To: Bent, Symon Subject: RE: ZMB Kabomp</t>
  </si>
  <si>
    <t>Fruciano, Jared; Washburn, Nathan; InboxWDC</t>
  </si>
  <si>
    <t>RDC review of DRAFT 9502 Roofing Systems Mongu RTO</t>
  </si>
  <si>
    <t>Dear brothers,   We have reviewed the following Non-Literature Branch Requests (NLBRs) that we received from you on Friday, November 28, 2014 for the ZMB Mongu RTO project :   1.       NLBR #9502 GRS Roof system   We are in agreement wit</t>
  </si>
  <si>
    <t>Conceptual Residence - New Design Standards</t>
  </si>
  <si>
    <t>    Sarah R. Sukram (SRS) South Africa Regional Design/Construction Office (RDC) HYPERLINK "mailto:Engineering.za@jw.org"Engineering.za@jw.org 011-761-1000 Ext. 2589  </t>
  </si>
  <si>
    <t>LKA BEX</t>
  </si>
  <si>
    <t>As-built, Drawing</t>
  </si>
  <si>
    <t>LKA As-builts - 2014-11-18 AUSRDC to SARDC re Sri Lanka drawing</t>
  </si>
  <si>
    <t>And this one too?   Tx Mark A   From: InboxRDC.ZA Sent: 26 November 2014 08:31 AM To: Bent, Symon Subject: FW: LKA As-builts - 2014-11-18 AUSRDC to SARDC re Sri Lanka drawing   How does this relate to the other LKA as-built e-mail</t>
  </si>
  <si>
    <t>ZMB-ENG-ConstructionCommittee; Washburn, Nathan; ten Have, Fabian; Schiller, Ben</t>
  </si>
  <si>
    <t>Revised C-103 utilities plan Layout (AGREED)</t>
  </si>
  <si>
    <t>Positive response below!   SymonBent South Africa RDC M: +27 61 699 6085  |  T: 2588   From: ten Have, Fabian Sent: Monday, November 3, 2014 11:47 AM To: Schiller, Ben; Bent, Symon Subject: RE: ZMB Kabompo Revised C-103 utilities pla</t>
  </si>
  <si>
    <t>Watts, Jeffery; Washburn, Nathan; McDonald, Darcy</t>
  </si>
  <si>
    <t>Budget memos, worksheets and analysis; detailed risk estimates</t>
  </si>
  <si>
    <t>Hi Simon   Thanks for the figures – we agree with the total construction costs for both RTO’s (as the NTE below) However, we recommend that the risk figures be reduced, so the following should be used (note – this does not change the figures in t</t>
  </si>
  <si>
    <t>Blackman, Innes; ZMB-ENG-ConstructionCommittee; Washburn, Nathan; InboxWDC</t>
  </si>
  <si>
    <t>RDC review of Draft NLBR for Cook chill and Electrical BO</t>
  </si>
  <si>
    <t>Dear brothers,   We have reviewed the following Non-Literature Branch Requests (NLBRs) that we received from you on Wednesday, November 26, 2014  for the ZMB Kabompo RTO project :   1.       NLBR #8987 : Cook Chill kitchen equipment 2.     </t>
  </si>
  <si>
    <t>Fuentes, Gloria</t>
  </si>
  <si>
    <t>Coombs, Shaun; Salvidge, Mark; Allan, Mark; Bateman, Tristan</t>
  </si>
  <si>
    <t>Fire wall footing, weep hole spacing</t>
  </si>
  <si>
    <t>Hi Gloria,   Replies below, plus some well-deserved commendation!   Tx,   SymonBent South Africa RDC M: +27 61 699 6085  |  T: 2588       From: Allan, Mark Sent: Thursday, November 27, 2014 04:27 PM To: Bent, Symon</t>
  </si>
  <si>
    <t>Smith, Caleb; Kapata, Henry</t>
  </si>
  <si>
    <t>Trucking needs for Construction Department in Zambia</t>
  </si>
  <si>
    <t>Brothers,   Over the past couple of weeks I have “floated” an idea regarding making changes in the way we handle the delivering of material to RTO construction sites. As requested, here is a breakdown of the idea to combine the shipping of litera</t>
  </si>
  <si>
    <t>Submitting Funding Requests (DC-41 and DC-42) for Approval</t>
  </si>
  <si>
    <t>Before submitting funding requests for approval we would like to ensure that costs for the whole project, including any future funding needs, are carefully calculated and updated. Therefore, we request that you provide the following information for inclus</t>
  </si>
  <si>
    <t>Meinders, Andre; Michalakis, Evangelos; Allan, Mark; Bateman, Tristan</t>
  </si>
  <si>
    <t>MiTek Roof Structure Splice connection (MiTeks Response)</t>
  </si>
  <si>
    <t>A reply for your truss splice question.   Symon   From: Michalakis, Evangelos Sent: Wednesday, November 26, 2014 04:07 PM To: Bent, Symon Subject: GHA BEX; MiTek Roof Structure Splice connection (MiTeks Response)   Hi Symon,   </t>
  </si>
  <si>
    <t>Tunstall, Hilton; Bent, Symon; Fynn, Ryan; ten Have, Fabian; Washburn, Nathan</t>
  </si>
  <si>
    <t>Office and Residence Guidelines - Meeting with RDCs</t>
  </si>
  <si>
    <t>FYI Architects…and EPCs. Sorry for not sending sooner. Somehow I thought you had all been copied L   Regards, Mark Allan (ZAF-RDC) (REC) Watch Tower Bible and Tract Society of South Africa, NPC. Registration number: 2006/022758/08. PBO number:</t>
  </si>
  <si>
    <t>Standard Two-Level Kingdom Hall Design for Ghana</t>
  </si>
  <si>
    <t>This memorandum is to present to you architectural drawings for a two level Kingdom Hall for Ghana. This will be used in mainly urban areas where larger property is difficult to find and congregation densities are high. At this time, we have at least thre</t>
  </si>
  <si>
    <t>DC-71, Design</t>
  </si>
  <si>
    <t>1st Quarter 2015 Local Design Construction Department Report (DC-71)</t>
  </si>
  <si>
    <t>As requested in letter HPA:HDA June 26, 2014, No. C-29869P, please provide us with the Local Design/Construction Department Report (DC-71) for the first quarter ending November 30, 2014. The Worldwide Design/Construction Department gathers these reports f</t>
  </si>
  <si>
    <t>AFC, Contract, Elec</t>
  </si>
  <si>
    <t>Electrical review comments</t>
  </si>
  <si>
    <t>Hi JMD,   Here’s a few more comments from Electrical about the Baatsona SKE review.  Forgot to add these.   Kind regards,   SymonBent South Africa RDC M: +27 61 699 6085  |  T: 2588       -----Original Message----- Fro</t>
  </si>
  <si>
    <t>AFC, Contract</t>
  </si>
  <si>
    <t>RDC review of final AFC Drawings and Tender Package</t>
  </si>
  <si>
    <t>Dear brothers,   Please find attached our office review of the complete AFC drawing package you provided, along with the Tender/BOQ documents.  We hope that this will be of assistance as you finalise the package with Falcon Engineering.   NOTE</t>
  </si>
  <si>
    <t>Breakell, Ben; Legere, Shaun</t>
  </si>
  <si>
    <t>Budget, Windows</t>
  </si>
  <si>
    <t>MTO pricing for windows</t>
  </si>
  <si>
    <t>Sounds good.  You have our agreement to use 12mm then.  Even with shipping (~40%) it’s still good value for money.   Symon   From: InboxCNST.GH Sent: Tuesday, November 25, 2014 05:08 PM To: Bent, Symon Cc: Breakell, Ben; Legere, Shaun Sub</t>
  </si>
  <si>
    <t>Creek - South Wall Exit</t>
  </si>
  <si>
    <t>Hi Symon,   Please find attached a pdf showing some pics as well as measurements at the south exit of the creek. We also discussed about the proposal to have a box culvert or concrete pipe in the centre of  wider swale for dry season small flow a</t>
  </si>
  <si>
    <t>Kaarna, Arno; Crudass, Paul; Bent, Symon</t>
  </si>
  <si>
    <t>Budget, NLBR</t>
  </si>
  <si>
    <t>Budget approvals and requisitions</t>
  </si>
  <si>
    <t>Daniel, I might add in here—if the Branch Committee is uncomfortable with that approach, there is certainly no harm in submitting a NLBR to WHQ.     But as Symon rightly says, most Branch Committees have agreed to letting the LDC buy items that a</t>
  </si>
  <si>
    <t>Photo Report - Dewatering Rockfill</t>
  </si>
  <si>
    <t>Hmmm…totally the wrong product (yellow below). We wanted permeable geofabric not impermeable plastic. Should have been a submittal from Kamina if they did not have geofabric. Ah well – nothing we can do now. The tank is built   Regards, Mark Alla</t>
  </si>
  <si>
    <t>ZMB-ENG-ConstructionCommittee; Washburn, Nathan; Michalakis, Evangelos; Chiappetta, Raquel</t>
  </si>
  <si>
    <t>Kitchen Layout extractor mounting location</t>
  </si>
  <si>
    <t>Hi Innes,   Answers below and attached.   Kind regards,   SymonBent South Africa RDC M: +27 61 699 6085  |  T: 2588       From: Michalakis, Evangelos Sent: Tuesday, November 25, 2014 09:22 AM To: Chiappetta, Raquel;</t>
  </si>
  <si>
    <t>Tolliver, Dan (GMail)</t>
  </si>
  <si>
    <t>Septic tank proposal (Lower Dividing Wall) - KEEP AT 100mm</t>
  </si>
  <si>
    <t>Thanks Dan   Hi all – see below. Please keep the gap at 100mm? (I copy other Designers, POs and EPCs in case it comes up as a query on another project…)   Ben – I will save this MSG in:  HYPERLINK "file:///\\bethel.jw.org\zaf\DeptArchive\RD</t>
  </si>
  <si>
    <t>Parts for SDMO Generators</t>
  </si>
  <si>
    <t>We are writing to provide you with a list of consumable parts that are used by the SDMO generators throughout your branch territory. Due to the frequency of replacing these consumables, we are suggesting the branch keep a small stock of parts for the gene</t>
  </si>
  <si>
    <t>Design, Solar</t>
  </si>
  <si>
    <t>Theocratic Facility Solar Photovoltaic System Evaluation and Design Support</t>
  </si>
  <si>
    <t>In recent years, improvements in technology coupled with ever increasing electricity costs have enhanced the economic feasibility of solar photovoltaic (PV) systems. As a result, solar PV systems of various sizes have been installed at an ever increasing</t>
  </si>
  <si>
    <t>Percolation Test</t>
  </si>
  <si>
    <t>Here it is.   From: small project [mailto:khcgroupseven@gmail.com] Sent: Monday, November 24, 2014 1:29 PM To: InboxCNST.GH Subject: Re: Perolation Test   Andre   Here is the Percolation test for the laterite area. The holes 12.5m ap</t>
  </si>
  <si>
    <t>Bent, Symon; Allan, Mark; Salvidge, Mark; Proszek, Fred; Watts, Jeffery</t>
  </si>
  <si>
    <t>Committee, Personnel</t>
  </si>
  <si>
    <t>Zambia CC make up</t>
  </si>
  <si>
    <t>Nathan,   After discussing it with Fred (who looks after Project Management in WDC) we agree that with the current situation in ZMB it makes more sense to have separate CC’s for each RTO project. There would not be BC members on the CC’s as per the</t>
  </si>
  <si>
    <t>Meinders, Andre; Allan, Mark; Bateman, Tristan</t>
  </si>
  <si>
    <t>Ring Beam Galv Anchor Bar; Close off Top of Gable (STRUCT REPLY)</t>
  </si>
  <si>
    <t>Some mighty fine answers below pardners!  Have a good weekend.   Kind regards,   SymonBent South Africa RDC M: +27 61 699 6085  |  T: 2588       From: Allan, Mark Sent: Friday, November 21, 2014 08:29 AM To: Bent, Symon C</t>
  </si>
  <si>
    <t>AH, Planning</t>
  </si>
  <si>
    <t>Thanks Nathan, We will proceed. Henry   From: Washburn, Nathan Sent: 21 November 2014 15:29 To: Kapata, Henry Cc: Finch, Ed; Mondoka, Molson; Simwamba, Japhet; Bent, Symon Subject: RE: Zambia Assembly Hall Overall Plan   Henry, M</t>
  </si>
  <si>
    <t>ZMB-ENG-ConstructionCommittee</t>
  </si>
  <si>
    <t>Requested information for RDC Visit</t>
  </si>
  <si>
    <t>Symon/Nathan   Here is the most current information in preparation for your visit. We are sending it electronically ahead of time as requested, but will have it on hand as well when you arrive. If additional points arise in the next week, I will</t>
  </si>
  <si>
    <t>We are pleased to inform you that local branch offices are now permitted to transmit certain spiritual programs to construction servants under their supervision. This provision is primarily for those serving as construction servants (BCS), expatriate cons</t>
  </si>
  <si>
    <t>DC-41, Setup</t>
  </si>
  <si>
    <t>DC-41 No 1 Setup and Vehicles</t>
  </si>
  <si>
    <t>In their memorandum HPA:HDA October 21, 2014 No. 32920P the Publishing Committee gave approval for the ZMB Choma Chitonga RTO project to go ahead up, with an Approval Spending Limit of $1,640,000. Therefore we are forwarding to you the DC-41 No.1 Budget R</t>
  </si>
  <si>
    <t>Kikwit Assembly Hall Planning Study</t>
  </si>
  <si>
    <t>With the Publishing Committee's letter HPA:HDA January 20, 2014 No. 25170P to Congo (Kinshasa), overall approval was given to South Africa's memorandum REA:REJ November 29, 2013 that contained the Assembly Hall Overall Plan for the two Congo’s. Included i</t>
  </si>
  <si>
    <t>Assembly Hall Kamina Project-Project Approval Request (DC-41)</t>
  </si>
  <si>
    <t>We are writing in response to your DC-41 for the Assembly Hall Kamina Project for the sum of USD 156,911. We understand that the estimated completion date is April 30, 2015. This DC-41 is approved.</t>
  </si>
  <si>
    <t>Washburn, Nathan; Bent, Symon; Salvidge, Mark; McDonald, Darcy; Allan, Mark</t>
  </si>
  <si>
    <t>MSL costs</t>
  </si>
  <si>
    <t>Zeny,   Below are the Maximum Spending Limit costings for the Kikwit and Lubumbashi RTO projects:   Thanks,  Shaun   Kikwit CPP:                $1,700,000    HPA:HDA January 21, 2014 No. 25205P “project budget is not to exceed USD</t>
  </si>
  <si>
    <t>ZMB-ENG-ConstructionCommittee; Bateman, Tristan</t>
  </si>
  <si>
    <t>RES Backfill below S-O-G Soilcrete</t>
  </si>
  <si>
    <t>Thanks for update. Approved. Proceed!   Saved the tests as “ZMB Kabompo Final dcp res SLAB 2014-11-20.pdf” in: HYPERLINK "file:///\\bethel.jw.org\zaf\Dept\RDC\Engineering\Projects\Zambia\ZMB%2009%20-%20Kabompo%20RTO\S4\Struct\DCP%20Tests%20June%2</t>
  </si>
  <si>
    <t>Key matrix</t>
  </si>
  <si>
    <t>Meinders, Andre; InboxWDC; Allan, Mark; Imai, Masaaki</t>
  </si>
  <si>
    <t>RDC review of NLBR Package no 28</t>
  </si>
  <si>
    <t>Dear brothers,   We have reviewed the following Non-Literature Branch Requests (NLBRs) that we received from you on Thursday, November 20, 2014 for the GHA BEX project :   1.       NLBR # 52423 – Switches for Residence 5 (for temporary rooms)</t>
  </si>
  <si>
    <t>GRS (revised quantities 4861114K R1</t>
  </si>
  <si>
    <t>HI Van,   I’ve reviewed this and I can definitely build the addition off my caravan with the extra materials.   Look forward to receiving the quotation for more reviews.  What are the chances we’ll get this order in and manufactured before the</t>
  </si>
  <si>
    <t>Tobin, Paul</t>
  </si>
  <si>
    <t>Blackman, Innes; ZMB-ENG-ConstructionCommittee; Bent, Symon</t>
  </si>
  <si>
    <t>Personnel issue</t>
  </si>
  <si>
    <t>Paul, I have been watching from the sidelines on all of this.  It is a shame that these things developed like they did.     As you well know, I’ve dealt with you and Sarah for many years and have a great respect for you both.  We don’t feel that</t>
  </si>
  <si>
    <t>Bent, Symon; Washburn, Nathan; Lester, Davin; Sadler, Shane</t>
  </si>
  <si>
    <t>ZMB Katete Contractor Fence Work Report</t>
  </si>
  <si>
    <t>Please notice this positive report in using a contractor in Zambia for the Katete fence project. We are also investigating another contractor who so far has done some nice work for us at the Branch on our Fence project. This bodes well for our futur</t>
  </si>
  <si>
    <t>Bateman, Tristan; Reichel, Venessa; Fynn, Ryan</t>
  </si>
  <si>
    <t>1200mm wide footing POSSIBLE Reduction</t>
  </si>
  <si>
    <t>Hi EPCs for Non-ZAF RTOs…   Just want to emphasize this point – see yellow below…please bring it out in your PCMs? Our dwg states:      Venessa – we should maybe add to note 3 and say “IT MAY BE POSSIBLE TO REDUCE FOOTING WIDTH BASED ON</t>
  </si>
  <si>
    <t>Riley, Patrick; Allan, Mark; Schiller, Ben; Bateman, Tristan; Coombs, Yolanda; De Meyer, Efraim</t>
  </si>
  <si>
    <t>Dear Haroon,   We’ve looked these drawings over, there were just main 3 comments (see relevant PDFs attached); once these are resolved I believe we can go ahead and release the final AFC.   HOWEVER: We still need water and electrical utilities</t>
  </si>
  <si>
    <t>Size of RTO</t>
  </si>
  <si>
    <t>Symon I talked to Paul Crudass after our discussion yesterday.  He mentions that the Nzema translation team has 4 teams at the moment. The threshold for a 5 team Office is 2000 publishers. They have only 1200 publishers that speak Nzema and the g</t>
  </si>
  <si>
    <t>Elec, Network</t>
  </si>
  <si>
    <t>Ordering pre-configured network from WHQ</t>
  </si>
  <si>
    <t>Hi Shane,   Here’s the electronic version of how to order the Pre-configured Network Setup from WHQ.  Plus the letter we sent to Congo requesting them to get started and their further request to WHQ for the work.  Look it over, then we’ll try to dra</t>
  </si>
  <si>
    <t>Väänänen, Uula; Ransom, Philip; REIX, Benjamin; Coombs, Shaun; Salvidge, Mark; ten Have, Fabian</t>
  </si>
  <si>
    <t>Borehole test using airline</t>
  </si>
  <si>
    <t>Hi Dave,   As Fabian is away for the next couple of weeks we cannot give you a decent technical answer to this one.  I have used borehole contractors in the past that do their test this way and it worked fine.  The branch told us that they have used</t>
  </si>
  <si>
    <t>As the use of solar photovoltaic (PV) systems becomes more common, we suspect that branches around the world will be interested in their possible use in connection with theocratic facilities. Since each of the Regional Design/Construction Departments (RDC</t>
  </si>
  <si>
    <t>AH, Design</t>
  </si>
  <si>
    <t>Assembly Hall Design Construction Guidelines</t>
  </si>
  <si>
    <t>We are happy to inform you that a new document entitled Assembly Hall Design/Construction Guidelines (DC_x001E_13) has been posted to MDS. These guidelines provide a consistent approach to planning and constructing suitable facilities for assemblies and convent</t>
  </si>
  <si>
    <t>Remote Translation Office Facility Guidelines</t>
  </si>
  <si>
    <t>It is gratifying to see that many Remote Translation Offices (RTO) around the world are now functioning. Some offices are in existing buildings that are rented or purchased for use while others are purpose built. These facilities have a profound impact on</t>
  </si>
  <si>
    <t>Washburn, Nathan; InboxRDC.ZA</t>
  </si>
  <si>
    <t>GHA-4577 Bench (RDC Approval)</t>
  </si>
  <si>
    <t>Dear brothers,   We have reviewed this NLBR with the GHA LDC, and are in agreement.  This is a top-up order for KH bench seating, and allows for approximately 50 KHs (about 1 year’s need).   Kind regards,   SymonBent South Africa RDC</t>
  </si>
  <si>
    <t>GHA-4576 Sound equipment ($19,450 66) (RDC Approval)</t>
  </si>
  <si>
    <t>Dear brothers,   We have conferred with GHA about this order.  This is  atop-up order for sound equipment for their Kingdom Hall program.  The quantities are higher than we would initially expect (for up to 90 KHs), however they were recommended by</t>
  </si>
  <si>
    <t>RDC review of NLBR Package -26 - Submittal</t>
  </si>
  <si>
    <t>Dear brothers,   We have reviewed the following Non-Literature Branch Requests (NLBRs) that we received from you on November 11, 2014 for the GHA BEX project :   1.       NLBR # 51949 – Finishes- Res 3.2 &amp; 4.2 - GBR Sea Freight 2.       NLB</t>
  </si>
  <si>
    <t>ZMB-ENG-ConstructionCommittee; Washburn, Nathan; Allan, Mark; Bateman, Tristan</t>
  </si>
  <si>
    <t>Revised dwgs C-504 5--Septic Tank manhole location</t>
  </si>
  <si>
    <t>Dear brothers,   We are issuing the following revised drawings for your project:   LJ-C-504-REV3 : Septic Tank Reinforcing and Details LJ-C-505-REV3 : Septic Tank Reinforcing Storm Water Details Site Details   Please be sure to remove a</t>
  </si>
  <si>
    <t>Reichel, Venessa; Nunnaley, Tiffani</t>
  </si>
  <si>
    <t>Floats-How to Cash Up (non-PO)</t>
  </si>
  <si>
    <t>For those who travel regularly…see below   Regards, Mark Allan (ZAF-RDC) (REC) Watch Tower Bible and Tract Society of South Africa, NPC. Registration number: 2006/022758/08. PBO number: 930021658   From: Carney, Deon Sent: 17 November</t>
  </si>
  <si>
    <t>Thomson, Bonny; Washburn, Nathan; Bent, Symon</t>
  </si>
  <si>
    <t>Which items will you be reselling to the next project</t>
  </si>
  <si>
    <t>Innes,   In Kabompo, these are the resale prices Paul put into the system. I don’t believe you received a copy of this.. Look at this and let me know what you think. I think this was not factored in and why RDC thinks you are scheduled to go over bu</t>
  </si>
  <si>
    <t>DC-41 No 2</t>
  </si>
  <si>
    <t>The Worldwide Design/Construction (WDC) memorandum HDA:HDK July 3, 2014 addressed to you gave approval to the Lubumbashi RTO AO-6#1 with a value of USD 200,676 for site and home set up. The memorandum added that AO-6 #1 approval was given with, "approval</t>
  </si>
  <si>
    <t>The Worldwide Design/Construction (WDC) memorandum HDA:HDK April 15, 2014 addressed to you gave approval to the Kikwit RTO AO-6#1 with a value of USD 194,972 for site set up and a perimeter fence. The memorandum added that AO-6#1 approval was given, “with</t>
  </si>
  <si>
    <t>Vegetable and Potato Peeler Replacement Needed</t>
  </si>
  <si>
    <t>We are seeking guidance from the Regional Design/Construction Office for a recommendation on the replacement of our current vegetable/potato peeler which is 13 years old and no longer works. The Maintenance department feels that it cannot be repaired as t</t>
  </si>
  <si>
    <t>mubarak abubakari (kataali.mubarak@hotmail.co.uk)</t>
  </si>
  <si>
    <t>20141113 Progress meeting with consultant</t>
  </si>
  <si>
    <t>Gentlemen,   Please find enclosed the minutes of the last progress meeting between WT and Falcon Engineering representatives in connection with the Baatsona SKE project.   Symon, we have moved the target date for the review of the tender packa</t>
  </si>
  <si>
    <t>CDP, Solar</t>
  </si>
  <si>
    <t>MI comments on GPES Analysis 20141116 docx</t>
  </si>
  <si>
    <t>Hi Symon, Mark, The attached is our final report for now. The payback time is about 12 years according to our estimation. We normally don't go for the system with such long payback time. But we are happy to support if decision was made by somebody t</t>
  </si>
  <si>
    <t>Rahajanirina, Paul</t>
  </si>
  <si>
    <t>Meeting, Studio</t>
  </si>
  <si>
    <t>MDG Recording Studio Notes 2014-11-14 docx, PWG Mtg</t>
  </si>
  <si>
    <t>Brothers,   Notes from our meeting on Friday are attached for your reference.   We appreciated the opportunity to meet with you.   Jeff Watts Worldwide Design/Construction   ************************   MADAGASCAR-Project Work Group (Recording St</t>
  </si>
  <si>
    <t>NTE (AL) vs MSL costs</t>
  </si>
  <si>
    <t>Dear Shaun / Mark / Darcy,   Here the final costs for COD Kikwit and Lubumbashi RTOs; this information needs to be forwarded to WDC once we’ve all had time to digest it!  Both budgets are in Admin, prepared and ready to send.   Kikwit CPP: </t>
  </si>
  <si>
    <t>Bruers, Obadja</t>
  </si>
  <si>
    <t>Coombs, Shaun; Salvidge, Mark; Tunstall, Hilton; Bent, Symon</t>
  </si>
  <si>
    <t>Few observations</t>
  </si>
  <si>
    <t>Obi, Thanks for the observations, we don’t take it wrong.  It is good to learn what we can from you all in the field so as not to make the same mistakes over again.   I am forwarding these on to other POs as well, for their info. Thanks, Na</t>
  </si>
  <si>
    <t>In your letter FA:SB October 30, 2014, No. 1471, you requested approval to use available space in your shipping area for two projects. One project involves adding four temporary whisper booths and control rooms, and the other project would provide six new</t>
  </si>
  <si>
    <t>DCP results Residence SLAB (Tests 36-45)</t>
  </si>
  <si>
    <t>Hi all   ·         Tests 36, 37, 39, 41, 42, 44 and 45 – top layer is too soft at about 25mm/blow. Allow to dry out to optimum moisture content as per “Compaction – Heavy Rain.pdf” previously sent (too much moisture at present) then re-compact the e</t>
  </si>
  <si>
    <t>Sondell, Henrik; Bent, Symon; ZMB-ENG-ConstructionCommittee</t>
  </si>
  <si>
    <t>DCP Tests Boundary Wall (WEST)</t>
  </si>
  <si>
    <t>Approved. Proceed (with Boundary Wall West)   Info saved as “DCP WFF WEST 20141111.pdf” in: HYPERLINK "file:///\\bethel.jw.org\zaf\Dept\RDC\Engineering\Projects\Zambia\ZMB%2013%20-%20Katete%20RTO\S4\Struct\DCP%20Tests\Boundary%20Wall"H:\RDC\Engin</t>
  </si>
  <si>
    <t>Coombs, Shaun; Salvidge, Mark; De Meyer, Efraim</t>
  </si>
  <si>
    <t>Ordering Timers for Solar Geysers</t>
  </si>
  <si>
    <t>Dear Miguel,   Here is some instruction from electrical on how to install a timer for your solar water heating system.  Please apply if this still applies to you---we are not sure if you already ordered something for this purpose.   Kind regar</t>
  </si>
  <si>
    <t>ZMB-ENG-ConstructionCommittee; Washburn, Nathan; Schiller, Ben; Allan, Mark</t>
  </si>
  <si>
    <t>revised septic tank location</t>
  </si>
  <si>
    <t>Hi Davin,   Solution below.  Just make sure to use long-radius bends for the two 90° turns, e.g.:.      Greets,   SymonBent South Africa RDC M: +27 61 699 6085  |  T: 2588     From: Schiller, Ben Sent: Thursday, No</t>
  </si>
  <si>
    <t>De Meyer, Efraim; Gilden, David; Bent, Symon; Tunstall, Hilton; Washburn, Nathan; Allan, Mark; Salvidge, Mark</t>
  </si>
  <si>
    <t>BEN LDC</t>
  </si>
  <si>
    <t>MH</t>
  </si>
  <si>
    <t>Generators for missionary home use in Burkina Faso</t>
  </si>
  <si>
    <t>Hi Shaun,   Capacity wise yes, more than sufficient, and the model seems okay though we have no experience with that model. But I just want to make sure if all MH really has 3-phase connection, or not. Actually, I would rather prefer 1-phase c</t>
  </si>
  <si>
    <t>RTOs at Lubumbashi and Kikwit</t>
  </si>
  <si>
    <t>Symon,   So for both projects the workbooks to go with each prepared memo is attached in case it was confusing what to send.   ·         They will then import it and add any other info needed by PT. ·         Do the spending forecast. · </t>
  </si>
  <si>
    <t>Bent, Symon; Washburn, Nathan; Gilden, David; McCarthy, Benjamin; Tunstall, Hilton; Allan, Mark</t>
  </si>
  <si>
    <t>Renovation for Goma Shipping</t>
  </si>
  <si>
    <t>Darcy, Thank you very much for all the below. We are all trying oJ   COD sent the memo to us for Goma (FA:KA   November 11, 2014), and copied WDC.  They added, “We look forward to you reviewing the matter and giving your approval.”   At</t>
  </si>
  <si>
    <t>Davila, Jared</t>
  </si>
  <si>
    <t>Bent, Symon; ZMB-ENG-ConstructionCommittee</t>
  </si>
  <si>
    <t>J66 genset spare parts</t>
  </si>
  <si>
    <t>Ok, thank you Carey, this sounds good.     From: InboxRDCMaintenanceSupport.ZA Sent: Thursday, November 13, 2014 1:38 PM To: Davila, Jared; Fruciano, Jared Cc: Bent, Symon; ZMB-ENG-ConstructionCommittee Subject: RE: ZMB Mongu RTO; J66 genset</t>
  </si>
  <si>
    <t>AH, KH</t>
  </si>
  <si>
    <t>Financing Kingdom Hall and Assembly Hall Construction</t>
  </si>
  <si>
    <t>In our letter HPA:TA March 12, 2014, No. C_x001E_26782P, we provided direction related to the Governing Body’s adjustment to the way Kingdom Hall and Assembly Hall projects are financed. Through each branch, congregations worldwide were asked to pool their reso</t>
  </si>
  <si>
    <t>Bent, Symon; Salvidge, Mark; Gilden, David; McDonald, Darcy; Tunstall, Hilton</t>
  </si>
  <si>
    <t>Financial, Price</t>
  </si>
  <si>
    <t>Cost of AHs in South America</t>
  </si>
  <si>
    <t>Some interesting information enclosed, from between $385-$508 per seat for open sided AH’s in South America.   Thanks,  Shaun   From: Barlow, Aaron Sent: Wednesday, November 12, 2014 4:58 PM To: Tunstall, Hilton Cc: St. Jean, Zeny; Coom</t>
  </si>
  <si>
    <t>CDP, Survey</t>
  </si>
  <si>
    <t>Location of existing gate on new property</t>
  </si>
  <si>
    <t>Symon Just received the attached drawing with measurements for our existing gate. It is absolutely not to scale, but the measurements are there.   Hope that is enough.   Andre    </t>
  </si>
  <si>
    <t>CDP, Culvert</t>
  </si>
  <si>
    <t>Design CDP update; Culvert</t>
  </si>
  <si>
    <t>Thanks Jeff   Symon – please file in appropriate location on H?   Regards, Mark Allan (ZAF-RDC) (REC) Watch Tower Bible and Tract Society of South Africa, NPC. Registration number: 2006/022758/08. PBO number: 930021658   From: Watt</t>
  </si>
  <si>
    <t>Revised Civil drawings from Consultant</t>
  </si>
  <si>
    <t>Hi Symon,   Baatsona SKE: Tender package review It looks like the Civil drawings were missing from the package we sent for review. Please find them enclosed.     Thank you, Jean-Marc Dodin Construction Office GHANA BEX Extens</t>
  </si>
  <si>
    <t>Ghana branch Services building</t>
  </si>
  <si>
    <t>  Dear Brothers,   Enclosed are the drawings and equipment schedules for the Services Building. These will be the basis for our discussion.   Arthur Crook  </t>
  </si>
  <si>
    <t>Väänänen, Uula; Ransom, Philip; REIX, Benjamin</t>
  </si>
  <si>
    <t>Borehole test results</t>
  </si>
  <si>
    <t>Hi Symon,   Attached you will find the specific way that Malta Forest performs the yield test.   Can you please tell me if this is adequate?   David Eichner RTO CONSTRUCTION  </t>
  </si>
  <si>
    <t>Meinders, Andre; Imai, Masaaki</t>
  </si>
  <si>
    <t>Electrical Q Switch disconnector for DB =0+C1</t>
  </si>
  <si>
    <t>Answers! Symon   From: Imai, Masaaki Sent: Thursday, November 13, 2014 08:30 AM To: Bent, Symon Subject: RE: GHA BEX: Electrical Q. Switch disconnector for DB =0+C1   Hi Symon,   Good catch, yes A9S60491 is the one they need.  </t>
  </si>
  <si>
    <t>Bateman, Tristan; Michalakis, Evangelos; Chiappetta, Raquel; Sukram, Sarah; Reichel, Venessa; Crook, Arthur</t>
  </si>
  <si>
    <t>Butterfly and Mod PWD Wall Tie Specs (JOLUKA Diameter 3 15mm)</t>
  </si>
  <si>
    <t>Thanks Duncan and Linus. Hi EPCs and POs – see below for Purchasing item codes to use for diameter 3.15mm wall ties from Joluka (see e-mail further below for ‘cut sheet’ screenshots):   FOR CONCRETE BLOCK/CMU – BUTTERFLY TIES:    FOR BRICKS</t>
  </si>
  <si>
    <t>ZMB-ENG-ConstructionCommittee; Washburn, Nathan; ten Have, Fabian</t>
  </si>
  <si>
    <t>Approved borehole pump specifications</t>
  </si>
  <si>
    <t>Hi Jared,   Here’s the final approved borehole pump spec for your project.   Greetings,   SymonBent South Africa RDC M: +27 61 699 6085  |  T: 2588       From: ten Have, Fabian Sent: Tuesday, November 4, 2014 05:05 PM</t>
  </si>
  <si>
    <t>Brazaville MH Drainage questions</t>
  </si>
  <si>
    <t>Fine by me   Regards, Mark Allan (ZAF-RDC) (REC) Watch Tower Bible and Tract Society of South Africa, NPC. Registration number: 2006/022758/08. PBO number: 930021658   From: Bent, Symon Sent: 12 November 2014 04:28 PM To: Schiller, Be</t>
  </si>
  <si>
    <t>Septic tank query</t>
  </si>
  <si>
    <t>Hi Davin,   Here’s the new location of the septic tank: It’s 2.250m and 3.050m off the corner of the residence building. This is according to the NEW LOCATION of the residence building, on the proposed C-101 that we sent you.   Is this enough</t>
  </si>
  <si>
    <t>Allan, Mark; Washburn, Nathan</t>
  </si>
  <si>
    <t>Compaction</t>
  </si>
  <si>
    <t>Hand compaction techniques - Good reference material</t>
  </si>
  <si>
    <t>Gents:   MA did some research on ‘hand compaction’ and subsequently provided the following information, including the attachment, for review (I needed this as a follow up to our visit with the Uganda LDC):   The attached document, “Hand Compac</t>
  </si>
  <si>
    <t>Salvidge, Mark; Coombs, Shaun; Allan, Mark</t>
  </si>
  <si>
    <t>Missing Wall Ties (Option of Z-TIE ADDITIONAL)</t>
  </si>
  <si>
    <t>Miguel,   Please can we go with this suggestion below from Structural.  This seems the most practical for your situation and avoids the need to “rush” import the extra wall-ties (A good working man’s solution—thanks Mark A.).  Please be sure to foll</t>
  </si>
  <si>
    <t>ZMB-ENG-ConstructionCommittee; Washburn, Nathan; InboxWDC</t>
  </si>
  <si>
    <t>RDC review of Draft NLBR; Req-8403; Doors From China</t>
  </si>
  <si>
    <t>Dear brothers,   We have reviewed the following Non-Literature Branch Requests (NLBRs) that we received from you on October 28, 2014 for the ZMB Katete RTO project :   NLBR #8403 Doors from China   We are in agreement with your requests.</t>
  </si>
  <si>
    <t>Coombs, Shaun; Salvidge, Mark; Ransom, Philip</t>
  </si>
  <si>
    <t>Revise New Borehole Location</t>
  </si>
  <si>
    <t>Dave,   Thanks for your thoroughness, we all agree with your proposed location!   Kind regards,   SymonBent South Africa RDC M: +27 61 699 6085  |  T: 2588   From: Schiller, Ben Sent: Wednesday, November 12, 2014 09:41 AM</t>
  </si>
  <si>
    <t>Reply below. Symon   From: Imai, Masaaki Sent: Wednesday, November 12, 2014 08:50 AM To: Bent, Symon Subject: RE: GHA BEX: Electrical Q. Switch disconnector for DB =0+C1   Hi,   The isolator needs to be A9S60463. But if you hav</t>
  </si>
  <si>
    <t>memos and approval history</t>
  </si>
  <si>
    <t>Thanks for this history Symon!   From: Bent, Symon Sent: Monday, November 10, 2014 12:41 AM To: St. Jean, Zeny; Watts, Jeffery Subject: COD Studios; memos and approval history   Dear Zeny / Jeff,   Herein the requested memos:  </t>
  </si>
  <si>
    <t>HDA:HDH</t>
  </si>
  <si>
    <t>Design, Guideline</t>
  </si>
  <si>
    <t>Policy on Office and Residence Space Designation</t>
  </si>
  <si>
    <t>New spatial guidelines</t>
  </si>
  <si>
    <t>We are writing to provide you with updated office and residence space guidelines that can be used as guidance on new branch projects. Similar principles can be applied to major branch renovation projects. The intent is to simplify and speed up the design</t>
  </si>
  <si>
    <t>Borehole for Lubumbashi RTO</t>
  </si>
  <si>
    <t>Approval to spend $70,000</t>
  </si>
  <si>
    <t>By means of this memorandum we would like to ask for permission to move ahead and have another borehole made on the RTO Site in Lubumbashi. Here in Lubumbashi we are without a reliable source of water. With an Assembly Hall, Literature Depot, two RTO team</t>
  </si>
  <si>
    <t>New Gate Location</t>
  </si>
  <si>
    <t>See Attached</t>
  </si>
  <si>
    <t>Sewer layout</t>
  </si>
  <si>
    <t>Hi Symon   Please find attached the latest construction issue of the sewerage reticulation layout, details and long sections for the Kikwit RTO project.   Kind Regards Haroon Seedat  Graduate Engineer  WSP, Civil and Structural Engin</t>
  </si>
  <si>
    <t>Tunstall, Hilton; Coombs, Shaun; Salvidge, Mark; Gilden, David</t>
  </si>
  <si>
    <t>Admin Item No for Butterfly Wall Ties 3 15mm diameter (RFQ Rq-430917)</t>
  </si>
  <si>
    <t>Just a useful FYI.   From: InboxPRCHBranchRequests.ZA Sent: Monday, November 10, 2014 03:17 PM To: Lester, Davin Cc: Schmidt, Linus; Murray, Duncan; Raubenheimer, Deuel; Sampson, Ferdy; Bent, Symon; Fruciano, Jared; Blackman, Innes; Sadler, Shan</t>
  </si>
  <si>
    <t>Washburn, Nathan; Lester, Davin; InboxWDC</t>
  </si>
  <si>
    <t>RDC review of Draft NLBR; REQ 520-8810; Fluke Multimeter; Replacing NLBR 6087; 20141111</t>
  </si>
  <si>
    <t>Dear brothers,   We have reviewed the following Non-Literature Branch Requests (NLBRs) that we received from you on Tuesday, November 11, 2014 for the ZMB Katete RTO project :   1.       NLBR #520-8810; Fluke Multi-meter (Replacing NLBR 6087;</t>
  </si>
  <si>
    <t>Coombs, Yolanda</t>
  </si>
  <si>
    <t>Brazaville survey</t>
  </si>
  <si>
    <t>Hi Paul Thanks for answering. We know the feeling of lowness of connection. I have to work in Brazzaville. Somebody else had done before, but now is my job. I have a couple of questions on you survey. I hope you still remember. The question</t>
  </si>
  <si>
    <t>Washburn, Nathan; Salvidge, Mark; Coombs, Shaun; Tunstall, Hilton; Bent, Symon; Fynn, Ryan; Gilden, David</t>
  </si>
  <si>
    <t>WDC 'Not to Exceed' NTE and 'Maximum Spending' MSL Limits CDP STAGE (Meeting Notes)</t>
  </si>
  <si>
    <t>Hi all – I noticed some extra comments by Ben below. Have highlighted them in blue for easier reference; copying other POs and EPCs too so we know what to do on RTO CPP memos from now on   Darcy / Tim – where will you file this e-mail and attachment</t>
  </si>
  <si>
    <t>Blackman, Innes; ZMB-ENG-ConstructionCommittee; Bateman, Tristan</t>
  </si>
  <si>
    <t>Res Bldg SOG DCP tests 33-36</t>
  </si>
  <si>
    <t>Tests 34 – 36 OK.   Test 33 is a bit soft at 23mm/blow for top 120mm or so. But since (1) it is in the passage and (2) there is still 150mm of road base to come, this is OK.    Approved. Proceed   Saved in: HYPERLINK "file:///\\bethel.jw</t>
  </si>
  <si>
    <t>FR, Maintenance</t>
  </si>
  <si>
    <t>Inspection of field residences</t>
  </si>
  <si>
    <t>Evenin All   Here's one we used to use in Moz, maybe it can help....   Ta   Dave   _____   From: Salvidge, Mark Sent: Monday, November 10, 2014 6:18 PM To: Coombs, Shaun; Bent, Symon; Gilden, David; Tunstall, Hilton Cc: Washburn</t>
  </si>
  <si>
    <t>ZMB-ENG-ConstructionCommittee; Reichel, Venessa</t>
  </si>
  <si>
    <t>Office Bldg Foundation Plan Query S-101 S-102</t>
  </si>
  <si>
    <t>HI Mark,   That’s exactly what we’ve done.  And we’ve crosschecked the Mitek plans that we have on site so that trusses are located as engineered.   Regards, Jared Fruciano Mongu RTO Construction   From: Allan, Mark Sent: Monday,</t>
  </si>
  <si>
    <t>Borehole Quotations</t>
  </si>
  <si>
    <t>Dear Symon, Here are the quotes. Please look them over and cpontact me. We could have a LYNC on this if yiu like. Presently we use about $250 each time we need water on the site (Construction Site, Translation).       With kind greeti</t>
  </si>
  <si>
    <t>ZMB-ENG-ConstructionCommittee; Washburn, Nathan; De Meyer, Efraim</t>
  </si>
  <si>
    <t>Battery type for DC UPS</t>
  </si>
  <si>
    <t>Answer below Innes,   Greetings,   SymonBent South Africa RDC M: +27 61 699 6085  |  T: 2588       From: De Meyer, Efraim Sent: Monday, November 10, 2014 10:32 AM To: Bent, Symon Subject: RE: ZMB Kabompo RTO; Battery type</t>
  </si>
  <si>
    <t>Crook, Arthur; Sukram, Sarah</t>
  </si>
  <si>
    <t>Water Damage to Fence (more photos)</t>
  </si>
  <si>
    <t>FYI -----Original Message----- From: Meinders, Andre Sent: Monday, November 10, 2014 08:38 AM To: Bent, Symon Cc: DODIN, Jean-Marc Subject: GHA BEX Water Damage to Fence   Hello Symon Just a few more pictures in addition to what Jean-Marc ha</t>
  </si>
  <si>
    <t>PWG Agenda 2014-11-07 docx</t>
  </si>
  <si>
    <t>Brothers,   Notes from our meeting on Friday are attached for your review.   We appreciated the opportunity to meet with you.   Jeff Watts Worldwide Design/Construction *****************************   Congo (Kinshasa)-Project Work Group (Plannin</t>
  </si>
  <si>
    <t>Damage to Fence on South Side</t>
  </si>
  <si>
    <t>Hi Symon, The enclosed picture is just raw information at this point, just to keep you in the loop. We are trying to work on some proposals as temporary remedial until culvert or swale is in place. We can may be discuss this matter on Monday during ou</t>
  </si>
  <si>
    <t>Waste Water Analysis Pond inlet &amp; outlet</t>
  </si>
  <si>
    <t>Hi Symon,  Please find the requested test results enclosed. Thank you, Jean-Marc Dodin Construction Office GHANA BEX Extension:  22431 Cell: 054 431 4831 Email: jldodin@jw.org   -----Original Message----- From: Avorgbedor, Abel Sent: F</t>
  </si>
  <si>
    <t>New Arrangement for BCL</t>
  </si>
  <si>
    <t>Hi Symon, Approval was given in WHQ memo HLF:HLB August 14, 2014 to use full time commuters (BBL) for Phase I of the branch expansion projects. The status of these workers was however, changed to Temporary construction volunteers (BCL) in WHQ letter HL</t>
  </si>
  <si>
    <t>Embedded (13)</t>
  </si>
  <si>
    <t>Dear Zeny / Jeff,   Herein the requested memos:   1.       Approval for the temporary AV space in the old shipping building (actually from Teaching…) 2.       COD’s latest request(s) for temporary work in this area. 3.       COD’s commen</t>
  </si>
  <si>
    <t>COD Choral Studio; CDP for review by BC &amp; AV</t>
  </si>
  <si>
    <t>New Editing Offices in Shipping Area</t>
  </si>
  <si>
    <t>With reference to the attached letters and answers from you regarding the proposed offices and whisper rooms, we would respectfully ask if an exception could be made so we could move ahead with these two projects and not have them included in the present review made of our long-term needs by the Worldwide Design/Construction Department.  Including them in this review would put pressure on our Branch. We would like to explain why by means of this letter.</t>
  </si>
  <si>
    <t>Question regarding Floats for Fuel Tanks of Gensets</t>
  </si>
  <si>
    <t>Hi Symon, Efraim,   My comments: I agree that it would be easier to have the switches installed easily accessible. And to get that done the MOZ Massinga crew would like to drill a hole. Is this allowed/possible? I can’t answer that question. Rega</t>
  </si>
  <si>
    <t>Site Pictures</t>
  </si>
  <si>
    <t>Hi Symon A few weeks back you asked for a picture from above the maintenance building. Here it is, in a few variations.   Next time I will use less wide angle. Its probably more useful for what you had planned.     Andre</t>
  </si>
  <si>
    <t>Paolo Tichelio</t>
  </si>
  <si>
    <t>Washburn, Nathan; Allan, Mark; Bean, David; Bent, Symon</t>
  </si>
  <si>
    <t>PV</t>
  </si>
  <si>
    <t>Ghana evaluation and PV Diesel systems</t>
  </si>
  <si>
    <t>Embedded (38)</t>
  </si>
  <si>
    <t>Dear Maasaki, Thank you again. My observation follow your highlights. : ) in blue.  All,  I will be in Italy this coming Sun for two months. My mom's health has taken a turn for the worst and she needs me to be close to her. My whole family is</t>
  </si>
  <si>
    <t>Mech, Septic</t>
  </si>
  <si>
    <t>Septic tanks in series</t>
  </si>
  <si>
    <t>Sorry, meant to put a better subject line up there before sending it off   From: Schiller, Ben Sent: Thursday, November 06, 2014 4:18 PM To: Allan, Mark; Cruthirds, Nathan; ten Have, Fabian; Bent, Symon Subject: Septic tanks in series   Ge</t>
  </si>
  <si>
    <t>Butterfly Wall Ties - 2.5mm vs. 3.15mm diameter (MONGU KAMINA)</t>
  </si>
  <si>
    <t>Hi All,   We’ve had quite some discussion recently about the correct wire thickness for butterfly ties, whether bought or self-fabricated.  Please read through the resolution below and apply where relevant to your projects.   Kind regards,</t>
  </si>
  <si>
    <t>Bent, Symon; Henrik Sondell; ZMB-ENG-ConstructionCommittee</t>
  </si>
  <si>
    <t>DCP WFF EAST (Boundary Wall)</t>
  </si>
  <si>
    <t>Nice! Much easier to read   Approved.   Saved in: HYPERLINK "file:///\\bethel.jw.org\zaf\Dept\RDC\Engineering\Projects\Zambia\ZMB%2013%20-%20Katete%20RTO\S4\Struct\DCP%20Tests\Boundary%20Wall"H:\RDC\Engineering\Projects\Zambia\ZMB 13 - Katete</t>
  </si>
  <si>
    <t>Mechanical Room Louvre Lintel query (NEEDED)</t>
  </si>
  <si>
    <t>Answers and details below.   SymonBent South Africa RDC M: +27 61 699 6085  |  T: 2588       From: Allan, Mark Sent: Thursday, November 6, 2014 01:01 PM To: Bent, Symon; Bateman, Tristan Subject: RE: GHA BEX; Mechanical Room Lo</t>
  </si>
  <si>
    <t>McDonald, Darcy; Bent, Symon; Tunstall, Hilton; Gilden, David</t>
  </si>
  <si>
    <t>Handle questions on renovations, major vs minor</t>
  </si>
  <si>
    <t>Thanks Nathan   From: Coombs, Shaun Sent: Tuesday, November 04, 2014 7:31 PM To: Washburn, Nathan Cc: McDonald, Darcy; Salvidge, Mark; Bent, Symon; Tunstall, Hilton; Gilden, David Subject: RE: Handle questions on renovations   Good stuff,</t>
  </si>
  <si>
    <t>Cavity at control joint location (No Change)</t>
  </si>
  <si>
    <t>Reply below.   SymonBent South Africa RDC M: +27 61 699 6085  |  T: 2588     From: Allan, Mark Sent: Thursday, November 6, 2014 11:04 AM To: Bent, Symon; Bateman, Tristan Cc: ten Have, Fabian Subject: RE: GHA BEX; Cavity at contr</t>
  </si>
  <si>
    <t>Re-issue of LV-S-102-S3 dwg 6 Nov 2014</t>
  </si>
  <si>
    <t>Answer below Davin, Symon   From: Reichel, Venessa Sent: Thursday, November 6, 2014 10:24 AM To: Bent, Symon Cc: Allan, Mark Subject: RE: ZMB Katete RTO; Re-issue of LV-S-102-S3 dwg 6 Nov 2014   Symon, if Davin takes a look at Detail B</t>
  </si>
  <si>
    <t>ZMB-ENG-ConstructionCommittee; Washburn, Nathan; Allan, Mark; Reichel, Venessa</t>
  </si>
  <si>
    <t>Dear brothers,   We are issuing the following revised drawings for your project:   1.       PDF S-102-S3 : Passage Saw Cut Joint position corrected   Please be sure to remove all previous versions from circulation and either destroy them</t>
  </si>
  <si>
    <t>Tunstall, Hilton; Bent, Symon; Coombs, Shaun</t>
  </si>
  <si>
    <t>CONCEPTUAL ESTIMATE WDC FORMS</t>
  </si>
  <si>
    <t>Have now included Gurue RTO too…   What is the procedure now? Do we e-mail the XLS files separately to WDC (since these include MSL), and then write our typical CPP memo, copying the branch, with just the NTE?   Regards, Mark Allan (ZAF-RDC</t>
  </si>
  <si>
    <t>Answers below Gents,   SymonBent South Africa RDC M: +27 61 699 6085  |  T: 2588         From: ten Have, Fabian Sent: Wednesday, November 05, 2014 8:24 AM To: De Meyer, Efraim Subject: FW: ZMB Kabompo RTO; Question regarding</t>
  </si>
  <si>
    <t>Cook Chill equipment--complete order</t>
  </si>
  <si>
    <t>Fellow RTO’ers,   Please find attached an excellent résumé of the Cook-Chill order, which should help you get them processed correctly.   Kind regards,   SymonBent South Africa RDC M: +27 61 699 6085  |  T: 2588       F</t>
  </si>
  <si>
    <t>Budget, Guideline</t>
  </si>
  <si>
    <t>Start-Up Budget for Projects</t>
  </si>
  <si>
    <t>We are writing to provide direction on how to plan for and request funding for the development of a concept design proposal for a proposed project.</t>
  </si>
  <si>
    <t>Ghana RTO plumber - Donnelly</t>
  </si>
  <si>
    <t>So, we will go with April 1 arrival date.   Side point, Ghana may want to keep their eye on Timothy and Evelyn James – volunteers we assigned there from November 15 to May 7. He is a good plumber and they want to become BCFs.   Thanks. Brad</t>
  </si>
  <si>
    <t>ZMB-ENG-ConstructionCommittee; Allan, Mark; Reichel, Venessa</t>
  </si>
  <si>
    <t>Revised AFC &amp; Rebar bending schedules</t>
  </si>
  <si>
    <t>Dear brothers,   We are issuing the following revised drawings for your project:   1.       LV-S-101-S2 : Residence Footing, Slab &amp; Ring Beam Plan 2.       LV-S-102-S2 : Office Footing, Slab &amp; Ring Beam Plan 3.       LV-S-302-S1 : Reside</t>
  </si>
  <si>
    <t>Retaining wall at walkway and steps (Approved)</t>
  </si>
  <si>
    <t>Reply below gentlemen!   SymonBent South Africa RDC M: +27 61 699 6085  |  T: 2588       From: Allan, Mark Sent: Tuesday, November 4, 2014 08:49 AM To: Bent, Symon Cc: Bateman, Tristan Subject: RE: GHA BEX: Retaining wall at w</t>
  </si>
  <si>
    <t>Retaining wall at walkway and steps (Proposal)</t>
  </si>
  <si>
    <t>Approved   Regards, Mark Allan (ZAF-RDC) (REC) Watch Tower Bible and Tract Society of South Africa, NPC. Registration number: 2006/022758/08. PBO number: 930021658   From: Bent, Symon Sent: 04 November 2014 07:34 AM To: Allan, Mark S</t>
  </si>
  <si>
    <t>Fuentes, Gloria; Salvidge, Mark; Coombs, Shaun; Allan, Mark</t>
  </si>
  <si>
    <t>Re-issue drawing S-102</t>
  </si>
  <si>
    <t>Dear brothers,   We are issuing the following revised drawings for your project:   KQ-S-102-S2: Office Footing, Slab &amp; Ring Beam Plan   Please be sure to remove all previous versions from circulation and either destroy them or destroy or</t>
  </si>
  <si>
    <t>ZMB-ENG-ConstructionCommittee; Tobin, Paul</t>
  </si>
  <si>
    <t>1st Car Park slab DCP Test OK</t>
  </si>
  <si>
    <t>You are sitting with about 300mm – 400mm of fairly decent compacted material before you get the softer layers. And you will still put 150mm of road base on top of this   Approved. Proceed.    Saved as “Car Park DCP_20141103.pdf” in: HYPERLINK</t>
  </si>
  <si>
    <t>Res Bldg DCP Test results SOG OK</t>
  </si>
  <si>
    <t>Approved. Go ahead with adding the 150mm road base on top of this now…   Saved as “DCP RES BUILDING_SLAB 2014-11-03.pdf” in: HYPERLINK "file:///\\bethel.jw.org\zaf\Dept\RDC\Engineering\Projects\Zambia\ZMB%2009%20-%20Kabompo%20RTO\S4\Struct\DCP%20Tes</t>
  </si>
  <si>
    <t>WSP civil design coordination--bulk earthworks and stormwater drainage</t>
  </si>
  <si>
    <t>I’ve looked them over, and per our discussion, the plans will be OK for our purposes.   The one issue that they’ll need to resolve is the path from the parking area into the buildings. Currently there isn’t anything shown- the retaining wall added n</t>
  </si>
  <si>
    <t>Revised C-103 utilities plan Layout</t>
  </si>
  <si>
    <t>Symon, Ben,    I’m in agreement with it. This is based on the fact that the office building will not be in use when the morning peak occurs. Otherwise the angled in flow from the office block into the ‘1079.450’ manhole could create problems with th</t>
  </si>
  <si>
    <t>InboxSHIPImpExp.ZA</t>
  </si>
  <si>
    <t>Container lists, need them soon!!!</t>
  </si>
  <si>
    <t>Dear Brothers   Thank you very much for your response and explaining to us what is happening.  We thank you for all your work you are doing there in getting the RTO’s built.   We have a few options.  The first one is a shippers owned container that yo</t>
  </si>
  <si>
    <t>Arch, CDP, Design</t>
  </si>
  <si>
    <t>Example photos of fold-down louvred shade awnings</t>
  </si>
  <si>
    <t>As promised during our discussion: for your delectation!   SymonBent South Africa RDC M: +27 61 699 6085  |  T: 2588  </t>
  </si>
  <si>
    <t>Tunstall, Hilton</t>
  </si>
  <si>
    <t>Design, FR</t>
  </si>
  <si>
    <t>TO apartment standard plans</t>
  </si>
  <si>
    <t>Zimbabwe is proposing 42m2, the travelling overseers are probably missionaries anyways... The 2 sizes were presented as options that the branches are aware of...   I say, as a non-colonialist,  go with what they propose (32-42m2 max) unless told other</t>
  </si>
  <si>
    <t>Meinders, Andre; Davies, Philip</t>
  </si>
  <si>
    <t>Costs - Sheets at Water Treatment and Gen Bldg</t>
  </si>
  <si>
    <t>Hi Symon,   I had to give you the difference in cost between aluminium and alu-zinc sheeting for the above two metal structure buildings. Please see costs below:     ·         Aluminium 0.5mm thick = 12.09 $/m2 ·         Aluminium 0.6mm</t>
  </si>
  <si>
    <t>Cash floats or use of personal debit credit card</t>
  </si>
  <si>
    <t>Hi,   I received a little more clarification from Martin le Roux about your money options when traveling.  According to Martin you can use your debit or credit cards for your travel expenses and then fill out a Payment Requisition for reimbursement.</t>
  </si>
  <si>
    <t>GHA PV (Solar) Power (MI analyze GPES proposal Cost-Benefit )</t>
  </si>
  <si>
    <t>Fine by me. We just need to update David Jones then as we said we would consider it   Regards, Mark Allan (ZAF-RDC) (REC) Watch Tower Bible and Tract Society of South Africa, NPC. Registration number: 2006/022758/08. PBO number: 930021658  </t>
  </si>
  <si>
    <t>Salvidge, Mark; Coombs, Shaun; Washburn, Nathan; Watts, Jeffery</t>
  </si>
  <si>
    <t>BC conceptual comments</t>
  </si>
  <si>
    <t>Symon – thanks for the info – looks like the size of the new studio fits the standard fairly well.  Please see attachment and note below.   The COD Choral Studio size is in keeping with the proposed standard (72 m2 – 7.2 x 10m).  The control room sh</t>
  </si>
  <si>
    <t>Thomson, Cameron; Washburn, Nathan; ten Have, Fabian</t>
  </si>
  <si>
    <t>Generator, Mech</t>
  </si>
  <si>
    <t>Tuffa Tank order--how to process</t>
  </si>
  <si>
    <t>Hi Jared,   Please see attached explanation from Fabian.   Tx, Symon   From: ten Have, Fabian Sent: Thursday, October 30, 2014 10:31 AM To: Bent, Symon Subject: RE: ZMB Mongu RTO; Tuffa Tank order--how to process?   Symon,  </t>
  </si>
  <si>
    <t>Washburn, Nathan; InboxWDC</t>
  </si>
  <si>
    <t>RDC review of Draft NLBR; Req-520-8583; Plumbing; Orenco; Geotextile, Tuffa</t>
  </si>
  <si>
    <t>Dear brothers,   We have reviewed the following Non-Literature Branch Requests (NLBRs) that we received from you on Friday, October 31, 2014 for the ZMB Katete RTO project :   NLBR #8583: Plumbing, Orenco Filter, Geotextile NLBR #8652: Tuffa</t>
  </si>
  <si>
    <t>Thomson, Cameron; Washburn, Nathan; Michalakis, Evangelos</t>
  </si>
  <si>
    <t>Arch, Drawing</t>
  </si>
  <si>
    <t>FS A-401 &amp; A-602 Kitchen layout update</t>
  </si>
  <si>
    <t>Dear brothers,   We are issuing some field sketches that affect kitchen layout.  The drawings affected are as follows:   1.       KJ-A-401-A1: Revised kitchen layout 2.       KJ-A-602-A1: Revised equipment schedule   Please be sur</t>
  </si>
  <si>
    <t>Salvidge, Mark; Michalakis, Evangelos; Coombs, Shaun</t>
  </si>
  <si>
    <t>FS A-401 &amp; A-602 Revised Kitchen Layout</t>
  </si>
  <si>
    <t>Dear brothers,   We are issuing some field sketches that affect the internal stem walls.  The drawings affected are as follows:   1.       KQ-A-401-A1: Revised kitchen layout 2.       KQ-A-602-A1: Revised equipment schedule   Plea</t>
  </si>
  <si>
    <t>Tender Documents Review Part 2</t>
  </si>
  <si>
    <t>Hi Symon,   The BOQ was missing in the review package I sent yesterday. It is now enclosed for your review (3 documents)   Network link: HYPERLINK "file:///\\bethel.jw.org\zaf\Dept\RDC\Engineering\Projects\Ghana\GHA%2099%20-%20Misc\Baatsona%20SKE%20(A</t>
  </si>
  <si>
    <t>Proposed site layout drawing, to enable temp setup</t>
  </si>
  <si>
    <t>FYI. Symon   From: Schiller, Ben Sent: Friday, October 31, 2014 09:26 AM To: Bent, Symon Subject: RE: GHA Kikam RTO; Proposed site layout drawing, to enable temp setup   I put the dimensions on the survey, the boundary lines came right</t>
  </si>
  <si>
    <t>We have reviewed the Assembly Hall overall plan that you sent to us in memorandum PA:SKE October 9, 2014. The work that has gone into this plan is appreciated. It shows that you still have a number of venues to develop.</t>
  </si>
  <si>
    <t>ZMB Katete RTO - AFC Drawing Package Issued</t>
  </si>
  <si>
    <t>In the memo HDA:HDK October 3, 2014 the second AO-6 for the Katete RTO project was approved, and therefore we are issuing the Approved-For-Construction (AFC) drawing package. The documents can be downloaded from: \\bethel.jw.org\dept\WDC\Projects\RDC-Sout</t>
  </si>
  <si>
    <t>GHA-BRANCH-Committee; GHA-CNST-Committee</t>
  </si>
  <si>
    <t>Current Seniority Ghana Bethel</t>
  </si>
  <si>
    <t>Current seniority Ghana Bethel.    1-5 36 6-10 88 11-15 62 16-20 18 21-25 13 26-30 12 31-35 3 36-40 4 40+ 4   Re physiotherapy: 1.5 – 2 days a week currently for physiotherapy.</t>
  </si>
  <si>
    <t>Revised Drawings &amp; Tender Info- Final review RDC</t>
  </si>
  <si>
    <t>Hi Symon,   The updated tender package from Falcon Eng. For the Baatsona SKE project is ready for review by RDC.   As mentioned in a calendar of works sent to you earlier, they are expecting a meeting to check our final comments by Nov. 7. Do you thin</t>
  </si>
  <si>
    <t>Control joints Queries</t>
  </si>
  <si>
    <t>Dear brothers,   The reply to your query is below in-line with your questions, highlighted.   Regards,   SymonBent South Africa RDC M: +27 61 699 6085  |  T: 2588       From: Bateman, Tristan Sent: Wednesday, October</t>
  </si>
  <si>
    <t>Thank you all for profitable meeting</t>
  </si>
  <si>
    <t>Thank you also Symon / Mark, We were delighted that you approved the sauna / Jacuzzi.    From: Bent, Symon Sent: Thursday, October 30, 2014 3:53 PM To: Jones, David M.; Crudass, Paul; Kontoh, Joris; Kwesie, Samuel; Meinders, Andre; DODIN, Jean</t>
  </si>
  <si>
    <t>Thanks Symon We talked afterwards on how we appreciated the same open-minded approach on the part of you brothers too.   Much appreciated.   Paul Crudass         Tel: 22701   From: Bent, Symon Sent: Thursday, October 30, 2014 3:53 P</t>
  </si>
  <si>
    <t>Civil, Elec</t>
  </si>
  <si>
    <t>Elec MH Rebar Size subsitution and Soil Stabilization</t>
  </si>
  <si>
    <t>Thanks for providing solutions. Well done! Answers below…   Regards, Mark Allan (ZAF-RDC) (REC) Watch Tower Bible and Tract Society of South Africa, NPC. Registration number: 2006/022758/08. PBO number: 930021658   From: Fruciano, Jared</t>
  </si>
  <si>
    <t>Financial, PO</t>
  </si>
  <si>
    <t>Cash Floats procedure changed</t>
  </si>
  <si>
    <t>Hello,   The cash float procedure has recently changed and everything is now being done electronically.  At least 2 days in advance of your travels can you let me know how much money you will need &amp; specify if it is Rands, USD or both.  I will s</t>
  </si>
  <si>
    <t>Allan, Mark; Reichel, Venessa; Salvidge, Mark; Coombs, Shaun</t>
  </si>
  <si>
    <t>Drawing Re-issue--KQ-S-101-R3; Residence Footing, Slab &amp; Ring Beam Plan</t>
  </si>
  <si>
    <t>Dear brothers,   We are issuing the following revised drawings for your COD Kamina RTO project:   1.       KQ-S-101-R3: Residence Footing, Slab &amp; Ring Beam Plan   This should resolve the problems you were having with the building width! </t>
  </si>
  <si>
    <t>ZMB-ENG-ConstructionCommittee; ten Have, Fabian; Washburn, Nathan</t>
  </si>
  <si>
    <t>Location of AC units--drawing conflict</t>
  </si>
  <si>
    <t>Answer below. Symon   From: ten Have, Fabian Sent: Thursday, October 30, 2014 08:48 AM To: Bent, Symon Subject: RE: ZMB Kabompo RTO; Location of AC units--drawing conflict   Symon,    I agree with you, either way is acceptable.</t>
  </si>
  <si>
    <t>ten Have, Fabian; Schiller, Ben</t>
  </si>
  <si>
    <t>FRP Septic Tank (SINGLE vs TWIN COMPARTMENTS)</t>
  </si>
  <si>
    <t>Just keeping Ben and Fabian replies in one e-mail for my easy reference (see grey below)…   My concern – these seem to be single compartment septic tanks. Our RTO design is based on two-compartment tanks (where primary = 2 x volume of secondary). So</t>
  </si>
  <si>
    <t>BCV for Katete RTO</t>
  </si>
  <si>
    <t>Yes, but it would be good if you stress in your request that they will also be training local brothers.  These are the kind of trades that the brothers often learn quickly and become self-sufficient in.   Regards,   SymonBent South Africa R</t>
  </si>
  <si>
    <t>This is to request your assistance in trying out some training initiatives between some of the Local Design/Construction Departments (LDC) that you work with. The result of this may guide us in providing direction on training of LDCs on other continents.</t>
  </si>
  <si>
    <t>Davies, Philip</t>
  </si>
  <si>
    <t>Scaffolding</t>
  </si>
  <si>
    <t>Additional Scaffolding request</t>
  </si>
  <si>
    <t>Hi Symon,   1.       I’m copying Trade Overseer to get a quote from Formscaff Ghana and will forward to you as soon as received. 2.       50% resale price:  we could get more, depending of no. of years used and the market at the time of sale. How</t>
  </si>
  <si>
    <t>confirming original survey levels (NEW SURVEY)</t>
  </si>
  <si>
    <t>  Sorry, there was a bit more to Questions 3-5 : 1.       The second page of measurements (outside the property) has the same problem as before- there’s not enough info there to locate the points. The distances are clearly marked from the fence, and</t>
  </si>
  <si>
    <t>Budget, Concrete</t>
  </si>
  <si>
    <t>can you quickly confirm the current m³ concrete cost (END)</t>
  </si>
  <si>
    <t>This was more complicated than I thought… Main secretary is sick.    I called the Company:   Ready Mix   30mpa                  403.68 Cedi                        126.55 USD 25mpa                  381.04 Cedi                         1</t>
  </si>
  <si>
    <t>ZMB-ENG-ConstructionCommittee; Nolan, Todd; Allan, Mark; Washburn, Nathan</t>
  </si>
  <si>
    <t>Utility Bldg Lightning earth ring (REPLY)</t>
  </si>
  <si>
    <t>Dear Jared,   And here’s the accompanying reply on the utility building earth ring too—see Efraim’s explanation below.  We were waiting on confirmation of the other “Utility Building” query.   Kind regards,   SymonBent South Africa RD</t>
  </si>
  <si>
    <t>ZMB-ENG-ConstructionCommittee; Washburn, Nathan; Allan, Mark; Schiller, Ben</t>
  </si>
  <si>
    <t>Roof slope direction and drainage of utility structure (REPLY)</t>
  </si>
  <si>
    <t>Dear Jared,   Finally here is the reply to this pernickety question of yours.  It took a while to resolve, sorry about that.  The attached PDF contains a sketch and a brief explanation.   Kind regards,   SymonBent South Africa RDC</t>
  </si>
  <si>
    <t>Septic Tanks Re-locate MH 2ndry Chamber (ORENCO) VIEPE KABOMPO KATETE</t>
  </si>
  <si>
    <t>Good news! Ven and Ben met…   We will only need to change Kabompo; Ben will re-route Viepe (not yet issued); and Katete has to be re-laid out anyway, so he will fix that routing too   Regards, Mark Allan (ZAF-RDC) (REC) Watch Tower Bible</t>
  </si>
  <si>
    <t>Gutter back support plates</t>
  </si>
  <si>
    <t>Hi chaps,   Below is the detail from MiTek on their shop drawings.           From: Gilden, David Sent: Wednesday, October 29, 2014 11:58 AM To: Bent, Symon; Michalakis, Evangelos Subject: RE: Gutter back support plates  </t>
  </si>
  <si>
    <t>BCS who wish to marry</t>
  </si>
  <si>
    <t>Clear.   Thanks   From: Bent, Symon Sent: Wednesday, October 29, 2014 9:24 AM To: Jones, David M. Cc: GHA-CNST-Committee; Washburn, Nathan Subject: GHA BEX; BCS who wish to marry.    Morning David,   So, if a BCS brother wishe</t>
  </si>
  <si>
    <t>Meinders, Andre; Cruthirds, Nathan</t>
  </si>
  <si>
    <t>Generator, Septic</t>
  </si>
  <si>
    <t>Generator install progress BOD test on septic system</t>
  </si>
  <si>
    <t>Hi Symon,   Please see our reply in your message below in italic red.   Thank you, Jean-Marc Dodin Construction Office GHANA BEX Extension:  22431 Cell: 054 431 4831       From: Bent, Symon Sent: Wednesday, October</t>
  </si>
  <si>
    <t>Lester, Davin; Washburn, Nathan; InboxWDC</t>
  </si>
  <si>
    <t>RDC review of Draft NLBR; REQ 520-8613; Sound Doors</t>
  </si>
  <si>
    <t>Dear brothers,   We have reviewed the following Non-Literature Branch Requests (NLBRs) that we received from you on Wednesday, October 29, 2014 for the ZMB Katete RTO project :   NLBR #8613 : Sound Doors   We are in agreement with your r</t>
  </si>
  <si>
    <t>Drawing, Elec</t>
  </si>
  <si>
    <t>Revised drawing KW-E-603 rev 2 for generator related connections</t>
  </si>
  <si>
    <t>Dear brothers,   We are issuing the following revised drawings for your project:   1.       KW-E-603-R2 : Generator related connections (Compound document with 7 pages)   Please be sure to remove all previous versions from circulation and either des</t>
  </si>
  <si>
    <t>RDC review of Draft NLBR; REQ 520-8611; Electrical Conduit</t>
  </si>
  <si>
    <t>Dear brothers,   We have reviewed the following Non-Literature Branch Requests (NLBRs) that we received from you on Wednesday, October 29, 2014 for the ZMB Katete RTO project :   NLBR #8611: Electrical conduit   We are in agreement with</t>
  </si>
  <si>
    <t>Budget, Culvert</t>
  </si>
  <si>
    <t>Cost of open V-culvert for comparison; Bridges</t>
  </si>
  <si>
    <t>See attached   Saved in: HYPERLINK "file:///\\bethel.jw.org\zaf\Dept\RDC\Engineering\Projects\Ghana\GHA%2099%20-%20Misc\Stormwater%20Culvert\Struct"H:\RDC\Engineering\Projects\Ghana\GHA 99 - Misc\Stormwater Culvert\Struct   Regards, Mark</t>
  </si>
  <si>
    <t>Lester, Davin; Smith, Caleb; Washburn, Nathan; InboxWDC</t>
  </si>
  <si>
    <t>Draft NLBR; REQ 520-8607; Electrical Consumables &amp; Sandpaper</t>
  </si>
  <si>
    <t>Dear brothers,   We have reviewed the following Non-Literature Branch Requests (NLBRs) that we received from you on Tuesday, October 28, 2014 for the ZMB Katete RTO project :   1.       NLBR #8607: Electrical consumables and sandpaper  </t>
  </si>
  <si>
    <t>RDC review of Draft NLBR; Req-8457; Distribution Boards</t>
  </si>
  <si>
    <t>Dear brothers,   We have reviewed the following Non-Literature Branch Requests (NLBRs) that we received from you on Tuesday, October 28, 2014 for the ZMB Katete RTO project :   1.       NLBR #8457: Electrical DBs   We are in agreement wi</t>
  </si>
  <si>
    <t>Meinders, Andre; Washburn, Nathan; InboxWDC</t>
  </si>
  <si>
    <t>RDC review of NLBR Package -24 - Submittal</t>
  </si>
  <si>
    <t>Dear brothers,   We have reviewed the following Non-Literature Branch Requests (NLBRs) that we received from you on Tuesday, October 28, 2014 for the GHA BEX project    1.       # 51673  - Structural- Various Consumables – GBR Sea Freight  </t>
  </si>
  <si>
    <t>Smith, Caleb; Lester, Davin; Washburn, Nathan; InboxWDC</t>
  </si>
  <si>
    <t>RDC review of Draft NLBR; Req- 8539; Scaffolding</t>
  </si>
  <si>
    <t>Dear brothers,   We have reviewed the following Non-Literature Branch Requests (NLBRs) that we received from you on Tuesday, October 22, 2014 for the ZMB Katete RTO project :   1.       NLBR  #8539; Scaffolding materials   We are in agre</t>
  </si>
  <si>
    <t>DODIN, Jean-Marc; Michalakis, Evangelos; Allan, Mark; Schiller, Ben; Coombs, Yolanda</t>
  </si>
  <si>
    <t>Arch, Drawing, Planning</t>
  </si>
  <si>
    <t>Hi André,   Here’s our proposed layout for Kikam RTO.  It’s in design stage right now so details and dimensions may change slightly, but the basic idea is there so that you can begin your temporary facility setup.   Kind regards,   Symon</t>
  </si>
  <si>
    <t>Electrical Query - BH52 LED115</t>
  </si>
  <si>
    <t>Voilà!   From: De Meyer, Efraim Sent: Tuesday, October 28, 2014 03:56 PM To: Bent, Symon Subject: RE: GHA Viepe RTO; Electrical Query - BH52/LED115   Hi Symon,   Let them please use LED115. What we used to use is not available anymor</t>
  </si>
  <si>
    <t>RDC review of DRAFT NLBR 7152 for HKG Cabinets</t>
  </si>
  <si>
    <t>Dear brothers,   We have reviewed the following Non-Literature Branch Requests (NLBRs) that we received from you on Oct 21, 2014 for the ZMB Mongu RTO project :   1.       NLBR #7152: Cabinets from China   We are in agreement with your r</t>
  </si>
  <si>
    <t>Extension of BCV beyond 6 months, visa</t>
  </si>
  <si>
    <t>We’ve done it on rare occasions where the person’s input to the project was clearly valuable.  E.g. in MDG we send a few IV’s out to a neighbouring island to renew their visas at our cost.  Sometimes an already acclimatised, skilled worker is worth it, ra</t>
  </si>
  <si>
    <t>Various Possible Small Projects (Reply)</t>
  </si>
  <si>
    <t>MS reply</t>
  </si>
  <si>
    <t>We have received your memorandum FA:FTE October 20, 2014 concerning four separate possible small projects. We appreciate that you referred these projects to our office and are asking for our input. We address each project as follows:</t>
  </si>
  <si>
    <t>REA:REI</t>
  </si>
  <si>
    <t>RTO Tuffa Diesel Storage Systems</t>
  </si>
  <si>
    <t>How to order the system</t>
  </si>
  <si>
    <t>The information in this memo is applicable to the following RTOs – Chintheche, Namwera, Dondo, Massinga, Mongu, Kabompo and Kamina. Some of you may already have received already your Tuffa systems, others are waiting for the RDC “go ahead” so that you can</t>
  </si>
  <si>
    <t>Provisions for Construction Groups (AH, KH, LDC)</t>
  </si>
  <si>
    <t>As the accelerated construction program of Kingdom Halls and Assembly Halls is progressively implemented in all branches, construction groups and field representatives assigned to the program need adequate provisions to carry out their assignments effecti</t>
  </si>
  <si>
    <t>WHQZAF-C-32987P Use and Management of Properties Held for Sale</t>
  </si>
  <si>
    <t>I like it.   Nathan    From: Bent, Symon Sent: Monday, October 27, 2014 1:09 PM To: Housner, Bradley; Washburn, Nathan Subject: RE: Orbit WDC: [WAITING ON REPLY] - Construction Personnel Request DC-51   I agree; thanks for your under</t>
  </si>
  <si>
    <t>McDonald, Darcy; Bent, Symon</t>
  </si>
  <si>
    <t>Congo duty estimates</t>
  </si>
  <si>
    <t>Brothers    In light of the information that we have received to date I have applied this information to the Kitwit workbook in the following ratio:   “$ 9,266.71 is the average per container for the 3” therefore if we allow $10,000.00 per con</t>
  </si>
  <si>
    <t>United States–Property for Somanya (Dangme) Remote Translation Office</t>
  </si>
  <si>
    <t>We are writing to update you on the above subject. Your letter HPA:HDA October 9, 2014 No. 32640P made the following statement: The Translation Office Study Group (TOSG) observed that the property you submitted appears to have a noticeable slope and impro</t>
  </si>
  <si>
    <t>De Meyer, Efraim; lesley@greenpes.co.za; Bent, Symon</t>
  </si>
  <si>
    <t>CDP, Design, Solar</t>
  </si>
  <si>
    <t>PV (Solar) Power GPPV 131 (Email 2 of 2)</t>
  </si>
  <si>
    <t>Hi Mark,   Please find the attached revised report from my side. As I mentioned this morning, people in Ghana has been panicking on the tariff hikes but I found the tariff has been rather decreased from USD point of view. So I just updated sum</t>
  </si>
  <si>
    <t>Civil, Municipality</t>
  </si>
  <si>
    <t>Water Line &amp; Road Issue</t>
  </si>
  <si>
    <t>My only concern is that we don’t undermine any footings with any new excavations etc or expose existing footings to water via leaks   Regards, Mark Allan (ZAF-RDC) (REC) Watch Tower Bible and Tract Society of South Africa, NPC. Registration nu</t>
  </si>
  <si>
    <t>Washburn, Nathan; Tunstall, Hilton; Bent, Symon; Salvidge, Mark; Gilden, David; Fynn, Ryan; Bateman, Tristan</t>
  </si>
  <si>
    <t xml:space="preserve">MWI LDC </t>
  </si>
  <si>
    <t>KH, Struct</t>
  </si>
  <si>
    <t>Report on Damaged Kingdom Halls</t>
  </si>
  <si>
    <t>Fine by me!   Regards, Mark Allan (ZAF-RDC) (REC) Watch Tower Bible and Tract Society of South Africa, NPC. Registration number: 2006/022758/08. PBO number: 930021658   From: Coombs, Shaun Sent: 23 October 2014 02:15 PM To: Allan, Mar</t>
  </si>
  <si>
    <t>Tunstall, Hilton; Imai, Masaaki</t>
  </si>
  <si>
    <t>Review Design Standards of RTOs Under ZAF RDC</t>
  </si>
  <si>
    <t>HI all,   Hilton got a reply regarding the location and number of data outlets.   In Summary,   The size of the TER`s has to increase and we need double doors there.  It seems that they started thinking about what we do and revised th</t>
  </si>
  <si>
    <t>Utilities Roof Structure Revised Drawing S-302 Rev3</t>
  </si>
  <si>
    <t>Saved the PDF as “KJ-S-302 REVISION 3.pdf” in: HYPERLINK "file:///\\bethel.jw.org\zaf\Dept\RDC\Engineering\Projects\Zambia\ZMB%2009%20-%20Kabompo%20RTO\S4\PDF\AFC%20Revised\20141023%20AFC%20Revised%20Util.%20Bldg%20Steel"H:\RDC\Engineering\Projects\Zam</t>
  </si>
  <si>
    <t>Information requested for High Cost KHs</t>
  </si>
  <si>
    <t>FYI if you want to use it Mark   From: Barlow, Aaron Sent: Thursday, October 23, 2014 1:14 AM To: Andrade, Marcos; Barlow, Aaron; Salvidge, Mark; Schmid, David; Schwoerer Junior, Karl Heinz Cc: Williamson, Bob; Struthers, Cal Subject: Inform</t>
  </si>
  <si>
    <t>Coombs, Shaun; Gilden, David; Bent, Symon</t>
  </si>
  <si>
    <t>DC-71</t>
  </si>
  <si>
    <t>USA-RDC procedure for getting quarterly DC-71 reports in on time</t>
  </si>
  <si>
    <t>Nathan, FYI, USA-RDC procedure for getting quarterly DC-71 reports in on time and follow up. Mark   From: Barlow, Aaron Sent: Thursday, October 23, 2014 12:19 AM To: Williamson, Bob Cc: Salvidge, Mark; Struthers, Cal; Schmid, David; Andrad</t>
  </si>
  <si>
    <t>ZMB Upcoming Projects Overseer Visit</t>
  </si>
  <si>
    <t>We are happy to inform you that we are making arrangements for a project overseer (PO) visit to your branch construction and RTO projects between the dates of December 1 to December 14, 2014. Your projects overseer, Symon Bent, along with his wife Anna, w</t>
  </si>
  <si>
    <t>Garden</t>
  </si>
  <si>
    <t>Instructions on how to make a compost site</t>
  </si>
  <si>
    <t>Useful reference</t>
  </si>
  <si>
    <t>In your memo BOA:BMA October 16, 2014 memorandum you asked for advice about creating a “simple compost site for your branch perishable garbage.” We have consulted with our ground maintenance department here in South Africa and they have the following reco</t>
  </si>
  <si>
    <t>New RTO Construction Committees</t>
  </si>
  <si>
    <t>Based on new guidelines</t>
  </si>
  <si>
    <t>Over many years our office has had the privilege to work with your Branch Committee on a number of various construction projects including Branch Expansion, Assembly Hall projects, the 6th Street SKE, missionary homes and more recently, RTO’s. On all thes</t>
  </si>
  <si>
    <t>Sarah S.</t>
  </si>
  <si>
    <t>Walk-off mats in vestibule areas of the new residences</t>
  </si>
  <si>
    <t>Thanks Sarah. Hi Symon – see below…   Regards, Mark Allan (ZAF-RDC) (REC) Watch Tower Bible and Tract Society of South Africa, NPC. Registration number: 2006/022758/08. PBO number: 930021658   From: Sarah S. [mailto:alleycatzaf@gmail.com] Sent: 22</t>
  </si>
  <si>
    <t>Mitek latest Electronic Drawings</t>
  </si>
  <si>
    <t>Hi Symon,   Please see below the discrepancies between our electronic copies of drawings and the hard copies we received in the shipping container.   Thank you, JM Dodin Ext. 22431       From: Breakell, Ben Sent: Tuesday, O</t>
  </si>
  <si>
    <t>Levelling of the land outside of the front of Bethel</t>
  </si>
  <si>
    <t>Brothers,   The CC here has been communicating with you on the levels for the land outside of the wall to the front of our Bethel property. The idea was to grade it (Levy) to make a gently sloping natural ‘valley’ or slope to prevent rain water entering</t>
  </si>
  <si>
    <t>Bugdet Estimate in PT Format xlsx</t>
  </si>
  <si>
    <t>How’s this look Debbie?  I did materials and labour so we can compare properly. If you are happy then we can send this.   Symon</t>
  </si>
  <si>
    <t>New survey comparison with oldct</t>
  </si>
  <si>
    <t>That’s fine, we can go with that. Everything seems to be consistent internally. It still bothers me to have results that are ‘tied in’ to a recognized system but that are vastly different. If this is just a relative survey, I’d much rather see a benchmark</t>
  </si>
  <si>
    <t>Forward schematics of the new SDMO generator terminal connections</t>
  </si>
  <si>
    <t>For you Masaaki, Symon   From: DODIN, Jean-Marc Sent: Wednesday, October 22, 2014 11:14 AM To: Bent, Symon Cc: Shears, Matthew Subject: GHA BEX; Forward schematics of the new SDMO generator terminal connections   Hi Symon,   Plea</t>
  </si>
  <si>
    <t>Rafalibera, Rolland</t>
  </si>
  <si>
    <t>Assessing need for expansion of studio</t>
  </si>
  <si>
    <t>Dear Brother Symon, Please find attached the approval memos for all the Malagasy big projects. Thank you for considering this.   Your brother, Rolland Rafalibera  </t>
  </si>
  <si>
    <t>Orenco Fans Installation at Existing Trickling Filter</t>
  </si>
  <si>
    <t>I don’t have any wisdom to add from a civil standpoint. I’d be keen to know what everyone else says, though, it’s an interesting problem.   From: Bent, Symon Sent: Tuesday, October 21, 2014 8:52 AM To: Cruthirds, Nathan; Moore, Benjamin; ten Have</t>
  </si>
  <si>
    <t>Budget, CPP</t>
  </si>
  <si>
    <t>CPP Approval; Conceptual Project Proposal</t>
  </si>
  <si>
    <t>Your memorandum REA:REJ August 28, 2014, requested approval of the Conceptual Project Proposal to begin the construction document stage of the Remote Translation Office for the Chitonga language in Choma, Zambia. You explained that the proposed facility i</t>
  </si>
  <si>
    <t>Choma Remote Translation Office Conceptual Project Proposal</t>
  </si>
  <si>
    <t>We request that you prayerfully take measures to see if the duty on this project can be eliminated or reduced significantly. Please identify someone knowledgeable and experienced who can speak to the tax or customs officials. It would be good to explain the work of the RTO and its purpose of helping the local people by providing literature in their language that helps them improve their lives and become better citizens. It is understood that you may have considered this with officials in the past. However, please have qualified individuals do so again after prayerfully considering the approach to take. (Proverbs 21:1) We look forward to hearing a report from you regarding how this initiative turned out.</t>
  </si>
  <si>
    <t>ZMB-ENG-ConstructionCommittee; Blackman, Innes</t>
  </si>
  <si>
    <t>Residence Slab DCP Test</t>
  </si>
  <si>
    <t>Agreed. Approved.   Saved in: HYPERLINK "file:///\\bethel.jw.org\zaf\Dept\RDC\Engineering\Projects\Zambia\ZMB%2009%20-%20Kabompo%20RTO\S4\Struct\DCP%20Tests%20June%202014%20onward"H:\RDC\Engineering\Projects\Zambia\ZMB 09 - Kabompo RTO\S4\Struct\</t>
  </si>
  <si>
    <t>Block, Design</t>
  </si>
  <si>
    <t>Face Brick vs Tyrolean Plaster Renderings</t>
  </si>
  <si>
    <t>Agreed. See also attached detail “HBM Part 3 - Mesh Plaster.zip” for how we control cracking over dissimilar materials. We also have a standard detail for striking a V-joint in the ‘plaster’ to ‘force’ the crack to be in a neat location (like a saw cut in</t>
  </si>
  <si>
    <t>DODIN, Jean-Marc; Pinon, Christian; Shears, Matthew</t>
  </si>
  <si>
    <t>Minutes of Lync Meeting on Personnel Needs 2014-10-16</t>
  </si>
  <si>
    <t>Brothers Attached you find the minutes of last week’s meeting.   Andre</t>
  </si>
  <si>
    <t>Coombs, Shaun; Allan, Mark; Washburn, Nathan</t>
  </si>
  <si>
    <t>How to produce a managable Photo Report</t>
  </si>
  <si>
    <t>A general guideline we are sending out to all construction projects ******************************************************   Hi brothers,   As an office we have encouraged your ongoing projects to send us regular photo reports to demonstrat</t>
  </si>
  <si>
    <t>Report on missionary home Toliara odt</t>
  </si>
  <si>
    <t>Dominic, Firstly, well done to Pierre for this frank and realistic report.  Basically he describes what I saw 4 years ago.  What a shame on the inhabitants being willing to live like that! Would love to see the picture report!   WOW, a load of wo</t>
  </si>
  <si>
    <t>FRP Septic Tanks</t>
  </si>
  <si>
    <t>Hello Symon,   We just want float an idea.  C-502-C2 note #20 says “FRP bought out septic tanks may be  a suitable alternative. Provide any cut sheets to RDC:ZAF for consideration”   Attached is a proposal for how we could make use of locally</t>
  </si>
  <si>
    <t>Pinon, Christian</t>
  </si>
  <si>
    <t>Arch, Brick</t>
  </si>
  <si>
    <t>Brothers,   What do you think of this recommendation for the outside of your Residence buildings (provided by our ARCH team)?  Please tell me what you think before you begin showing it to the branch.  The main idea is rubbed-down coloured Tyrolean,</t>
  </si>
  <si>
    <t>Washburn, Nathan; InboxWDC; De Meyer, Efraim</t>
  </si>
  <si>
    <t>RDC review of DRAFT 8450 AVR Steroguard Y314XF100WSS</t>
  </si>
  <si>
    <t>Dear brothers,   We have reviewed the following Non-Literature Branch Requests (NLBRs) that we received from you on October 17, 2014 for the ZMB Mongu RTO project :   1.       NLBR #8450: AVR from IREM company   We are in agreement with</t>
  </si>
  <si>
    <t>KM-C-501 minimum separation for underground pipe, between Gas and water</t>
  </si>
  <si>
    <t>Exactly, we do not have a spec for this precise eventuality.  Therefore agreed to use Fabian’s suggestion (the yellow) as a recommendation.   Get some vacation!   Symon   From: Allan, Mark Sent: Thursday, October 16, 2014 06:04 PM To:</t>
  </si>
  <si>
    <t>Coombs, Shaun; Salvidge, Mark; ten Have, Fabian; Schiller, Ben</t>
  </si>
  <si>
    <t>New Borehole Position</t>
  </si>
  <si>
    <t>Hi Dave,   See the answer from Ben, highlighted in yellow below.  Hope that helps!   Kind regards,   SymonBent South Africa RDC M: +27 61 699 6085  |  T: 2588       From: ten Have, Fabian Sent: Thursday, October 16, 2</t>
  </si>
  <si>
    <t>Washburn, Nathan; Sadler, Shane</t>
  </si>
  <si>
    <t>Long Lead Items</t>
  </si>
  <si>
    <t>Afternoon Cam,   We happy with this NLBR.  Go ahead and send it with the DC-41 once the conceptual cost is approved.   Regards,   SymonBent South Africa RDC M: +27 61 699 6085  |  T: 2588       From: Washburn, Nathan</t>
  </si>
  <si>
    <t>FS KM-C-502-C1 Ret Walls - 850mm Base Poured Already; Add extra concrete strip</t>
  </si>
  <si>
    <t>Dear brothers,   Please find attached a straight-forward solution to your retaining wall query below.  We hope that this will be possible.  It assumes that you have access to good chemical anchors—I think yes?   Kind regards,   SymonBent</t>
  </si>
  <si>
    <t>Coombs, Shaun; Salvidge, Mark; Nordin, Timothy; Washburn, Nathan</t>
  </si>
  <si>
    <t>NEW Estimating workbook for import into Project Tracking</t>
  </si>
  <si>
    <t>Dear Brothers,   We ask that you now use the attached estimating workbook when sending estimates for projects to our office.  This is for any project you plan in the future, whether ones you will be sending to us for review or even projects within y</t>
  </si>
  <si>
    <t>Smith, Caleb; Washburn, Nathan; InboxWDC</t>
  </si>
  <si>
    <t>RDC review of NLBR for Kabelflex Pallet Jack Screws</t>
  </si>
  <si>
    <t>Dear brothers,   We have reviewed the following Non-Literature Branch Requests (NLBRs) that we received from you on October 15, 2014 for the ZMB Mongu RTO project :   1.       NLBR #8420: Pallet jack, screws, Kabelflex   We are in agreem</t>
  </si>
  <si>
    <t>Washburn, Nathan; ZMB-ENG-ConstructionCommittee</t>
  </si>
  <si>
    <t>CV Requests for 2015</t>
  </si>
  <si>
    <t>Looks fine to me Cam,   Thanks Symon   From: Thomson, Cameron Sent: Thursday, October 16, 2014 05:21 AM To: Bent, Symon Cc: Washburn, Nathan; ZMB-ENG-ConstructionCommittee Subject: FW: CV Requests Kabompo   Symon,   You asked</t>
  </si>
  <si>
    <t>Generator Power DB; Progress pictures</t>
  </si>
  <si>
    <t>Hello Symon, As discussed in the Lync meeting this afternoon, please find enclosed 2 progress pics for the Generator DB. Thank you, Jean-Marc Dodin Construction Office GHANA BEX Extension: 22431 Cell: 054 431 4831  -----Original Message---</t>
  </si>
  <si>
    <t>Could we use local Water Tanks</t>
  </si>
  <si>
    <t>Answer below. Symon   From: ten Have, Fabian Sent: Wednesday, October 15, 2014 02:39 PM To: Bent, Symon Subject: RE: ZMB Mongu RTO; Could we use local Water Tanks?   Hi Symon,    No problem, agreed.   Thank you,   Fabi</t>
  </si>
  <si>
    <t>Status update on orders of SALTO access control systems</t>
  </si>
  <si>
    <t>Thanks Gareth,   No need for a sample, just wanted final confirmation!   Kind regards,   SymonBent South Africa RDC M: +27 61 699 6085  |  T: 2588   Hilton: we’re good to go!   From: Ekins, Gareth Sent: Wednesday, Oct</t>
  </si>
  <si>
    <t>Good Morning Symon   Hope you’re well. Sorry I thought Jon had confirmed that it is fine to work with the Assa Abloy unit. They are able to get a working sample if needed?   HYPERLINK "http://www.jw.org/"cid:image001.png@01CFD723.BA567850 Y</t>
  </si>
  <si>
    <t>RDC review of Draft NLBR for Tile, Carpet &amp; Signage</t>
  </si>
  <si>
    <t>Agreed. Symon   From: Tobin, Paul Sent: Wednesday, October 15, 2014 09:22 AM To: Bent, Symon Cc: ZMB-ENG-ConstructionCommittee; Washburn, Nathan; InboxWDC Subject: RE: ZMB Kabompo RTO; RDC review of Draft NLBR for Tile, Carpet &amp; Signage  </t>
  </si>
  <si>
    <t>RDC review of Draft NLBRs - Paint, Furniture &amp; Ceilings</t>
  </si>
  <si>
    <t>Hi Paul,   I was going off the comments of the architect, it didn’t show in their spec.  Go ahead with the order for 2 pcs.   Symon   From: Tobin, Paul Sent: Wednesday, October 15, 2014 09:07 AM To: Bent, Symon Cc: ZMB-ENG-Constructi</t>
  </si>
  <si>
    <t>Allan, Mark; Bateman, Tristan</t>
  </si>
  <si>
    <t>FS KM-C-502-C1 Ret Walls - 850mm Base Poured Already</t>
  </si>
  <si>
    <t>Dear brothers,   Could you read through STRUCT’s assessment below, and answer the step 1 &amp; 2, then we’ll see where to go from there.   Kind regards,   SymonBent South Africa RDC M: +27 61 699 6085  |  T: 2588     From: All</t>
  </si>
  <si>
    <t>Pinon, Christian; Imai, Masaaki</t>
  </si>
  <si>
    <t>Keep original Siemens Logo units</t>
  </si>
  <si>
    <t>Dear Jean-Marc,   Here’s ELEC’s answer.   Symon   From: Imai, Masaaki Sent: Tuesday, October 14, 2014 10:05 PM To: Bent, Symon Subject: Re: BEX GHA 0012: NLBR Review,   Hi Symon,   They do the same job but these are newer</t>
  </si>
  <si>
    <t>PTobin@zmb.wtbts.net</t>
  </si>
  <si>
    <t>Dear brothers,   We have reviewed the following Non-Literature Branch Requests (NLBRs) that we received from you on October 13, 2014 for the ZMB Kabompo RTO project :   1.       NLBR #8382: Tile, carpet and signage   We are in agreement</t>
  </si>
  <si>
    <t>Dear brothers,   We have reviewed the following Non-Literature Branch Requests (NLBRs) that we received from you on October 9, 2014 for the ZMB Kabompo RTO project :   1.       NLBR #8347:  South African sourced furniture. 2.       NLBR #83</t>
  </si>
  <si>
    <t>Gate, Struct</t>
  </si>
  <si>
    <t>Sliding Gate Rail</t>
  </si>
  <si>
    <t>Jared beat you to the punch J - see attached; does this help?   Regards, Mark Allan (ZAF-RDC) (REC) Watch Tower Bible and Tract Society of South Africa, NPC. Registration number: 2006/022758/08. PBO number: 930021658   From: Tobin, Paul</t>
  </si>
  <si>
    <t>Res. Bldg DCP Test On 150mm prelayer (North Passage)</t>
  </si>
  <si>
    <t>Thanks. Approved; you may go ahead   Regards, Mark Allan (ZAF-RDC) (REC) Watch Tower Bible and Tract Society of South Africa, NPC. Registration number: 2006/022758/08. PBO number: 930021658   From: Fruciano, Jared Sent: 14 October 2014</t>
  </si>
  <si>
    <t>RTO DRAFT NLBR Tools etc</t>
  </si>
  <si>
    <t>Dear brothers,   We have reviewed the following Non-Literature Branch Requests (NLBRs) that we received from you on October 14, 2014 for the ZMB Katete RTO project :   1.       NLBR #8376: Router bits, Sikaflex, Sikagard, plastering tools, Pre</t>
  </si>
  <si>
    <t>Washburn, Nathan; Nordin, Timothy; Finlayson, Gerald</t>
  </si>
  <si>
    <t>Items that will be resold to next project; Locations for next project</t>
  </si>
  <si>
    <t>Sorry one more detail:   1.       Kabompo to Mwinilunga 2.       Mongu to Kasempa 3.       Katete to Petauke 4.       Choma to Mpongwe   Symon   From: Bent, Symon Sent: Tuesday, October 14, 2014 10:08 AM To: McDonald, Darcy;</t>
  </si>
  <si>
    <t>Items that will be resold to next project</t>
  </si>
  <si>
    <t>Dear Darcy and Debbie,   Here’s the reply from each of the running ZMB RTOs, regarding which items they will be reselling at the end of their projects.   Symon</t>
  </si>
  <si>
    <t>Pinon, Christian; Imai, Masaaki; ten Have, Fabian; Washburn, Nathan; InboxWDC</t>
  </si>
  <si>
    <t>RDC review of NLBR Package -23</t>
  </si>
  <si>
    <t>Dear brothers,   We have reviewed the following Non-Literature Branch Requests (NLBRs) that we received from you on October 11, 2014 for the GHA BEX Project :   1.       NLBR# 51126  - Mechanical Plumbing – for Site &amp; Residences – GBR Sea Frei</t>
  </si>
  <si>
    <t>Form, Personnel</t>
  </si>
  <si>
    <t>DC-50 Local Design Construction Volunteer Application</t>
  </si>
  <si>
    <t>The Local Design/Construction Department (LDC) is responsible for approving these applications, assigning these volunteers, and maintaining the branch files. These volunteers do not receive an enrollment in Admin.</t>
  </si>
  <si>
    <t>DCP Test for Final Layer under Slab</t>
  </si>
  <si>
    <t>Hi Jared   On 2014-09-29 you tested the platform with 150mm of fill still to come:      Now you have sent tests for top of platform i.e. underside of slab-on-grade    It appears you are testing the same ‘half’ of the platform. I</t>
  </si>
  <si>
    <t>Bent, Symon; Tunstall, Hilton; Michalakis, Evangelos; Bhana, Teresh</t>
  </si>
  <si>
    <t>NGA - Clotan vs Longspan Alu gutters</t>
  </si>
  <si>
    <t>Thanks. This is useful   TB – I saved this as “Gutters - Roof Sheeting Galv. Corrosion - PE Tape Separator.msg” in folder below…   HYPERLINK "file:///\\bethel.jw.org\zaf\DeptArchive\RDC\Engineering\Disciplines\Struct\Steel\Galvanizing"N:\RDC\E</t>
  </si>
  <si>
    <t>Bhana, Teresh; Bent, Symon; Cole, Glen Paul</t>
  </si>
  <si>
    <t>Quotation - Roof Fix Brackets from Longspan</t>
  </si>
  <si>
    <t>Shaun,   We took advice on this from a brother in GB who installs the same type of gutter as we obtained from Longspan. Basically you have to provide a separation between the two metals. Interestingly the Zinc in the galv actually protects the alumi</t>
  </si>
  <si>
    <t>Riley, Patrick; Allan, Mark; Schiller, Ben</t>
  </si>
  <si>
    <t>RDC review sewer, civil, and reticulation drawings</t>
  </si>
  <si>
    <t>Haroon,   Please find attached our comments for the COD Kikwit RTO Civil design.  We suggest that we arrange a meeting at your earliest convenience to work through these together and finalise this package.  Could you tell us a time that would be sui</t>
  </si>
  <si>
    <t>REHABILITATION OF BAATSONA BIBLE SCHOOL-Construction Supervision</t>
  </si>
  <si>
    <t>Hi Symon,   Please find enclosed the proposal from Falcon Eng. for supervising the construction of Baatsona SKE.  We shall need to discuss and decide about the following soon: 1.       Use of contractor for part or whole of the project? 2. </t>
  </si>
  <si>
    <t>Salvidge, Mark; Coombs, Shaun; Washburn, Nathan</t>
  </si>
  <si>
    <t>Assessing future studio needs</t>
  </si>
  <si>
    <t>Dear Symon, Generally, this is it. You describe it accurately.  In the second last paragraph, in the second bullet point, however, you said “Replace the existing 3 x Editing Rooms with the higher rated 6084E double-wall rooms to match the revised AV</t>
  </si>
  <si>
    <t>Murray, Duncan; Washburn, Nathan</t>
  </si>
  <si>
    <t>RTOs Roofs; Meeting Minutes Clotan; which gutter supplier (Stick with GRS Roofing unless nr coast)</t>
  </si>
  <si>
    <t>Meeting Minutes Date:     October 10, 2014 Att:        MA, TBa, SC, MS, BM, EM, TBh, DG Re:        RTOs Roofs: Clotan sheeting, which gutter supplier? (Longspan?)   ­Actions: 1.       Longspan to send their catalogue so that we can under</t>
  </si>
  <si>
    <t>Crook, Arthur; Allan, Mark; Washburn, Nathan; Bent, Symon; Salvidge, Mark; Coombs, Shaun</t>
  </si>
  <si>
    <t>RTO standardization meeting</t>
  </si>
  <si>
    <t>Men:   Thanks for your time.  The points in red in the attached minutes have been resolved.  During our meeting today we agreed that we would issue this doc to Elec, Mech and Arch.  They will study each of the outstanding comments add comments in re</t>
  </si>
  <si>
    <t>Residence Building Slab DCP Results</t>
  </si>
  <si>
    <t>Agreed; approved   Regards, Mark Allan (ZAF-RDC) (REC) Watch Tower Bible and Tract Society of South Africa, NPC. Registration number: 2006/022758/08. PBO number: 930021658   From: Tobin, Paul Sent: 10 October 2014 01:48 PM To: Allan,</t>
  </si>
  <si>
    <t>Salvidge, Mark; Coombs, Shaun; Washburn, Nathan; Allan, Mark</t>
  </si>
  <si>
    <t>Dear Zeny,   We had a meaningful meeting on Tuesday morning with MDG branch about their potential studio needs.  The audio facilities were expanded as part of their recent Branch expansion (Finished October 2013).  This is captured in the sketch bel</t>
  </si>
  <si>
    <t>Coombs, Shaun; Salvidge, Mark; ten Have, Fabian; De Meyer, Efraim; Bateman, Tristan; Reichel, Venessa; Schiller, Ben; ten Have, Fabian; Michalakis, Evangelos; Allan, Mark</t>
  </si>
  <si>
    <t>Pre-Construction Meeting Minutes for your reference</t>
  </si>
  <si>
    <t>Also for Lubumbashi</t>
  </si>
  <si>
    <t>Dear brothers,   Please find attached the minutes of our Pre-Construction Meeting held on October 6, 2014 in the RDC office.  We encourage you to review these with your trade overseers and keep them as a reference throughout your project.   Ki</t>
  </si>
  <si>
    <t>Washburn, Nathan; Bent, Symon; Gilden, David; Allan, Mark; While, Mark</t>
  </si>
  <si>
    <t>Meeting video display needs in the US-RDC region</t>
  </si>
  <si>
    <t>FYI.   Thanks,  Shaun   From: O'Guin, Colin Sent: Thursday, October 9, 2014 5:52 PM To: Andrade, Marcos; Barlow, Aaron; Bean, David; Coles, Mark; Coombs, Shaun; Hopper, Keith; Ledley, Mark; Ramon, Aaron; Reyes, Gerardo; Schwoerer Junior,</t>
  </si>
  <si>
    <t>Mitek Roof Structure--Request latest electronic drawings</t>
  </si>
  <si>
    <t>FYI; it seems that they are the same.   From: DODIN, Jean-Marc Sent: Thursday, October 9, 2014 05:54 PM To: Bent, Symon Cc: Pinon, Christian; Breakell, Ben Subject: FW: GHA BEX; Mitek Roof Structure--Request latest electronic drawings   H</t>
  </si>
  <si>
    <t>Washburn, Nathan; InboxRDC.ZA; Cruthirds, Nathan</t>
  </si>
  <si>
    <t>GHA-4522 Combi Ovens ($7,816 52)</t>
  </si>
  <si>
    <t>Dear brothers,   Nathan Cruthirds pointed out a rather small but rather important missing word below in our explanation…   Regards,   SymonBent South Africa RDC M: +27 61 699 6085  |  T: 2588       From: Bent, Symon S</t>
  </si>
  <si>
    <t>Bent, Symon; Mondoka, Molson; Finch, Ed</t>
  </si>
  <si>
    <t>Kafue Kaseba, Lusaka Chipata Overspill &amp; Mansa Kakomwe-AH Attendance Calculations</t>
  </si>
  <si>
    <t>Henry, Received, thank you. We'll review it as soon as we can. Nathan  -----Original Message----- From: Kapata, Henry Sent: Thursday, October 09, 2014 4:03 PM To: Washburn, Nathan Cc: Bent, Symon; Mondoka, Molson; Finch, Ed Subject: Kafue Kaseb</t>
  </si>
  <si>
    <t>Blackman, Innes; De Meyer, Efraim; Imai, Masaaki; Washburn, Nathan</t>
  </si>
  <si>
    <t>Height of Dining room electrical outlets</t>
  </si>
  <si>
    <t>Paul, reply below. Symon   From: De Meyer, Efraim Sent: Thursday, October 9, 2014 01:54 PM To: Bent, Symon Cc: Imai, Masaaki; Washburn, Nathan Subject: RE: ZMB Kabompo RTO; Height of Dining room electrical outlets   Hi Symon,   I</t>
  </si>
  <si>
    <t>Allan, Mark; Bateman, Tristan; Washburn, Nathan; Tunstall, Hilton; Coombs, Shaun; Salvidge, Mark</t>
  </si>
  <si>
    <t>Size of steel stud in AV celing (now 63mm)</t>
  </si>
  <si>
    <t>Here’s the reply.   SymonBent South Africa RDC M: +27 61 699 6085  |  T: 2588       From: Michalakis, Evangelos Sent: Thursday, October 9, 2014 10:50 AM To: Bent, Symon Cc: Allan, Mark; Bateman, Tristan Subject: RE: ZMB-Kabomp</t>
  </si>
  <si>
    <t>How many prints of AFC drawings</t>
  </si>
  <si>
    <t>You’ll get a memo.   From: Thomson, Cameron Sent: Thursday, October 9, 2014 09:22 AM To: Bent, Symon; Lester, Davin Cc: Washburn, Nathan Subject: RE: ZMB Katete RTO; How many prints of AFC drawings?   Thanks Please let me know when thi</t>
  </si>
  <si>
    <t>Pinon, Christian; Allan, Mark; Reichel, Venessa</t>
  </si>
  <si>
    <t>FS KM-C-502-C1 Rock Retaining Walls Res 3 - Geometry; Weepholes</t>
  </si>
  <si>
    <t>Dear brothers,   Based on your request below we are issuing a field sketch updating the construction of the retaining wall.  The drawings affected are as follows:   1.       KM-C-502-C1: Retaining Wall Redrawn   Please be sure to cross o</t>
  </si>
  <si>
    <t>Pinon, Christian; Washburn, Nathan; InboxWDC</t>
  </si>
  <si>
    <t>NLBR Package -22 for RDC review</t>
  </si>
  <si>
    <t>Dear brothers,   We have reviewed the following Non-Literature Branch Requests (NLBRs) that we received from you on Oct 3, 2014 for the GHA BEX project : 1.       NLBR 50914: Water treatment chemicals. (We confirmed with you that the Sodium Hypoc</t>
  </si>
  <si>
    <t>DODIN, Jean-Marc; McDonald, Darcy; Nordin, Timothy; Washburn, Nathan; Allan, Mark</t>
  </si>
  <si>
    <t>Missing ECT in CTP, how to handle additional costs</t>
  </si>
  <si>
    <t>Dear Christian,   Here our recommendation:   1.       Where the cost is an over-run in an existing ECT-Code please continue to track it in that code, and explain any cost over-run in the monthly AO-8 report, mentioning the e-mail/memo approval</t>
  </si>
  <si>
    <t>DODIN, Jean-Marc; Pinon, Christian</t>
  </si>
  <si>
    <t>Topographical Survey 2014-10-07</t>
  </si>
  <si>
    <t>Symon This is the latest Topographical survey that I received from the Kikam site. They try to get the elevations outside the fence today. I will send them as soon as possible.   Andre    </t>
  </si>
  <si>
    <t>Personnel, Minutes of Lync meeting Oct 06,2014</t>
  </si>
  <si>
    <t>Brothers Attached you find the minutes of our meeting held with regards to  RTO Personnel  and Organizational structure on Monday, October 6.   Thanks Andre   ****************   Personnel Needs for GHA RTO’s Lync Meeting Minutes October 6, 201</t>
  </si>
  <si>
    <t>DCP TEST for UTILITY BLDG- Last Layer before slab</t>
  </si>
  <si>
    <t>Excellent! Approved!   Saved in: HYPERLINK "file:///\\bethel.jw.org\zaf\Dept\RDC\Engineering\Projects\Zambia\ZMB%2010%20-%20Mongu%20RTO\S4\Struct\DCP%20Tests\Utility%20Bldg%20SOG"H:\RDC\Engineering\Projects\Zambia\ZMB 10 - Mongu RTO\S4\Struct\DCP Te</t>
  </si>
  <si>
    <t>Washburn, Nathan; Allan, Mark; McDonald, Darcy</t>
  </si>
  <si>
    <t>Ghana Assembly Hall Planning Study 1</t>
  </si>
  <si>
    <t>Dear brothers,   We have reviewed this revised plan here in the RDC and are in agreement.  Their request for open-sided shed roofs for some of the larger AH locations are in line with current direction and will certainly be appreciated during the ra</t>
  </si>
  <si>
    <t>Salvidge, Mark; Coombs, Shaun; Tunstall, Hilton</t>
  </si>
  <si>
    <t>Block, Concrete</t>
  </si>
  <si>
    <t>Exact Concrete Block Sizes (CMU)</t>
  </si>
  <si>
    <t>Thanks Van – good job!   Is the actual block SIZE listed as an item to be filled in (in the RTO Project Description doc)? 190 block is 200 coursing – so 10 courses is 2.0m; 200 block is 210 coursing – so 10 courses is 2.1m. Makes quite a difference</t>
  </si>
  <si>
    <t>Confirm state of city power supply</t>
  </si>
  <si>
    <t>Symon, I will use this all though I`m very sceptic.   Thanks, Efraim     From: Thomson, Cameron Sent: Tuesday, October 07, 2014 10:01 AM To: Bent, Symon Cc: De Meyer, Efraim Subject: RE: ZMB Choma RTO; Confirm state of city power</t>
  </si>
  <si>
    <t>Allan, Mark; Bateman, Tristan; Reichel, Venessa; Meinders, Andre</t>
  </si>
  <si>
    <t>Revised Drawings--Control Joint Locations, S-103-S1, S-104-S!</t>
  </si>
  <si>
    <t>Dear brothers,   In answer to your request below, we are issuing the following revised drawings for your project, which now include the control joint locations:   1.       KY-S-103-S1: Residence 3 Ringbeam Plans 2.       KY-S-104-S1: Reside</t>
  </si>
  <si>
    <t>Dear all,   Van was tasked to check on the CMU sizes that we are actually using in the field, hence we did a quick survey of all current RTO projects using concrete block and here are the results:   Cty Project Length Width Height</t>
  </si>
  <si>
    <t>Bent, Symon; McDonald, Darcy; Morgan, Wendell</t>
  </si>
  <si>
    <t>GHA0032 AO6 1 CHECKED; DC-41 -1 Ghana Branch Expansion Phase 2</t>
  </si>
  <si>
    <t>Dear Tim ~ Your understanding of the process (highlighted below) is exactly what we would recommend. Additionally, since we are in the gap between CTP-assigned and WDC/PT-assigned project numbers, please include “(GHA0015)” as part of the Project Name.</t>
  </si>
  <si>
    <t>Kaarna, Arno; Jones, David M.</t>
  </si>
  <si>
    <t>AH Planning Study included in annual 2015 KH AH budget</t>
  </si>
  <si>
    <t>Dear Symon, Yes please they were. The budget mentioned one renovation and six proposals as per the overall plan that did not include permanent sheds. Thus all the new projects were going to be under $200,000.00. However the planning study reflects the</t>
  </si>
  <si>
    <t>Sellden, Erik; Berger, Xavier; Imai, Masaaki; De Meyer, Efraim</t>
  </si>
  <si>
    <t>Spliced 11kva power cable renewal acceptable IR values</t>
  </si>
  <si>
    <t>Men: Answer below. Symon   From: Imai, Masaaki Sent: Monday, October 6, 2014 01:33 PM To: Bent, Symon; De Meyer, Efraim Subject: RE: GHA BEX; Spliced 11kva power cable renewal values   Hi Symon,   I would say no problem as long as</t>
  </si>
  <si>
    <t>Phiri, Mubanga</t>
  </si>
  <si>
    <t>Bent, Symon; Washburn, Nathan; ZMB-ENG-ConstructionCommittee; Nkandu, Dick</t>
  </si>
  <si>
    <t>Tenancy Agreement; Boma house;</t>
  </si>
  <si>
    <t>Hi Davin,   I have made some adjustments to Clause number one. The meaning has not changed. I have also made the following observations: ·         You have indicated that the Agreement commences October 1. Does it mean you have already occupied t</t>
  </si>
  <si>
    <t>Bhana, Teresh</t>
  </si>
  <si>
    <t>Quote</t>
  </si>
  <si>
    <t>RTO Ghana - Quote from Clotan</t>
  </si>
  <si>
    <t>    From: Declan Silver [mailto:declan@clotansteel.co.za] Sent: Monday, October 06, 2014 11:55 AM To: Bhana, Teresh Subject: RTO Ghana   Hi Teresh   Apologies for the delay Please see attached colorbond ultra prices.   Our t</t>
  </si>
  <si>
    <t>Fan controller vs built-in fan light unit</t>
  </si>
  <si>
    <t>Hi Symon,   At the moment the room design is as follows:          So no separate speed controller for the fan anymore. Since the fan has its speed controller on it and we think that most leave it the same speed anyhow it`s now just</t>
  </si>
  <si>
    <t>Pinon, Christian; Sukram, Sarah</t>
  </si>
  <si>
    <t>Hardware</t>
  </si>
  <si>
    <t>Door schedule--preliminary hardware schedule update</t>
  </si>
  <si>
    <t>Hi Jean-Marc,   As Sarah notes below the only remaining change will be to accommodate the new SALTO access control system.  TBC.  Otherwise the rest is valid and up-to-date.   Regards,   SymonBent South Africa RDC M: +27 61 699 608</t>
  </si>
  <si>
    <t>Minutes of meeting - progress</t>
  </si>
  <si>
    <t>Dear Brothers,   Please find enclosed the minutes of the meeting held today with Falcon Engineering and relating to the tender package for Baatsona SKE.   Symon, one action item is for ZAF RDC.   Thank you, Jean-Marc Dodin Construc</t>
  </si>
  <si>
    <t>DODIN, Jean-Marc; Washburn, Nathan</t>
  </si>
  <si>
    <t>NLBR 50528 review by RDC</t>
  </si>
  <si>
    <t>Dear brothers,   We have reviewed the following Non-Literature Branch Requests (NLBRs) that we received from you on Friday, October 3, 2014 for the GHA BEX Project :   1.       NLBR #50528 Two caulking guns   We are in agreement with you</t>
  </si>
  <si>
    <t>Allan, Mark; Coombs, Shaun; Salvidge, Mark</t>
  </si>
  <si>
    <t>WSP Sewer and water reticulation drawings for review - FtH comments</t>
  </si>
  <si>
    <t>Hi Symon,   Sorry for not sending you my comments earlier, please find them attached.    Thank you,   Fabian ten Have South Africa Regional Design/Construction Department   From: Bent, Symon Sent: Tuesday, September 23, 2014 1</t>
  </si>
  <si>
    <t>Storm Water at Bethel</t>
  </si>
  <si>
    <t>Straight from my phone… I have better ones somewhere. I will  look for them.   Andre    </t>
  </si>
  <si>
    <t>Remove Indications on Drawing C-101 and C-103 Rev2</t>
  </si>
  <si>
    <t>Answer below. Symon   From: Imai, Masaaki Sent: Friday, October 3, 2014 07:51 AM To: Bent, Symon Subject: RE: GHA BEX ; Remove Indications on Drawing C-101 and C-103 Rev2   Hi Symon,   No problem with me, thanks!   Thank you</t>
  </si>
  <si>
    <t>Symon, Can you get an answer for Zeny.  Come around if there are any questions, I don’t know much, but we can dig in and try to find something. Thanks, Nathan    From: InboxWDC Sent: Thursday, October 02, 2014 10:21 PM To: Washburn, Nath</t>
  </si>
  <si>
    <t>Allan, Mark; Coombs, Shaun; Salvidge, Mark; Tunstall, Hilton; Bent, Symon</t>
  </si>
  <si>
    <t>Land purchase for proposed Dangme language RTO in Somanya</t>
  </si>
  <si>
    <t>Brothers, For your information, David Jones from Ghana called this morning and asked if they could buy this property outright, since it is within their spending limit.  I encouraged them to rather make a DC-31 and submit an urgent memo, which they have</t>
  </si>
  <si>
    <t>Washburn, Nathan; ZMB-ENG-ConstructionCommittee; Fruciano, Jared; Bent, Symon</t>
  </si>
  <si>
    <t>DCP test of RES BLDG</t>
  </si>
  <si>
    <t>Thanks for clarifying things. And thanks for marking up DCP Sheet so clearly – was easy to analyse J   Top 120 – 140 mm is at about 28 – 30 mm/blow, then it improves to about 12-13 mm/blow after that. Much stiffer! Well done on your extra efforts!</t>
  </si>
  <si>
    <t>Pinon, Christian; Jones, David M.; Washburn, Nathan</t>
  </si>
  <si>
    <t>EXPORT NLBR -4462 (3)</t>
  </si>
  <si>
    <t>Air-freight approval</t>
  </si>
  <si>
    <t>You have our approval to air-freight this from a PO POV.  I can understand the urgency as this needs to go into your footings…   Regards,   SymonBent South Africa RDC M: +27 61 699 6085  |  T: 2588       From: DODIN, Jean-Mar</t>
  </si>
  <si>
    <t>Nolan, Todd; Fruciano, Jared; ten Have, Fabian</t>
  </si>
  <si>
    <t>Aluminium Tape alternative (APPROVED)</t>
  </si>
  <si>
    <t>Answer below.   Symon   From: ten Have, Fabian Sent: Thursday, October 2, 2014 09:50 AM To: Bent, Symon Subject: ZMB Mongu RTO - Aluminium Tape alternative   Hi Symon,    My comments: for that little bit of ductwork for an RTO</t>
  </si>
  <si>
    <t>DC-41 for survey and CDP design--draft</t>
  </si>
  <si>
    <t>Hi Tim,   In answer to your questions: 1.       ASAP 2.       Description of overall project as below: GHA04 Project Title and Description Ghana Branch Expansion Phase 2 [GHA0015] This second phase will consist of the following works:</t>
  </si>
  <si>
    <t>Mastromonaco, Andrea</t>
  </si>
  <si>
    <t>change pipe fusiotherm</t>
  </si>
  <si>
    <t>hello brothers, with this mail is to inform you that, in agreement with Fabian Ten Have, we decided to change the pipe fusiotherm.  We decided to order the tube fusitherm special UV light for outdoor and main lines. is called sdr 7.4 MP UV, it is bla</t>
  </si>
  <si>
    <t>ZMB-ENG-ConstructionCommittee; Bent, Symon; Washburn, Nathan</t>
  </si>
  <si>
    <t>Carpark Elevations</t>
  </si>
  <si>
    <t>Fine by me Simple solution – thanks   Have a good day  Paul   From: Schiller, Ben Sent: Thursday, October 02, 2014 8:47 AM To: Tobin, Paul Cc: ZMB-ENG-ConstructionCommittee; Bent, Symon; Washburn, Nathan Subject: RE: ZMB-Kabompo Car</t>
  </si>
  <si>
    <t>Mongu CC</t>
  </si>
  <si>
    <t>Jared, Comments noted. We should be there sometime in December, so we’ll dig much deeper into it. Thanks, Nathan    From: Fruciano, Jared Sent: Tuesday, September 30, 2014 10:59 AM To: Washburn, Nathan Cc: Bent, Symon Subject: Mongu</t>
  </si>
  <si>
    <t>CPP Revised</t>
  </si>
  <si>
    <t>Brothers, We have submitted a revised CPP for the Choma RTO project on Oct 1.  The revised “Not to Exceed” cost is USD 1,674,200 including property (USD 34,200).  We copied Zambia on the memorandum.   Additionally, we wish to inform you that the</t>
  </si>
  <si>
    <t>Missionary Home Project in Brazzaville</t>
  </si>
  <si>
    <t>In your letter FA:AB August 4, 2014, No. 1385, you proposed using land in Brazzaville that is owned by the organization for a two_x001E_apartment missionary home and literature depot. You indicated that the property is in a good location and could be sold in th</t>
  </si>
  <si>
    <t>We have reviewed the information you sent our office with your memorandum dated September 9, 2014 wherein you expressed the desire to purchase property to build a standard RTO. You explained that you are renting a few different buildings/apartments and th</t>
  </si>
  <si>
    <t>Coombs, Shaun; Washburn, Nathan; Salvidge, Mark; Fynn, Ryan; Bent, Symon; McDonald, Darcy; Finlayson, Gerald; Nordin, Timothy; Briel, Pieter</t>
  </si>
  <si>
    <t>POR template - what about 'Risks'</t>
  </si>
  <si>
    <t>Let BC see</t>
  </si>
  <si>
    <t>YES</t>
  </si>
  <si>
    <t>Thanks! I copy other EPCs and RPCs…and Estimating   Regards, Mark Allan (ZAF-RDC) (REC) Watch Tower Bible and Tract Society of South Africa, NPC. Registration number: 2006/022758/08. PBO number: 930021658   From: Watts, Jeffery Sent: 3</t>
  </si>
  <si>
    <t>Draft NLBR Furniture USA</t>
  </si>
  <si>
    <t>Thank you  Hope you feel better soon sick Symon      From: Washburn, Nathan Sent: Tuesday, September 30, 2014 2:28 PM To: Tobin, Paul; Bent, Symon Cc: ZMB-ENG-ConstructionCommittee Subject: RE: ZMB-Kabompo Draft NLBR - Furniture USA  </t>
  </si>
  <si>
    <t>DC-14</t>
  </si>
  <si>
    <t>Draft DC-14 for input</t>
  </si>
  <si>
    <t>Project overseer types, Please see the request from Trond below.     He would like comments by next Monday if possible.   Thanks, Nathan    From: Myklebust, Trond Sent: Friday, September 26, 2014 8:31 PM To: Washburn, Nathan; Sn</t>
  </si>
  <si>
    <t>Control Joint Location vs Mitek trusses</t>
  </si>
  <si>
    <t>Thanks Tristan – good job. Hi Ghana – see below. Please acknowledge receipt? Please confirm that everything is understood? Please mark up your as-builts accordingly?   Basically:   ·         Keep the CONTROL JOINTS in the locations shown – no</t>
  </si>
  <si>
    <t>Grace Njoloma</t>
  </si>
  <si>
    <t>Bent, Symon; Washburn, Nathan; ZMB-ENG-ConstructionCommittee</t>
  </si>
  <si>
    <t>Application D EPPA KAT 2309</t>
  </si>
  <si>
    <t>Dear Mr  Lester,   Your application numbered as D/EPPA/KAT/2309 was approved in the meeting held on the 25thSeptember, 2014  by the Eastern Province Planning Authority and will be ready for collection starting wednesday the 1st Oct, 2014.   Kind r</t>
  </si>
  <si>
    <t>Stormwater issues around main entrance</t>
  </si>
  <si>
    <t>Hi Symon,  Please find below one of the concern of the branch.   As a result of the nearby mall construction and road improvements we are seeing some issues with storm drainage and run-off in front of our property.  1. The outlet of the mall’s</t>
  </si>
  <si>
    <t>Bent, Symon; Salvidge, Mark; Moulanier, Gratian</t>
  </si>
  <si>
    <t>Interior Walls - Masonry Control Joint Details</t>
  </si>
  <si>
    <t>And then since we have control joints in the masonry walls below, we also carry this up into the ring beam above so it does not constrict the outer walls   I copy Kikwit team too…   Regards, Mark Allan (ZAF-RDC) (REC) Watch Tower Bible a</t>
  </si>
  <si>
    <t>Washburn, Nathan; Coombs, Shaun; Salvidge, Mark; Bent, Symon; Tunstall, Hilton; Moore, Benjamin; Cruthirds, Nathan; ten Have, Fabian; De Meyer, Efraim; Imai, Masaaki; Gilden, David; Fynn, Ryan; McDonald, Darcy</t>
  </si>
  <si>
    <t>Float Cash up</t>
  </si>
  <si>
    <t>TiN and VR – see below and attached? I copy the regular travellers too   Regards, Mark Allan (ZAF-RDC) (REC) Watch Tower Bible and Tract Society of South Africa, NPC. Registration number: 2006/022758/08. PBO number: 930021658   From: Car</t>
  </si>
  <si>
    <t>Washburn, Nathan; Bateman, Tristan</t>
  </si>
  <si>
    <t>Mortar Strength (1C - 4 5 S - 0 5 L)</t>
  </si>
  <si>
    <t>If the CEMENT is from a reputable source, if the SAND is good (no organics, no clay) and if the LIME is proper builder’s lime for this use, this MIX should be fine   Regards, Mark Allan (ZAF-RDC) (REC) Watch Tower Bible and Tract Society of So</t>
  </si>
  <si>
    <t>Furniture Costs Overrun</t>
  </si>
  <si>
    <t>Paul, Symon is out today.  But from my point of view you should proceed.  Please keep track of all such overruns for explanation in the DC-44 (the form formerly known as AO-9). Thanks, Nathan    From: Tobin, Paul Sent: Saturday, September</t>
  </si>
  <si>
    <t>Mashego, Alfred</t>
  </si>
  <si>
    <t>McKelvey, Jamie; Allan, Mark; Bent, Symon; While, Mark; InboxMNTWindowManufacturing.ZA</t>
  </si>
  <si>
    <t>ZAF LPD-Salto Keyless System Doors Affected</t>
  </si>
  <si>
    <t>    Hi Paul,   Please keep this email with the rest of the Salto Keyless project. We will discuss it when we have our meeting.   Thanks,   Alfred Mashego | Maintenance Office | cid:image003.jpg@01CEA26E.8C008670: x(011)761-1710 (71</t>
  </si>
  <si>
    <t>Group training program</t>
  </si>
  <si>
    <t>Dear Symon, Please find attached a copy of the program for the school I mentioned to you.  Yours Daniel</t>
  </si>
  <si>
    <t>Fee Account 1</t>
  </si>
  <si>
    <t>Hi Symon   Herewith our interim fee account for work done on the abovementioned project.   Regards, Patrick Riley Pr Tech Eng Regional Director  WSP, Civil and Structural Engineers, Africa 3rd Floor, 35 Wale Street, Cape Town, 8001,</t>
  </si>
  <si>
    <t>While, Mark; InboxMNTWindowManufacturing.ZA; McKelvey, Jamie; Sukram, Sarah; Nyberg, Patric; Sherwood, Mark; Washburn, Nathan; Briel, Pieter; Keller, Zane; Viljoen, Rene; Fynn, Ryan</t>
  </si>
  <si>
    <t>SAF LPD Salto Keyless System (PR2 RENO)</t>
  </si>
  <si>
    <t>As mentioned in another e-mail: Paul Carnell will be taking the lead in coordinating this Salto Keyless System for SAF Branch from now on.    Paul C will meet with the end-user and see exactly which doors on PR2 need this Salto system. He will then</t>
  </si>
  <si>
    <t>JohnD@o-l.co.za; While, Mark; InboxMNTWindowManufacturing.ZA; McKelvey, Jamie; Sukram, Sarah; Nyberg, Patric; Sherwood, Mark; Washburn, Nathan; Briel, Pieter; Keller, Zane; Viljoen, Rene; Fynn, Ryan; Smith, Jeffrey S</t>
  </si>
  <si>
    <t>SAF Salto Keyless System (SWR PROJECT)</t>
  </si>
  <si>
    <t>We met with John Dovey today. Symon will send him all the Salto cutsheets   So Paul Carnell will be taking the lead in coordinating this Salto Keyless System for SAF Branch from now on. (See other e-mail regarding this too…)   Paul C will meet</t>
  </si>
  <si>
    <t>InboxMNTWindowManufacturing.ZA; McKelvey, Jamie; Sukram, Sarah; Nyberg, Patric; Sherwood, Mark; Washburn, Nathan; Briel, Pieter; Keller, Zane; Viljoen, Rene; Fynn, Ryan</t>
  </si>
  <si>
    <t>SAF Projects - Salto Keyless System (OVERALL PLAN)</t>
  </si>
  <si>
    <t>Paul Carnell will be taking the lead in coordinating this Salto Keyless System for SAF Branch from now on.   I will send separate e-mails for SWR, RES 10 and PR2 RENO projects; but basically:   ·         Res 10 – since we are already so close</t>
  </si>
  <si>
    <t>Assa Abloy Panic Bar</t>
  </si>
  <si>
    <t>Good Afternoon Symon   Hope you’re well. Please find reply below regarding the Assa panic bar query you had.   Regards Gareth     From: Gus Dosanjh [mailto:g.dosanjh@saltosystems.com] Sent: Thursday, September 25, 2014 7:57 AM To:</t>
  </si>
  <si>
    <t>Culvert, Contract</t>
  </si>
  <si>
    <t>Creek Box Culvert Peer Review (WSP REPORT)</t>
  </si>
  <si>
    <t>No cost estimates done for culvert yet…   Regards, Mark Allan (ZAF-RDC) (REC) Watch Tower Bible and Tract Society of South Africa, NPC. Registration number: 2006/022758/08. PBO number: 930021658   From: St. Jean, Zeny Sent: 25 Septembe</t>
  </si>
  <si>
    <t>BC CC project design review comments</t>
  </si>
  <si>
    <t>Dear all,   Ghana’s review comments can be found here:  HYPERLINK "file:///\\bethel.jw.org\zaf\Dept\RDC\Engineering\Projects\Ghana\GHA%2003%20-%20Branch%20Expansion%20Phase%202\S2\Arch\Ghana%20Review%202014_09_09\20140925%20GHA%20Review%20comments"\</t>
  </si>
  <si>
    <t>Part Tender Package for Review</t>
  </si>
  <si>
    <t>Why not?!! JM   From: Bent, Symon Sent: Thursday, September 25, 2014 7:37 AM To: DODIN, Jean-Marc Subject: RE: GHA-SKE: Part Tender Package for Review   Thank JM, just need the attachments…   From: DODIN, Jean-Marc Sent: Wednesd</t>
  </si>
  <si>
    <t>BC Design Review Comments</t>
  </si>
  <si>
    <t>Embedded (22)</t>
  </si>
  <si>
    <t>Symon - some light reading for you.   The finalized comments on the proposed Phase-2 plans.  David.     Your message is ready to be sent with the following file or link attachments: Sketch 18 KH and reception Sketch 19 KH and recept</t>
  </si>
  <si>
    <t>Choral Studio CDP</t>
  </si>
  <si>
    <t>Hi Symon,   Please find attached the CDP for the Congo Choral studio. Some figures are still pending, will put them in once I get them.   Kind Regards, Van.   Evangelos Michalakis Regional Design/Construction Department (ZAF-R</t>
  </si>
  <si>
    <t>Revised GRS roof sheeting quote--to review</t>
  </si>
  <si>
    <t>Hi all,   This quote looks good.  There is a small error of about R.400 in their calculations that might be mentioned.   Greets,   SymonBent South Africa RDC M: +27 61 699 6085  |  T: 2588       From: Michalakis, Evange</t>
  </si>
  <si>
    <t>Control Joint Location might clash with Mitek trusses</t>
  </si>
  <si>
    <t>Hi Symon – we found this before, and have fixed things up on RTOs   See attached e-mails   So let Tristan look at this and see what we should do in Ghana. Also, we have an alternate concrete beam control joint detail which may be simpler than</t>
  </si>
  <si>
    <t>Keller, Zane</t>
  </si>
  <si>
    <t>Mashego, Alfred; Bent, Symon; Kent, Wayne</t>
  </si>
  <si>
    <t>Salto System</t>
  </si>
  <si>
    <t>Afternoon Zane,    Excellent news indeed.  Can you please notify RDC so they can go ahead with the planning and final costing in preparation for a DC41.   Thank you, Veg Computer Department Ext. 1263   HYPERLINK "sip:mwhile@beth</t>
  </si>
  <si>
    <t>Washburn, Nathan; Coombs, Shaun; Bent, Symon; Tunstall, Hilton; Gilden, David</t>
  </si>
  <si>
    <t>Education</t>
  </si>
  <si>
    <t>PT Project Management slide show</t>
  </si>
  <si>
    <t>Here you go  </t>
  </si>
  <si>
    <t>Bent, Symon; Schmidt, Gregory; Washburn, Nathan</t>
  </si>
  <si>
    <t>Generator Diesel line, commissioning follow-up</t>
  </si>
  <si>
    <t>Thanks I have taken note.   Cam   From: De Meyer, Efraim Sent: Tuesday, September 23, 2014 10:11 PM To: Thomson, Cameron Cc: Bent, Symon; Schmidt, Gregory; Washburn, Nathan Subject: FW: Zambia Diesel line   Hi Cam   Here are s</t>
  </si>
  <si>
    <t>Nyberg, Patric</t>
  </si>
  <si>
    <t>Ruff, Alex; Bester, Wouter; Bent, Symon; Keller, Zane; While, Mark; McKelvey, Jamie; InboxMNTWindowManufacturing.ZA</t>
  </si>
  <si>
    <t>SAF LPD Salto Keyless System</t>
  </si>
  <si>
    <t>Hi Patric,   Here is the latest regarding Res 10 exit doors. All Res 10 entry doors must be manufactured using the specified hardware. (eg: Exit device and door closers) The exception will be the outside of the door; No handles or cylinder piercings</t>
  </si>
  <si>
    <t>Kent, Wayne; While, Mark; Keller, Zane</t>
  </si>
  <si>
    <t>Salto Agenda Item</t>
  </si>
  <si>
    <t>Thanks Symon,   I’m handling it with construction so that they can go ahead with the order.   Regards,   Alfred Mashego | Maintenance Office | cid:image003.jpg@01CEA26E.8C008670: x(011)761-1710 (71-710)   Watch Tower Bible and Trac</t>
  </si>
  <si>
    <t>Shears, Matthew; Pinon, Christian</t>
  </si>
  <si>
    <t>GHA 03 CDP - Missing Info for CDP needed from Ghana FAIR MARKET VALUE</t>
  </si>
  <si>
    <t>Yes that is correct. That is total value. Thanks Ben Annan   From: Bent, Symon Sent: Tuesday, September 23, 2014 11:36 AM To: Annan, Benjamin; Akrong, Isaac Cc: Shears, Matthew; Pinon, Christian Subject: RE: GHA 03 CDP - Missing Info for CDP</t>
  </si>
  <si>
    <t>Sewer Drawings for Review</t>
  </si>
  <si>
    <t>Hi Simon   Please find attached revised sewerage reticulation drawings for the Kikwit RTO project for review. A water reticulation drawing will be prepared and sent to you for review.   Kind Regards Haroon Seedat  Graduate Engineer</t>
  </si>
  <si>
    <t>PV Update - Invoices for ELEC and LPG</t>
  </si>
  <si>
    <t>Symon – over to you for filing please?   Regards, Mark Allan (ZAF-RDC) (REC) Watch Tower Bible and Tract Society of South Africa, NPC. Registration number: 2006/022758/08. PBO number: 930021658   From: Jones, David M. Sent: 23 Septembe</t>
  </si>
  <si>
    <t>ZMB-ENG-ConstructionCommittee; Washburn, Nathan; Reichel, Venessa</t>
  </si>
  <si>
    <t>Rebar, Septic</t>
  </si>
  <si>
    <t>Septic Tank Slab Rebar</t>
  </si>
  <si>
    <t>Thanks Mark We measured the bend lengths and discovered it was around 280mm. Kind of in harmony with the dimensions on the Civil drawing though: Length of Steel = 6110mm minus the actual finished length of 5550mm = 560mm. Divided by 2 ends gives us 280</t>
  </si>
  <si>
    <t>Septic Tank Slab Rebar 16mm instead of 12mm</t>
  </si>
  <si>
    <t>See below…thanks for checking!   Regards, Mark Allan (ZAF-RDC) (REC) Watch Tower Bible and Tract Society of South Africa, NPC. Registration number: 2006/022758/08. PBO number: 930021658   From: Tobin, Paul Sent: 23 September 2014 09:32</t>
  </si>
  <si>
    <t>InboxPRCH.ZA</t>
  </si>
  <si>
    <t>Bent, Symon; Prinsloo, Jurie</t>
  </si>
  <si>
    <t>KH furniture (lectern, notice boards, contribution and slip boxes etc</t>
  </si>
  <si>
    <t>Hi Daniel,   In response to the chain of e-mails below, please find attached some information on the furniture we get from our Supplier here in South Africa. I have been informed that you may not actually be able to view these items on Supplier A</t>
  </si>
  <si>
    <t>Bent, Symon; Pinon, Christian</t>
  </si>
  <si>
    <t>GHA 03 CDP - Missing Info for CDP needed from Ghana</t>
  </si>
  <si>
    <t>Please see below for required information.      Isaac Y. Akrong Tel: 22001/0544346884       From: Shears, Matthew Sent: Friday, September 19, 2014 2:07 PM To: Annan, Benjamin; Akrong, Isaac Cc: Bent, Symon; Pinon, Christian Subject:</t>
  </si>
  <si>
    <t>Allan, Mark; Salvidge, Mark; Coombs, Shaun</t>
  </si>
  <si>
    <t>Field Sketch S-101-S1,S2--Stem Walls for internal walls (Revised); Wall Ties added</t>
  </si>
  <si>
    <t>Dear Miguel/Brian,   We are issuing some field sketches that affect the internal stem walls.  The drawings affected are as follows:   1.       KQ-S-101-S1: Internal loadbearing footings revised to form inverted T-beam 2.       KQ-S-101-S2:</t>
  </si>
  <si>
    <t>ZMB-ENG-ConstructionCommittee; Washburn, Nathan; Bent, Symon</t>
  </si>
  <si>
    <t>Septic Tank DCP Results</t>
  </si>
  <si>
    <t>This is acceptable. Especially given that you have taken good initiative to add 150mm gravel / road base (projecting beyond edge) (as mentioned below) – good idea!!!   Regards, Mark Allan (ZAF-RDC) (REC) Watch Tower Bible and Tract Society of</t>
  </si>
  <si>
    <t>Salto Minutes</t>
  </si>
  <si>
    <t>Hi Veg,   I think there should be a second res 9 door (the one at the Res 10 end). It should be added to the future proposals as it can’t be used until Res 10 is complete but I don’t know if it is just hardware or door replacement.   Thanks Pa</t>
  </si>
  <si>
    <t>ZMB-ENG-ConstructionCommittee; Nolan, Todd; Allan, Mark</t>
  </si>
  <si>
    <t>Cube tests August September 2014 (ANALYSIS)</t>
  </si>
  <si>
    <t>Symon,   Please note  a reply on the last comment MA gave in yellow   Our reply is: “The M1 block at 3.4mpa was their mortar” As for the rest, we have taken note and now that we have the correct forms, the adjustments will be made to test 3.</t>
  </si>
  <si>
    <t>CTP Analysis exports needed</t>
  </si>
  <si>
    <t>Hi Symon,   I think this is what you are looking for.   Regards, Jared Fruciano Mongu RTO Construction   From: Bent, Symon Sent: Friday, September 19, 2014 5:24 PM To: Fruciano, Jared; Tobin, Paul Subject: ZMB Mongu RTO; ZMB Ka</t>
  </si>
  <si>
    <t>While, Mark; InboxMNTWindowManufacturing.ZA; McKelvey, Jamie; Sukram, Sarah; Nyberg, Patric; Sherwood, Mark; Washburn, Nathan; Briel, Pieter; Allan, Mark</t>
  </si>
  <si>
    <t>SAF LPD Salto Keyless System (Res 10 and SWR)</t>
  </si>
  <si>
    <t>Hi John/Alfred,   We don’t have a “local expert”, but I can fill in and answer most questions… ;-)  John D.: maybe next time you are in office you can drop by and I’ll give you a walk-through of the proposed system. (Thursday?)   The only cont</t>
  </si>
  <si>
    <t>Pinon, Christian; Shears, Matthew; Imai, Masaaki; De Meyer, Efraim</t>
  </si>
  <si>
    <t>Generators--copper plate to 80x80x10mm for DBO+G0 (APPROVED)</t>
  </si>
  <si>
    <t>Jean-Marc, You have our approval, please go ahead with your idea! Symon   From: Imai, Masaaki Sent: Monday, September 22, 2014 09:31 AM To: Bent, Symon Cc: De Meyer, Efraim Subject: RE: GHA BEX; Workflow for Changeover to New Generators_D</t>
  </si>
  <si>
    <t>Workflow for Changeover to New Generators_DB_Switchgear (MINUTES)</t>
  </si>
  <si>
    <t>Your observations Masaaki?   Symon   From: DODIN, Jean-Marc Sent: Friday, September 19, 2014 06:56 PM To: Bent, Symon Cc: Pinon, Christian; Sellden, Erik; Berger, Xavier Subject: FW: GHA BEX; Workflow for Changeover to New Generators_DB_S</t>
  </si>
  <si>
    <t>Fruciano, Jared; Allan, Mark</t>
  </si>
  <si>
    <t>Cubic metres per test cube set</t>
  </si>
  <si>
    <t>Dear Brothers , Thank you for directing me to the correct information. Sorry, to bother you with a question I obviously should have been able to find on my own. I  have been trying to familiarize myself with the cover sheets while Brother Fruciano has</t>
  </si>
  <si>
    <t>Petauke (Nsenga) RTO Property Purchase</t>
  </si>
  <si>
    <t>This is in response to your memorandum PCA September 10, 2014, wherein you enclosed Property Evaluation (DC-31) forms for two sites in Petauke for a Remote Translation Office for the Nsenga translation team. You recommend the 4,786 square meter building l</t>
  </si>
  <si>
    <t>HVAC, Mech</t>
  </si>
  <si>
    <t>Change location of AC Compressors</t>
  </si>
  <si>
    <t>Why yes it was …. As below Sorry you weren’t copied on this one, my fault.    Paul   From: Tobin, Paul Sent: Wednesday, July 23, 2014 4:26 PM To: Washburn, Nathan Cc: ZMB-ENG-ConstructionCommittee; ten Have, Fabian Subject: RE: ZMB-Kab</t>
  </si>
  <si>
    <t>This ok?     From: Bent, Symon Sent: Saturday, September 20, 2014 10:35 AM To: Tobin, Paul; Fruciano, Jared Subject: RE: ZMB Mongu RTO; ZMB Kabompo RTO; CTP Analysis exports needed   Kinda, but with all the ect-codes visible too… if you</t>
  </si>
  <si>
    <t>Design, Contract</t>
  </si>
  <si>
    <t>Mech Elec--50% review by RDC</t>
  </si>
  <si>
    <t>Hi Matt,   Here’s the comments from RDC mech/elec on the 50% review of the drawings.   Regards,   SymonBent South Africa RDC M: +27 61 699 6085  |  T: 2588       From: Shears, Matthew Sent: Monday, September 8, 2014 0</t>
  </si>
  <si>
    <t>Stormwater Culvert Peer Review</t>
  </si>
  <si>
    <t>FYA   From: Allan, Mark Sent: Friday, September 19, 2014 02:33 PM To: Riley, Patrick Cc: St. Jean, Zeny; Bent, Symon Subject: RE: Ghana Stormwater Culvert Peer Review   Hi Patrick – this peer review of the Ghana Culvert is excellent, espe</t>
  </si>
  <si>
    <t>Keteku, Barnabas</t>
  </si>
  <si>
    <t>Bent, Symon; Kontoh, Joris</t>
  </si>
  <si>
    <t>·        Current Number of Congregations -1,780 ·        Current Average Publishers -118,384 ·        Last Memorial Attendance - 347,725 Hi Matt, Hope you are fine. Greet Michaela.   Barnabas  Service Department Tel No. 22714  </t>
  </si>
  <si>
    <t>As-built, Design</t>
  </si>
  <si>
    <t>As-built position of the water meter, and the place of the internet antenna  </t>
  </si>
  <si>
    <t>Symon,                   As we talked, this is the first As-built for the change of position of the water meter, and the place of the internet antenna   gratian</t>
  </si>
  <si>
    <t>Health</t>
  </si>
  <si>
    <t>Final Approve; Sample Letters to Local Congregations on Ebola Disease - Liberia</t>
  </si>
  <si>
    <t>POs (and PO types), Here is some info that Liberia sent to Congo to help them get info into the field for the protection of the publishers.  Just for your information.   Thanks, Nathan      From: Odell, Philip Sent: Thursday, Septem</t>
  </si>
  <si>
    <t>WSP Civil Drawings for Review</t>
  </si>
  <si>
    <t>Hi Simon   Please find attached revised drawings for the Kikwit RTO project for review. These are the bulk earthworks drawings which also caters for stormwater drainage. Revised drawings for the water and sanitation services are being prepared.  </t>
  </si>
  <si>
    <t>Brick, Struct</t>
  </si>
  <si>
    <t>Proposal to change from face brick to concrete brick and Tyrolean finish</t>
  </si>
  <si>
    <t>GHA Agree</t>
  </si>
  <si>
    <t>I THINK WE AGREED ON CEMENT BLOCKS – SO WE SHOULD GO AHEAD AND ORDER THEM. THE QUESTION STILL CONCERNS THE AMOUNT OF BRICK VENEER WE USE ON THE FINISH – THAT SHOULD NOT DELAY THE ORDERING OF THE CEMENT BRICKS.    DAVID.    From: Pinon, Chri</t>
  </si>
  <si>
    <t>Fuentes, Miguel; Bent, Symon; Coombs, Shaun</t>
  </si>
  <si>
    <t>10m well depth okay</t>
  </si>
  <si>
    <t>Mitch, Based on this, I guess you can tell the brothers the well depth is fine. Thanks Mark   From: ten Have, Fabian Sent: Thursday, September 18, 2014 1:48 PM To: Salvidge, Mark Cc: Fuentes, Miguel Subject: RE: Well's depth   Hi</t>
  </si>
  <si>
    <t>James Makalashi</t>
  </si>
  <si>
    <t>Washburn, Nathan; Bent, Symon; ZMB-ENG-ConstructionCommittee</t>
  </si>
  <si>
    <t>Wall Fence Contract</t>
  </si>
  <si>
    <t>Hi Davin, I have gone through the Contract and i am in agreement with the terms indicated. I will bring a signed copy if not this afternoon then it will be tomorrow morning.  We look forward working with you on this upcoming project.  My regards. Jame</t>
  </si>
  <si>
    <t>Ransom, Philip</t>
  </si>
  <si>
    <t>COMMUTER BUILDING water entry location changed</t>
  </si>
  <si>
    <t>SENDING THIS MAIL IN AGREEMENT WITH DESIGNERS ENGINEERS, WE HAVE CHANGED THE 'ENTRY OF' COLD WATER IN THE STABLE OF COMMUTER. HDPE PIPE GOES UNDERGROUND IN A SINGLE DIRECTION TO THE WALL BEHIND THE SHOWERS. OUTSIDE THEN YOU PUT A VALVE CLOSING GENERAL,</t>
  </si>
  <si>
    <t>Symon,    I sent this email to help Lesley (who is busy looking into a PV system) to establish the electricity usage of the Ghana branch. Looking at only the invoices wouldn’t have helped him much.    And it also helps us with our design, know</t>
  </si>
  <si>
    <t>Thomson, Cameron; Allan, Mark</t>
  </si>
  <si>
    <t>Substitute DPC material for strips of DPM</t>
  </si>
  <si>
    <t>Dear brothers,   Here is a positive reply to your question below.   Regards,   SymonBent South Africa RDC M: +27 61 699 6085  |  T: 2588       From: Allan, Mark Sent: Tuesday, September 16, 2014 05:53 PM To: Bent, Sy</t>
  </si>
  <si>
    <t>Summer hut bricks are not tile</t>
  </si>
  <si>
    <t>Morning David,   I checked these photos with the brother who laid the summer hut bricks, Duncan Murray---these were not brick tiles, rather real bricks cut in half due to the limited space.  Most of the summer huts were full brick construction.  So</t>
  </si>
  <si>
    <t>ZMB-ENG-ConstructionCommittee; Nolan, Todd</t>
  </si>
  <si>
    <t>Hi Cam/Jared,   Please can you take note of the analysis covered below.   Regards,   SymonBent South Africa RDC M: +27 61 699 6085  |  T: 2588       From: Allan, Mark Sent: Wednesday, September 17, 2014 02:13 PM To:</t>
  </si>
  <si>
    <t>Shears, Matthew; Bent, Symon; Bhana, Teresh; ten Have, Fabian; DODIN, Jean-Marc; Leigh, Mark; Allen, David A</t>
  </si>
  <si>
    <t>ZAF 420914 - RFQ BEX NLBR 4077 Derwent RO system--chemicals to be ordered_Rev 1</t>
  </si>
  <si>
    <t>Dear Brothers,   We have approached Derwent water with your question about substitute chemical that are recommended by ZAF RDC and readily available in ZAF.   Derwent’s Answer.   ‘We also use Genesys and there is no problem with these pr</t>
  </si>
  <si>
    <t>RTO Footing Stem Walls - How Built</t>
  </si>
  <si>
    <t>Tx!   Regards, Mark Allan (ZAF-RDC) (REC) Watch Tower Bible and Tract Society of South Africa, NPC. Registration number: 2006/022758/08. PBO number: 930021658   From: Fruciano, Jared Sent: 17 September 2014 10:08 AM To: Allan, Mark C</t>
  </si>
  <si>
    <t>Thomson, Cameron; Bent, Symon; ZMB-ENG-ConstructionCommittee</t>
  </si>
  <si>
    <t>Perimter wall - Front wall to cover utility building</t>
  </si>
  <si>
    <t>Okay to extend solid section in front of generator</t>
  </si>
  <si>
    <t>HI Todd,   I ran this by Symon Bent and engineering has no objections to this.  But it would be a decision for the CC.   I’m assuming it can wait until tomorrows CC meeting so my suggestion would be to include this on the CC agenda. I’ve copie</t>
  </si>
  <si>
    <t>Price</t>
  </si>
  <si>
    <t>Gutter Price Request</t>
  </si>
  <si>
    <t>    From: Tiaan Bothma | Longspan Gutters [mailto:Tiaan@longspangutters.com] Sent: Monday, January 27, 2014 10:51 AM To: Bhana, Teresh Subject: RE: Gutter Price Request   Here you go.   Regards,   Tiaan Bothma  l  SALES CONSULT</t>
  </si>
  <si>
    <t>Design Concept Review for Phase 2 works</t>
  </si>
  <si>
    <t>Sounds good – thanks for the update and look forward to the review meeting in due course.   From: Bent, Symon Sent: Tuesday, September 16, 2014 7:31 AM To: St. Jean, Zeny Cc: Allan, Mark; Washburn, Nathan Subject: RE: GHA BEX LT; Design Concept</t>
  </si>
  <si>
    <t>Brickwork--Bending L-ties to form Z-ties</t>
  </si>
  <si>
    <t>Dear brothers,   Some useful reminders about ensuring that the wall ties correctly penetrate the vapour barrier without damaging the membrane, keeping air/moisture ingress to a minimum and not dislodging the L-Tie as you form it into a “Z” shape.</t>
  </si>
  <si>
    <t>Briel, Pieter</t>
  </si>
  <si>
    <t>Salvidge, Mark; Finlayson, Gerald</t>
  </si>
  <si>
    <t>MSL and Risk from PB</t>
  </si>
  <si>
    <t>Herewith the MSL for COD Mbuji-Mayi.   Apart from the issues with logistics in getting material there, the city is located in a “prosperous” area, a city (3rd largest in DRC) and utlilities shouldn’t be more problematic or linked to risk in my opini</t>
  </si>
  <si>
    <t>Allan, Mark; Sukram, Sarah; Crook, Arthur; ten Have, Fabian</t>
  </si>
  <si>
    <t>Full RDC explanation</t>
  </si>
  <si>
    <t>Dear brothers,   As we are all aware it is proving challenging and time-consuming to source face bricks in Ghana for the new residence buildings.  Therefore we propose to change from a face-brick finish as originally planned, and switch to plastered</t>
  </si>
  <si>
    <t>ZAF ref ; 420914 - RFQ BEX NLBR 4077 Derwent RO system--chemicals to be ordered</t>
  </si>
  <si>
    <t>Christian,   Could you follow up on Fabian’s request below, he has a good point.   Symon   From: ten Have, Fabian Sent: Tuesday, September 16, 2014 08:38 AM To: Bent, Symon Subject: RE: ZAF ref : 420914 - RE: RFQ BEX NLBR 4077 Derwen</t>
  </si>
  <si>
    <t>BOQ for review</t>
  </si>
  <si>
    <t>Unable to review--no basis for</t>
  </si>
  <si>
    <t>Hi Symon, GHS Baatsona SKE – BOQ for review Tx   Matt Shears   From: mubarak abubakari [mailto:kataali.mubarak@hotmail.co.uk] Sent: Monday, September 15, 2014 5:43 PM To: InboxCNST.GH Subject: Baatsona Bible School Renovation-BOQ</t>
  </si>
  <si>
    <t>St. Jean, Zeny; Watts, Jeffery; Luccioni, Robert</t>
  </si>
  <si>
    <t>Stage 1 “Investigation” and Stage 2 “Planning” (TIMESHEET)</t>
  </si>
  <si>
    <t>Where to book time for planning and investigation</t>
  </si>
  <si>
    <t>Greetings ZAF-RDC   In the past when we did a Planning Study and Project Team Report (stage S1) we just booked time against ‘Office’ since it was usually over with in about 3 weeks or so   But now that Stage 1 “Investigation” and Stage 2 “Plan</t>
  </si>
  <si>
    <t>How to handle property request</t>
  </si>
  <si>
    <t>Zeny, Resending this to you as I sent it to WDC Inbox and forgot to add you in on the CC lineJ Mark From: Salvidge, Mark Sent: Thursday, September 11, 2014 8:33 AM To: InboxWDC Cc: Bent, Symon; Washburn, Nathan Subject: Madagascar RTO - VEZO</t>
  </si>
  <si>
    <t>ten Have, Fabian; Allan, Mark; Shears, Matthew</t>
  </si>
  <si>
    <t>Civil, Plumbing</t>
  </si>
  <si>
    <t>OK Solvent weld joints under slab; plumbing fittings</t>
  </si>
  <si>
    <t>Hi André,   I confirmed this with our mechanical discipline: there is no problem with using solvent weld fittings under the building slabs for the sewer pipework.  Obviously this does not apply to main storm and sewer line outside between manholes--</t>
  </si>
  <si>
    <t>Solvent weld joints under slab; plumbing fittings</t>
  </si>
  <si>
    <t>McDonald, Darcy; Allan, Mark; Washburn, Nathan; St. Jean, Zeny; Coombs, Shaun; Salvidge, Mark</t>
  </si>
  <si>
    <t>DC-41 for outsourced eng--WSP and MRH</t>
  </si>
  <si>
    <t>Dear Tim,   We do not have an approved CDP for GHA branch long-term works, however we need to begin paying the outsourced engineers for their work on the CDP and concept design, and then later for the AFC package.  As you can see from the chain belo</t>
  </si>
  <si>
    <t>Ghana Branch Expansion - WSP QUOTE (TOPO SURVEY)</t>
  </si>
  <si>
    <t>Their costs match well with our own research in Ghana, also the ticket costs.  I am comfortable to accept their quotation as is and add it to the AO-6/DC-41.   Salut, SymonBent South Africa RDC M: +27 61 699 6085  |  T: 2588      </t>
  </si>
  <si>
    <t>Civil, Design, Contract, Survey</t>
  </si>
  <si>
    <t>WSP QUOTE (TOPO SURVEY)</t>
  </si>
  <si>
    <t>Symon – please handle this? Add costs to DC-41; also see what we can do for accommodation? As we mentioned, we want WSP to do their own topo survey   Regards, Mark Allan (ZAF-RDC) (REC) Watch Tower Bible and Tract Society of South Africa, NPC.</t>
  </si>
  <si>
    <t>Shears, Matthew; McDonald, Darcy; Allan, Mark</t>
  </si>
  <si>
    <t>Budget, Fence</t>
  </si>
  <si>
    <t>Electrical fence install G4S SECURITY PROPOSAL - WATCH TOWER (zoning, raise height)</t>
  </si>
  <si>
    <t>Hi Christian,   Please “track the cost for Electrical Fence in the actual GHA0013 CTP as Overrun” as you suggest below.  When we produce the next AO-6 we will arrange for money to be added to the code where you have the over-run and once you import</t>
  </si>
  <si>
    <t>Fence, Rebar</t>
  </si>
  <si>
    <t>Missing rebar in fence columns</t>
  </si>
  <si>
    <t>FYI   From: Meinders, Andre Sent: Monday, September 15, 2014 01:18 PM To: Bent, Symon Cc: Pinon, Christian; Shears, Matthew Subject: RE: GHA Kikam RTO; Missing rebar in fence columns?   Hi Symon.   Good catch. I did not notice that</t>
  </si>
  <si>
    <t>Pinon, Christian; Shears, Matthew</t>
  </si>
  <si>
    <t>Struct, Fence</t>
  </si>
  <si>
    <t>Clarified by André Meinders</t>
  </si>
  <si>
    <t>Hi Symon.   Good catch. I did not notice that on that column.   Its not the way we do columns in general though and we have done it properly in Viepe. There is a clear detail on how it should be done ( see attachement)   I talked to o</t>
  </si>
  <si>
    <t>InboxKH.CD; REIX, Benjamin; Böhlen, Marco; Moulanier, Gratian; Eichner, David P.; Coombs, Shaun; Bent, Symon</t>
  </si>
  <si>
    <t>NLBRs for Elec Distribution BOARDS</t>
  </si>
  <si>
    <t>Paulin, Thank you for this draft.  As per Kikwit Distribution Boards, I agree to this draft too. Please submit both through ADMIN ASAP. Regards Mark   From: Kamony, Paulin Sent: Friday, September 12, 2014 3:55 PM To: Salvidge, Mark C</t>
  </si>
  <si>
    <t>McDonald, Darcy; Washburn, Nathan</t>
  </si>
  <si>
    <t>use PT and DC-41 unstead of CTP</t>
  </si>
  <si>
    <t>Thanks Cam   From: Bent, Symon Sent: Friday, September 12, 2014 7:45 AM To: Thomson, Cameron Cc: McDonald, Darcy; Washburn, Nathan Subject: RE: Use of CTP for Choma RTO   Hi there Cam,   No worries from your end, our estimating d</t>
  </si>
  <si>
    <t>Shears, Matthew; Bent, Symon; Bhana, Teresh</t>
  </si>
  <si>
    <t>ZAF 420914 - RFQ BEX NLBR 4077 Derwent RO system--chemicals to be ordered</t>
  </si>
  <si>
    <t>Dear Brothers,   Many thanks for your message. We value your request and we will reply as quick as possible. When asking about the status of your request please refer to the following nr : 420914   Please receive our warm Christian love.  </t>
  </si>
  <si>
    <t>New Material choices, Fusiontherm and Plasson</t>
  </si>
  <si>
    <t>    FROM:Mastromonaco, Andrea Subject: NEW MATERIAL MECH   HELLO,   WITH THIS MAIL, WE REMEMBER THAT WE HAVE CHANGED THE VALVE IN THE LIST THAT YOU HAVE GIVEN AS AGREED WITH Symon and Fabian WE WILL USE THE VALVES OF FUSIOTHERM INSTEAD</t>
  </si>
  <si>
    <t>rodney@mrhce.co.za; Bent, Symon</t>
  </si>
  <si>
    <t>Ghana Branch Expansion - WSP QUOTE (SOILS TESTS)</t>
  </si>
  <si>
    <t>Thanks Patrick – Symon will forward this to Ghana and they can start ‘shopping around’    Symon – saved the attachments etc in:  HYPERLINK "file:///\\bethel.jw.org\zaf\Dept\RDC\Engineering\Projects\Ghana\GHA%2003%20-%20Branch%20Expansion%20Phase%</t>
  </si>
  <si>
    <t>Finlayson, Gerald</t>
  </si>
  <si>
    <t>Coombs, Shaun; Bent, Symon; Murray, Duncan; Eichner, David P.</t>
  </si>
  <si>
    <t>AO-6, Budget</t>
  </si>
  <si>
    <t>Local material costs worksheet</t>
  </si>
  <si>
    <t>Gerald, As requested, Here is the filled in local materials cost for the LUBUMBASHI RTO project Regards Mark</t>
  </si>
  <si>
    <t>Bent, Symon; ZMB-ENG-ConstructionCommittee; Blackman, Innes</t>
  </si>
  <si>
    <t>Timing of Personnel to SA-RDC</t>
  </si>
  <si>
    <t>Nov 10-Dec 19</t>
  </si>
  <si>
    <t>Cam, As discussed, November 10 to December 19. Nathan    From: Thomson, Cameron Sent: Wednesday, September 10, 2014 10:45 AM To: Washburn, Nathan Cc: Bent, Symon; ZMB-ENG-ConstructionCommittee; Blackman, Innes Subject: ZMB -Choma personne</t>
  </si>
  <si>
    <t>Washburn, Nathan; Smith, Caleb</t>
  </si>
  <si>
    <t>Civil, Fence, Struct</t>
  </si>
  <si>
    <t>Pitch of drainage pipe for retaining wall</t>
  </si>
  <si>
    <t>See answer below. Symon   From: Schiller, Ben Sent: Wednesday, September 10, 2014 09:38 AM To: Bent, Symon Subject: RE: ZMB Mongu RTO#2- Pitch of drainage pipe for retaining wall   That would be fine. It’s not a problem to have two outl</t>
  </si>
  <si>
    <t>local material costs worksheet</t>
  </si>
  <si>
    <t>FYI   From: Salvidge, Mark Sent: Monday, September 08, 2014 4:01 PM To: Finlayson, Gerald Cc: Moulanier, Gratian; Coombs, Shaun Subject: KIKWIT COD RTO local costs   Gerald, As requested. Please note these are the KIKWIT RTO Local c</t>
  </si>
  <si>
    <t>Teaching techniques article on use of pictures</t>
  </si>
  <si>
    <t>Chaps,   An interesting article in the British Airways magazine, no less, on the use of pictures rather than text to impart data...   Thanks, Shaun</t>
  </si>
  <si>
    <t>Thomson, Cameron; Michalakis, Evangelos</t>
  </si>
  <si>
    <t>Door Hardware Update to A-601 dwg</t>
  </si>
  <si>
    <t>Hi Davin,   Please find attached an update to drawing LV-A-601, the door, window and cabinet schedules.  Please could you remove any previous versions and either destroy them or lock them away, and replace them with this one.   Kind regard</t>
  </si>
  <si>
    <t>Mongu Retaining Wall Contract Meeting Minutes - James Makalashi - 09_09_14</t>
  </si>
  <si>
    <t>Symon, Even though there were a few difficulties in Mopngu, we feel with the meeting we had, we can continue to pursue a contractor for both the Choma and Katete wall fences. The biggest issues in Mongu were lack of supervision and communication, fr</t>
  </si>
  <si>
    <t>Washburn, Nathan; Salvidge, Mark; Bent, Symon</t>
  </si>
  <si>
    <t>DOUBLE STOREY RTO - RISK</t>
  </si>
  <si>
    <t>Morning Pieter. Attached please find the Conceptual Cost Estimate for Cod Mbuji-Miya Double Storey RTO.  Can you add the risk factor please and let me know Thanks Gerald</t>
  </si>
  <si>
    <t>Allan, Mark; Crook, Arthur</t>
  </si>
  <si>
    <t>CDP - Long Term Design Sketches</t>
  </si>
  <si>
    <t>Symon,   Here are the design sketches for Ghana.  Ready to be sent to them for their review.   HYPERLINK "file:///\\bethel.jw.org\zaf\Dept\RDC\Engineering\Projects\Ghana\GHA%2003%20-%20Branch%20Expansion%20Phase%202\S2\Arch\Ghana%20Review%2020</t>
  </si>
  <si>
    <t>USA Furniture for TWO Congo RTO projects</t>
  </si>
  <si>
    <t>FYI men   From: Devine, Joel III Sent: Friday, September 05, 2014 9:53 PM To: Salvidge, Mark Cc: Bent, Symon; Tunstall, Hilton; Washburn, Nathan; Johnston, Edward; Fox, David M.; Campos, Steve; Saucedo, Michelle; Smith, Marcus Subject: FW: Furn</t>
  </si>
  <si>
    <t>Requesting Project and Property Purchase Approvals</t>
  </si>
  <si>
    <t>DC-41 to 44</t>
  </si>
  <si>
    <t>We are writing to provide additional direction on submitting requests for property purchase and approval for projects as discussed in Branch Organization 5:217-18. As outlined in our letter HPA:HDA March 3, 2014, No. C 26528P, all branches should already be using the Admin Project Tracking module for all Kingdom Hall projects and Kingdom Hall property purchases. Admin Release 15.5 now incorporates the functionality to submit project requests and reports electronically to headquarters. Once you have installed Admin Release 15.5, the Project Tracking module’s “system project types” should be used to request ap-proval for all property purchases and new projects and to track costs throughout the implementation of the project. Included with this release is a new series of project budget request and report forms as noted below.</t>
  </si>
  <si>
    <t>Hi Symon, Please for your consideration, find below and attached some information for the changeover to new generator as well the fuel line for them. All document are linked with the point highlighted in yellow.  Thank you   Christian Pinon</t>
  </si>
  <si>
    <t>Allan, Mark; InboxCNST.GH; Pinon, Christian</t>
  </si>
  <si>
    <t>Production of AFC Drawings; 50% review by RDC</t>
  </si>
  <si>
    <t>RDC Comments</t>
  </si>
  <si>
    <t>Dear Matt,   Here are the comments from the RDC office for the Baatsona 50% complete drawing set.  No major issues from our side but some insightful comments that could help improve the package.  Look forward to seeing the final set.   Our com</t>
  </si>
  <si>
    <t>Current rate of import duty 15%</t>
  </si>
  <si>
    <t>I just called them on Lync about something else and we agree that 15% seems a realistic figure to use.   From: McDonald, Debbie Sent: Monday, September 8, 2014 04:06 PM To: Bent, Symon Subject: RE: ZMB Branch; current rate of import duty  </t>
  </si>
  <si>
    <t>InboxPRCH.NL</t>
  </si>
  <si>
    <t>InboxPRCH.ZM</t>
  </si>
  <si>
    <t>Thomson, Cameron; Bent, Symon; ZMB-ENG-ConstructionCommittee; InboxWDC; Fruciano, Jared</t>
  </si>
  <si>
    <t>Tiling</t>
  </si>
  <si>
    <t>WT35559 - Mapei mapeband - ID2447</t>
  </si>
  <si>
    <t>400mm wide instead of 300mm; SB approved</t>
  </si>
  <si>
    <t>Dear Brothers,   Our Export Department informed us that they are planning to ship the Mapei items tomorrow. As below request become urgent we contacted brother Symon Bent via Lync this afternoon, based on the attachment.   He confirmed that it</t>
  </si>
  <si>
    <t>Current rate of import duty</t>
  </si>
  <si>
    <t>Symon,   We are just trying to nail this down now for the Katete AO-6 No.2 The AO-6 No.2 had a duty rate of 35% on everything. This is not the case. The system is still unpredictable though. Vehicles are 70-80%, which are covered in AO-6 No</t>
  </si>
  <si>
    <t>Washburn, Nathan; Negrette, Ralph; Washburn, Nathan; Coombs, Shaun</t>
  </si>
  <si>
    <t>Construction Personnel Request DC-51 for electrician</t>
  </si>
  <si>
    <t>Ducros agreed</t>
  </si>
  <si>
    <t>Thank you.   Brad Housner Design/Construction    From: Bent, Symon Sent: Monday, September 08, 2014 9:36 AM To: Housner, Bradley Cc: Washburn, Nathan; Negrette, Ralph; Washburn, Nathan; Coombs, Shaun Subject: RE: Orbit WDC: [WAITING ON</t>
  </si>
  <si>
    <t>WHQZAF31026P Adjustments to Financing Kingdom Hall and Assembly Hall Construction</t>
  </si>
  <si>
    <t>Branch Organization - Revised July 2014</t>
  </si>
  <si>
    <t>EPC/PO Copy</t>
  </si>
  <si>
    <t>Brothers, Here is the copy of BO in pdf and epub.  WDC has agreed that you brothers can have access to it.  But as the note below says, this is not to be forwarded to anyone else please.   A copy will be kept in the H/RPC folder, but a few of you</t>
  </si>
  <si>
    <t>Finlayson, Gerald; Eichner, David P.; Moulanier, Gratian; Bent, Symon; Coombs, Shaun; Maule, Leon; Linde, Gerhard</t>
  </si>
  <si>
    <t>Shipping costs for Congo RTO projects</t>
  </si>
  <si>
    <t>Replies in red   Thanks   From: Salvidge, Mark Sent: 05 September 2014 08:58 AM To: Linde, Gerhard Cc: Finlayson, Gerald; Eichner, David P.; Moulanier, Gratian; Bent, Symon; Coombs, Shaun Subject: Shipping costs for Congo RTO projects   Gerhard</t>
  </si>
  <si>
    <t>Bent, Symon; Washburn, Nathan; Imai, Masaaki; Thomson, Cameron</t>
  </si>
  <si>
    <t>Manufacturing of electrical DB boards by SAF BEX</t>
  </si>
  <si>
    <t>Hi Bret, Hector   Good news. Maybe you heard already but SA BEX is willing to make the electrical distribution panels for your project. That will give you a good quality product on a good price. J They would like to have the order in asap, as soo</t>
  </si>
  <si>
    <t>DOUBLE STOREY RTO Cost Estimate</t>
  </si>
  <si>
    <t>Gerald, I have added some initial comments to the estimate workbook. Have to turn on Comments. Mark   From: Salvidge, Mark Sent: Friday, September 05, 2014 3:27 PM To: Finlayson, Gerald Cc: Washburn, Nathan; Allan, Mark; Bent, Symon Su</t>
  </si>
  <si>
    <t>Physical Address</t>
  </si>
  <si>
    <t>Symon,   It is Farm 364A Choma Zambia   Thanks Cam   From: Bent, Symon Sent: Friday, September 05, 2014 11:39 AM To: Thomson, Cameron Subject: ZMB Choma RTO; Physical Address?   Hi Cam,   Could you send me the co</t>
  </si>
  <si>
    <t>Washburn, Nathan; McDonald, Darcy; St. Jean, Zeny; Imai, Masaaki; Bateman, Tristan; Sukram, Sarah; Bent, Symon</t>
  </si>
  <si>
    <t>Residence Masonry not use CLAY BRICK</t>
  </si>
  <si>
    <t>FtH comments</t>
  </si>
  <si>
    <t>Very true! You are becoming a structural engineer! J   We just had an RTO project with hollow CMU cavity walls where someone asked if they could use Z-ties instead of butterfly ties that we showed on the dwgs. See attached investigation by TB  </t>
  </si>
  <si>
    <t>MTO</t>
  </si>
  <si>
    <t>Keeping PT Spread Sheet Costing Updated with current pricing</t>
  </si>
  <si>
    <t>Meeting notes follow below in blue Regards;       Don -----Original Appointment----- From: Nudd, Don Sent: Tuesday, September 02, 2014 2:47 PM To: Nudd, Don; Bent, Symon; Salvidge, Mark; Bhana, Teresh; McDonald, Darcy; Murray, Duncan; Rau</t>
  </si>
  <si>
    <t>Washburn, Nathan; McDonald, Darcy; St. Jean, Zeny</t>
  </si>
  <si>
    <t>Residence Masonry - not use CLAY BRICK</t>
  </si>
  <si>
    <t>I saved the attachments in: HYPERLINK "file:///\\bethel.jw.org\zaf\Dept\RDC\Engineering\Projects\Ghana\GHA%2004%20-%20Branch%20Expansion%20Phase%201\S4\Arch\CMU%20vs.%20Clay%20Brick%20Sep%202014"H:\RDC\Engineering\Projects\Ghana\GHA 04 - Branch Expansion</t>
  </si>
  <si>
    <t>Hi All,   Can we get together early next week and thrash out this possible solution to Ghana’s problems sourcing 100mm bricks locally. I propose Monday afternoon if all will be available.   Many thanks,   SymonBent South Africa RDC</t>
  </si>
  <si>
    <t>Civil, Survey</t>
  </si>
  <si>
    <t>COD-18 Lubumbashi RTO levels</t>
  </si>
  <si>
    <t>Most excellent Ben, Very glad we had a chat this AM. In that case, if Symon agrees too, we accept the site as is with the Utilities lowered as mentioned in point 2 below.  Symon? Mark   From: Schiller, Ben Sent: Thursday, September 04, 20</t>
  </si>
  <si>
    <t>Pinon, Christian; Bent, Symon</t>
  </si>
  <si>
    <t>Excellent! Symon – please can you file this now?   Regards, Mark Allan (ZAF-RDC) (REC) Watch Tower Bible and Tract Society of South Africa, NPC. Registration number: 2006/022758/08. PBO number: 930021658   From: Shears, Matthew Sent: 0</t>
  </si>
  <si>
    <t>Procedure for Reviewing Engineering Documents with</t>
  </si>
  <si>
    <t>In-house guidelines for RDC</t>
  </si>
  <si>
    <t>Bent, Symon; Schiller, Ben; Bateman, Tristan</t>
  </si>
  <si>
    <t>WSP Civil - Layerworks Compaction Specs etc</t>
  </si>
  <si>
    <t>More questions</t>
  </si>
  <si>
    <t>Patrick l believe this answers your questions ? regards Mark  -------- Original message -------- From: "Allan, Mark" &lt;MAllan@zaf.wtbts.net&gt; Date:09/03/2014 17:17 (GMT+02:00) To: "Salvidge, Mark" &lt;MSalvidge@zaf.wtbts.net&gt;, Patrick.Riley@WSPGrou</t>
  </si>
  <si>
    <t>Civil, Soil</t>
  </si>
  <si>
    <t>Civil Layerworks Compaction Specs etc</t>
  </si>
  <si>
    <t>See attached for examples of how we normally split things up…   ·         For layerworks under roads, CIVIL provides details of soil / layerworks / compaction.    ·         For embankment / earth platform construction, CIVIL provides details o</t>
  </si>
  <si>
    <t>RFI STRUCT - Questions on BRICK WALL CONSTRUCTION on Resi 3 2; 3 3; 4 2 in Linnk Corridor</t>
  </si>
  <si>
    <t>Thanks TB. Hi CP and Matt – see below   Symon – I will save this in STRUCT under project folder   Regards, Mark Allan (ZAF-RDC) (REC) Watch Tower Bible and Tract Society of South Africa, NPC. Registration number: 2006/022758/08. PBO numb</t>
  </si>
  <si>
    <t>InboxKH.CD</t>
  </si>
  <si>
    <t>Washburn, Nathan; Coombs, Shaun; Bent, Symon; St. Jean, Zeny; Luccioni, Robert; DUNSIRE, Douglas; KISSEL, Julian; CANNING, Peter; TALARMIN, Joel; COD-BRANCH-Committee; Dofou, Mathieu; Christophe Coulot; Mouat, Stephen; GHA-BRANCH-Committee; NGA-BRANCH-Committee</t>
  </si>
  <si>
    <t>Ebola and Minimum Precautions</t>
  </si>
  <si>
    <t>Dear Construction Brothers, As an RDC, we realise that you brothers out there on RTO’s and other projects may possibly be getting a bit anxious as you read/hear about Ebola outbreaks (and subsequent spreading) in SOME countries and we wish to send you</t>
  </si>
  <si>
    <t>RFI STRUCT - Questions on BRICK WALL CONSTRUCTION on Resi 3 2; 3 3; 4 2</t>
  </si>
  <si>
    <t>Thanks TB for quick answer   CP and MS – see below   SB – I will save this in Struct folder under GHA Folder   Regards, Mark Allan (ZAF-RDC) (REC) Watch Tower Bible and Tract Society of South Africa, NPC. Registration number: 2006/</t>
  </si>
  <si>
    <t>Watts, Jeffery; Washburn, Nathan; McDonald, Darcy; Finlayson, Gerald</t>
  </si>
  <si>
    <t>Phase 2 LT BEX - how to pay WSP and MRH</t>
  </si>
  <si>
    <t>By DC-41 (FNA AO-6)</t>
  </si>
  <si>
    <t>Will do…DC-41 it is! I think we will put it in for all the outsource engineering costs then (both CDP and AFC)   Symon – please can you work with Ghana and ZAF-RDC Estimating in preparing the DC-41 (old AO-6) – we don’t seem to have the DC-41 in our</t>
  </si>
  <si>
    <t>Budget, Design</t>
  </si>
  <si>
    <t>Local Costs for CPP</t>
  </si>
  <si>
    <t>FYI, sorry, forgot to copy youJ   From: Salvidge, Mark Sent: Tuesday, September 02, 2014 4:39 PM To: Finlayson, Gerald Subject: Costs for Mbuji-Mayi RTO CPP   Gerald, See attached please. Mark</t>
  </si>
  <si>
    <t>ten Have, Fabian; Shears, Matthew</t>
  </si>
  <si>
    <t>P-602 borehole details</t>
  </si>
  <si>
    <t>Thanks! Symon – over to you to file please?   Regards, Mark Allan (ZAF-RDC) (REC) Watch Tower Bible and Tract Society of South Africa, NPC. Registration number: 2006/022758/08. PBO number: 930021658   From: Pinon, Christian Sent: 02 Se</t>
  </si>
  <si>
    <t>InboxMNTWindowManufacturing.ZA</t>
  </si>
  <si>
    <t>Tunstall, Hilton; Bent, Symon</t>
  </si>
  <si>
    <t>Change to Lock Cylinder Lengths</t>
  </si>
  <si>
    <t>Hi Sandra,   Sorry I didn’t make it to the meeting, I was pulled into a meeting at the last minute.   Thank you for all your work on this.  I believe that you and Sarah both agreed to the changes proposed below.  I will make the chan</t>
  </si>
  <si>
    <t>Svilen Voychev; Luis GPES; Bent, Symon; Washburn, Nathan; Kwesie, Samuel</t>
  </si>
  <si>
    <t>GPPV 131 - GHA PV (Solar) Power</t>
  </si>
  <si>
    <t>Elec and Gas bills</t>
  </si>
  <si>
    <t>Mark   Attached are the amounts we paid for gas and electricity last year.  I will send the kWH costs soon.    David.    From: Allan, Mark Sent: Monday, September 01, 2014 5:33 PM To: Lesley Padayachee; Imai, Masaaki; Sukram, Sarah</t>
  </si>
  <si>
    <t>Pinon, Christian; Shears, Matthew; Bent, Symon</t>
  </si>
  <si>
    <t>Proposal for drainage venting; residence building (Answered)</t>
  </si>
  <si>
    <t>Brothers,   Sorry for the delay in response.   Regarding this statement : “Actually, we now have to have 3 stack vents -  Two grey and one black.  We were given permission to have a new separate grey water line to drain the shower and basin on</t>
  </si>
  <si>
    <t>Symon – over to you to follow please. Saved the original e-mail in:   HYPERLINK "file:///\\bethel.jw.org\zaf\Dept\RDC\Engineering\Projects\Ghana\GHA%2004%20-%20Branch%20Expansion%20Phase%201\S4\Minutes"H:\RDC\Engineering\Projects\Ghana\GHA 04 - Bran</t>
  </si>
  <si>
    <t>Bent, Symon; Washburn, Nathan; Bateman, Tristan; Schiller, Ben</t>
  </si>
  <si>
    <t>Creek Box Culvert - Peer Review (WSP QUOTE)</t>
  </si>
  <si>
    <t>Thanks. Look forward to getting the report by then!   Regards, Mark Allan (ZAF-RDC) (REC) Watch Tower Bible and Tract Society of South Africa, NPC. Registration number: 2006/022758/08. PBO number: 930021658   From: Riley, Patrick [mailto</t>
  </si>
  <si>
    <t>Allan, Mark; Bent, Symon; Pinon, Christian</t>
  </si>
  <si>
    <t>NLBR -4421, 4422, 4423 &amp; 4424 ADJUSTED ORDERS</t>
  </si>
  <si>
    <t>Dear Brothers,   Thank you for the email below.   After speaking with Steve Abbott on this matter. We would like to request that you do the following;   Please submit new NLBR’s for the correct quantity of items you need.   PLEASE</t>
  </si>
  <si>
    <t>Rodney van Dam</t>
  </si>
  <si>
    <t>MRH QUOTE (CDP and AFC)</t>
  </si>
  <si>
    <t>Oops – only saw your e-mail later…   From: Rodney van Dam [mailto:rodney@mrhce.co.za] Sent: 02 September 2014 09:29 AM To: Allan, Mark; Patrick.Riley@WSPGroup.co.za Cc: St. Jean, Zeny; Washburn, Nathan; Bent, Symon; McDonald, Darcy Subject: RE:</t>
  </si>
  <si>
    <t>St. Jean, Zeny; Washburn, Nathan; Bent, Symon; rodney@mrhce.co.za</t>
  </si>
  <si>
    <t>Design, Contract, Struct</t>
  </si>
  <si>
    <t>WSP QUOTE (CDP and AFC)</t>
  </si>
  <si>
    <t>Queries</t>
  </si>
  <si>
    <t>Mark: As far as any input from WSP; ·         There is the possibility that someone will need to evaluate the impact a large tree is having on the main entrance concrete road adjacent to the Reception area.   ·         Since WSP will do a ‘peer r</t>
  </si>
  <si>
    <t>Moulanier, Gratian; Bent, Symon</t>
  </si>
  <si>
    <t>WSP Civil update, questions</t>
  </si>
  <si>
    <t>Hi Mark   Thanks for this, we do have all this information on hand, just wanted to check that I wasn’t missing anything. Thanks! J   Kind Regards   Haroon Seedat  Graduate Engineer WSP, Civil and Structural Engineers, Africa WSP Hou</t>
  </si>
  <si>
    <t>Bent, Symon; Seedat, Haroon; Moulanier, Gratian</t>
  </si>
  <si>
    <t>CIVIL Package by WSP</t>
  </si>
  <si>
    <t>Thanks for the clarification Mark.   We will prioritise the bulk earthworks, footpaths, drainage channels etc. and then move on to the sewer and water reticulation afterwards.   Can you please confirm what method you would like to use for sett</t>
  </si>
  <si>
    <t>Local volunteers who serve on theocratic construction projects</t>
  </si>
  <si>
    <t>Approval process</t>
  </si>
  <si>
    <t>After giving further consideration to this matter, it has been decided that those willing to serve on theocratic construction projects periodically, as needed, on an ongoing basis but for a limited period of time, such as a few days each month or a limited number of hours each week, may complete the Local Design/Construction Application (DC_x001E_50). This application, which replaces the Regional Building Committee Volunteer Application (S_x001E_82), will be made available on MDS in the near future. There is no need to assign a specific enrollment to these volunteers.</t>
  </si>
  <si>
    <t>NLBR -49147; -49291 - Mechanical Plumbing Order</t>
  </si>
  <si>
    <t>Hi Symon – have saved this on H under EPC CorLog…   Regards, Mark Allan (ZAF-RDC) (REC) Watch Tower Bible and Tract Society of South Africa, NPC. Registration number: 2006/022758/08. PBO number: 930021658   From: Pinon, Christian Sent:</t>
  </si>
  <si>
    <t>GHA Facades - Face Brick vs Tyrolean</t>
  </si>
  <si>
    <t>First suggestions for Tyrolean instead of face brick</t>
  </si>
  <si>
    <t>Tx! Hi Dave and Samuel – see below. You can also ask Christian – he will probably have even better pics…   Regards, Mark Allan (ZAF-RDC) (REC) Watch Tower Bible and Tract Society of South Africa, NPC. Registration number: 2006/022758/08. PBO n</t>
  </si>
  <si>
    <t>Bent, Symon; Murray, Duncan</t>
  </si>
  <si>
    <t>Furniture that is presently in the temporary RTO in LSH</t>
  </si>
  <si>
    <t>Dave, Here is a detailed list and report on furniture that is presently in the temporary RTO in LSH. As you will note from the coordinated and approved Project description, the plan is to use the maximum furniture and equipment from the temporary RTO in</t>
  </si>
  <si>
    <t>Communication</t>
  </si>
  <si>
    <t>Communication is improving</t>
  </si>
  <si>
    <t>J   I initiated a Lync call with David and Samuel this morning 9am this time and we chatted for about 30 – 40 minutes    Learning from the ‘Great Symon’!   Regards, Mark Allan (ZAF-RDC) (REC) Watch Tower Bible and Tract Society of</t>
  </si>
  <si>
    <t>InboxPRCH.ZA; Thomson, Cameron; ZMB-ENG-ConstructionCommittee; Bent, Symon</t>
  </si>
  <si>
    <t>Procurement Plan</t>
  </si>
  <si>
    <t>Dear Brothers: We have reviewed the above noted procurement plan and are in agreement with the following modification.  Please note that line 11 for the “4 x 4 AO-6 #1” should have the United States as the supplier branch and supplier location since th</t>
  </si>
  <si>
    <t>McDonald, Darcy; Washburn, Nathan; GHA-CNST-Committee; Bent, Symon; Sukram, Sarah; ten Have, Fabian; Bateman, Tristan; Imai, Masaaki; St. Jean, Zeny</t>
  </si>
  <si>
    <t>Oops L   Yes we can have a meeting on this. But before we do, it would be good for your team to first put your heads together please, and draw up some proposals / solutions based on what you can source / find there in Accra. Then we will have a star</t>
  </si>
  <si>
    <t>Civil, Design, Contract, Struct</t>
  </si>
  <si>
    <t>WSP for Civil, MRH for Structural (Design-Drafting)</t>
  </si>
  <si>
    <t>Hi Patrick – I sent you the quote Mike did for Printery 2. Should be based on that type of a breakdown please? Definitely would not need inspection part ‘Stage 5’ below, but we would need you to handle site queries during construction. As to ‘Stage 6’ bel</t>
  </si>
  <si>
    <t>Allan, Mark; Reichel, Venessa; Bent, Symon</t>
  </si>
  <si>
    <t>NLBR COD 6793 - SIKAFLEX AT FAÇADE (Use PRO 3)</t>
  </si>
  <si>
    <t>Mitch, Here is the info, please can you adjust your order accordingly please? Thanks Mark   From: Reichel, Venessa Sent: Wednesday, August 27, 2014 10:36 AM To: Allan, Mark; Salvidge, Mark Subject: RE: COD Kamina RTO NLBR COD 6793 - SIK</t>
  </si>
  <si>
    <t>Moore, Benjamin; Bent, Symon</t>
  </si>
  <si>
    <t>Maintenance, Septic</t>
  </si>
  <si>
    <t>WWTF - H2S Traps where all waste water enters</t>
  </si>
  <si>
    <t>Mark, For the COD Limete AH the following is in the report.  The rest are completed as noted below in chart. Because of the high flows at the Limete AH the traps were not installed.  At this time the septic tanks do not show evidence of acid attack,</t>
  </si>
  <si>
    <t>Crudass, Paul; Kwesie, Samuel; Bent, Symon</t>
  </si>
  <si>
    <t>GHA 03 CDP Design Questions - GHANA BRANCH</t>
  </si>
  <si>
    <t>Thanks for this. I pass it on to our architect…   Regards, Mark Allan (ZAF-RDC) (REC) Watch Tower Bible and Tract Society of South Africa, NPC. Registration number: 2006/022758/08. PBO number: 930021658   From: Jones, David M. Sent: 27</t>
  </si>
  <si>
    <t>Behrens, Olaf</t>
  </si>
  <si>
    <t>Sukram, Sarah; Bent, Symon</t>
  </si>
  <si>
    <t>GHA 03 CDP Design Questions - ZAF-RAVC</t>
  </si>
  <si>
    <t>Thanks to Thori for his ‘unofficial’ inputs! Sarah has marked up the dwgs accordingly. Will be a good starting point for further discussions with Ghana Branch and later AVS / Teaching Committee   Regards, Mark Allan (ZAF-RDC) (REC) Watch Tower</t>
  </si>
  <si>
    <t>Sharing Photo Reports on 365</t>
  </si>
  <si>
    <t>POs/RPCs, See the chain below.  We will post our photo reports direct to the 365 site now.   Thanks, Nathan      Brothers,   Here is the new link that has been created on 365 for these reports.  You brothers as well as  RPC’s an</t>
  </si>
  <si>
    <t>St. Jean, Zeny; rodney@mrhce.co.za; Patrick.Riley@WSPGroup.co.za; Washburn, Nathan; McDonald, Darcy</t>
  </si>
  <si>
    <t>GHA DP ARCH Floor Plans and Site Plan (MINUTES)</t>
  </si>
  <si>
    <t>Thanks to all for attending. Main points below:   DESIGN PROGRAM / CDP / COST ESTIMATE: ·         SS will compile CDP numbers in the standard template before she leaves (in order to train Van) (Sep 26th) ·         Target date for Design Progra</t>
  </si>
  <si>
    <t>McKelvey, Jennifer</t>
  </si>
  <si>
    <t>GHA-CNST-Committee; Shears, Matthew; Allan, Mark; Bent, Symon</t>
  </si>
  <si>
    <t>ISO-TECH 11kV cable termination kit</t>
  </si>
  <si>
    <t>Hi Jennifer,   Thank you very much!   Masaaki   PS to Mark, GHA: I hope this gives all necessary information for the order.   From: McKelvey, Jennifer Sent: 22 August 2014 04:05 PM To: Imai, Masaaki Cc: De Meyer, Efraim; Bent,</t>
  </si>
  <si>
    <t>Bent, Symon; Washburn, Nathan; Shears, Matthew; Jones, David M.</t>
  </si>
  <si>
    <t>FEV, Maintenance, Struct</t>
  </si>
  <si>
    <t>GHA Cracks in walls of Service Dept building</t>
  </si>
  <si>
    <t>Thanks very much, Gideon   Tristan – I saved the info in:   HYPERLINK "file:///\\bethel.jw.org\zaf\Dept\RDC\Engineering\Projects\Ghana\GHA%2099%20-%20Misc\Wall%20Cracks%20Serv.Bldg\Info%20Rec'd%2020140822"H:\RDC\Engineering\Projects\Ghana\GHA</t>
  </si>
  <si>
    <t>Washburn, Nathan; Bent, Symon; Davila, Jared; Fruciano, Jared; ZMB-ENG-ConstructionCommittee; Bateman, Tristan</t>
  </si>
  <si>
    <t>RTO-2 Mongu Masonry Bonding Pattern for retaining wall</t>
  </si>
  <si>
    <t>Nice mock-up!   Thanks for checking. What you say is true. But for the 400 portion below ground (reinforced CMU retaining wall) we have (1) a vertical rebar in the one corner tying it together in the height, then (2) corner L-bars that ‘bridge’ the</t>
  </si>
  <si>
    <t>Washburn, Nathan; Coombs, Shaun; Salvidge, Mark; Tunstall, Hilton; Reichel, Venessa; Shears, Matthew</t>
  </si>
  <si>
    <t>RTO Wall Ties for Hollow CMU - Butterfly Recommended</t>
  </si>
  <si>
    <t>Good job, TB! Hi Symon – see below. I cannot recall which project asked for Z-ties instead of butterfly? Think it was one of the Ghana RTO’s. Anyway I also copy the other EPC’s / PO’s for their info   Z-ties are NOT acceptable as alternative to Butt</t>
  </si>
  <si>
    <t>Brewster, Deborah</t>
  </si>
  <si>
    <t>Fruciano, Marisa</t>
  </si>
  <si>
    <t>Fruciano, Jared; Michalakis, Evangelos; Bent, Symon; InboxPRCH.HK; Brewster, Darryl; mlfruciano@gmail.com</t>
  </si>
  <si>
    <t>Cabinets</t>
  </si>
  <si>
    <t>Drawings for Cabinetry Quote - ZMB0020</t>
  </si>
  <si>
    <t>Hi Marisa,   We are pleased to provide you with a furniture  quote for your RTO project. Attached you’ll find the needed pricing for the additional furniture items.   Please let us know how we can be of further assistance to you.  </t>
  </si>
  <si>
    <t>AO-6 No.2 from RDC to CTP Support</t>
  </si>
  <si>
    <t>Dear Brothers  Attached please find AO-6#2, its excel work book and CTP file for your review Regards  RDC-ZAF</t>
  </si>
  <si>
    <t>RDC Eng. Schedule - SAF PR2 MWI BEX; GHA BEX</t>
  </si>
  <si>
    <t>Following our meeting this last Monday, please see attached. Please check and see if it all makes sense / allocated resources correctly etc?   Fabian – please note Ghana dates for Sister WJB?   Regards, Mark Allan (ZAF-RDC) (REC) Watch T</t>
  </si>
  <si>
    <t>Crook, Arthur; Chiappetta, Raquel; Michalakis, Evangelos; InboxMNTWindowManufacturing.ZA; Schmidt, Des</t>
  </si>
  <si>
    <t>RTO Meet with WindowMan before starting MTO</t>
  </si>
  <si>
    <t>Men:   We have just had a chat with Purchasing and Window Man.  Turns out it would be good for the RTO crews coming in to meet  with Window Man before they start doing any take-offs, etc.  There are some matters Window Man can definitely help them w</t>
  </si>
  <si>
    <t>Design Construction Personnel Forms</t>
  </si>
  <si>
    <t>DC-51, 52, 53</t>
  </si>
  <si>
    <t>We are writing to inform you that the following forms for use in assigning and evaluating personnel in your construction program have been posted on MDS. The Local Design/Construction Department Guidelines will be updated to reflect these adjustments.</t>
  </si>
  <si>
    <t>LJ-C-504-C1 pdf drawing update</t>
  </si>
  <si>
    <t>FYA   Regards, Mark Allan (ZAF-RDC) (REC) Watch Tower Bible and Tract Society of South Africa, NPC. Registration number: 2006/022758/08. PBO number: 930021658   From: Reichel, Venessa Sent: 18 August 2014 03:31 PM To: Allan, Mark Sub</t>
  </si>
  <si>
    <t>Planning Options Network Filing Structure</t>
  </si>
  <si>
    <t>When a planning options report is being put together, there is not yet a project number assigned to file sketches or information regarding the proposals.   Below is an example of how to name the folders on both the K-drive or H-drive to file informa</t>
  </si>
  <si>
    <t>Washburn, Nathan; Bent, Symon; Tobin, Paul</t>
  </si>
  <si>
    <t>DCP test August 18, 2014 (OFFICE S-O-G)</t>
  </si>
  <si>
    <t>Thank you   Innes   From: Allan, Mark Sent: Monday, August 18, 2014 1:33 PM To: Thomson, Cameron Cc: Washburn, Nathan; Bent, Symon; Blackman, Innes; Tobin, Paul Subject: ZMB- Kabompo DCP test August 18, 2014 (OFFICE S-O-G)   Seems t</t>
  </si>
  <si>
    <t>Bent, Symon; Hughes, Mike</t>
  </si>
  <si>
    <t>Preliminary Design Report</t>
  </si>
  <si>
    <t>Hi Mr Salvidge   As per our telephonic discussion earlier, please find attached the preliminary design report for the Kikwit Remote Translation Office. Please note Mr Mike Hughes has been absent from work due to illness and this report has not been</t>
  </si>
  <si>
    <t>Recommended Adjustments to ZAF RDC Office</t>
  </si>
  <si>
    <t>Please find attached a spreadsheet showing some recommended adjustments to personnel in our office handling RPC, projects overseer, and EPC assignments. The list shows Dave Gilden serving as a projects overseer, who we are expecting on October 20, and it</t>
  </si>
  <si>
    <t>Recommended Adjustments to RDC Office</t>
  </si>
  <si>
    <t>Design of Rural Assembly Halls</t>
  </si>
  <si>
    <t>Of utmost concern, we want to make sure that the brothers and sisters are able to benefit spiritually from theocratic programs at rural Assembly Halls. After they have made an effort to attend, it would sadden us to think the brothers did not fully benefit from the program at a rural venue due to having to deal with the elements. While there may be some locations that would not require a covering and/or a concrete slab, we have no doubt that the brotherhood would be happy to see their donations used to provide such for other locations if it would allow for their brothers to benefit more from the program. (Gal. 6:10) Therefore, when prayerfully considering the needs for rural Assembly Halls, and when preparing your annual Assembly Hall master plan, please make recommendations that you think are practical, given the local circumstances and conditions.</t>
  </si>
  <si>
    <t>Sukram, Sarah; Bent, Symon; St. Jean, Zeny</t>
  </si>
  <si>
    <t>CDP Design Questions - SHIPPING QUERIES</t>
  </si>
  <si>
    <t>Most excellent. Speedy reply as per usual J. Tx!   Regards, Mark Allan (ZAF-RDC) (REC) Watch Tower Bible and Tract Society of South Africa, NPC. Registration number: 2006/022758/08. PBO number: 930021658   From: Jones, David M. Sent: 1</t>
  </si>
  <si>
    <t>Bent, Symon; Allan, Mark; Reichel, Venessa</t>
  </si>
  <si>
    <t>Field Sketches Hilti HIT HY 200</t>
  </si>
  <si>
    <t>Mitch and Brian, Please note the attached, download it and keep it on file for application. Thank you Mark -----Original Message----- From: Allan, Mark Sent: Friday, August 15, 2014 3:24 PM To: Salvidge, Mark Cc: Reichel, Venessa; Bent, Symon S</t>
  </si>
  <si>
    <t>Reichel, Venessa; Bent, Symon; GHA-CNST-Committee</t>
  </si>
  <si>
    <t>Hi Matt - see Field Sketches attached. See Note below: NOTE: IF YOU HAVE ALREADY ORDERED HIT RE 500 (OR HY 150) AND IT IS ON THE WAY, THIS IS STILL SUITABLE FOR USE IN THE ATTACHED APPLICATIONS. HOWEVER, HILTI HIT HY 200 HAS FASTER SETTING TIME THAN</t>
  </si>
  <si>
    <t>Please could you forward this to your project? See Note below: NOTE: IF YOU HAVE ALREADY ORDERED HIT RE 500 (OR HY 150) AND IT IS ON THE WAY, THIS IS STILL SUITABLE FOR USE IN THE ATTACHED APPLICATIONS. HOWEVER, HILTI HIT HY 200 HAS FASTER SETTING TIME</t>
  </si>
  <si>
    <t>Lester, Davin; Tunstall, Hilton; Bent, Symon</t>
  </si>
  <si>
    <t>Information of drilling, testing borehole</t>
  </si>
  <si>
    <t>Hi Jason,    Some information when it comes to how to take a water sample:   “Please take the following into account when taking the sample: a normal plastic coke bottle can be used. Please clean it thoroughly with a bit of dish wash soap (NO</t>
  </si>
  <si>
    <t>AO-6 No 1 Draft</t>
  </si>
  <si>
    <t>Nathan,   Here is he AO-6 No.1 Draft for Choma. Since we will be purchasing 2 Land cruisers from the Branch for this project, we will not need to pay duty which saves 50,000+. The current exchange rate is 6.1 : 1 Thanks Cam   From:</t>
  </si>
  <si>
    <t>Rebar Connection betw Int-Ext Footings (FIELD SKETCH)</t>
  </si>
  <si>
    <t>Excellent!   Regards, Mark Allan (ZAF-RDC) (REC) Watch Tower Bible and Tract Society of South Africa, NPC. Registration number: 2006/022758/08. PBO number: 930021658   From: Thomson, Cameron Sent: 13 August 2014 03:21 PM To: Allan, Ma</t>
  </si>
  <si>
    <t>Additional soil information</t>
  </si>
  <si>
    <t>Thanks – this is far more descriptive, and gives us more insight to what is going on   Symon – saved this in: HYPERLINK "file:///\\bethel.jw.org\zaf\Dept\RDC\Engineering\Projects\Zambia\ZMB%2011%20-%20Choma%20RTO\S3\Site%20Info"H:\RDC\Engineering\Pr</t>
  </si>
  <si>
    <t>McDonald, Darcy; Bent, Symon; Washburn, Nathan; Jones, David M.; Kwesie, Samuel; DODIN, Jean-Marc</t>
  </si>
  <si>
    <t>Budget, Elec, Power</t>
  </si>
  <si>
    <t>Electrical Supply Issues (HOW TO HANDLE USD 60,000 COST)</t>
  </si>
  <si>
    <t>Hi Matt – regarding item below:   ·         Decide on how to handle costs – AO-7? Cost overrun? [MA to inform GHA ASAP] DECISION – please handle as COST OVERRUN. See comments below from Darcy when we asked him for input. Please also confirm the y</t>
  </si>
  <si>
    <t>Washburn, Nathan; Bent, Symon; Imai, Masaaki</t>
  </si>
  <si>
    <t>Elec, Power</t>
  </si>
  <si>
    <t>Proposed relocation of power supply line (COST ISSUES)</t>
  </si>
  <si>
    <t>Mark: I am not the PO, but it seems logical to me. Thanks, Darcy   From: Allan, Mark Sent: Wednesday, August 13, 2014 11:14 AM To: McDonald, Darcy Cc: Washburn, Nathan; Bent, Symon; Imai, Masaaki Subject: RE: GHA BEX; Proposed relocati</t>
  </si>
  <si>
    <t>Civil, Manhole</t>
  </si>
  <si>
    <t>Man holes in Residence side</t>
  </si>
  <si>
    <t>Symon, FYI and logging please. Mark   From: Salvidge, Mark Sent: Wednesday, August 13, 2014 10:03 AM To: Fuentes, Miguel Cc: Schiller, Ben Subject: FW: Man holes in Residence side.   Mitch, Here is your answer. Does it answer</t>
  </si>
  <si>
    <t>Bent, Symon; ZMB-ENG-ConstructionCommittee; Washburn, Nathan</t>
  </si>
  <si>
    <t>Preconstruction meetings</t>
  </si>
  <si>
    <t>Minutes</t>
  </si>
  <si>
    <t>Brothers:   We have concluded our preconstruction meetings with the team in the office.  Attached are copies for your reference.    Symon and the site will no doubt follow up.    Best regards,    Hilton     </t>
  </si>
  <si>
    <t>Design, Design, Contract</t>
  </si>
  <si>
    <t>CDP Sketches of Proposal for MRH Quote</t>
  </si>
  <si>
    <t>Tx.    Rodney – see below   1)      2 off Residence buildings (3-storey) 2)      Vehicle maintenance building 3)      Dining room, kitchen, laundry - services building 4)      Bulk storage and receiving. (extension to existing buildin</t>
  </si>
  <si>
    <t>Allan, Mark; Blackman, Innes; Bent, Symon</t>
  </si>
  <si>
    <t>Electrical connection relocation</t>
  </si>
  <si>
    <t>Nathan,   A site visit to Choma was made by Innes Blackman and he discovered a recent building built near our property. The new building has power connected to it, and in a discussion with Zesco, they mention for our plot, it would be cost effective</t>
  </si>
  <si>
    <t>Optional jw org note regarding construction volunteers</t>
  </si>
  <si>
    <t>“This application is only for skilled individuals with at least a few years of work experience and their mate if married. There is no provision for those under the age of 19 to apply. Preference is given to elders, ministerial servants, and pioneers in the congregation. Applications should not be provided to those who do not have a specific skill, to those who do not have good spiritual, physical, moral, or emotional health, to those who have been reproved in the last three years, or to those who have been reinstated in the last five years. If a single sister wishes to apply, please contact the Local Design/Construction Department at the branch for further direction. Whenever a construction volunteer application (A-27) is provided to an applicant, it should be accompanied by the “Dear Applicant” (A-28) letter and the (A-63) letter.”</t>
  </si>
  <si>
    <t>NLBR -49553 Package - 18 Electrical 41 Order</t>
  </si>
  <si>
    <t>Thanks Masaaki   Symon – I will save this to H under ‘CorLog’   Regards, Mark Allan (ZAF-RDC) (REC) Watch Tower Bible and Tract Society of South Africa, NPC. Registration number: 2006/022758/08. PBO number: 930021658   From: Imai,</t>
  </si>
  <si>
    <t>Allan, Mark; Coombs, Shaun</t>
  </si>
  <si>
    <t>CLOTAN installation manual for roof sheeting, flashing, and rainwater goods</t>
  </si>
  <si>
    <t>Hello, Please receive attached the Manual as requested. Many greetings Linus   From: Michalakis, Evangelos Sent: 04 July 2014 02:01 PM To: Bent, Symon; Schmidt, Linus Cc: Allan, Mark; Coombs, Shaun Subject: RE: GHA Viepe RTO; RFQ for C</t>
  </si>
  <si>
    <t>official calcs for a drywell</t>
  </si>
  <si>
    <t>Hi Symon, Copying you FYI and for filing after Mark   From: Schiller, Ben Sent: Monday, August 11, 2014 3:19 PM To: Salvidge, Mark Cc: Allan, Mark Subject: RE: LSH AH Drain   Summary of official calcs for a drywell of this size, sto</t>
  </si>
  <si>
    <t>Bent, Symon; Shears, Matthew; ten Have, Fabian; Cruthirds, Nathan</t>
  </si>
  <si>
    <t>Maintenance, WWTF</t>
  </si>
  <si>
    <t>Trickle Filter Orenco fan control timing zy574</t>
  </si>
  <si>
    <t>Hi Masaaki, We have received this information and will implement the direction. Tx   Matt Shears CONSTRUCTION OFFICE GHANA BRANCH   From: Imai, Masaaki Sent: Monday, August 11, 2014 11:24 AM To: Allan, Mark Cc: Bent, Symon; She</t>
  </si>
  <si>
    <t>Bent, Symon; Washburn, Nathan; Salvidge, Mark</t>
  </si>
  <si>
    <t>MDG BEX</t>
  </si>
  <si>
    <t>Madagascar - MDG-4294 Tents Lit equipment ($49,559 43)</t>
  </si>
  <si>
    <t>Dear Brothers: Thank you for your reply.  No hard copy will follow. Please return this code in your e-mail if necessary to reply. [wid:WHQ-GPD-68FEDA06-735A-495F-B4C6-DD46DAAF89D6] Your brothers, Global Purchasing Department  From: InboxRDC</t>
  </si>
  <si>
    <t>Bent, Symon; Shears, Matthew; ten Have, Fabian; Cruthirds, Nathan; InboxCNST.GH</t>
  </si>
  <si>
    <t>Civil, Maintenance</t>
  </si>
  <si>
    <t>Hi,   So, I consider this issue as solved by NC’s comment.   Thanks, Masaaki   From: Cruthirds, Nathan Sent: 25 July 2014 03:42 PM To: Allan, Mark; InboxCNST.GH Cc: Bent, Symon; Imai, Masaaki; Shears, Matthew; ten Have, Fabian Subj</t>
  </si>
  <si>
    <t>Reichel, Venessa; Washburn, Nathan; Bent, Symon; Bateman, Tristan</t>
  </si>
  <si>
    <t>Retaining wall Soakaway Drainage pipe type</t>
  </si>
  <si>
    <t>PLEASE NOTE – the attached PVC Pipe alternative is DIFFERENT from that shown on the Civil Soakaway dwgs – it’s completely the opposite application   So if you do go for a PVC (slotted / perforated) pipe behind the retaining wall rather than Geopipe:</t>
  </si>
  <si>
    <t>Allan, Mark; Washburn, Nathan; Coombs, Shaun; Bent, Symon</t>
  </si>
  <si>
    <t>Seismic</t>
  </si>
  <si>
    <t>RTO SEISMIC Considerations</t>
  </si>
  <si>
    <t>Dear RTO Brothers in COD, Please note the information below as it serves as a good reminder why we will all follow the structural design in detail. Thanks for filing this e-mail and following the engineering! Much appreciated Mark   From</t>
  </si>
  <si>
    <t>AO-9 submit photo reports together with</t>
  </si>
  <si>
    <t>Brothers: I received this today;   “In recent times the WDC has been asking for a photo report when the branch submits their AO-9. We have not seen anything in writing yet, but you may want to pass this on to the projects overseers so that they a</t>
  </si>
  <si>
    <t>Jones, David M.; Washburn, Nathan; Bent, Symon; De Meyer, Efraim</t>
  </si>
  <si>
    <t>Electrical Supply Problems - ECG power installation (cable options)</t>
  </si>
  <si>
    <t>Hi All   We need to have a Lync call on this. Masaaki wants to clarify exactly what is being proposed. I will set up something for early next week.   Regards, Mark Allan (ZAF-RDC) (REC) Watch Tower Bible and Tract Society of South Africa</t>
  </si>
  <si>
    <t>Washburn, Nathan; McDonald, Darcy; Bent, Symon</t>
  </si>
  <si>
    <t>Proposed relocation of power supply line</t>
  </si>
  <si>
    <t>Hi Mark,   Just let me make sure if I understand their proposals correctly.   Even though they are now installing a new 11kV feeder from the bottom left corner of the property, they still want to use the existing connection from the top left c</t>
  </si>
  <si>
    <t>Michalakis, Evangelos; Tunstall, Hilton; Bent, Symon; Salvidge, Mark; Coombs, Shaun; Washburn, Nathan</t>
  </si>
  <si>
    <t>Trusses landing on Control Joints</t>
  </si>
  <si>
    <t>Tx!   Regards, Mark Allan (ZAF-RDC) (REC) Watch Tower Bible and Tract Society of South Africa, NPC. Registration number: 2006/022758/08. PBO number: 930021658   From: Reichel, Venessa Sent: 08 August 2014 01:17 PM To: Allan, Mark; Bat</t>
  </si>
  <si>
    <t>Sampson, Ferdinand</t>
  </si>
  <si>
    <t>Mitek drawings okay B1278013-B1278013</t>
  </si>
  <si>
    <t>Hi Ferdy,    Our office has reviewed these drawings and we are happy with them.    Sorry for the delay, we had a comment that had to be resolved in-house before we could give the go ahead.   Kind Regards, Van   From: Sampson, Fe</t>
  </si>
  <si>
    <t>Coombs, Shaun; Salvidge, Mark; Washburn, Nathan; Williamson, Bob</t>
  </si>
  <si>
    <t>SAF SWR Const Docs Coord REVIEW Aug 14, 2014 - RDC MAINT; SAF-CON</t>
  </si>
  <si>
    <t>Reviewing and commenting on PDFs</t>
  </si>
  <si>
    <t>Hi EPC’s and RPC’s – just thought I’d copy you on the e-mail we sent out to Construction, Engineering and Maintenance. Specifically how to have many review and comment on an individual PDF at one time (see below and attached).   The actual review pr</t>
  </si>
  <si>
    <t>ZMB-ENG-ConstructionCommittee; Bent, Symon</t>
  </si>
  <si>
    <t>Draft NLBR for ZMB0018 Electrical Backup</t>
  </si>
  <si>
    <t>Cam, We have reviewed the NLBR and agree with it.  Feel free to submit it to WHQ, mentioning that we are in agreement.   Thanks, Nathan    From: Thomson, Cameron Sent: Wednesday, August 06, 2014 12:00 PM To: Washburn, Nathan Cc: ZMB-</t>
  </si>
  <si>
    <t>Clotan roof sheet quotation</t>
  </si>
  <si>
    <t>Matt, Here is the quote for Viepe.  This is what you needed from us, and will be put in with the estimate package that you brothers compile, correct?  If I understand properly, you will only get on the estimate for Viepe when Andre gets back from vacat</t>
  </si>
  <si>
    <t>ZMB-Future RTO properties</t>
  </si>
  <si>
    <t>Cam, Yes, please include the whole package.  WDC is going to schedule a meeting with you shortly, based on Writing Committee’s reply to your letter DA   July 24, 2014   No. 751.  It would be good to get everything to them to consider. Thanks, Nat</t>
  </si>
  <si>
    <t>Symon – copying you as EPC   Regards, Mark Allan (ZAF-RDC) (REC) Watch Tower Bible and Tract Society of South Africa, NPC. Registration number: 2006/022758/08. PBO number: 930021658   From: Salvidge, Mark Sent: 07 August 2014 01:20 PM</t>
  </si>
  <si>
    <t>Lloyd, Edwin</t>
  </si>
  <si>
    <t>Instructions how to print an A0 size PDF on the HP DesignJet eMFP T2500 PS</t>
  </si>
  <si>
    <t>Below are the screen shots of the settings to use to print an A0 PDF from Adobe to the RDC Plotter.  If you are printing from PDF-X the settings should be similar.      The Colour Fast quick set should be adequate for most jobs, but there are</t>
  </si>
  <si>
    <t>Civil, Drawing, Struct</t>
  </si>
  <si>
    <t>Grease trap (RE-ISSUE)</t>
  </si>
  <si>
    <t>Symon – I saved the e-mail below for you in:   HYPERLINK "file:///\\bethel\zaf\Dept\RDC\Engineering\Projects\Congo\COD%2016%20-%20Kamina%20RTO\S4\EPC\CorLog"H:\RDC\Engineering\Projects\Congo\COD 16 - Kamina RTO\S4\EPC\CorLog   Regards, Mark</t>
  </si>
  <si>
    <t>Salvidge, Mark; Bent, Symon</t>
  </si>
  <si>
    <t>Grease trap construction documents</t>
  </si>
  <si>
    <t>Hi Miguel,    Please find attached the two drawings that were officially released on March 3, 2014.   I hope these contain the information you are looking for; when more info is needed please let us know.   Thank you,   Fabian ten</t>
  </si>
  <si>
    <t>Phala, Thoriso</t>
  </si>
  <si>
    <t>Behrens, Olaf; Washburn, Nathan; Coombs, Shaun; Salvidge, Mark; Bent, Symon; Tunstall, Hilton</t>
  </si>
  <si>
    <t>AV - 'NO' to Whisper Room in a 5-team facility</t>
  </si>
  <si>
    <t>Thanks Thori! I copy the others too…   Regards, Mark Allan (ZAF-RDC) (REC) Watch Tower Bible and Tract Society of South Africa, NPC. Registration number: 2006/022758/08. PBO number: 930021658   From: Phala, Thoriso Sent: 07 August 2014</t>
  </si>
  <si>
    <t>White, Tara; While, Mark; garethjekins@gmail.com; Gus Dosanjh; Ramesh Gurdev</t>
  </si>
  <si>
    <t>Interfacing with ZA Branch Gatehouse Access Control</t>
  </si>
  <si>
    <t>Good Morning Symon,   Ref: Interfacing of Cisa &amp; Iseo Panic Bars with Salto Panic equipment.   First of all I hope you are all keeping well? While at the same time we apologise for the lack of recent correspondence regarding the  Integratio</t>
  </si>
  <si>
    <t>As-built, Survey</t>
  </si>
  <si>
    <t>Modular Home as-builts levels and benchmarks</t>
  </si>
  <si>
    <t>Nathan,   Symon and Ben were asking for levels on the modular home sewer connections. This is based on the KH(now School levels)   Thanks  Cam Thomson Zambia Construction Projects 0964302509  Voip(093) 6167  </t>
  </si>
  <si>
    <t>Crook, Arthur; Chiappetta, Raquel; Bent, Symon</t>
  </si>
  <si>
    <t>MOZ Massinga - Plastering PPR pipe and Mitek</t>
  </si>
  <si>
    <t>Van:   This might be useful for other projects.  Is it something Arch wants to include in your PS Cat?  Only for the Mitek trusses.  Not the pipe lagging.    Ta   H   From: ten Have, Fabian Sent: Tuesday, July 29, 2014 8:03 PM T</t>
  </si>
  <si>
    <t>Watts, Jeffery; Michalakis, Evangelos; Crook, Arthur; Salvidge, Mark; Washburn, Nathan; Bent, Symon</t>
  </si>
  <si>
    <t>CDP' for Choral Studio</t>
  </si>
  <si>
    <t>Understood L   Regards, Mark Allan (ZAF-RDC) (REC) Watch Tower Bible and Tract Society of South Africa, NPC. Registration number: 2006/022758/08. PBO number: 930021658   From: St. Jean, Zeny Sent: 06 August 2014 02:33 PM To: Allan, Ma</t>
  </si>
  <si>
    <t>Bent, Symon; Shears, Matthew; Luccioni, Robert; Watts, Jeffery; Washburn, Nathan</t>
  </si>
  <si>
    <t>GHA Branch Expansion 2013-2015 (GHA0012) END DATE</t>
  </si>
  <si>
    <t>Confirmation of priorityof this project</t>
  </si>
  <si>
    <t>Understood! We will keep the pressure on then J   Regards, Mark Allan (ZAF-RDC) (REC) Watch Tower Bible and Tract Society of South Africa, NPC. Registration number: 2006/022758/08. PBO number: 930021658   From: St. Jean, Zeny Sent: 06</t>
  </si>
  <si>
    <t>Washburn, Nathan; Nordin, Timothy; Bent, Symon</t>
  </si>
  <si>
    <t>Area Code 15 Discrepancy</t>
  </si>
  <si>
    <t>Dear Darcy ~   Good question. In this case we agree that the small difference is allowable. The Accounting and Construction offices should continue to reconcile their records during the trial AO-8 process each month to make sure that the gap between</t>
  </si>
  <si>
    <t>Mitek Shop Drawings</t>
  </si>
  <si>
    <t>Final package</t>
  </si>
  <si>
    <t>Hi Ferdy,    Finally I have managed to get all parties comments together. Please find our comments on the attached pdfs, and additional comments from the site below.   “I couldn’t see any additional hat-track for the fall protection. I beli</t>
  </si>
  <si>
    <t>Water Sample for Choma</t>
  </si>
  <si>
    <t>Nathan,   Here is the water sample for Choma. This is from the city water supply as not many have boreholes. I am not sure if it is Fabian or N. Cruthirds who wanted this.     Thanks  Cam Thomson Zambia Construction Projects 096</t>
  </si>
  <si>
    <t>Guidelines for Procuring Contracted Services</t>
  </si>
  <si>
    <t>Enclosed you will find a copy of Guidelines for Procuring Contracted Services. This document was jointly developed by the Worldwide Design/Construction Department and our department. It would be appreciated if you could provide a copy to your Regional Des</t>
  </si>
  <si>
    <t>Contract, Contract</t>
  </si>
  <si>
    <t>Thomson, Cameron; ZMB-ENG-ConstructionCommittee; Bent, Symon</t>
  </si>
  <si>
    <t>B1278013-B1278013 Mitek shop drawing review</t>
  </si>
  <si>
    <t>HI Nathan,   Since my last email was way off the mark let me try this again.     I’ve reviewed and everything looks good.     I’m sure its nothing but I did notice that some of the trusses in the residence building land directly on contr</t>
  </si>
  <si>
    <t>Diesel Storage tank - Existing diesel fitting</t>
  </si>
  <si>
    <t>Hi Mark,   I’m not sure what the fitting is that shown on the picture; it can be a non-return valve or a strainer. But either way, we don’t need that either of them in the new situation, it can be removed.   Thank you,   Fabian ten Have</t>
  </si>
  <si>
    <t>Washburn, Nathan; Reichel, Venessa; Nunnaley, Tiffani; Nordin, Timothy</t>
  </si>
  <si>
    <t>Float requests,how to request electronically</t>
  </si>
  <si>
    <t>FYI   Regards, Mark Allan (ZAF-RDC) (REC) Watch Tower Bible and Tract Society of South Africa, NPC. Registration number: 2006/022758/08. PBO number: 930021658   From: InboxACCTServices.ZA Sent: 31 July 2014 02:37 PM To: ZAF-GEN-Overse</t>
  </si>
  <si>
    <t>Raymond Van den Berg</t>
  </si>
  <si>
    <t>Mike.Hughes@WSPGroup.co.za; Bent, Symon; Silva, Johnny</t>
  </si>
  <si>
    <t>contact for BIO system septic system</t>
  </si>
  <si>
    <t>Good Day Hilton    Will do and they are free to contact me at anytime    Regards   Raymond Van Den Berg, Sales HYPERLINK "http://www.biosewagesystems.com/"BSS LOGO 20 Klipfontein, Cullinan, 1001, South Africa [t]   +27 (0)12 732 0013</t>
  </si>
  <si>
    <t>Office Building DCP Results 16 26</t>
  </si>
  <si>
    <t>Agreed. Proceed. Tx.   Regards, Mark Allan (ZAF-RDC) (REC) Watch Tower Bible and Tract Society of South Africa, NPC. Registration number: 2006/022758/08. PBO number: 930021658   From: Fruciano, Jared Sent: 30 July 2014 06:03 PM To: Al</t>
  </si>
  <si>
    <t>Bent, Symon; Tunstall, Hilton; Coombs, Shaun; Washburn, Nathan; Salvidge, Mark</t>
  </si>
  <si>
    <t>CIVIL Details - Pipes thru walls (SEALING GAP)</t>
  </si>
  <si>
    <t>FYI (Ben – I will save this on N-Civil…)   Regards, Mark Allan (ZAF-RDC) (REC) Watch Tower Bible and Tract Society of South Africa, NPC. Registration number: 2006/022758/08. PBO number: 930021658   From: Hughes, Mike [mailto:Mike.Hughes@</t>
  </si>
  <si>
    <t>Bent, Symon; rodney@mrhce.co.za; GHA-CNST-Committee; Hughes, Mike</t>
  </si>
  <si>
    <t>CIVIL Details Pipes thru walls (SEALING GAP)</t>
  </si>
  <si>
    <t>Hi Matt. Tx for checking.   You have approval to use 8mm joint all round as per your pics below if you use rubber wedges to prop the pipe as you backfill   So really the only question that has to be answered is “what to fill the gap with”?</t>
  </si>
  <si>
    <t>Tobin, Paul; Bent, Symon; Michalakis, Evangelos</t>
  </si>
  <si>
    <t>Electrical Fire Barriers (NW QUERY)</t>
  </si>
  <si>
    <t>Hilti Foam okay (although rockwool is fine)</t>
  </si>
  <si>
    <t>I didn’t take any further action.  I note that some projects are ordering Hilti foam, but the price is nominal.  So it’s fine. N   From: Allan, Mark Sent: Wednesday, July 30, 2014 1:13 PM To: Washburn, Nathan Cc: Tobin, Paul; Bent, Symon; Mic</t>
  </si>
  <si>
    <t>CIVIL Details - Pipes thru walls (CLEARANCES)</t>
  </si>
  <si>
    <t>Allow 3-5cm clearance, use wedges</t>
  </si>
  <si>
    <t>FYI to you engineers, EPC’s and PO’s – see e-mails below. (Ben – I will save this one on N-Civil…)   Regards, Mark Allan (ZAF-RDC) (REC) Watch Tower Bible and Tract Society of South Africa, NPC. Registration number: 2006/022758/08. PBO number:</t>
  </si>
  <si>
    <t>Office Building DCP Results 1 15</t>
  </si>
  <si>
    <t>MA Analysis</t>
  </si>
  <si>
    <t>I agree with your assessment below – see specifically yellow highlights. Well done!   The first 150 - 200mm or so is at about 35 – 39 mm/blow, a bit too soft. But do as you say below for a final ‘push’ to get this top layer a bit denser.   You</t>
  </si>
  <si>
    <t>Directive, Financial</t>
  </si>
  <si>
    <t>New Role of Procurement Cost Controller</t>
  </si>
  <si>
    <t>First, a procurement and cost control representative from the WDC will now work with the project work groups and assist the RDCs with project management. Second, we are asking that you please make recommendations to WDC for a brother in your RDC to be assigned to a new role of Procurement/Cost Controller (PCC). The primary purpose of this person will be to assist projects to be delivered within approved cost parameters. He will be accountable for the estimates and cost plans prepared by the RDC. He will be involved in procurement planning, identifying opportunities to reduce costs and reporting on anticipated final project costs. This role will require a spiritual man who can carry these responsibilities and work as part of a team with project work groups, project management, purchasing personnel, contractors, designers, and engineers. We request that you submit your recommendations to WDC with the goal of having a brother assigned by October 1, 2014. Additionally, we would be interested in your recommendations regarding other brothers or sisters who you feel would have the skills or aptitude to fill this role.</t>
  </si>
  <si>
    <t>St. Jean, Zeny; Sukram, Sarah; Bent, Symon</t>
  </si>
  <si>
    <t>Questions for ZSJ Staffing Figures</t>
  </si>
  <si>
    <t>Attached the info for discussion…   Regards, Mark Allan (ZAF-RDC) (REC) Watch Tower Bible and Tract Society of South Africa, NPC. Registration number: 2006/022758/08. PBO number: 930021658   From: Watts, Jeffery Sent: 26 July 2014 06:0</t>
  </si>
  <si>
    <t>RDC review of Mechanical NLBRs A &amp; B - DRAFTS 7308 &amp; 7309</t>
  </si>
  <si>
    <t>Cam, Our office is in agreement with these NLBRs.  The only thing that needs to be done is calculate shipping costs.  On one it is blank, on the other it seems to be wrong. Once you take care of that, please feel free to submit them to WHQ for appro</t>
  </si>
  <si>
    <t>DCP TEST Results (2nd Half RES Bldg)</t>
  </si>
  <si>
    <t>Approve MA</t>
  </si>
  <si>
    <t>Excellent. Approved – you may proceed…   Regards, Mark Allan (ZAF-RDC) (REC) Watch Tower Bible and Tract Society of South Africa, NPC. Registration number: 2006/022758/08. PBO number: 930021658   From: Fruciano, Jared Sent: 28 July 201</t>
  </si>
  <si>
    <t>Bent, Symon; GHA-CNST-Committee; Jones, David M.; Imai, Masaaki; Washburn, Nathan; McDonald, Darcy</t>
  </si>
  <si>
    <t>Proposed relocation of power supply line (URGENT - Internal Works)</t>
  </si>
  <si>
    <t>Basic go ahead for new power line</t>
  </si>
  <si>
    <t>As discussed with David…we want Masaaki as original designer just to give the proposal the ‘once over’ before giving final approval   But in the meantime, please use the electricians you have on site to start on the ‘Inside Bethel Property’ works de</t>
  </si>
  <si>
    <t>Block, Spec</t>
  </si>
  <si>
    <t>Blocks 2 0MPa - CRITERIA 'why 3MPa'</t>
  </si>
  <si>
    <t>MA Explanation</t>
  </si>
  <si>
    <t>Understood. We’ll see what we can do. N   From: Allan, Mark Sent: Sunday, July 27, 2014 5:53 PM To: Washburn, Nathan Cc: Bent, Symon Subject: ZMB Katete Blocks 2.0MPa - CRITERIA 'why 3MPa'   Hi Nathan. We are already making a 15% co</t>
  </si>
  <si>
    <t>DCP Results Office Slab -2 Res Gable end Footing</t>
  </si>
  <si>
    <t>Understood! Tx!   Regards, Mark Allan (ZAF-RDC) (REC) Watch Tower Bible and Tract Society of South Africa, NPC. Registration number: 2006/022758/08. PBO number: 930021658   From: Tobin, Paul Sent: 27 July 2014 02:37 PM To: Allan, Mark</t>
  </si>
  <si>
    <t>Hi Mark DCP results from the last section of our residence building – the eastern end gable under the soil stabilization level. Also a large section of the office building slab under the road base level.   Many thanks Paul  </t>
  </si>
  <si>
    <t>7 day crush for 150mm blocks</t>
  </si>
  <si>
    <t>28day test still needed</t>
  </si>
  <si>
    <t>There are rules of thumb, but these do not replace the 28-day test. A 28-day test still has to be done to confirm the mix regardless of whether you do 7-day or 14-day tests.   ·         7-days is about 70% of 28-day strength. So the attached result</t>
  </si>
  <si>
    <t>Bent, Symon; DODIN, Jean-Marc; Bateman, Tristan</t>
  </si>
  <si>
    <t>Backfill soils for underside of slabs-on-grade</t>
  </si>
  <si>
    <t>See also attached for principles…   Regards, Mark Allan (ZAF-RDC) (REC) Watch Tower Bible and Tract Society of South Africa, NPC. Registration number: 2006/022758/08. PBO number: 930021658   From: Allan, Mark Sent: 23 July 2014 04:34 P</t>
  </si>
  <si>
    <t>Electrical Pre-construction meeting 2014-07-25 doc</t>
  </si>
  <si>
    <t>Please receive the notes of our Preconstruction meeting this morning. A couple of follow up points in Bold.   Greetings, Efraim  </t>
  </si>
  <si>
    <t>Dear Brothers, We would like to update you on the status of our investigation into the replacement of the power supply to the Ghana Branch. We have attached your latest response on this matter, REA:REL May 26, 2014, which approved the amount of USD</t>
  </si>
  <si>
    <t>DCP Re-Test Office Building 24 7 14</t>
  </si>
  <si>
    <t>Results at the top are 25mm/blow – 30mm/blow   Since you will still be bringing in and compacting 150mm of good road base material – this is acceptable. Proceed   Regards, Mark Allan (ZAF-RDC) (REC) Watch Tower Bible and Tract Society of</t>
  </si>
  <si>
    <t>Bent, Symon; Coombs, Shaun; Salvidge, Mark; Tunstall, Hilton; Washburn, Nathan; ZMB-ENG-ConstructionCommittee</t>
  </si>
  <si>
    <t>Alternate to Chasing (Bathroom walls) (Crack in Plaster )</t>
  </si>
  <si>
    <t>Hi Jared – see below and attached…   Regards, Mark Allan (ZAF-RDC) (REC) Watch Tower Bible and Tract Society of South Africa, NPC. Registration number: 2006/022758/08. PBO number: 930021658   From: Allan, Mark Sent: 24 July 2014 11:02</t>
  </si>
  <si>
    <t>Salvidge, Mark; Allan, Mark; Washburn, Nathan</t>
  </si>
  <si>
    <t>Yearly Budget query</t>
  </si>
  <si>
    <t>Bro’s;   See the info below, please share with anyone else who needs to know…   Thanks,  Shaun   From: Coombs, Shaun Sent: Thursday, July 24, 2014 7:43 AM To: Barreto-Fernandes, Thierry Cc: InboxLDC.SN; Washburn, Nathan; InboxKH.Z</t>
  </si>
  <si>
    <t>InboxKHCD.NG</t>
  </si>
  <si>
    <t>Setting up jw org signage,instructions</t>
  </si>
  <si>
    <t>Dear brothers, We have received your requests for the JW.ORG signage and are finalizing prices with the supplier. Soon you will hear from us to place your NLBR’s.   In the meantime I am sending FYI only examples of what the SA-LDC did to make</t>
  </si>
  <si>
    <t>Houghting, Mike</t>
  </si>
  <si>
    <t>Coombs, Shaun; Washburn, Nathan; McDonald, Darcy; Bent, Symon</t>
  </si>
  <si>
    <t>Quality of the concrete mixer</t>
  </si>
  <si>
    <t>Hi Mike, Here you go Mark   From: Moulanier, Gratian Sent: Thursday, July 24, 2014 9:50 AM To: Salvidge, Mark Subject: RE: quality of the mixer   Mixer model: Concrete  Turner Morris TM400 PETROL   Gratian   From: Salvidg</t>
  </si>
  <si>
    <t>Bateman, Tristan; Schiller, Ben; Bent, Symon; Washburn, Nathan; ZMB-ENG-ConstructionCommittee</t>
  </si>
  <si>
    <t>RDC review of NLBR 7247-- PROTECTIVE COATINGS</t>
  </si>
  <si>
    <t>Thanks guys!   Hi Paul – see below. Nathan – do you want to add any ‘PO type’ comments to Paul about them going ahead with this NLBR?   Regards, Mark Allan (ZAF-RDC) (REC) Watch Tower Bible and Tract Society of South Africa, NPC. Registr</t>
  </si>
  <si>
    <t>Bateman, Tristan; Washburn, Nathan; Bent, Symon; ZMB-ENG-ConstructionCommittee; Tunstall, Hilton; Coombs, Shaun; Salvidge, Mark; ten Have, Fabian; Agostinho, Rudi</t>
  </si>
  <si>
    <t>Mech, Struct</t>
  </si>
  <si>
    <t>Alternate to Chasing (Bathroom walls)</t>
  </si>
  <si>
    <t>Thanks Fabian. Hi Jared – good job! Well done! You have approval to go ahead with this. See also Fabian’s comments below. Just a few thoughts:   ·         Nice that the 2 x vertical Y10’s tie into ring beam. Please make sure the top ends of these Y1</t>
  </si>
  <si>
    <t>REF; AO-8 submittal procedure via WDC inbox</t>
  </si>
  <si>
    <t>No memo needed</t>
  </si>
  <si>
    <t>Men, Please note the direction below that allows you to Outlook the AO-8’s to WDC Inbox rather than have to send a memo each month. Please set this up and follow accordingly. Thanks Mark   From: Watts, Jeffery Sent: Wednesday, July 23,</t>
  </si>
  <si>
    <t>Proposal for drainage venting, residence building</t>
  </si>
  <si>
    <t>Symon – I saved this in: HYPERLINK "file:///\\bethel\zaf\Dept\RDC\Engineering\Projects\Ghana\GHA%2004%20-%20Branch%20Expansion%20Phase%201\S4\EPC\CorLog"H:\RDC\Engineering\Projects\Ghana\GHA 04 - Branch Expansion Phase 1\S4\EPC\CorLog   Regards,</t>
  </si>
  <si>
    <t>Cost for Geotechnical report</t>
  </si>
  <si>
    <t>Check the other quote when it comes in (just to keep the guys who quoted USD 1,750 ‘honest’)…but if the two are comparable, by all means go ahead and get these soils tests done   Regards, Mark Allan (ZAF-RDC) (REC) Watch Tower Bible and Tract</t>
  </si>
  <si>
    <t>Kitchen Waste Pipes in adjusted stem walls</t>
  </si>
  <si>
    <t>Saved this in:   HYPERLINK "file:///\\bethel\zaf\Dept\RDC\Engineering\Projects\Zambia\ZMB%2009%20-%20Kabompo%20RTO\S4\Struct\Office%20Bldg%20Length%20Error"H:\RDC\Engineering\Projects\Zambia\ZMB 09 - Kabompo RTO\S4\Struct\Office Bldg Length Error</t>
  </si>
  <si>
    <t>RFI STRUCT - Questions on SAWN-TIED &amp; KEY-TIED JOINTS; DWG S-101; S-102</t>
  </si>
  <si>
    <t>Symon – I saved this in: H:\RDC\Engineering\Projects\Ghana\GHA 04 - Branch Expansion Phase 1\S4\EPC\CorLog   Regards, Mark Allan (ZAF-RDC) (REC) Watch Tower Bible and Tract Society of South Africa, NPC. Registration number: 2006/022758/08.</t>
  </si>
  <si>
    <t>Electrical items NLBR for ReviewbyRDC</t>
  </si>
  <si>
    <t>Paul, This NLBR seems fine to us. Please forward it to WHQ and you can say that we are in agreement with the request. Thanks, Nathan    From: Tobin, Paul Sent: Tuesday, July 22, 2014 10:04 AM To: Bent, Symon; Washburn, Nathan Cc: ZMB</t>
  </si>
  <si>
    <t>Bateman, Tristan; Tunstall, Hilton; Reichel, Venessa; ten Have, Fabian</t>
  </si>
  <si>
    <t>Civil, Septic, Struct</t>
  </si>
  <si>
    <t>1m of SOIL on top of SepTank</t>
  </si>
  <si>
    <t>I have designed the Grease Trap as a concrete tank with max 1m of soil on top – don’t think we will have more than that since it is so close to the building normally   I have designed the Septic Tank as a concrete tank with max 1.5m of soil on top –</t>
  </si>
  <si>
    <t>ZMB-ENG-ConstructionCommittee; Bent, Symon; Bateman, Tristan</t>
  </si>
  <si>
    <t>Retaining Wal footing detail Query-001 (500mm Overlap)</t>
  </si>
  <si>
    <t>Excellent!   Regards, Mark Allan (ZAF-RDC) (REC) Watch Tower Bible and Tract Society of South Africa, NPC. Registration number: 2006/022758/08. PBO number: 930021658   From: Fruciano, Jared Sent: 21 July 2014 03:35 PM To: Allan, Mark</t>
  </si>
  <si>
    <t>Webb, Sandra</t>
  </si>
  <si>
    <t>Hardware, Salto</t>
  </si>
  <si>
    <t>ISEO Panic Bar still in production</t>
  </si>
  <si>
    <t>Please find attached confirmation regarding ISEO panic bars as was requested.    Regards,   Nadia   From: Sanick Mallum [mailto:sanick.mallum@iseo.co.za] Sent: 21 July 2014 11:25 AM To: Wallace, Nadia Subject: RE: ISEO Panic Bar  </t>
  </si>
  <si>
    <t>RFI Proposed Waste Pipe Changes for Residence Block</t>
  </si>
  <si>
    <t>Hi Symon (I copy Matthew while you are on vacation),    That is a well-documented query!    I have no objection, this will work when the measurements on site are done well before the slab is poured.   In the PS catalogue a shower drain i</t>
  </si>
  <si>
    <t>Borehole position</t>
  </si>
  <si>
    <t>Hi Gratian, Thanks for the message about the borehole. The borehole company may have a good point, BUT, please also check in to what our neighbor has the other side of the fence… is there a septic tank or anything near option #B? Also keep in min</t>
  </si>
  <si>
    <t>Kent, Wayne</t>
  </si>
  <si>
    <t>Tunmer, Nolan</t>
  </si>
  <si>
    <t>Gatehouse access control Meeting Minutes</t>
  </si>
  <si>
    <t>Dear Brothers,    Please find attached meeting minutes for Gatehouse access meeting.   Kind Regards, Wayne Kent Computer Department x1274  </t>
  </si>
  <si>
    <t>InboxCNST.GH; Allan, Mark</t>
  </si>
  <si>
    <t>GHA Baatsona SKE Renovation - Request for CAD DWGs</t>
  </si>
  <si>
    <t>Here you go!   From: Sukram, Sarah Sent: Thursday, July 17, 2014 04:48 PM To: Bent, Symon Subject: RE: GHA Baatsona SKE Renovation - Request for CAD DWGs   DWGs attached   Sarah R. Sukram (SRS) South Africa Regional Design/Constru</t>
  </si>
  <si>
    <t>GHA-CNST-Committee; Washburn, Nathan; Allan, Mark; Salvidge, Mark</t>
  </si>
  <si>
    <t>Quote for AFC Drawings - Falcon Engineering (Handling Payment)</t>
  </si>
  <si>
    <t>Dear brothers,   Glad to hear that the contract has been finalised.  As the contract is almost word-for-word the same as the previous earthworks contract that we already reviewed and accepted, you once again have our approval to proceed.   The</t>
  </si>
  <si>
    <t>Project Description (FINAL)</t>
  </si>
  <si>
    <t>Dear brothers,   For your records please find attached the final approved Project Description for the Choma RTO project, including all of your comments and our resolutions to them.   Kind regards,   SymonBent South Africa RDC M: +2</t>
  </si>
  <si>
    <t>Budget, Studio</t>
  </si>
  <si>
    <t>Congo (Kinshasa)—Choral Studio Reassessing Cost of Purpose Built Structure</t>
  </si>
  <si>
    <t>In your memorandum REA:REL July 15, 2014, you provided an initial cost estimate of USD 1,050,000 for a new choral studio building in Congo (Kinshasa). We appreciated the floor plans and sketches, which provided an idea of the proposed layout and sizing. I</t>
  </si>
  <si>
    <t>ZMB-ENG-ConstructionCommittee; Thomson, Cameron; Tobin, Paul; Fruciano, Jared; Bateman, Tristan</t>
  </si>
  <si>
    <t>ZMB-July 14,2014- 190 mm Blocks crush results</t>
  </si>
  <si>
    <t>Hi Symon – know you will be quite busy tomorrow before you jet off to your vacation, so I copy the ZMB crew too…   NOTE: I assume these are ‘hollow blocks’ – if not, what I say below is not valid, and I will have to re-assess…   Sitting with 3</t>
  </si>
  <si>
    <t>ZMB-ENG-ConstructionCommittee; Tobin, Paul; Thomson, Cameron</t>
  </si>
  <si>
    <t>Hi Symon – know you will be quite busy tomorrow before you jet off to your vacation, so let me copy the ZMB crew too…   Regards, Mark Allan (ZAF-RDC) (REC) Watch Tower Bible and Tract Society of South Africa, NPC. Registration number: 2006/022</t>
  </si>
  <si>
    <t>Transformer</t>
  </si>
  <si>
    <t>CHECKED GHA0014 AO6 2; GHANA KIKAM RTO AO-6-2 - TRANSFORMER</t>
  </si>
  <si>
    <t>Budget for transformer</t>
  </si>
  <si>
    <t>Symon – will you run with this before leaving on VAC? Regards, Mark Allan (ZAF-RDC) (REC) Watch Tower Bible and Tract Society of South Africa, NPC. Registration number: 2006/022758/08. PBO number: 930021658  ______________________________________</t>
  </si>
  <si>
    <t>Allan, Mark; Washburn, Nathan; Bent, Symon; Morgan, Wendell</t>
  </si>
  <si>
    <t>Transformer and supply connection approval</t>
  </si>
  <si>
    <t>Dear Brothers ~ Thank you for your message. Please find attached the checked GHA0014 AO-6 No. 2 and a separate file for the estimate workbook. Since there was a land acquisition cost of USD 7,046 shown on AO-6 No. 1, we adjusted the Cumulative Cost sec</t>
  </si>
  <si>
    <t>RDC review of NLBR 7247--roof insulation &amp; sealants</t>
  </si>
  <si>
    <t>Hi Bro   Hope you are well? We just returned from Massinga did a group visit and prep’d a budget for Gurue. Was really good to see things there.   This is how its panned (coated!) out in Massinga:   This is the total order for grease and</t>
  </si>
  <si>
    <t>ZMB-ENG-ConstructionCommittee; Michalakis, Evangelos</t>
  </si>
  <si>
    <t>Review of Mitek Roof Structure Shop Drawings</t>
  </si>
  <si>
    <t>Afternoon ol’ fruit,   First of all sorry for delaying on this on, I was on vacation most of last week and overlooked sending this to you, although we have coordinated it in our office already.   Could you and the team look these shop drawings</t>
  </si>
  <si>
    <t>InboxWDC; InboxCNST.GH; Allan, Mark</t>
  </si>
  <si>
    <t>Urgent NLBR Reorder PVC drainage fitting (APPROVED)</t>
  </si>
  <si>
    <t>You have our approval to place an urgent NLBR via air-freight if necessary.  Refer to this e-mail if needed.   Regards,   SymonBent South Africa RDC M: +27 61 699 6085  |  T: 2588   P.S. no local solutions available?   From:</t>
  </si>
  <si>
    <t>Local Design Construction Department Staffing Guidelines</t>
  </si>
  <si>
    <t>For the purposes of staffing, personnel for the LDC are reported in Admin under one group: Local Design/Construction. The work of the LDC is approved by the Publishing Committee and coordinated by the Worldwide Design/Construction Department (WDC). How much staff would be needed is determined by the total amount of preexisting Kingdom Halls and Assembly Halls as well as the total demand for new Kingdom Halls, Assembly Halls and other small projects outside of the branch as follows:</t>
  </si>
  <si>
    <t>ZMB-ENG-ConstructionCommittee; InboxWDC; Fruciano, Jared</t>
  </si>
  <si>
    <t>RDC review of NLBR 7212 Electrolux</t>
  </si>
  <si>
    <t>Dear brothers,   We have reviewed the following Non-Literature Branch Requests (NLBRs) that we received from you on July 15, 2014 for the ZMB Mongu RTO :   1.       #7212  Electrolux kitchen equipment, Mapei waterproofing products,    We</t>
  </si>
  <si>
    <t>Project Description resolutions</t>
  </si>
  <si>
    <t>The buildings were also oriented to minimise solar exposure. There is a garbage collection point near the main gate (easily accessible to a truck).  Anything further would be DOS. Yes the tight contours are a termite mound!   Tx, Symon  </t>
  </si>
  <si>
    <t>Sliding Gate Footer grade beam detail (SOLUTION)</t>
  </si>
  <si>
    <t>Hi Jared, here’s a fine ol’ answer from the maestro himself.  Well adapted to your “wonderful” soil!  Symon   From: Allan, Mark Sent: Monday, July 14, 2014 04:26 PM To: Bent, Symon Cc: Bateman, Tristan Subject: RE: ZMB Mongu - Sliding Gate Foot</t>
  </si>
  <si>
    <t>Project Description[Approved by BC]</t>
  </si>
  <si>
    <t>Hi Symon Please find attached the edited Choma Project Description as requested.  Sorry it’s a bit later than hoped for.   Kind regards Paul</t>
  </si>
  <si>
    <t>InboxPRCH.CD</t>
  </si>
  <si>
    <t>Bent, Symon; Cruthirds, Nathan; Schmidt, Des; Salvidge, Mark</t>
  </si>
  <si>
    <t>Order for SDMO J66 Generator</t>
  </si>
  <si>
    <t>Dear Brothers,   The generator was ordered some time ago.  We are waiting to have it tested in the factory.  However, due to a nationwide strike in the metal industry in South Africa, this test is on hold until further notice.   Once the test</t>
  </si>
  <si>
    <t>WHQZAF-C-30344P adjustment to the financial support of Assembly Halls.</t>
  </si>
  <si>
    <t xml:space="preserve">This updates the direction provided in our letter HPA:DA April 4, 2013, No. C-16716P.  </t>
  </si>
  <si>
    <t>Kingdom Hall and Assembly Hall Project Approval Limits</t>
  </si>
  <si>
    <t>Kingdom Hall and Assembly Hall Program Approval Limits</t>
  </si>
  <si>
    <t>Thomson, Cameron; Allan, Mark; Bateman, Tristan</t>
  </si>
  <si>
    <t>Updated dwg--Retaining Wall Detail S-501 Sec J and B</t>
  </si>
  <si>
    <t>Dear Jared,   Please find attached a revision of the retaining wall drawing, clarifying how the how the boundary wall is to be constructed on top of the retaining wall.  Also note the comments in RED in the e-mail thread below.   This transmit</t>
  </si>
  <si>
    <t>Allan, Mark; ZMB-ENG-ConstructionCommittee</t>
  </si>
  <si>
    <t>July 14,2014- 190 mm Blocks crush results</t>
  </si>
  <si>
    <t>Symon,   Can you assist us with the 28 day calculation?     Thanks Cam   From: Sadler, Shane Sent: Monday, July 14, 2014 2:31 PM To: Thomson, Cameron; ZMB-ENG-ConstructionCommittee Subject: Latest 190 mm Blocks crush results.</t>
  </si>
  <si>
    <t>McKelvey, Jamie; Mashego, Alfred; Kent, Wayne; Ballinger, Rene; Tunmer, Nolan</t>
  </si>
  <si>
    <t>RFQ for ZA Branch Gatehouse Access Control</t>
  </si>
  <si>
    <t>Morning Symon,   Thank you for all the work and help on this so far.  My suggestion would be to get together with the Maintenance brothers and we make a presentation to the BC about the whole system.  Recommendation would be to use the Gatehouse pro</t>
  </si>
  <si>
    <t>Prepare AO-6 for new high-voltage electrical connection</t>
  </si>
  <si>
    <t>Morning Uncle Gerald,   Attached is the quote for the transformer and electrical hook-up for the GHA Kikam RTO project.  After consulting with Zeny he agreed that the best way to handle this would be a new AO-6 (No.2), especially as the pricing matc</t>
  </si>
  <si>
    <t>Hughes, Mike (Mike.Hughes@WSPGroup.co.za)</t>
  </si>
  <si>
    <t>Allan, Mark; Salvidge, Mark; Schiller, Ben</t>
  </si>
  <si>
    <t>Civil Design Contract approved, ready to sign</t>
  </si>
  <si>
    <t>Morning Mike,   We are happy to say that we have decided to accept your offer for the civil design of the Congo Kikwit  Remote translation office.  After reviewing our office schedule we have found enough time to keep the Lubumbashi project in-house</t>
  </si>
  <si>
    <t>Utilities Water Bypass (OKAY)</t>
  </si>
  <si>
    <t>Hi Paul,   In short: YES.  We have included this feature on all recent RTOs already.  Well caught!   Regards,   SymonBent South Africa RDC M: +27 61 699 6085  |  T: 2588       From: Tobin, Paul Sent: Monday, July 14,</t>
  </si>
  <si>
    <t>Property for Kasempa Remote Translation Office for Kikaonde</t>
  </si>
  <si>
    <t>This is in response to your memorandum PCA June 13, 2014, that provided property options in Kasempa for a remote translation office (RTO) for the Kikaonde translation team. Although you indicated a preference for property No. 1, there are indications that</t>
  </si>
  <si>
    <t>Compaction Test for Building Platforms 3 2 &amp; 3 3 (APPROVED)</t>
  </si>
  <si>
    <t>Thanks for the explanation   ·         Seems that at 11.75 you are achieving 10mm/blow - this indicates that by the time you dig down for the footings you should be reaching nice solid soil. Would be good once you have dug the footing trenches down to 1</t>
  </si>
  <si>
    <t>Salvidge, Mark; Michalakis, Evangelos</t>
  </si>
  <si>
    <t>Change site plan layout (Keep Option 3)</t>
  </si>
  <si>
    <t>Morning Gratian,   See the reply below from Mark S, and I also agree with him.  We feel that the possibility of practical future expansion is more important than ease of construction, so we need to ask you to adapt.  Maybe you will need to anticipat</t>
  </si>
  <si>
    <t>InboxCNST.GH; Shears, Matthew; InboxWDC</t>
  </si>
  <si>
    <t>RDC review of NLBR Pkg -15 &amp; 16 (48920, 48844, 48855, 48862, 48942)</t>
  </si>
  <si>
    <t>Dear brothers,   We have reviewed the following Non-Literature Branch Requests (NLBRs) that we received from you on Wednesday, July 9, 2014 for the GHA BEX project:   1.       # 48920 – Mechanical – Georg Fischer 2.       # 48844 - Electric</t>
  </si>
  <si>
    <t>Update Sign-Language Studio Dimensions</t>
  </si>
  <si>
    <t>Try this one – no idea why the other one will not open   HYPERLINK "file:///\\bethel.jw.org\zaf\DeptArchive\RDC\Engineering\Disciplines\Arch\RDC%20Design%20Specifications%20&amp;%20Samples\Sign%20Language\20140711%20Orbit%20WDC%20FYI%20Sign-Language%20S</t>
  </si>
  <si>
    <t>Res footing DCP Results (INT Footings)</t>
  </si>
  <si>
    <t>OK…with the soilcrete spreading the load, it should not lead to too much differential settlement. Proceed.   Regards, Mark Allan (ZAF-RDC) (REC) Watch Tower Bible and Tract Society of South Africa, NPC. Registration number: 2006/022758/08. PBO</t>
  </si>
  <si>
    <t>Lester, Davin; InboxWDC</t>
  </si>
  <si>
    <t>RDC review of NLBR 7157--Kitchen ware, plywood, planks</t>
  </si>
  <si>
    <t>Dear brothers,   We have reviewed the following Non-Literature Branch Requests (NLBRs) that we received from you on Wednesday, July 9, 2014 for the ZMB Katete RTO :   1.       #7157 Kitchenware, plastic planks, plywood, test cubes   We a</t>
  </si>
  <si>
    <t>ZMB-ENG-ConstructionCommittee; Thomson, Cameron; Allan, Mark; Washburn, Nathan</t>
  </si>
  <si>
    <t>Speeding up Earthworks (APPROVED EQUIP RENTAL)</t>
  </si>
  <si>
    <t>Dear brothers,   You have our approval to go ahead and rent outside equipment to solve your earthwork problems in Mongu RTO.  We understand that that the your estimated cost is around $7,000.   Given that earthwork are by their nature unpredic</t>
  </si>
  <si>
    <t>Hi Symon, the planks are for the decks on the outside of our caravans. I’ve attached a PDF with an idea of our site setup. Let me know if you have any suggestions.     Davin Lester RTO TEAM #3 KATETE, ZAMBIA 260961098319 HYPERLINK "ma</t>
  </si>
  <si>
    <t>Request for Sliding Gate Footer Detail</t>
  </si>
  <si>
    <t>FYI.  Symon   From: Allan, Mark Sent: Friday, July 11, 2014 08:24 AM To: Bent, Symon; Bateman, Tristan Subject: RE: ZMB Mongu RTO; Request for Sliding Gate Footer Detail   We never design sliding gate footings - too many things that need t</t>
  </si>
  <si>
    <t>WhisperRoom Branch Request</t>
  </si>
  <si>
    <t>We appreciate your desire to provide suitable audio recording facilities for this RTO. However, a WhisperRoom would not usually be approved for use on just one project. As indicated in our letter dated HTA:IVA November 27, 2012, No. C-12918T, a WhisperRoom is usually approved once a branch is approved to record several publications so that “the audio recording and editing work will be continuous throughout the year.”</t>
  </si>
  <si>
    <t>Kent, Wayne; While, Mark; White, Tara; g.dosanjh@saltosystems.com; Tunmer, Nolan</t>
  </si>
  <si>
    <t>Good Afternoon Simon,   Ref: Prices for Additional Salto Components.   Following your email request for additional prices I have created a separate Tab 3 on the Excel Spreadsheet headed ( Additional Salt Products) which  I think are self-ex</t>
  </si>
  <si>
    <t>Gareth Ekins &lt;garethjekins@gmail.com&gt; (garethjekins@gmail.com)</t>
  </si>
  <si>
    <t>Kent, Wayne; JOHN VECCHIO (j.vecchio@btinternet.com); While, Mark; Ramesh Gurdev; White, Tara; mailto:g.dosanjh@saltosystems.com; Tunmer, Nolan</t>
  </si>
  <si>
    <t>Afternoon Gareth,   In reply to your message—yes you were up to date with queries…but here’s the next one!  Can we get a quote for the items listed below to equip our South Africa main entry gate?   For the GHA project I think we have all the</t>
  </si>
  <si>
    <t>Drawing, Spec</t>
  </si>
  <si>
    <t>PS Cat update---Electrical Fire Barriers (HILTI FOAM)</t>
  </si>
  <si>
    <t>HI Miguel/Brian,   Please find attached some extra pages to be added to your architectural P/S catalogue.   Kind regards,   SymonBent South Africa RDC M: +27 61 699 6085  |  T: 2588</t>
  </si>
  <si>
    <t>Breakell, Emma; Dodin, Marie; Ben Breakell &lt;bbreakell@gmail.com&gt; (bbreakell@gmail.com); Shears, Matthew</t>
  </si>
  <si>
    <t>Compaction field density tests at Res 3 2 and 3 3, for review and for filing</t>
  </si>
  <si>
    <t>Hello every one,   Official results for compaction tests at 3.2 and 3.3, for review and for filing.   Thank you, JM   From: fiifi yawson [mailto:fiifi.yawson@gmail.com] Sent: Thursday, July 10, 2014 10:02 AM To: InboxCNST.GH; jmrdo</t>
  </si>
  <si>
    <t>SKE OFFICE GUIDELINES June 2014</t>
  </si>
  <si>
    <t>Greetings - FYI:   HYPERLINK "file:///\\bethel.jw.org\zaf\DeptArchive\RDC\Engineering\Disciplines\Arch\REO%20Design%20Specifications%20&amp;%20Samples\Bible%20Schools\SKE%20Guidelines_skeog-E%20%206-14.pdf"N:\RDC\Engineering\Disciplines\Arch\REO Design</t>
  </si>
  <si>
    <t>Salvidge, Mark; Mukendi, Félicien; Kamony, Paulin; Allan, Mark</t>
  </si>
  <si>
    <t>Drawings needed for building permits (Added A-301)</t>
  </si>
  <si>
    <t>Dear Gratian,   Here’s an updated set with the section drawing (A-301) also, hope it’s what you need.   Regards, Symon   From: Michalakis, Evangelos Sent: Thursday, July 10, 2014 11:50 AM To: Bent, Symon Subject: RE: COD Kikwit RTO;</t>
  </si>
  <si>
    <t>Bent, Symon; Lloyd, Edwin; Kent, Wayne</t>
  </si>
  <si>
    <t>Standard MFP Printers for RTO Construction</t>
  </si>
  <si>
    <t>Hi David,   WHQ uses Minolta as the preferred supplier so we would recommend looking at them for all future purchases.   The cheapest option would be one of the two MFP’s below depending on where you source them, the Bizhub 20 has been replace</t>
  </si>
  <si>
    <t>Compaction Test for Building Platforms 32 3 3</t>
  </si>
  <si>
    <t>Good morning Symon,   Please find enclosed the results for the nuclear tests as well as some DCP tests performed at Platform for Res 3.2/3.3.  We shall wait for your permission to proceed with excavation for foundations at this platform.  </t>
  </si>
  <si>
    <t>Allen, David A</t>
  </si>
  <si>
    <t>Abbott, Steven; Tunstall, Hilton; Bent, Symon; Allan, Mark; InboxPRCH.ZA</t>
  </si>
  <si>
    <t>Tuffa Diesel installation UK</t>
  </si>
  <si>
    <t>Hi David,   Please see the chart below:   Tuffa Diesel Installation   Date: July 09, 2014       Project Status     MWI-08-20 - Chintheche Currently shipped from Britain to South Africa - part of NLBR 3555 MO</t>
  </si>
  <si>
    <t>MiTek Checklist</t>
  </si>
  <si>
    <t>Van:   This is great.  Will we get Lino to explain it to us so that we can tell the teams how to use it?   Remember we also said that we would also Mitek for a small mock up so we could show the teams that come into the office what Mitek looks</t>
  </si>
  <si>
    <t>Residence Footing DCP Results</t>
  </si>
  <si>
    <t>Mark/Symon Please find attached the DCP results from the center of the residence building. I believe the brothers on site performed the “Tobin WWRC” procedure while we were in Mongu.   Kind regards Paul     From: Tobin, Sarah Sen</t>
  </si>
  <si>
    <t>Annual Budget for Kingdom Hall and Assembly Hall Construction</t>
  </si>
  <si>
    <t>additional clarification about your recommended annual budget for Kingdom Hall and Assembly Hall construction and renovation as requested in our letter HPA:HDA June 4, 2014 No. C-29250P</t>
  </si>
  <si>
    <t>Project Specific Costs. This includes all costs that are charged specifically to a project, including the cost of purchasing property, all project specific materials, and project support costs related to a specific project. These costs should be included in your recommended annual Kingdom Hall and Assembly Hall budget and be broken down according to the requested five categories.</t>
  </si>
  <si>
    <t>800mm wide Ftg 6 x Y10 (T+B)</t>
  </si>
  <si>
    <t>Calcs were done based on 6 bars T+B – please keep the 6 bars T+B as shown even if spacing a bit closer…   Regards, Mark Allan (ZAF-RDC) (REC) Watch Tower Bible and Tract Society of South Africa, NPC. Registration number: 2006/022758/08. PBO nu</t>
  </si>
  <si>
    <t>COD Lubumbashi IN-HOUSE and Kikwit OUTSOURCE Civil to WSP</t>
  </si>
  <si>
    <t>Symon – please file?   Regards, Mark Allan (ZAF-RDC) (REC) Watch Tower Bible and Tract Society of South Africa, NPC. Registration number: 2006/022758/08. PBO number: 930021658   From: Sherwood, Mark Sent: 07 July 2014 09:53 AM To: Kel</t>
  </si>
  <si>
    <t>Phillips, Clinton</t>
  </si>
  <si>
    <t>Phase D Mech as-built drawings, bldgs 35 &amp; 40 missing</t>
  </si>
  <si>
    <t>Finish</t>
  </si>
  <si>
    <t>Dear Symon: Just forwarding you this on Ulrich’s behalf as he is overseas. The attached ZIP file contains our record HYPERLINK "file:///\\bethel.jw.org\zaf\Dept\RDC\Engineering\Projects\Sri%20Lanka\LKA%2002%20-%20Branch%20Expansion\S5\LKA%20Phase%20D%2</t>
  </si>
  <si>
    <t>Property Options in Mbala for Mambwe-Lungu Translation Team</t>
  </si>
  <si>
    <t>In your memorandum PCA June 9, 2014, you provided the Worldwide Design/Construction Department with three Property Evaluation (CN_x001E_27) forms with options for property that could be used for a remote translation office (RTO) in Mbala for the Mambwe-Lungu tr</t>
  </si>
  <si>
    <t>28 Day Concrete 100 x 100 (MIX OK)</t>
  </si>
  <si>
    <t>OK…the mix is on the edge / close to the ‘low side’…but it is acceptable   Continue using this mix and monitoring it   Regards, Mark Allan (ZAF-RDC) (REC) Watch Tower Bible and Tract Society of South Africa, NPC. Registration number: 200</t>
  </si>
  <si>
    <t>Meinders, Andre; Allan, Mark; Michalakis, Evangelos</t>
  </si>
  <si>
    <t>For Estimating Only drawing package release (ARCH PS Cat)</t>
  </si>
  <si>
    <t>We have just uploaded the Arch P/S catalogue to: HYPERLINK "file:///\\nlsrv001.bethel.jw.org\WDC\Projects\RDC-South%20Africa\GHA%20Viepe%20RTO%20FEO%20Drawings\Arch"\\nlsrv001.bethel.jw.org\WDC\Projects\RDC-South Africa\GHA Viepe RTO FEO Drawings\Arch</t>
  </si>
  <si>
    <t>28 day Concrete 100 x 100</t>
  </si>
  <si>
    <t>No idea The 6 cubes were from the same barrow of concrete, same slump and sent back to Lusaka  on the same day. All 6 were wrapped in cling film and labelled. What happened between them leaving our water tank, being trucked to Lusaka and being crushed</t>
  </si>
  <si>
    <t>Michalakis, Evangelos; Allan, Mark; Coombs, Shaun</t>
  </si>
  <si>
    <t>RFQ for CLOTAN roof sheeting, flashing, and rainwater goods</t>
  </si>
  <si>
    <t>Dear Linus,   Following up on our fruitful discussion with CLOTAN the other week, here is all the necessary information to request a quote from them for one of our RTO complexes in Viepe, Ghana.  I’ve also included an example of the kind of gutterin</t>
  </si>
  <si>
    <t>drawings needed for building permits (ISSUED)</t>
  </si>
  <si>
    <t>Dear Gratian,   Please find attached the necessary filing drawings you requested to submit for local building permission.  They are in .dwg format so you can add the necessary labels.  As always please remember that these are purely for filing purpo</t>
  </si>
  <si>
    <t>RFQ RTO Kitchen Equipment - ZAF140110 - RFQ52214 - Electrolux cooking tops and accessories - ID1185</t>
  </si>
  <si>
    <t>For your information.  Symon   From: Allan, Mark Sent: Thursday, July 3, 2014 06:18 PM To: Bent, Symon; Tunstall, Hilton Cc: Michalakis, Evangelos Subject: FW: RFQ RTO Kitchen Equipment - ZAF140110 - RFQ52214 - Electrolux cooking tops and acces</t>
  </si>
  <si>
    <t>Review of Project Description and Site Plan</t>
  </si>
  <si>
    <t>Dear brothers,   We have attached the Project Description document and proposed Site Plans for the new Choma Chitonga RTO complex.  As before please could you all take the time to review these and get back to us with your comments within a week if p</t>
  </si>
  <si>
    <t>Office Building length error</t>
  </si>
  <si>
    <t>Of course!   From: Allan, Mark Sent: Thursday, July 03, 2014 3:44 PM To: Tobin, Paul; Bent, Symon Subject: RE: ZMB Kabompo RTO; Office Building length error   Both gable ends, hey! J   Regards, Mark Allan (ZAF-RDC) (REC) Watch</t>
  </si>
  <si>
    <t>Marriott, Brian</t>
  </si>
  <si>
    <t>Fuentes, Miguel; Salvidge, Mark; Michalakis, Evangelos; Bent, Symon</t>
  </si>
  <si>
    <t>Doors</t>
  </si>
  <si>
    <t>Reinaerdt Sound Door offer -RFQ51868 - COD6606 - ID349</t>
  </si>
  <si>
    <t>Dear Brothers,   Sorry for the confusion and thank you for catching this. So please order the door/frame package with the door dimension 1985x985x54mm.   Please note that the walls where these doors will be installed are 200mm block walls with</t>
  </si>
  <si>
    <t>2015 Budget Preparation - RDC (Symon)</t>
  </si>
  <si>
    <t>Here’s what I “guess” might happen:   Zambia           $1,200             Nov 2014 Ghana             $1,700             Jan 2015 Ghana             $1,700             June 2015 Total               $4, 600   Maybe this is allowed for so</t>
  </si>
  <si>
    <t>Gus Dosanjh</t>
  </si>
  <si>
    <t>Kent, Wayne; j.vecchio@btinternet.com; While, Mark; garethjekins@gmail.com; Bent, Symon; Ramesh Gurdev; White, Tara</t>
  </si>
  <si>
    <t>Hello Noland, you are more than welcome,   To answer your questions, ·         The first part of my email is referring to RW SQL Pro Access Service ·         The PAE software is ProAccess Enterprise.   ·         Connection to the DB is v</t>
  </si>
  <si>
    <t>Res DCP Results points 11,12</t>
  </si>
  <si>
    <t>MA Comments</t>
  </si>
  <si>
    <t>Looks similar to the rest of the DCP Tests…top 200mm or so is about 35 – 40 mm/blow, then the soil further down is good. So it is consistent with what we found elsewhere   Do the 2-3 passes with the plate as a ‘final’ once-over, and proceed with soi</t>
  </si>
  <si>
    <t>Hi Brothers, Heres the DCP results for points 11, 12 of our Res building. We could only get to them this morning due to their location.   Regards Jared   Your message is ready to be sent with the following file or link attachments: ZMB</t>
  </si>
  <si>
    <t>ZMB-ENG-ConstructionCommittee; Thomson, Cameron</t>
  </si>
  <si>
    <t>Latest BLOCK crush test results June 2014</t>
  </si>
  <si>
    <t>Sorry for belated reply…   NOTE: I assume these are ‘hollow blocks’ – if not, what I say below is not valid, and I will have to re-assess…   Average strength is 6.0MPa. With ‘Good’ manufacturing control, an average of 6.0MPa gives a 5% failure</t>
  </si>
  <si>
    <t>Double story RTO design</t>
  </si>
  <si>
    <t>Greetings:   So we have the go ahead.    More next week.  At least now we can start thinking about Bloem, Bulawayo, Huambo and the Congo one!!   All the best,    H   From: St. Jean, Zeny Sent: Wednesday, July 02, 2014 5:38 PM To</t>
  </si>
  <si>
    <t>Elec Outlets A F F to center,top,or bottom of box</t>
  </si>
  <si>
    <t>We’ve always understood it to be centre-to-floor measurements like you.   Symon   From: Tobin, Paul Sent: Wednesday, July 2, 2014 04:43 PM To: Fitch, Brian Cc: Bent, Symon Subject: ZMB- Kabompo: A.F.F. to center,top,or bottom of box?  </t>
  </si>
  <si>
    <t>Residence Building DCP Results (APE Method)</t>
  </si>
  <si>
    <t>Thanks. I would still go for 2-3 more passes (no DCP tests needed) – better to be over cautious…   Regards, Mark Allan (ZAF-RDC) (REC) Watch Tower Bible and Tract Society of South Africa, NPC. Registration number: 2006/022758/08. PBO number: 9</t>
  </si>
  <si>
    <t>Res 4 2 3 2 Platform Lab tests</t>
  </si>
  <si>
    <t>Hi Symon,   Please find enclosed lab results and DCP test results for layers at Residence Platforms. These are sent for information only.   Thank you, Jean-Marc Dodin Construction Office GHANA BEX Extension:  22431 Cell: 054 431</t>
  </si>
  <si>
    <t>Residence Building DCP Results</t>
  </si>
  <si>
    <t>Interesting…the top 200mm or so is sitting at about 40mm/blow, but after that, it improves drastically with increased depth   At least it is all uniform, so that is good – will get uniform settlement rather than differential   I would say: run</t>
  </si>
  <si>
    <t>Hi Symon,   Find attached the DCP results for most of our Residence building exterior footing.  We’ll need to complete a fair bit of this soil stabilization before we can continue with the DCP testing.   These results are post Tobin WWRC  </t>
  </si>
  <si>
    <t>Project Ref 389 Change model to V400C2 SDMO Generator (was V375C2)</t>
  </si>
  <si>
    <t>Our previous reply is attached.  Probably got overlooked in Christian’s inbox ;-)  (Vacation….!)   Symon   From: DODIN, Jean-Marc Sent: Tuesday, July 1, 2014 11:38 AM To: Bent, Symon Cc: Foster, Sean Subject: FW: GHA BEX: Project Ref 389</t>
  </si>
  <si>
    <t>Washburn, Nathan; ZMB-ENG-ConstructionCommittee; InboxWDC; De Meyer, Efraim</t>
  </si>
  <si>
    <t>AO-7, NLBR</t>
  </si>
  <si>
    <t>RDC Review of NLBRs 520-6902 Electrical items</t>
  </si>
  <si>
    <t>For SKE power backup</t>
  </si>
  <si>
    <t>Dear brothers,   We have reviewed the following Non-Literature Branch Requests (NLBRs) that we received from you on Tuesday, June 25, 2014 for the ZMB BEX : 1.       #520-6902 Items for electrical back up AO-7 No.2   We are in agreement wit</t>
  </si>
  <si>
    <t>Shears, Matthew; Allan, Mark; Bateman, Tristan</t>
  </si>
  <si>
    <t>Grade beam rebar query, 30-S-102</t>
  </si>
  <si>
    <t>Answers below.  Symon   From: Allan, Mark Sent: Monday, June 30, 2014 04:04 PM To: Bateman, Tristan; Bent, Symon Subject: RE: GHA BEX; Grade beam rebar query, 30-S-102   Good job. Symon – see below   Regards, Mark Allan (ZAF-RDC)</t>
  </si>
  <si>
    <t>Allan, Mark; Washburn, Nathan; Watts, Jeffery</t>
  </si>
  <si>
    <t>Proposal to install permanent high-voltage electrical connection</t>
  </si>
  <si>
    <t>Zeny's explanation</t>
  </si>
  <si>
    <t>Symon – the key point is that this was part of the approved conceptual estimate.  In other cases in GHA we needed to use an NLBR since we had no approved concept budget which could serve as an umbrella for the AO-6.  Hope that makes sense –   Zeny</t>
  </si>
  <si>
    <t>Pinon, Christian; DODIN, Jean-Marc</t>
  </si>
  <si>
    <t>Proposal to install high-voltage electrical connection</t>
  </si>
  <si>
    <t>Subit an AO-6 for costs</t>
  </si>
  <si>
    <t>So the quick answer from WDC is: submit a new AO-6, they’ll approve it within days.  So, with that in mind could you tell us if anything else needs to be added to the quote or could we turn that into an AO-6 straight-away?   Symon   From: Shea</t>
  </si>
  <si>
    <t>Elec, Generator, NLBR</t>
  </si>
  <si>
    <t>Missing SDMO generator outlets and exhaust parts</t>
  </si>
  <si>
    <t>Hi Symon,   3 New Generators Received: 3 questions from Electrical and office: 1. We seem to be missing a few parts  (it looks like only one set has come)   2x 30900004907                 muffler extension D194xL 2x 30803013000       </t>
  </si>
  <si>
    <t>garethjekins@gmail.com</t>
  </si>
  <si>
    <t>Version 2 Quotation Pricing for GHA Branch Kmz Salto Access Control</t>
  </si>
  <si>
    <t>Good Morning Tara/Symon,     Ref: Version 2 : Salto Quotation for Access Control System for GHA Branch.   First of all may I apologise for the delay in formulating the version 2 Prices which have been based on the ISEO  &amp; Cisa Panic Bar  ar</t>
  </si>
  <si>
    <t>InboxCNST.GH; Shears, Matthew; ten Have, Fabian</t>
  </si>
  <si>
    <t>Relocation of Res 4 2 water line stub up (AGREED)</t>
  </si>
  <si>
    <t>Agreed.  As below.  Symon   From: ten Have, Fabian Sent: Monday, June 30, 2014 09:08 AM To: Bent, Symon Subject: FW: GHA BEX; Relocation of Res 4.2 water line stub up   Hi Symon,   I’m in agreement with this change, sorry for not not</t>
  </si>
  <si>
    <t>InboxCNST.GH; DODIN, Jean-Marc; Mashego, Alfred; Washburn, Nathan</t>
  </si>
  <si>
    <t>Quote for AFC Drawings - Falcon Engineering (APPROVED)</t>
  </si>
  <si>
    <t>Morning Matt,   You have the official blessing of our office to go ahead with this design contract with Falcon Engineering.   Could you follow the same process that you did for your civil works contract: having your legal department review the</t>
  </si>
  <si>
    <t>COD Lubumbashi and Kikwit Civil Quotes from WSP</t>
  </si>
  <si>
    <t>Thanks!    Symon – looks like it’s a green light!   1.       Please check with Ben Schiller again – seems he has a gap in his schedule. Perhaps he can take one of these on…perhaps not? May be best just to run with WSP and get these done ASAP?</t>
  </si>
  <si>
    <t>Coombs, Shaun; Salvidge, Mark; Washburn, Nathan</t>
  </si>
  <si>
    <t>Quote for AFC Drawings Falcon Engineering</t>
  </si>
  <si>
    <t>Approval to proceed with design outsourcing</t>
  </si>
  <si>
    <t>Symon – please go ahead and inform Ghana to go ahead?   All payments must also be tracked. Later on these engineering costs must be transferred to the Project Cost / AO-6   Regards, Mark Allan (ZAF-RDC) (REC) Watch Tower Bible and Tract</t>
  </si>
  <si>
    <t>Choral Recording Facilities</t>
  </si>
  <si>
    <t>Symon, Did you and Peter Briel come up with the upper limit cost for this yet? If so, has this been communicated to WDC? Mark   From: InboxWDC Sent: Thursday, June 26, 2014 7:13 PM To: Salvidge, Mark Subject: Orbit WDC: [FOR DIRECTION]</t>
  </si>
  <si>
    <t>Hi Symon,   For information only, we are sending the lab test and construction DCP tests results at building platforms.   Thank you, Jean-Marc Dodin Construction Office GHANA BEX Extension:  22431 Cell: 054 431 4831    </t>
  </si>
  <si>
    <t>Office Footing Concrete Mortar</t>
  </si>
  <si>
    <t>Symon, As you can see from the emails below, your message to me has been passed to Shane and we have his observations nicely highlighted in red… weird but true… maybe all my mail should be answered by Shane and I can play out in the sandpit a bit more</t>
  </si>
  <si>
    <t>DODIN, Jean-Marc; Allan, Mark</t>
  </si>
  <si>
    <t>Design, Drawing</t>
  </si>
  <si>
    <t>For Estimating Only drawing package release</t>
  </si>
  <si>
    <t>Afternoon Matt,   Here is a link to the latest “For Estimating Only” drawing package for the Viepe RTO project.  As I mentioned there a still a few matters to be ironed out before final AFC release:   1.       ARCH:  a.       Final Arch P/S</t>
  </si>
  <si>
    <t>Allan, Mark; Washburn, Nathan; ZMB-ENG-ConstructionCommittee</t>
  </si>
  <si>
    <t>Utility Slab DCP Test</t>
  </si>
  <si>
    <t>Hello Symon,   Attached please find the DCP results for Mongu utility slab.   Res building coming up soon.   Regards, Jared Fruciano Mongu RTO Construction  </t>
  </si>
  <si>
    <t>Mass Concrete protection for Utilities under foundation</t>
  </si>
  <si>
    <t>Dear Jean-Marc,   This detail only applies when the pipework is shallow (approx.. &lt;300mm below)---a good example is where the pipes go out under the concrete apron.   Regards,   SymonBent South Africa RDC M: +27 61 699 6085  |  T:</t>
  </si>
  <si>
    <t>DODIN, Jean-Marc; Schiller, Ben; Coombs, Yolanda</t>
  </si>
  <si>
    <t>Validity of survey elevations</t>
  </si>
  <si>
    <t>Need for update</t>
  </si>
  <si>
    <t>Thank you for these comments. We will get the brothers on site to work through these three points, and give you the required information.   Matt Shears CONSTRUCTION OFFICE GHANA BRANCH   From: Bent, Symon Sent: Wednesday, June 25, 2</t>
  </si>
  <si>
    <t>Symon: We have received the quotation from ECG for the installation of an 11,000 volt line to our site and the installation of a 100kVa transformer. TOTAL COST: Ghc 80,017.   Please see the attached estimate. The proposed routing is to foll</t>
  </si>
  <si>
    <t>ZMB-ENG-ConstructionCommittee; Bent, Symon; Blackman, Innes; Washburn, Nathan</t>
  </si>
  <si>
    <t>GRS Roof sheeting quote confirmation</t>
  </si>
  <si>
    <t>Hello Paul, Here the correction to the right material.  Thanks a lot and many greetings Linus   From: Precious Zwane [mailto:Precious@globalroofs.co.za] Sent: 26 June 2014 09:10 AM To: Schmidt, Linus Cc: Paulo Da Costa Subject: Zambia</t>
  </si>
  <si>
    <t>Form, LDC</t>
  </si>
  <si>
    <t>Local Design Construction Department Report (DC-71)</t>
  </si>
  <si>
    <t>We understand that you may not be able to fill in all the fields at this point. However, please fill in what you can with the understanding that you will be able to obtain the information for future reports. Please submit a report for the third quarter of the 2014 service year by July 7, 2014, to your Regional Design/Con_x001F_struction Department (RDC). Thereafter, the LDC should use this to measure their progress on a monthly basis. Additionally, please submit the report to your assigned RDC by the 25th of the month after each complete service-year quarter. In the future, efforts will be made to provide a reporting feature in Admin to provide some of the data needed for this report.</t>
  </si>
  <si>
    <t>Contract, Planning</t>
  </si>
  <si>
    <t>Single Contractor for Multiple RTO Projects</t>
  </si>
  <si>
    <t>Not practical for Africa, favour one per country instead</t>
  </si>
  <si>
    <t>Dear Brothers: Notes from our meeting yesterday are attached for your review. Thank you. Your brothers, Worldwide Design/Construction Department  No hard copy will follow. Please return this code in your e-mail when you reply. [wid:WHQ-WDC-5</t>
  </si>
  <si>
    <t>ZMB-ENG-ConstructionCommittee; Blackman, Innes; Washburn, Nathan</t>
  </si>
  <si>
    <t>Utilities Building DCP Results</t>
  </si>
  <si>
    <t>Struct approval</t>
  </si>
  <si>
    <t>Since (1) it is fairly uniform, and (2) you still will be adding 150mm of suitable gravel on top, this is ACCEPTABLE   Regards, Mark Allan (ZAF-RDC) (REC) Watch Tower Bible and Tract Society of South Africa, NPC. Registration number: 2006/0227</t>
  </si>
  <si>
    <t>SOMANYA is proposed location</t>
  </si>
  <si>
    <t>    Matt Shears CONSTRUCTION OFFICE GHANA BRANCH  </t>
  </si>
  <si>
    <t>Ring Beam &amp; Conduits (No pipe insulation)</t>
  </si>
  <si>
    <t>Answer below.  Symon   From: ten Have, Fabian Sent: Wednesday, June 25, 2014 02:30 PM To: Bent, Symon Subject: RE: ZMB Kabompo RTO; Ring Beam &amp; Conduits [SOLUTION]   Hi Symon,   I agree, we normally do not insulate the sections of th</t>
  </si>
  <si>
    <t>Kikam update.  Could you confirm if we need more info? Symon   From: Shears, Matthew Sent: Wednesday, June 25, 2014 01:26 PM To: Bent, Symon Subject: RE: GHA Kikam RTO; Validity of survey elevations?   Hi Symon: Attached is the origi</t>
  </si>
  <si>
    <t>Validity of survey elevations, update from site</t>
  </si>
  <si>
    <t>Hi Symon: Attached is the original topographical survey, and the sketch from the brothers on site, showing the levels of the new road in relation to the original surveyed height in the SE corner of the property. The site has been graded, to remove t</t>
  </si>
  <si>
    <t>Original GRS roof sheeting quote</t>
  </si>
  <si>
    <t>Good morning Linus   I had the chance to review the attached PDFs from GRS yesterday.  Most of it appears accurate… The only errors I noticed were with the gutters, budd straps and gutter brackets.  They have figured just 90 linear meters o</t>
  </si>
  <si>
    <t>RTO grease traps, stay with 4m concrete block version</t>
  </si>
  <si>
    <t>Greetings:   Record of decision below.     Thanks   Hilton     </t>
  </si>
  <si>
    <t>latest crush test results June 2014</t>
  </si>
  <si>
    <t>Symon,   Here are our latest crush test results.   Thanks Cam From: Sadler, Shane Sent: Tuesday, June 24, 2014 5:57 PM To: Thomson, Cameron Subject: Crush    Here is the latest crush results for our 90mm blocks 28 days old.</t>
  </si>
  <si>
    <t>GHANA – BAATSONA SKE Developing of SKE Drawings.   Symon: Attached is a quotation for the Baatsona SKE project, to develop the conceptual drawings to Approved For Construction. We have held a number of meetings with this company [Falcon Eng</t>
  </si>
  <si>
    <t>Washburn, Nathan; ZMB-ENG-ConstructionCommittee; InboxWDC</t>
  </si>
  <si>
    <t>RDC Review of NLBR 520-6960 Block mould</t>
  </si>
  <si>
    <t>Dear brothers,   We have reviewed the following Non-Literature Branch Requests (NLBRs) that we received from you on Jun 24, 2014 for use on all Zambia RTO projects:   1.       ZMB 520-6960 Half-size concrete block mould   We are in agree</t>
  </si>
  <si>
    <t>WHQ358502 Contracted Engineering Costs for Construction Projects</t>
  </si>
  <si>
    <t>DODIN, Jean-Marc; Pinon, Christian; InboxWDC; Washburn, Nathan; Allan, Mark; Shears, Matthew</t>
  </si>
  <si>
    <t>RDC Review of NLBRs package -14--48522 to 48531 Mech and Elec</t>
  </si>
  <si>
    <t>Dear brothers   We have reviewed the following Non-Literature Branch Requests (NLBRs) that we received from you on Jun 23, 2014 from GHA BEX Project:   1.      Requisition #48522 – Various Consumable, Corner Bead &amp; Fall Protection for GBR 2</t>
  </si>
  <si>
    <t>quote for contract for fence project</t>
  </si>
  <si>
    <t>Symon,   We received this morning a quote for contracting out the wall fence in Katete. We will investigate a couple issues including quality of material being used. In comparison with the figures in the approved AO-6 No.1, we are very close i</t>
  </si>
  <si>
    <t>Sampson, Ferdy</t>
  </si>
  <si>
    <t>Quote and drawings for Mitek roof structure (B1278013)</t>
  </si>
  <si>
    <t>Good morning,   See updated info from Mitek (Mongu)   Thanking you, Ferdy Sampson Purchasing      From: Freeman Tanani Munjoma [mailto:TFMunjoma@mitek.co.za] Sent: 23 June 2014 08:31 To: Bhana, Teresh; Sampson, Ferdinand Cc:</t>
  </si>
  <si>
    <t>Budget Items to include Shipping Costs</t>
  </si>
  <si>
    <t>“Receiving branches should record the value of the items, including the shipping cost, as foreign noncash donations received.”</t>
  </si>
  <si>
    <t>With this change it will now be necessary to include these costs in the estimates for imported materials and equipment. Although the ECT codes 1001040 and 1001050 and PT project dimension S1210 will still be available for use, the shipping and duty costs for materials that will be purchased through another branch should be estimated and tracked under the specific line items for those materials.</t>
  </si>
  <si>
    <t>AC replacement program zy547</t>
  </si>
  <si>
    <t>Hi Tim, More direction will be forthcoming on this issue.  The recommendation is that all AC equipment that is replaced/upgraded now will not use HCFC refrigerants (R22 and others).  If the new equipment you are using does not contain these please proc</t>
  </si>
  <si>
    <t>Bhana, Teresh; Bateman, Tristan</t>
  </si>
  <si>
    <t>Shop Detail Drawings (Ghana Water Treatment Plant) (RDC Review)</t>
  </si>
  <si>
    <t>Afternoon Ferdy,   Here’s our comments on these drawings.  Hope it’s clear enough, feel free to give me a holler if you need clarification.   Regards,   SymonBent South Africa RDC M: +27 61 699 6085  |  T: 2588       Fr</t>
  </si>
  <si>
    <t>InboxWDC; Washburn, Nathan</t>
  </si>
  <si>
    <t>RDC Review of NLBR 6940--cube moulds</t>
  </si>
  <si>
    <t>Dear brothers   We have reviewed the following Non-Literature Branch Requests (NLBRs) that we received from you on June 23, 2014 for the ZMB Mongu RTO project:   1.       #6940 Concrete cube moulds, and testing equipment   We are in agre</t>
  </si>
  <si>
    <t>Power Log data, one generator okay</t>
  </si>
  <si>
    <t>Hi Symon,   I think one generator can still manage.   Thank you, Masaaki Imai RDC-South Africa Ext. 2586       From: Bent, Symon Sent: Monday, June 23, 2014 9:56 AM To: Imai, Masaaki; De Meyer, Efraim Subject: FW: GHA</t>
  </si>
  <si>
    <t>Petignat, Pierre</t>
  </si>
  <si>
    <t>bearing failure on Booster pump LOWARA</t>
  </si>
  <si>
    <t>Pump compatibility is okay</t>
  </si>
  <si>
    <t>Hi Pierre,   I spoke again to the supplier and he confirmed the the EML-MS90L1 motor can be used on the new pump.   Let me know if you need more info.   Kind regards,   Johnny Silva Purchasing department   Watchtower S</t>
  </si>
  <si>
    <t>McDonald, Darcy; InboxWDC; Washburn, Nathan</t>
  </si>
  <si>
    <t>RDC review of NLBR Package -13 (48439, 48450)</t>
  </si>
  <si>
    <t>Dear brothers   We have reviewed the following Non-Literature Branch Requests (NLBRs) that we received from you on June 18, 2014, for use on the GHA BEX project:   1.       Requisition #48439 Mechanical Fittings for ZAF 2.       Requisition</t>
  </si>
  <si>
    <t>Power Log data</t>
  </si>
  <si>
    <t>Does this help us decide whether we need 1 or 2 generators?   Symon   From: Shears, Matthew Sent: Saturday, June 21, 2014 05:41 PM To: Bent, Symon Subject: GHA VIEPE RTO; Power Log data   Symon, We connected the power logger @ Vie</t>
  </si>
  <si>
    <t>Gates, sliding vs swing</t>
  </si>
  <si>
    <t>Symon:   Here is a list of the RTO’s we’ve done and the entrance gates that they have. Some of the earlier projects show swinging gates but then say “ENTRANCE GATE DOS” or similar. Massinga shows a sliding gate but doesn’t have a note specifying.</t>
  </si>
  <si>
    <t>Washburn, Nathan; Michalakis, Evangelos</t>
  </si>
  <si>
    <t>Ceiling</t>
  </si>
  <si>
    <t>How to install UPVC ceilings (Video)</t>
  </si>
  <si>
    <t>Mornin All   Just received this video for installing the uPVC ceilings from China, as spec’d for RTO’s.   It’s not the most comprehensive video but might help a little. Also Joe Phillpot from LDC here, had these comments….   This one dro</t>
  </si>
  <si>
    <t>ZMB-ENG-ConstructionCommittee; Washburn, Nathan; Blackman, Innes</t>
  </si>
  <si>
    <t>Office Footing Concrete and Mortar Crush Tests</t>
  </si>
  <si>
    <t>Morning Symon Here are our crush results from the first sections of the Office building footings. Also threw in a mortar test to ensure we’re using good mortar on our walls.    Hope it’s ok Paul   From: Sadler, Shane Sent: Saturday,</t>
  </si>
  <si>
    <t>Coombs, Yolanda; Schiller, Ben; Allan, Mark; Washburn, Nathan</t>
  </si>
  <si>
    <t>Updated site survey</t>
  </si>
  <si>
    <t>Previous was completely erroneous!</t>
  </si>
  <si>
    <t>Symon,   Please see the new survey for Choma.   Thanks Cam   From: Aubrey Bwalya Mulenga [mailto:aubrey@legeomatika.com] Sent: Sunday, June 22, 2014 6:01 PM To: Thomson, Cameron Subject: RE: ZMB Choma RTO; Need to confirm elevatio</t>
  </si>
  <si>
    <t>Symon, We connected the power logger @ Viepe RTO for 3 weeks, and obtained the information on the attached spreadsheet. I am told that we can also get this data in another format with the other attachment ,using the program in the link below. Let</t>
  </si>
  <si>
    <t>Allan, Mark; Reichel, Venessa; Bateman, Tristan; Fruciano, Jared; Thomson, Cameron</t>
  </si>
  <si>
    <t>Ring Beam &amp; Conduits (SOLUTION)</t>
  </si>
  <si>
    <t>Here you go!  Symon   From: Bateman, Tristan Sent: Friday, June 20, 2014 02:34 PM To: Bent, Symon Cc: Allan, Mark; Reichel, Venessa Subject: RE: ZMB-Kabompo Ring Beam &amp; Conduits   Hi Symon,   I think so far, the RTO teams have been</t>
  </si>
  <si>
    <t>Trusses length check</t>
  </si>
  <si>
    <t>Sketch t confirm understanding of truss length</t>
  </si>
  <si>
    <t>FYI   SymonBent South Africa RDC M: +27 61 699 6085  |  T: 2588  </t>
  </si>
  <si>
    <t>Chair, plastic F02 &amp; F08, black and red</t>
  </si>
  <si>
    <t>F02 becomes this chair in Black  F08 becomes this chair in Red      Evangelos Michalakis Regional Design/Construction Department (ZAF-RDC) South Africa Branch of Jehovah’s Witnesses Ext:2580  </t>
  </si>
  <si>
    <t>Fence DCP tests - Direction for Fence only</t>
  </si>
  <si>
    <t>As discussed – I have not been asked to comment on the actual Fence Design. However I still have the same misgivings regarding this design as per my e-mail of May 9th, 2013 (see “GHA Ewe Fence Wall Package REVIEW 20130509.msg” in: HYPERLINK "file:///\\bet</t>
  </si>
  <si>
    <t>Schiller, Ben; Coombs, Yolanda; Washburn, Nathan</t>
  </si>
  <si>
    <t>Confirming location of the storm water outflows under fence</t>
  </si>
  <si>
    <t>Symon,   After looking it over, there are no external factors which will interfere with the storm water drainage. The neighboring  property is mostly empty  field  With no structures close to the wall fence.    Thanks Cam   From: B</t>
  </si>
  <si>
    <t>Washburn, Nathan; ZMB-ENG-ConstructionCommittee; Allan, Mark</t>
  </si>
  <si>
    <t>Fence, Gate, Struct</t>
  </si>
  <si>
    <t>Increase size of Gate pier due to sliding gate length - S-501</t>
  </si>
  <si>
    <t>Dear Jared,   Thanks for the photo, that made it much easier to understand the question.  Attached is fine solution from STRUCT, hope it works out well for you.  Sweet sketch too!  (I left the original attachments to keep the whole tale together for</t>
  </si>
  <si>
    <t>Matt n Michaela Shears</t>
  </si>
  <si>
    <t>Fence, DCP</t>
  </si>
  <si>
    <t>Fence DCP tests, extra details</t>
  </si>
  <si>
    <t>Hi Symon, We have taken the levels of the start depth BGL, using the topographical plan that was taken back in October 2013 as a reference. The information is as follows: DCP test #1: 950mm DCP test #2: 860mm DCP test #3: 970mm DCP test #4: 920mm</t>
  </si>
  <si>
    <t>Washburn, Nathan; InboxWDC; ZMB-ENG-ConstructionCommittee</t>
  </si>
  <si>
    <t>RDC Review of NLBR 6886 mixer and drains</t>
  </si>
  <si>
    <t>Dear brothers,   We have reviewed the following Non-Literature Branch Requests (NLBRs) that we received from you on Wednesday, June 18, 2014, for ZMB Mongu RTO:   1.       #6886 for shower mixers and floor drains   We are in agreement wi</t>
  </si>
  <si>
    <t>Residence DCP Results RES BLDG June 18th</t>
  </si>
  <si>
    <t>Looks good. You have at least 300mm of decent soil to start off before creating the stabilized soil platform   Regards, Mark Allan (ZAF-RDC) (REC) Watch Tower Bible and Tract Society of South Africa, NPC. Registration number: 2006/022758/08. P</t>
  </si>
  <si>
    <t>Eleha, -; Wiggill, Keith; Finch, Ed; Jones, David M.; Nordin, Timothy; Coombs, Shaun; Washburn, Nathan; Shears, Matthew; Tunstall, Hilton</t>
  </si>
  <si>
    <t>CN-23, DC-71</t>
  </si>
  <si>
    <t>LDC GHA MDG ZMB; Submitting quarterly CN-23 reports</t>
  </si>
  <si>
    <t>Wednesday, June 18, 2014 To: LDC Departments – Ghana, Madagascar, Zambia Branches     Dear brothers;   With the recent release of the new LDC guidelines, the timing of the submission of your CN-23 reports has changed from monthly to quar</t>
  </si>
  <si>
    <t>Washburn, Nathan; Coombs, Shaun; Reichel, Venessa</t>
  </si>
  <si>
    <t>RTO's Sulphate Tests to Aggregates</t>
  </si>
  <si>
    <t>See below…we can do this in place of testing?   Regards, Mark Allan (ZAF-RDC) (REC) Watch Tower Bible and Tract Society of South Africa, NPC. Registration number: 2006/022758/08. PBO number: 930021658   From: Hughes, Mike [mailto:Mike.Hu</t>
  </si>
  <si>
    <t>Personnel--agree to Richies as potential CS again</t>
  </si>
  <si>
    <t>Times are changing quickly.  We can now ask for people from the field to fill construction roles.  Let’s try to ask for Ritchies to be servants.   From: Bent, Symon Sent: Wednesday, June 18, 2014 2:44 PM To: Washburn, Nathan Subject: RE: Kabompo</t>
  </si>
  <si>
    <t>Travel expenses for some local volunteers under Local Travel</t>
  </si>
  <si>
    <t>Nathan,   I agree on tracking things in the right code. Thanks   On the contracting, we are investigating this on each project, but it depend on what is available. In Kabompo day workers are contracted out and it worked, and in Mongu we are</t>
  </si>
  <si>
    <t>Mondoka, Molson; Washburn, Nathan; Finch, Ed</t>
  </si>
  <si>
    <t>Draft NLBR for generator and invertor welder - Zambia LDC</t>
  </si>
  <si>
    <t>Thanks Symon,   I will add the line that RDC has reviewed the request and is in agreement.   Thanks and kind regards, Henry   From: Bent, Symon Sent: 18 June 2014 09:03 To: Kapata, Henry Cc: Mondoka, Molson; Washburn, Nathan Subj</t>
  </si>
  <si>
    <t>White, Tara; garethjekins@gmail.com; Ramesh Gurdev</t>
  </si>
  <si>
    <t>Update for Salto Panic Bar Kit</t>
  </si>
  <si>
    <t>Good Morning Symon,   Ref: Update on New Pricing and Salto Panic Bar Kit.     First of all may I thank you for the Time afforded to Ramesh and myself during last week’s telephone conference.   Following your email and specification de</t>
  </si>
  <si>
    <t>Design Build Initiative for RTOs in Southern Africa</t>
  </si>
  <si>
    <t>Brothers:   Attached are notes/agenda that will serve as a basis for our discussion.  Something to chew on.    Looking forward to our discussion next week.    Regards   Hilton</t>
  </si>
  <si>
    <t>Pinon, Christian; DODIN, Jean-Marc; Michalakis, Evangelos</t>
  </si>
  <si>
    <t>Shower curtains (Confirmed)</t>
  </si>
  <si>
    <t>Hi All,   Just confirming that we are now specifying curtains for all RTOs: the general preference, from a maintenance POV, from all Branches we have been working with is that this will be easier to look after in a remote location.  Makes sense.  We</t>
  </si>
  <si>
    <t>Civil, Contract, Design</t>
  </si>
  <si>
    <t>Also includes Lubumbashi's quote (not used)</t>
  </si>
  <si>
    <t>Dear Symon, Herewith please find our quotations for the attached projects. Apologies for the delay. Best Regards, Mike H   Mike Hughes  Regional Director  WSP, Civil and Structural Engineers, Africa Execuline Building, Stand 1, R</t>
  </si>
  <si>
    <t>Mondoka, Molson; Washburn, Nathan</t>
  </si>
  <si>
    <t>Morning Henry,   From personal experience I can say that I fully agree with your proposal below and in the NLBR.  ON recent projects we had also switched to using separate generators and invertor welders: you get a better welding machine, and the wh</t>
  </si>
  <si>
    <t>how to update the Soil Assessment form</t>
  </si>
  <si>
    <t>Hi Cam,   I see his point about the sample filled-in form.  The problem is that we do not have any correctly filled-out sample forms to show you, which is why we are pushing this point so much.  Perhaps yours could be the first ;-).   Basicall</t>
  </si>
  <si>
    <t>Travel expenses for some local volunteers, which code</t>
  </si>
  <si>
    <t>Hi Cam/Jared,   Given that we are not talking about huge sums of money here it would be perhaps better to track it under the correct code which is local travel as you say.  Any over-run can be clearly explained on the AO-8.  It would give a better p</t>
  </si>
  <si>
    <t>shears.mm@gmail.com</t>
  </si>
  <si>
    <t>Fence DCP tests, request for analysis</t>
  </si>
  <si>
    <t>Hi Symon: Attached are three zipped folders:   1. THE LATEST DCP TESTS These were taken today. The brothers have made 11 tests, and include a field sketch. I noted that some of the tests [4-11] were done on un-compacted soil. HYPERLINK "file:///\\bet</t>
  </si>
  <si>
    <t>Mitek order fabrication approval (B1278002)</t>
  </si>
  <si>
    <t>Hi Teresh,   Please give MiTek to proceed with the Ghana Branch Expansion Project.  They have noted our comments and we are happy with the result.   Kind Regards, Van   From: Bent, Symon Sent: Tuesday, June 17, 2014 2:18 PM To:</t>
  </si>
  <si>
    <t>Allan, Mark; Schiller, Ben</t>
  </si>
  <si>
    <t>Res 3 underground pipe can run under concrete apron (typ detail)</t>
  </si>
  <si>
    <t>Hi Christian,   As promised here’s the detail of where the apron crosses the pipe.   Symon   From: Allan, Mark Sent: 17 June 2014 11:56 AM To: Bent, Symon Cc: Schiller, Ben Subject: FW: GHA BEX; Res 3 underground pipe can run under</t>
  </si>
  <si>
    <t>Schiller, Ben; Allan, Mark</t>
  </si>
  <si>
    <t>Res 3 underground pipe can run under concrete apron</t>
  </si>
  <si>
    <t>Morning Christian,   In answer to your question:   Yes, you can run the waste water underground pipework for Residence 3.2 &amp; 3.3 through the foundation stem wall and under the concrete apron.  Detail Q (Pipe through stem wall) on drawing C-501 wo</t>
  </si>
  <si>
    <t>Mueller, Ulrich</t>
  </si>
  <si>
    <t>Thomas, Ross; Washburn, Nathan; Allan, Mark</t>
  </si>
  <si>
    <t>Dear Symon    1.      The original Phase D Mech 35 Services-Residence was not handled by our RDC.  It was from memory Andy from your office did the design.  However – please note that this building is currently having a major renovation and the chil</t>
  </si>
  <si>
    <t>GHA Viepe RTO Coord Comments from DG</t>
  </si>
  <si>
    <t>See below in red   Regards, Mark Allan (ZAF-RDC) (REC) Watch Tower Bible and Tract Society of South Africa, NPC. Registration number: 2006/022758/08. PBO number: 930021658   From: Bent, Symon Sent: 16 June 2014 03:59 PM To: Michalakis</t>
  </si>
  <si>
    <t>Coord Comments from DG</t>
  </si>
  <si>
    <t>Some good comments from Dave Gilden as they were going through the drawings (Viepe/Katete) to prepare the standard MTO. Is there anything we can incorporate into these two projects?   Kind regards,   SymonBent South Africa RDC M: +27</t>
  </si>
  <si>
    <t>DCP test residence 3-2 3-3 ANALYSIS</t>
  </si>
  <si>
    <t>MA Struct analysis</t>
  </si>
  <si>
    <t>Voila, mes amis!  Happy compaction….   Symon   From: Allan, Mark Sent: 16 June 2014 03:42 PM To: Bent, Symon Subject: GHA BEX; DCP test residence 3-2 3-3 ANALYSIS   See attached…   Regards, Mark Allan (ZAF-RDC) (REC) Watc</t>
  </si>
  <si>
    <t>Baatsona SKE Plans &amp; Sections</t>
  </si>
  <si>
    <t>Morning Ulrich,   Still on the LKA as-built saga I’m afraid!  According to our records we are still missing the following:   1.       Phase D MECH 35-Service Residence 2.       Phase D MECH 40-Office   Could we beg you to verify once</t>
  </si>
  <si>
    <t>DCP test residence 3-2 3-3</t>
  </si>
  <si>
    <t>Hi Symon, Here is  some additional info for residence 3.2 and 3.3. Let us know what we need to do, we would like to start back filling the trench of residence 3.2 West side. If possible today because we have good weather.    Thank you for your</t>
  </si>
  <si>
    <t>Guidelines for Handling Personal Cash Floats</t>
  </si>
  <si>
    <t>Everyone, Please find attached some good guidelines for travelers and others who use the organization’s funds to handle work outside the branch. It is a balanced approach and some good reminders.     I was going to send this to selected ones i</t>
  </si>
  <si>
    <t>Helweg, Arjen; InboxPRCH.NL; Bent, Symon; Imai, Masaaki; McDonald, Darcy</t>
  </si>
  <si>
    <t>SDMO package, missing accessories</t>
  </si>
  <si>
    <t>Dear Brothers,   Thank you for your enquiry.    As we understand it the below equipment was not order, originally this equipment was part of the V375C2 quotation and the NL Purchasing gained prices (See attached email thread for Ref 389).  </t>
  </si>
  <si>
    <t>Salvidge, Mark; Coombs, Shaun; Bent, Symon; Tunstall, Hilton</t>
  </si>
  <si>
    <t>jw org sign-installation instructions</t>
  </si>
  <si>
    <t>Tiffani, Please keep this. We will attach it to our outgoing memos having to do with the JW.org sign. Thanks, Nathan  -----Original Message----- From: Keen, Anthony Sent: Thursday, June 12, 2014 1:42 PM To: Washburn, Nathan Subject: FW: Emailin</t>
  </si>
  <si>
    <t>Bent, Symon; Washburn, Nathan; ZMB-ENG-ConstructionCommittee; Blackman, Innes</t>
  </si>
  <si>
    <t>Res DCP results GABLE END</t>
  </si>
  <si>
    <t>MA Struct approval</t>
  </si>
  <si>
    <t>This looks fine now – sitting with about 300mm of fairly decent subgrade before you have to apply your ‘soil stabilization’ layers on top of this   Regards, Mark Allan (ZAF-RDC) (REC) Watch Tower Bible and Tract Society of South Africa, NPC. R</t>
  </si>
  <si>
    <t>Elec, Fence, Purchasing</t>
  </si>
  <si>
    <t>G4S Quote for Electric Fence on new Property</t>
  </si>
  <si>
    <t>Send AO-6 for extra costs</t>
  </si>
  <si>
    <t>HYPERLINK "file:///\\bethel.jw.org\zaf\Dept\RDC\Engineering\Projects\Ghana\GHA%2099%20-%20Misc\Electric%20fence%20for%20New%20Property\20140615%20Quote%20for%20electric%20fence%20from%20G4S.xlsx"\\bethel.jw.org\zaf\Dept\RDC\Engineering\Projects\Ghana\GHA</t>
  </si>
  <si>
    <t>Retaining wall footing Perimeter Wall footing tie detail S-501</t>
  </si>
  <si>
    <t>Separate retaining wall from normal fence wall</t>
  </si>
  <si>
    <t>Some high praise from the ones who know these things.  Many apologies for the delay—it was my fault!   Regards,   SymonBent South Africa RDC M: +27 61 699 6085  |  T: 2588       From: Allan, Mark Sent: 13 June 2014 04:47 PM</t>
  </si>
  <si>
    <t>Transformer power supply sizing for the facility</t>
  </si>
  <si>
    <t>Agreed sizing with André Meinders</t>
  </si>
  <si>
    <t>Thanks We just use that then.   Ok, on my way to Germany now for the next 10 weeks…..: )   Bye Andre   From: Bent, Symon Sent: Friday, June 13, 2014 2:16 PM To: Meinders, Andre Cc: Shears, Matthew Subject: RE: GHA Kikam RTO; T</t>
  </si>
  <si>
    <t>Planning for Future RTO with CS (Meeting Minutes)</t>
  </si>
  <si>
    <t>Brothers,   Thank you for your willingness to support us. We look forward to working with you to accomplish this work.   Cam   From: Bent, Symon Sent: Friday, June 13, 2014 3:58 PM To: Thomson, Cameron; Finch, Ed Cc: Washburn, Nat</t>
  </si>
  <si>
    <t>Washburn, Nathan; Finch, Ed; Kapata, Henry; Sharp, Dayrell; Tobin, Paul</t>
  </si>
  <si>
    <t>CS for 4th team in Choma (AGREED)</t>
  </si>
  <si>
    <t>Afternoon Cam,   In line with the minutes from yesterday’s discussion—go for it!  We are in agreement.   Kind regards,   SymonBent South Africa RDC M: +27 61 699 6085  |  T: 2588       From: Thomson, Cameron Sent: 13</t>
  </si>
  <si>
    <t>Sequence for 4x RTO projects; Choma in November 2014!</t>
  </si>
  <si>
    <t>Morning/Evening Cam &amp; Ed,   First of all, thank you very much for the eagerness and desire to advance the building of the RTOs!  You set us all a fine example.   To briefly summarise what we spoke about today.  As Nathan pointed out the direct</t>
  </si>
  <si>
    <t>NLBR, Purchasing</t>
  </si>
  <si>
    <t>RDC Review of NLBR 6836</t>
  </si>
  <si>
    <t>Dear brothers   We have reviewed the following Non-Literature Branch Requests (NLBRs) that we received from you on 2014-Jun-13, for your Katete RTO project AO-6 #1:   1.       No.6836 for a DCP tester, mattresses and duct tape a.       Coul</t>
  </si>
  <si>
    <t>ZMB-ENG-ConstructionCommittee; Washburn, Nathan; Blackman, Innes; Bateman, Tristan</t>
  </si>
  <si>
    <t>Manhole, Struct</t>
  </si>
  <si>
    <t>Manhole Lids 780mm instead of 600mm! (Septic)</t>
  </si>
  <si>
    <t>Solution for oversized manholes on Septic tank also</t>
  </si>
  <si>
    <t>Leave the opening in the reinforced concrete cover slab as 600 x 600   Change the MH Risers to 800 x 800 to accommodate the bigger manhole covers   The shape 60 bar in the MH ‘ring beam’ at the top will have to be re-done, but you can no doubt</t>
  </si>
  <si>
    <t>Allan, Mark; Salvidge, Mark</t>
  </si>
  <si>
    <t>Res Int Passage Wall Truss Connection to Ring Beam (Field Sketch S-302-S2)</t>
  </si>
  <si>
    <t>Dear Miguel/Brian,   Here is a field sketch updating a detail on drawing K/S-302.  This came up during our recent discussions with Mitek.   This transmittal consists of the following drawing:   1.       KQ-S-302-S2  Residence Internal Pa</t>
  </si>
  <si>
    <t>PTobin@zmb.wtbts.net; Thomson, Cameron; Allan, Mark</t>
  </si>
  <si>
    <t>Dear Jared,   For your delectation here is a field sketch updating a detail on drawing K/S-302.  This came up during our recent discussions with Mitek.   KABOMPO: Paul: you don’t have this detail in your drawing set, so consider yourself copie</t>
  </si>
  <si>
    <t>ZMB-ENG-ConstructionCommittee; Washburn, Nathan; Blackman, Innes; Allan, Mark</t>
  </si>
  <si>
    <t>Manhole Lids 780mm instead of 600mm!</t>
  </si>
  <si>
    <t>Solution for oversized manholes</t>
  </si>
  <si>
    <t>Hi Paul,   Reply below from STRUCT.  Get your grinder out… Please remember to note this change on your as-built drawing set.   Kind regards,   SymonBent South Africa RDC M: +27 61 699 6085  |  T: 2588     From: Allan, M</t>
  </si>
  <si>
    <t>Draft NLBR for DB Panel Components</t>
  </si>
  <si>
    <t>Cam, Again, sorry for the confusion.  Please go ahead and submit this order as is. Thanks, Nathan      From: Thomson, Cameron Sent: Wednesday, June 11, 2014 5:32 AM To: Washburn, Nathan Cc: McDonald, Darcy Subject: FW: DRAFT for DB</t>
  </si>
  <si>
    <t>Inquiry Ghana Door Quotation (Incident No 2645)</t>
  </si>
  <si>
    <t>ARCH looked over it and have added their comments.   Symon   From: Sukram, Sarah Sent: 13 June 2014 01:19 PM To: Bent, Symon Subject: RE: GHA BEX; Inquiry Ghana Door Quotation (Incident No. 2645)   Comments in the Excel File.  </t>
  </si>
  <si>
    <t>Increased in number of BCS</t>
  </si>
  <si>
    <t>Symon,   This is a heads up to a memo I will send asking to  increase the number of BCS(formally KHS) in the country by another 10 to accommodate the 4th   RTO team. We have an additional 30 approved by RDC and WHQ to work on RTOs in addition to</t>
  </si>
  <si>
    <t>Switch in the use of Innes Blackman to Choma RTO</t>
  </si>
  <si>
    <t>Hi Cam,   I just checked with office oversight, and this decision can normally fall under the construction committee when the change is between projects in the same country.  Just keep us updated so we can keep up with the “Zambian” chariot!  </t>
  </si>
  <si>
    <t>Windows</t>
  </si>
  <si>
    <t>Burglar Bars--Use of retractable Maxidor-Trellidor agreed</t>
  </si>
  <si>
    <t>Agreed type for RTOs</t>
  </si>
  <si>
    <t>Use of Stockpile in-situ soil (EXPLANATION)</t>
  </si>
  <si>
    <t>MA's explanation</t>
  </si>
  <si>
    <t>Gents!  Great explanation of where the soil can be used.  Should help clarify things.   Symon   From: Allan, Mark Sent: 12 June 2014 04:25 PM To: Bent, Symon Cc: Schiller, Ben Subject: RE: GHA BEX Tests and Use of Stockpile in-situ soil</t>
  </si>
  <si>
    <t>InboxCNST.GH; Jones, David M.; Washburn, Nathan; Allan, Mark; InboxWDC</t>
  </si>
  <si>
    <t>RDC Review of NLBR Package No 12 (48145,48158,48212,48163,48210) (APPROVED)</t>
  </si>
  <si>
    <t>Dear brothers,   We have reviewed the following Non-Literature Branch Requests (NLBRs) that we received from you on June 10, 2014:   1.       Requisition #48145 Hardware (Lockcases) for GBR a.       See attachment 2.       Requisition #4</t>
  </si>
  <si>
    <t>MiTek Meeting Minutes (11-06-2014) Roof Structure</t>
  </si>
  <si>
    <t>EM to follow on this</t>
  </si>
  <si>
    <t>Hi All,   Please see below for the MiTek Meeting Minutes:   Red: The response from Lino. Blue: the action that needs to take place.   1.   Who signs the MiTek Certificate? The person who assembled the trusses needs to sign the certificate. Hilt</t>
  </si>
  <si>
    <t>Tests and Use of Stockpile in-situ soil (Photos)</t>
  </si>
  <si>
    <t>Hi Symon,   The excavated soils from the building platforms have been stored on a wide area of the new property. Each pile is one truck load high. The piles are however very close to each other so that the soils are now mixed. (Enclosed pics may hel</t>
  </si>
  <si>
    <t>DODIN, Jean-Marc; Imai, Masaaki</t>
  </si>
  <si>
    <t>Cost of BEKA LED Outdoor bollard light (replace Philips from GBR)</t>
  </si>
  <si>
    <t>Here’s a new quotation for a similar LED outdoor bollard light from BEKA in South Africa. Hope it helps!   Symon   _____   From: Imai, Masaaki Sent: 12 June 2014 02:56 PM To: Bent, Symon Subject: Bollards price   Hi Symon,  </t>
  </si>
  <si>
    <t>DCP Results (RES BLDG)</t>
  </si>
  <si>
    <t>Hi Paul and Symon   Tests 1 to 10 seem to be fine. Getting about a good layer of 300mm of soil with fairly good DCP tests. No problem here   However tests 11 to 24 are not as good – only getting a ‘decent layer’ of about 150mm – 200mm and then</t>
  </si>
  <si>
    <t>Allen, David A; Bent, Symon; Washburn, Nathan; Pinon, Christian</t>
  </si>
  <si>
    <t>Info request for AHU's new residences_Ref 413_Rev 14</t>
  </si>
  <si>
    <t>Dear David,    Question: the units that are ordered for Ghana are the Danvent DV15 AHU’s from Systemair.   The manuals that were sent to us are for the Systemair’s Topvex FR03-11 units, not for the Danvent DV15 units.   Are certain secti</t>
  </si>
  <si>
    <t>Q Boreholes and Water Treatment Elec--cable, 24V transformer ref (ELEC Replies)</t>
  </si>
  <si>
    <t>Masaaki's comments</t>
  </si>
  <si>
    <t>Dear Christian,   The responses to your electrical questions are attached/inserted below.   Regards,   SymonBent South Africa RDC M: +27 61 699 6085  |  T: 2588       From: Imai, Masaaki Sent: 12 June 2014 08:22 AM T</t>
  </si>
  <si>
    <t>Questions from the CN-27 Review (RDC Commnets)</t>
  </si>
  <si>
    <t>As below!  Thanks much for your help.  Symon   From: Thomson, Cameron Sent: 12 June 2014 05:33 AM To: Bent, Symon Subject: RE: ZMB Kasempa RTO; Questions from the CN-27 Review [RDC Commnets]   Symon,   Should we wait for a memo from</t>
  </si>
  <si>
    <t>Thomas, Ross; Washburn, Nathan</t>
  </si>
  <si>
    <t>Mech as-built drawings, phase D</t>
  </si>
  <si>
    <t>Dear Symon – Please find attached some additional files.  Regards  Ulrich   From: Bent, Symon Sent: Tuesday, 10 June 2014 11:19 PM To: Mueller, Ulrich Cc: Thomas, Ross; Washburn, Nathan Subject: RE: 2014-54-30 RDC to ZAF SB re LKA BEX; Mech as-</t>
  </si>
  <si>
    <t>Res 4 2 DCP TEST Analysis by MA</t>
  </si>
  <si>
    <t>Struct analysis</t>
  </si>
  <si>
    <t>Hi CP and JM   Thanks for re-labelling the DCP tests – it made my job much easier and quicker   I have analysed the tests and have indicated what’s what in the attached sketch, which should be self-explanatory. Hope this helps!   I saved</t>
  </si>
  <si>
    <t>Bateman, Tristan; Pinon, Christian; DODIN, Jean-Marc</t>
  </si>
  <si>
    <t>Tests and Use of Stockpile in-situ soil (MALLAN Comments)</t>
  </si>
  <si>
    <t>MA's analysis (for future ref)</t>
  </si>
  <si>
    <t>Hi Symon    I saved the info Ghana sent in: HYPERLINK "file:///\\bethel.jw.org\zaf\Dept\RDC\Engineering\Projects\Ghana\GHA%2004%20-%20Branch%20Expansion%20Phase%201\S4\Struct\Geotech%20Challenges\Backfill-Compaction%20etc\Excavated%20Platform%20Mate</t>
  </si>
  <si>
    <t>Finch, Ed; Bent, Symon; Mondoka, Molson</t>
  </si>
  <si>
    <t>LDC, NLBR</t>
  </si>
  <si>
    <t>Draft NLBR - For Metal Doors</t>
  </si>
  <si>
    <t>Henry, This order looks fine.  Please adjust the line that says “We expect to make 100% servings on doors from China” as I’m not sure what you mean.  Do you mean “100% savings”?   Also, please add a line that says “This request has been reviewed</t>
  </si>
  <si>
    <t>McDonald, Darcy; Bent, Symon; ZMB-ENG-ConstructionCommittee</t>
  </si>
  <si>
    <t>Communication through vacation periods</t>
  </si>
  <si>
    <t>SB instead of DM</t>
  </si>
  <si>
    <t>Cam, Well, the chariot moves ahead and there are more changes.  There has been another recommended change in PO for Zambia.  It will be Symon Bent instead of Darcy.  He is very familiar with your projects and will do a good job of helping you to manage</t>
  </si>
  <si>
    <t>Allan, Mark; DODIN, Jean-Marc</t>
  </si>
  <si>
    <t>Res 4 2 25x DCP Tests</t>
  </si>
  <si>
    <t>Hi Symon, Sorry to bring more work, but for nearly three months now  we are not making  progress with the earth works and now on top of that we are in the rainy season. We really want to move ahead and for that we need clear direction, since the sol</t>
  </si>
  <si>
    <t>johnd@o-l.co.za</t>
  </si>
  <si>
    <t>Bent, Symon; St. Jean, Zeny; Washburn, Nathan</t>
  </si>
  <si>
    <t>the way forward' with the NEW Buildings</t>
  </si>
  <si>
    <t>Plan of action for conceptual design</t>
  </si>
  <si>
    <t>Hi John – as discussed:   ·         Ghana is a ‘stable hub’ in West Africa, so the chances of one day having to sell off the second property (and thus any new residence buildings thereon) are slim to none  ·         Thus designing the Residential</t>
  </si>
  <si>
    <t>Tests and Use of Stockpile in-situ soil</t>
  </si>
  <si>
    <t>Ben's comments</t>
  </si>
  <si>
    <t>Just a quick comparison, G6 is CBR&gt;25 at 95%, this is less. So the soils are G7 or worse. I don’t have a use for them on the civil end. I don’t care if they use it for landscaping, however.   Not sure what Mark has to say about it.   From: Ben</t>
  </si>
  <si>
    <t>Decide residence style (single vs double); who to design buildings (RDC or OLA)--Minutes</t>
  </si>
  <si>
    <t>Stick to double-loaded sue to hrash climate</t>
  </si>
  <si>
    <t>Meeting Minutes Date:     2014-Jun-10 16:00 Att:        SS, MA, NW, MI, FtH, PB   Re:         GHA BEX Long-term—Decide residence style (single vs double); who to design buildings (RDC or OLA)   ­Actions: 1.       Review measures for r</t>
  </si>
  <si>
    <t>Michalakis, Evangelos; Bateman, Tristan; Allan, Mark</t>
  </si>
  <si>
    <t>Review Generator Housing Shop Detail Drawings (No Comments)</t>
  </si>
  <si>
    <t>RDC approval</t>
  </si>
  <si>
    <t>Dear Christian/Teresh,   We have reviewed these drawings in the RDC and have no further comments from our side.  Please proceed.   Regards,   SymonBent South Africa RDC M: +27 61 699 6085  |  T: 2588     -----Original Mess</t>
  </si>
  <si>
    <t>InboxMNTWindowManufacturing.ZA; While, Mark; Kent, Wayne; White, Tara; Washburn, Nathan</t>
  </si>
  <si>
    <t>SALTO Access ControlCISA and ISEO Panic bar specs; RFQ Final Pricing</t>
  </si>
  <si>
    <t>Morning Gareth,   We were thoroughly satisfied with the conference call yesterday with SALTO, Mr Ramesh really knew his business and inspires confidence in their products.  Thanks for arranging that.   So to follow up on a few things we discus</t>
  </si>
  <si>
    <t>Washburn, Nathan; Michalakis, Evangelos; Schiller, Ben</t>
  </si>
  <si>
    <t>Afternoon Cam,   Just trying to get some closure on the Kasempa CN-27s.  Here’s our current thinking:   1.       Option #1:  Van did a quick mock-up** of how much land we would actually need to fit the 2 RTO buildings at the correct orientatio</t>
  </si>
  <si>
    <t>ZMB-ENG-ConstructionCommittee; Washburn, Nathan; McDonald, Darcy</t>
  </si>
  <si>
    <t>DCP Results Res 1st section</t>
  </si>
  <si>
    <t>Good morning Symon &amp; Mark   Please find attached our DCP results for the first part of the Residence building.  Wet, Whack, Rake &amp; Plate procedure as before.    Thanks Paul  </t>
  </si>
  <si>
    <t>HTA:IVF</t>
  </si>
  <si>
    <t>Attached please find a copy of a letter from Congo (Kinshasa) dated FB May 19, 2014, No. 1312, regarding construction of a choral recording facility. After working with the Regional Design/Construction Department in South Africa, they have submitted a pro</t>
  </si>
  <si>
    <t>Standard RTO MTO network items</t>
  </si>
  <si>
    <t>Dave:   As discussed.  Our standard now is for construction to supply and install all network related items included the comms cabinets.  The branch will supply and install anything with an IP address, such as servers, phone handsets, and so on. </t>
  </si>
  <si>
    <t>Comments from HT about RTO sizing, spec</t>
  </si>
  <si>
    <t>FYI.  Hope this doesn’t put a spanner in the works.    From: Tunstall, Hilton Sent: Tuesday, June 10, 2014 12:39 PM To: Spanner, Simon Cc: Washburn, Nathan; Allan, Mark; St. Jean, Zeny Subject: SAF RDC RTO Comments 2014-06-10   Hello Simo</t>
  </si>
  <si>
    <t>Original residence building drawings</t>
  </si>
  <si>
    <t>A couple of original drawings of the Residence building 1 in Ghana Branch, Zeny found them while going through his stuff.   HYPERLINK "file:///\\bethel.jw.org\zaf\Dept\RDC\Engineering\Projects\Ghana\GHA%2003%20-%20Branch%20Expansion%20Phase%202\S2\A</t>
  </si>
  <si>
    <t>LKA 01 &amp; LKA 02 Civil &amp; Struct As Builts</t>
  </si>
  <si>
    <t>Symon,   Please find As Built PDF’s in the link’s below for Civil and Struct Drawings for LKA 01 &amp; LKA 02   Tx Venessa   HYPERLINK "file:///\\bethel.jw.org\zaf\Dept\RDC\Engineering\Projects\Sri%20Lanka\LKA%2001%20-%20Branch%20Renovati</t>
  </si>
  <si>
    <t>Thomson, Cameron; Salvidge, Mark; Shears, Matthew; Washburn, Nathan</t>
  </si>
  <si>
    <t>RTO Electrolux Equipment Update--Therma 85 Free cooking top</t>
  </si>
  <si>
    <t>Also went by memo</t>
  </si>
  <si>
    <t>Dear brothers,   I noticed that a memo went out yesterday updating the free-standing cooking top for RTO kitchens.  Just in case it takes a while to get to you I have attached a copy for your information.   Regards,   SymonBent South</t>
  </si>
  <si>
    <t>Earthworks Compaction Challenges--DCP in virgin soil as deep as possible</t>
  </si>
  <si>
    <t>Christian, Your answer below. Symon   From: Allan, Mark Sent: 09 June 2014 05:21 PM To: Bent, Symon Subject: RE: GHA BEX; Earthworks Compaction Challenges   They should always test as far down as they can go. If they are testing from top o</t>
  </si>
  <si>
    <t>Budget, PO</t>
  </si>
  <si>
    <t>List of additional work costs to be added to next AO-6</t>
  </si>
  <si>
    <t>Hi Symon, We are ok with 1 to 4, for #5 FYI the attached memo. Greetings     Christian Pinon Ghana Construction Office   From: Bent, Symon Sent: Thursday, June 05, 2014 9:59 AM To: Pinon, Christian; DODIN, Jean-Marc Cc: McDonal</t>
  </si>
  <si>
    <t>Civil, Purchasing</t>
  </si>
  <si>
    <t>Box Culvert pricing update</t>
  </si>
  <si>
    <t>Hi Symon, Find attached the copy of the price list from the company.    Greetings,   Christian Pinon Ghana Construction Office       From: Bent, Symon Sent: Monday, June 09, 2014 9:25 AM To: Pinon, Christian; DODIN, Jean-M</t>
  </si>
  <si>
    <t>Begin drawing coordination on June 16</t>
  </si>
  <si>
    <t>****SORRY, it’s Katete, not Kabompo!  (Which has been coordinated till the cows come home…)****   Dear all,   “When you reach the end of your rope, tie a knot and hang on.” ― HYPERLINK "http://www.goodreads.com/author/show/229.Abraham_Lincol</t>
  </si>
  <si>
    <t>InboxPRCH.ZM; Mondoka, Molson; McDonald, Darcy; Bent, Symon; Nudd, Don</t>
  </si>
  <si>
    <t>Quote of ZAF galv metal costs</t>
  </si>
  <si>
    <t>For reference</t>
  </si>
  <si>
    <t>Dear Brothers, Please find attached the prices we can get here in South Africa from our supplier regarding metal doors. We hope this will help you to make your decision. With best regards    Linus Schmidt South Africa Purchasing Departme</t>
  </si>
  <si>
    <t>LKA Branch</t>
  </si>
  <si>
    <t>As Built Query TV AHU line</t>
  </si>
  <si>
    <t>Explanation below.  Symon   From: David, Randhir Sent: 06 June 2014 06:13 PM To: Bent, Symon Subject: RE: LKA Branch; As Built Query TV/AHU line?   Dear Symon, The underground fuel tank was completely removed. AHU does stand for Air Ha</t>
  </si>
  <si>
    <t>Dear Symon, The underground fuel tank was completely removed. AHU does stand for Air Handling Unit, and the cable which runs in the same conduit with MATV cables is the communications cable (Siemens KNX) that connects the air handlers and chillers to</t>
  </si>
  <si>
    <t>Project development Phases (Meeting Minutes)</t>
  </si>
  <si>
    <t>Suring WDC visit</t>
  </si>
  <si>
    <t>Meeting Minutes Date:   2014-05-27 Att:      SC, HT, PB, RL, FtH, NW, ZJ, MA, PC, MI, DM, SB, GF, AC, BjS (15)   Re:       Project development Phases   Cameroon Branch: in undeveloped area, few properties, SKE, “Marmite”, 2000 planning s</t>
  </si>
  <si>
    <t>WDC Project development Phases, Meeting Minutes</t>
  </si>
  <si>
    <t>Lintel Ring Beam</t>
  </si>
  <si>
    <t>No change to ring beam for now</t>
  </si>
  <si>
    <t>My thought too, but the point is acknowledged and we’ll add it to the mix for future office discussions.   Symon   From: Thomson, Cameron Sent: 06 June 2014 05:42 AM To: Fruciano, Jared; Bent, Symon Cc: McDonald, Darcy; Washburn, Nathan S</t>
  </si>
  <si>
    <t>Residence Foundation bearing capacity for local engineer</t>
  </si>
  <si>
    <t>For local use</t>
  </si>
  <si>
    <t>The information on bearing capacity you requested.   Symon   From: Allan, Mark Sent: 06 June 2014 02:51 PM To: Bateman, Tristan Cc: Bent, Symon Subject: RE: GHA BEX; Residence Foundation bearing capacity for local engineer   Tx TB.</t>
  </si>
  <si>
    <t>Earthworks Compaction Challenges, Res 4.2</t>
  </si>
  <si>
    <t>Afternoon Gents,   Could you confirm that this instruction has been correctly understood.  Look forward to seeing the latest results.   Greetings,   SymonBent South Africa RDC M: +27 61 699 6085  |  T: 2588       From:</t>
  </si>
  <si>
    <t>ZMB-ENG-ConstructionCommittee; McDonald, Darcy; Washburn, Nathan</t>
  </si>
  <si>
    <t>7 day crush test for Office footings (ACCEPTABLE)</t>
  </si>
  <si>
    <t>MA Approval</t>
  </si>
  <si>
    <t>Yes and Yes   Regards, Mark Allan (ZAF-RDC) (REC) Watch Tower Bible and Tract Society of South Africa, NPC. Registration number: 2006/022758/08. PBO number: 930021658   From: Tobin, Paul Sent: 06 June 2014 01:47 PM To: Bent, Symon; Al</t>
  </si>
  <si>
    <t>radavid@jw.org</t>
  </si>
  <si>
    <t>As-built--Fuel Tank (5000 gallon) near the front gate</t>
  </si>
  <si>
    <t>Could we squeeze one more quick question in?  Thanks so much for the quick reply to the previous one!   SymonBent South Africa RDC M: +27 61 699 6085  |  T: 2588       From: Reichel, Venessa Sent: 06 June 2014 01:50 PM To: Bent,</t>
  </si>
  <si>
    <t>Structural As builts OS AHU Elevation detail</t>
  </si>
  <si>
    <t>Hi David,   Could you help us with this question?   Thanks, Symon   From: Reichel, Venessa Sent: 06 June 2014 01:27 PM To: Bent, Symon Cc: Allan, Mark Subject: RE: LKA Structural As builts   Symon,    Could you please</t>
  </si>
  <si>
    <t>Bent, Symon; Salvidge, Mark; Tunstall, Hilton; McDonald, Darcy; Schmidt, Des; Nudd, Don</t>
  </si>
  <si>
    <t>Commonly requested electrical items on the MTO</t>
  </si>
  <si>
    <t>Meeting minutes</t>
  </si>
  <si>
    <t>Meeting Minutes 30/12/2013 10:30am   Attendees:   Purchasing – Teresh Bhana; McKelvey Jennifer; Rojo Montiel Josué; RDC - Bent, Symon; De Meyer Efraim, McDonald Darcy   RE: RTO MTOs  Introduction: Minimum order quantities are often a problem w</t>
  </si>
  <si>
    <t>C-501-S1 Revised soakaway detail--concrete elbow</t>
  </si>
  <si>
    <t>You can never go wrong with that!  Perceptive pearlies you have.   Symon   From: Tobin, Paul Sent: 05 June 2014 05:11 PM To: Bent, Symon Cc: Allan, Mark Subject: RE: ZMB Kabompo RTO; C-501-S1 Revised soakaway detail   Thanks Symon</t>
  </si>
  <si>
    <t>Hughes, Mike (WSP)</t>
  </si>
  <si>
    <t>Allan, Mark; Salvidge, Mark; Washburn, Nathan</t>
  </si>
  <si>
    <t>RFQ for Civil Design Package</t>
  </si>
  <si>
    <t>Dear Mike,   As we previously discussed we would like to ask you for another quotation for the following project: Congo Kikwit RTO Civil Design.   I have once again uploaded a package of documents to my own file sharing site ( https://copy.com</t>
  </si>
  <si>
    <t>GF original estimate for choral studio</t>
  </si>
  <si>
    <t>Afternoon Pieter  Could you advise the risk factor please  Thanks Gerald</t>
  </si>
  <si>
    <t>C-501-S1 Revised soakaway detail</t>
  </si>
  <si>
    <t>Dear Paul,   Please find attached an updated detail for the end of the soakaway lines, as you requested below.   This transmittal consists of the following drawing:   1.       LJ-C-501-S1 Septic Soakaway and Details   As usual plea</t>
  </si>
  <si>
    <t>McDonald, Darcy; Washburn, Nathan; Thomson, Cameron</t>
  </si>
  <si>
    <t>Can we turn lintels intoa ringbeam?  Prefer NO.</t>
  </si>
  <si>
    <t>Hi Jared,   I’ve been umming and ahhing over this one in the past days.  As you note below you might save a bit of time and rebar, however if (and that’s a big IF…) we were to say yes to this would require a chunk of re-engineering time which will a</t>
  </si>
  <si>
    <t>Vehicle Analysis Spreadsheet</t>
  </si>
  <si>
    <t>Useful to analysis vehicle purchase need</t>
  </si>
  <si>
    <t>Washburn, Nathan; Thomson, Cameron; Imai, Masaaki; De Meyer, Efraim</t>
  </si>
  <si>
    <t>Material list for DB fabrication NLBR</t>
  </si>
  <si>
    <t>Dear Jared/Jared,   Efraim has kindly arranged for a list of all the materials you will be needing for the fabrication of your electrical distribution boards as attached.  In order for this arrangement to happen you need to do the following:  </t>
  </si>
  <si>
    <t>Washburn, Nathan; Thomson, Cameron; Mashego, Alfred</t>
  </si>
  <si>
    <t>C-501-S1 Revised septic soakaway details</t>
  </si>
  <si>
    <t>Dear Jared,,   Please find attached an updated detail for the end of the soakaway lines, as requested by Kabompo project, and applicable to yours.  It simplifies the cleaning of the lines.   This transmittal consists of the following drawing:</t>
  </si>
  <si>
    <t>Design, Contract, Planning</t>
  </si>
  <si>
    <t>DRAFT - AFC Work Description for Consultant</t>
  </si>
  <si>
    <t>My initial comments attached.  I think this combined with a clear Project Description and Contract should be adequate.  As we mentioned you need to clearly define the project scope somewhere.  It’s often valuable for them to show you some example drawings</t>
  </si>
  <si>
    <t>Pinon, Christian; DODIN, Jean-Marc; Imai, Masaaki</t>
  </si>
  <si>
    <t>11kv cable outside in a tray at ZAF</t>
  </si>
  <si>
    <t>Hi Matt,   Here’s the example photo I promised you of the 11kV cable running along the wall in a mesh cable tray.   Symon    </t>
  </si>
  <si>
    <t>COD Current VAT and import duty</t>
  </si>
  <si>
    <t>Latest rates</t>
  </si>
  <si>
    <t>FYI   From: InboxKH.CD Sent: 05 June 2014 12:56 PM To: Bent, Symon Cc: Salvidge, Mark Subject: Info   Dear Brother, We got this question from you about  Congo duty on imported goods averages if it is 10% or another figure and if</t>
  </si>
  <si>
    <t>McDonald, Darcy; Washburn, Nathan; Allan, Mark</t>
  </si>
  <si>
    <t>Hi Christian,   As you hint below the various approvals to include these costs into your next AO-6 are spread out through time and space.  As far as we understand you have the following items queued up:   1.       Temporary Freezer Container  </t>
  </si>
  <si>
    <t>Tobin, Paul; Bent, Symon; Bhana, Teresh</t>
  </si>
  <si>
    <t>Roof, Drawing</t>
  </si>
  <si>
    <t>AFC drawings for roof size</t>
  </si>
  <si>
    <t>You can sort this out yourself   Tristan can help you with the fall protection ‘extra hat track’   Geysers – you can double check with Lino   Regards, Mark Allan (ZAF-RDC) (REC) Watch Tower Bible and Tract Society of South Africa,</t>
  </si>
  <si>
    <t>Washburn, Nathan; ten Have, Fabian; Allan, Mark; Schwarz, Paul; Behrens, Olaf; Phala, Thoriso; Crook, Arthur</t>
  </si>
  <si>
    <t>No castor baseplate for WhisperRooms</t>
  </si>
  <si>
    <t>Dear brothers,   As an office we discussed the need for this base plate on castors, and are not so convinced that it is truly necessary.  We understand the convenience of moving the room, however how often would this really happen?  The Whisper-Room</t>
  </si>
  <si>
    <t>Tobin, Sarah; Bent, Symon</t>
  </si>
  <si>
    <t>Mitek quotation approval</t>
  </si>
  <si>
    <t>Hi Teresh,    The quotation dwgs have gone through our office and no comments were made. All seems good.   Kind Regards,  Van   From: Bhana, Teresh Sent: Thursday, May 29, 2014 7:41 AM To: Michalakis, Evangelos Cc: Tobin, Sarah</t>
  </si>
  <si>
    <t>Tunstall, Hilton; Coombs, Shaun; Bent, Symon</t>
  </si>
  <si>
    <t>RTO Roofs Zincalume Sheets vs Chromadek Gutters vs Longspan Alu</t>
  </si>
  <si>
    <t>Van – please file this with the other info we will be discussing with CLOTAN? There is a gutter sketch further below too…   Regards, Mark Allan (ZAF-RDC) (REC) Watch Tower Bible and Tract Society of South Africa, NPC. Registration number: 2006/022758/</t>
  </si>
  <si>
    <t>Bath Kitchen Wall Chase</t>
  </si>
  <si>
    <t>Idea from Mongu for chases</t>
  </si>
  <si>
    <t>Hi Fabian – see attached. What do you think?   Regards, Mark Allan (ZAF-RDC) (REC) Watch Tower Bible and Tract Society of South Africa, NPC. Registration number: 2006/022758/08. PBO number: 930021658   From: Allan, Mark Sent: 04 June 2</t>
  </si>
  <si>
    <t>ZMB-ENG-ConstructionCommittee; Washburn, Nathan; McDonald, Darcy; Blackman, Innes</t>
  </si>
  <si>
    <t>Res Int Corridor Wall soil stabilization ONE MASS</t>
  </si>
  <si>
    <t>Okay to remove small section betw 2 trenches</t>
  </si>
  <si>
    <t>Fine by me!   Regards, Mark Allan (ZAF-RDC) (REC) Watch Tower Bible and Tract Society of South Africa, NPC. Registration number: 2006/022758/08. PBO number: 930021658   From: Tobin, Paul Sent: 04 June 2014 02:28 PM To: Bent, Symon; Al</t>
  </si>
  <si>
    <t>Michalakis, Evangelos; Mashego, Alfred</t>
  </si>
  <si>
    <t>Change to CLOTAN roofing products; Update MITEK design details</t>
  </si>
  <si>
    <t>Dear Teresh and Linus,   We had a useful discussion this morning about the entire roof design/ordering process for our RTOs.  There are two areas where we would like to get together with you wise men and arrange some meetings with suppliers:  </t>
  </si>
  <si>
    <t>Supervision of Assembly Hall Servants</t>
  </si>
  <si>
    <t>Effective immediately, the Personnel Committee will now approve and oversee all those who serve as Assembly Hall servants.  As a result, we have decided that the enrollment for those who serve as Assembly Hall servants (FAH) will be adjusted to Assembly Hall servants (BAS). This change will soon be reflected in an updated “Standard Enrollments” chart.  Thus, all who are currently enrolled as FAH should now be enrolled as BAS. We would appreciate your updating your Admin files by no later than July 1, 2014.</t>
  </si>
  <si>
    <t>Commissioning, Elec, Mech</t>
  </si>
  <si>
    <t>Commissioning dates electrical and mechanical</t>
  </si>
  <si>
    <t>Hi Darcy, Find our comments below.   Greetings   Christian Pinon Ghana Construction Office From: McDonald, Darcy Sent: Friday, May 30, 2014 12:30 PM To: Pinon, Christian; DODIN, Jean-Marc Cc: Washburn, Nathan Subject: FW: GHA04-2</t>
  </si>
  <si>
    <t>Filing drawings release (x3)</t>
  </si>
  <si>
    <t>Afternoon Cam,   Here you go!  Attached are the three filing drawings you requested in the message below.  We had just finished the basic civil layout drawing so it was worth waiting a day to get the real product.   Hope it helps; give us a ca</t>
  </si>
  <si>
    <t>ZMB-ENG-ConstructionCommittee; Fruciano, Jared; Bent, Symon</t>
  </si>
  <si>
    <t>Contract Wall Fence project</t>
  </si>
  <si>
    <t>Okay to contract out</t>
  </si>
  <si>
    <t>Nathan, This goes back to the retaining wall work. We will go ahead with a contact for this.   Thanks Cam   From: Washburn, Nathan Sent: Tuesday, June 03, 2014 2:23 PM To: Thomson, Cameron; McDonald, Darcy Cc: ZMB-ENG-Construction</t>
  </si>
  <si>
    <t>ten Have, Fabian; Marriott, Brian; Salvidge, Mark; fuentescongo@gmail.com</t>
  </si>
  <si>
    <t>Purchasing, Septic</t>
  </si>
  <si>
    <t>2nd submersible pump, place NLBR</t>
  </si>
  <si>
    <t>For BIO system</t>
  </si>
  <si>
    <t>Hi Miguel,   We do not have any specifications for this pump, we rely on the BIO company to choose the correct model according to the system.   Just mention in your order that you need one extra submersible pump as per original quote, and add</t>
  </si>
  <si>
    <t>Residence Mitek roof trusses drawing review (B1278002)</t>
  </si>
  <si>
    <t>Site review</t>
  </si>
  <si>
    <t>Comments from Ghana. Symon   From: Pinon, Christian Sent: 02 June 2014 07:09 PM To: Bent, Symon Cc: DODIN, Jean-Marc Subject: RE: Drawings Ghana Branch Expansion Phase 1 (B1278002)   Hi Symon, Here some comments about the truss.</t>
  </si>
  <si>
    <t>Assembly-Convention Venues Overall Plan</t>
  </si>
  <si>
    <t>WE are meeting via Lync with the BC in Ghana @ 1:00 our time Wednesday. This is for your information.  Thanks, Darcy -----Original Message----- From: Adashie, Daniel Sent: Monday, June 02, 2014 1:30 PM To: McDonald, Darcy Cc: Kontoh, Joris; Jon</t>
  </si>
  <si>
    <t>Vacation schedule during conventions</t>
  </si>
  <si>
    <t>    From: Pinon, Christian Sent: Thursday, May 29, 2014 1:16 PM To: McDonald, Darcy Subject: GHA BEX Vacation schedule   Hi Darcy,  Find attached the who and when people will go in vacation.   Greetings   Christian Pinon</t>
  </si>
  <si>
    <t>Mech as-built drawings release</t>
  </si>
  <si>
    <t>DWG versions sent, already filed by SS</t>
  </si>
  <si>
    <t>Dear Symon – DWGs attached.  Kind regards   Ulrich   From: Phillips, Clinton Sent: Friday, 30 May 2014 4:52 PM To: Mueller, Ulrich; Mueller, Debbie Subject: RE: 2014-54-30 RDC to ZAF SB re LKA BEX; Mech as-built drawings   See attached Ulr</t>
  </si>
  <si>
    <t>Mech as-built drawings Bldg 3</t>
  </si>
  <si>
    <t>Dear Symon, Please find attached mechanical as-builts for Sri Lanka ‘Building 3’ as requested. Since the Building ‘name’ and ‘room numbers’ were altered during construction we have reflected this in our plans. This facilitates the usefulness of the drg</t>
  </si>
  <si>
    <t>To enable them to place NLBR</t>
  </si>
  <si>
    <t>Resolved!  See below. Symon   From: Sukram, Sarah Sent: 29 May 2014 02:04 PM To: Bent, Symon Subject: RE: GHA BEX; Door schedule--preliminary hardware schedule update   Sorry mistyped that one – should be 72/78      Sarah R.</t>
  </si>
  <si>
    <t>Gareth Ekins</t>
  </si>
  <si>
    <t>Salto Access Control need a rim-based solution</t>
  </si>
  <si>
    <t>Sorry Gareth,   What you sent explains clearly the Salto panic hardware.  This requires a mortise lock in all doors, however we currently use rim/surface mounted hardware, with not mortise lock-case.  This is no small change for use to retrofit all</t>
  </si>
  <si>
    <t>Proposed relocation of power supply line (ALL)</t>
  </si>
  <si>
    <t>Original proposal</t>
  </si>
  <si>
    <t>Hi Symon, Find attached the location of the construction office and other setup. If this location can be take in consideration for the location of the new garage and the relocation of the power supply it will be good. Thank you   Greetings   Chri</t>
  </si>
  <si>
    <t>REE:REK</t>
  </si>
  <si>
    <t>Construction Volunteers - Skill Sheet</t>
  </si>
  <si>
    <t>Therefore, we are happy to introduce with this memorandum a Skill Sheet, which will help each volunteer to better evaluate his own skill level, and thus provide us with a better overview of his abilities. We kindly ask you to please forward the enclosed Skill Sheet to all approved construction volunteers (international volunteers) in your branch territory. Each volunteer is asked to fill out a Skill Sheet and send it back to your branch. It will not be necessary to have the Service Committee to comment or to sign this sheet. A copy of each volunteer’s Skill Sheet should be forwarded by the end of June 2014 to our office (Attention: Personnel Desk). This can be done either via memorandum or by using the following Inbox: RDCIV.DE@jw.org. Thank you very much for all the hard work and good support you provide to our office. This is much appreciated.</t>
  </si>
  <si>
    <t>Double story RTO design--Review Mtg Minutes</t>
  </si>
  <si>
    <t>Greetings:   Thanks for the input.  “Minutes” attached.  Once Sarah has the 2 versions ready (SA and other) I will send one of them to ZSJ to keep WDC informed of where we are heading with the design of double story RTO’s.   Regards   H</t>
  </si>
  <si>
    <t>ZMB-ENG-ConstructionCommittee; Washburn, Nathan; McDonald, Darcy; Bent, Symon</t>
  </si>
  <si>
    <t>Office DCP Results (Test 3 OK)</t>
  </si>
  <si>
    <t>MA approval</t>
  </si>
  <si>
    <t>You have about 300mm of decent compaction before softer material is encountered   You may proceed – approved!   Regards, Mark Allan (ZAF-RDC) (REC) Watch Tower Bible and Tract Society of South Africa, NPC. Registration number: 2006/02275</t>
  </si>
  <si>
    <t>Maintenance Meeting at 2;00 PM - ZAF time - Wednesday</t>
  </si>
  <si>
    <t>Workshop meeting minutes</t>
  </si>
  <si>
    <t>Here’s my notes from the meeting.  Don’t know if they are useful to you or not.   _____     Regional workload:  NC: Half time maintenance issues from other branches.  I.e. support program.  Training being put on hold, lower priority.  Visits bein</t>
  </si>
  <si>
    <t>Office DCP Results Test 3</t>
  </si>
  <si>
    <t>Symon/Mark   The last section of the office building – under the kitchen support wall. Wet, Wack, Rake &amp; Compact method applied as before.   Thanks Paul</t>
  </si>
  <si>
    <t>Low level buffer tanks for city water supply</t>
  </si>
  <si>
    <t>Simple sketched solution</t>
  </si>
  <si>
    <t>Hi Matt,   Let’s start with the 2nd one, the need for a low level buffer tank for city water feed.  We’ve face this problem in many projects; here’s our simple Africa-proof solution:   1.       Buy a 500L plastic tank and bury it in the ground</t>
  </si>
  <si>
    <t>Topography around water house</t>
  </si>
  <si>
    <t>DOS, shape soil as needed</t>
  </si>
  <si>
    <t>Morning Christian,   I discussed this with Ben, our Civil man.  It would make the most sense to just shape the soil around the building into a berm with a swale to ensure no water build-up near the slab.  Can that work for you?   Greetings,</t>
  </si>
  <si>
    <t>Sukram, Sarah; McDonald, Darcy</t>
  </si>
  <si>
    <t>Dear Christian,   Here is a draft copy of the updated door hardware schedule to help you with your ordering.  We shall hold on issuing the final version until we resolve the choice of access control system.   Kind regards,   SymonBent</t>
  </si>
  <si>
    <t>Wridgway, Wayne</t>
  </si>
  <si>
    <t>Bent, Symon; Tunstall, Hilton; MOZ-CNST-Committee</t>
  </si>
  <si>
    <t>Electronic access control--state of play</t>
  </si>
  <si>
    <t>Wayne, Please find Symon’s answer below.   So the bottom line is this…     ·        You can have the maintenance team install the Smart-Air solution if you would like.  You brothers will be maintaining it, and we are happy to support you as</t>
  </si>
  <si>
    <t>Coombs, Shaun; Salvidge, Mark; Silver, John; Verschoor, Peter; McCarthy, Benjamin; Dovey, John; Carnell, Paul; Allan, Mark; Washburn, Nathan; Tunstall, Hilton; Luccioni, Robert</t>
  </si>
  <si>
    <t>Value Design and Engineering</t>
  </si>
  <si>
    <t>Meeting Minutes Date:     2014-05-26 Att:        RDC: SC, HT, NW, Rob Luccioni, MS, ZJ, MA, John Dovey, PC, SB                 WDC: Simon Spanner, John Silver, Peter Verschoor, Ben McCarthy      Re:        Value Design and Engineering  </t>
  </si>
  <si>
    <t>Coombs, Shaun; Salvidge, Mark; McDonald, Darcy; Bent, Symon; Washburn, Nathan</t>
  </si>
  <si>
    <t>EPC</t>
  </si>
  <si>
    <t>3-team facility for Four Teams (e.g. SAF KwaMhlanga RTO)</t>
  </si>
  <si>
    <t>Tx! Hi HT et al – see yellow below. It’s as you guys thought before I threw a spanner in the works J   Regards, Mark Allan (ZAF-RDC) (REC) Watch Tower Bible and Tract Society of South Africa, NPC. Registration number: 2006/022758/08. PBO numbe</t>
  </si>
  <si>
    <t>Thomson, Cameron; McDonald, Darcy; Washburn, Nathan; Allan, Mark; Schiller, Ben; Reichel, Venessa</t>
  </si>
  <si>
    <t>Drawing re-issue--C-502,C-503, C-506</t>
  </si>
  <si>
    <t>Dear Jared,   Please find attached 2 re-issued and 1 new drawing for your septic tank and sewer manholes.   This transmittal consists of the following drawings:   1.       LL-C-502-Rev1            Septic Tank with Y10 Bedding Reinforceme</t>
  </si>
  <si>
    <t>Do you have a high water table No---29m</t>
  </si>
  <si>
    <t>HI Symon,   We just did our bore hole last week and hit water at 29 meters   FYI – I am back on the calculation template.  Late in the game but in the game   Regards, Jared Fruciano Mongu RTO Construction   From: Bent, Symon</t>
  </si>
  <si>
    <t>MDG - EML Booster Pump Motor</t>
  </si>
  <si>
    <t>Hi Symon,    How is it going with our pump, the supplier seems to have hard time to gather the info... Unfortunately the second pump has also a problem.    It’s not as bad as the first one but we had to remove it because of the bad noise i</t>
  </si>
  <si>
    <t>Review of CN-27 Property Options</t>
  </si>
  <si>
    <t>Symon,   The BC is in agreement.   Thanks Cam   From: Finch, Ed Sent: Thursday, May 22, 2014 9:56 AM To: Thomson, Cameron Cc: Sharp, Dayrell Subject: RE: ZMB Mbala RTO; Review of CN-27 Property Options   Yes.  Nicely put to</t>
  </si>
  <si>
    <t>Bent, Symon; Bateman, Tristan; Tunstall, Hilton</t>
  </si>
  <si>
    <t>1m of SOIL on Top Of Septic Tank</t>
  </si>
  <si>
    <t>Double sorry for more confusion. There is MORE than 500mm of soil on both the grease trap and septic tank. The plans are correct, I have been putting a note on that indicates the top of the lid and the finished ground. I initially didn’t mentally ‘flag’ i</t>
  </si>
  <si>
    <t>SALTO Panic Hardware --rim mounted panic bars</t>
  </si>
  <si>
    <t>Afternoon Gareth,   And it’s me again!  I found some further information about Salto panic bar kits (with my Google-fu…) and need to check if this can work as shown, as this would be our preference:       We currently use the highligh</t>
  </si>
  <si>
    <t>SALTO Access Control - Product Information</t>
  </si>
  <si>
    <t>Basic SALTO solution</t>
  </si>
  <si>
    <t>For your delectation…  The panic bar solution brochure shows how we could use our preferred CISA Fast push bars (59800 range)   Regards,   SymonBent South Africa RDC M: +261 33 37 012 39  |  T: 2588  </t>
  </si>
  <si>
    <t>ten Have, Fabian; McDonald, Darcy; Washburn, Nathan</t>
  </si>
  <si>
    <t>Proposal to use 2 x 2 48m water tanks (2nd)</t>
  </si>
  <si>
    <t>Suggestion: Group tanks across salb rather than aloong</t>
  </si>
  <si>
    <t>Like this?  Fabian did however mention that the filling is done only via one tank, and the fuel bowser is on the other tank… Think it through, but I think this could work best for you.      Symon   From: Tobin, Paul Sent: 21 May 2014 1</t>
  </si>
  <si>
    <t>Separate HDPE water lines to Buildings</t>
  </si>
  <si>
    <t>Howdy Paul,   Funnily enough we just answered this question for Mongu… as follows:   1.       The MECH sizes are the right ones: two separate pipes, one DN25 and one DN40 cid:image001.png@01CF6BA5.7833A4A0 2.       DN25 = Ø32mm HDPE, DN4</t>
  </si>
  <si>
    <t>Avoiding underground HDPE tees to feed water tanks</t>
  </si>
  <si>
    <t>Hi Paul,   It is normally easiest to bring the DN40 HDPE supply pipe out of the ground near the tanks, then adapt to PPR and tee off to each tank above the ground, each with their own valve.  Does that help answer your question?   Regards,</t>
  </si>
  <si>
    <t>Thomson, Cameron; McDonald, Darcy; Washburn, Nathan; ten Have, Fabian</t>
  </si>
  <si>
    <t>Proposal to use 2 x 2 48m water tanks (1st)</t>
  </si>
  <si>
    <t>Sorry Paul, forgot the bit about tank connectors!  Please see page 6 of the attached Astore pricelist.  We normally use a threaded tank connector with a back-nut, which does not depend on the tank having a threaded outlet.  That way you can install the co</t>
  </si>
  <si>
    <t>Pinon, Christian; McDonald, Darcy; Michalakis, Evangelos</t>
  </si>
  <si>
    <t>Draft Filing Drawings for Building Permit</t>
  </si>
  <si>
    <t>Dear Matt,   Please find attached a package containing filing drawings for the Kikam project.  We need to stress that these are in fact based on a different project and are not to be used as a basis for discussions/decisions/design for Kikam RTO, th</t>
  </si>
  <si>
    <t>Proposal to use 2 x 2 48m water tanks</t>
  </si>
  <si>
    <t>Hi there Paul,   With our African plumbing heads on we’re offering the attached suggestion to make use of the “portly” tanks you have received.  They appear to fit within the confines of the shed roof, and normally the pump station is smaller than t</t>
  </si>
  <si>
    <t>Pinon, Christian; Schiller, Ben; Michalakis, Evangelos; McDonald, Darcy</t>
  </si>
  <si>
    <t>Proposed location of septic system &amp; borehole (OK)</t>
  </si>
  <si>
    <t>Agreed location of borehole and septic system</t>
  </si>
  <si>
    <t>Hi Matt,   We looked this over and all agree that approximately where you show it is as good placement as any for the borehole.  Ben also agrees that the lower part of the site looks promising for the septic system.  We’ll confirm the exact leach fi</t>
  </si>
  <si>
    <t>McDonald, Darcy; Imai, Masaaki</t>
  </si>
  <si>
    <t>SDMO witness test photo report</t>
  </si>
  <si>
    <t>Hi Christian,   Here’s the nice update on your generators.  As Masaaki said the photo report really looked excellent.  Keep up the good work ya’ll!   Greetings,   SymonBent South Africa RDC M: +261 33 37 012 39  |  T: 2588  </t>
  </si>
  <si>
    <t>Additional Building Option for Review</t>
  </si>
  <si>
    <t>Explain the middle-road approach to WDC</t>
  </si>
  <si>
    <t>Thanks for confirming Symon. Jeff On May 20, 2014, at 2:34 AM, "Bent, Symon" &lt;HYPERLINK "mailto:sbent@zaf.wtbts.net"sbent@zaf.wtbts.net&gt; wrote:  Morning Jeff,   To quote the memo:    “we are proposing an amalgam of both approaches:</t>
  </si>
  <si>
    <t>Electrical AVR-Generator-Minisub Commissioning</t>
  </si>
  <si>
    <t>Follow-up from ZMB</t>
  </si>
  <si>
    <t>Symon,   Attached are follow up points 2 and 3.   2. School dates:  No classes will be held August 4-16. Only instructors will be coming and going during that time. 3. Several years of electrical bills are attached in the spread sheet.  </t>
  </si>
  <si>
    <t>While, Mark; Salvidge, Claire; Nudd, Don; While, Lisa; Rendon, Hector; Rendon, Veronica</t>
  </si>
  <si>
    <t>The glorious road to KAMINA</t>
  </si>
  <si>
    <t>    From: Fuentes, Miguel Sent: Monday, May 19, 2014 5:03 PM To: Salvidge, Mark Subject: FW: Ferry   This is the Bac that we across , look closely and ….   FUENTES Miguel    Rto kamina +243812334005       From: Marr</t>
  </si>
  <si>
    <t>Building Addition and Renovation for the Baatsona School for Kingdom Evangelizers</t>
  </si>
  <si>
    <t>Approval to design</t>
  </si>
  <si>
    <t>Drawings and Budget: The construction documents should be developed with the understanding that the project is not to exceed the approved cost estimate. If during the design process it is determined something was overlooked that could result in a substantial increase, this should be communicated immediately by means of a memorandum to World Headquarters, Attention: Worldwide Design/Construction Department. A complete explanation should be provided, along with the cost data. Thereafter, you should await direction before finalizing the construction documents.</t>
  </si>
  <si>
    <t>Proposed location of septic system &amp; borehole</t>
  </si>
  <si>
    <t>Initial location of borehole at Kikam</t>
  </si>
  <si>
    <t>I think that is a reasonable estimate of the site layout. I would agree that the septic system will most likely be in that lowest corner. If they can keep the borehole as far from there as they can, that will be desirable.   Do we have any informati</t>
  </si>
  <si>
    <t>Office DCP Results Approved by MAllan</t>
  </si>
  <si>
    <t>You can proceed</t>
  </si>
  <si>
    <t>Results are fine. We have about 300mm of decent compacted in-situ soil at bottom of our ‘still to come’ stabilized soilcrete platform. You can proceed   Regards, Mark Allan (ZAF-RDC) (REC) Watch Tower Bible and Tract Society of South Africa, N</t>
  </si>
  <si>
    <t>Office DCP Results 2</t>
  </si>
  <si>
    <t>Symon/Mark   The DCP results for the second half of the Office Building. We still need to do a test on the footing under the kitchen wall once excavation has been completed.   Thanks Paul    </t>
  </si>
  <si>
    <t>McDonald, Darcy; Shears, Matthew; Pinon, Christian</t>
  </si>
  <si>
    <t>Draft procurement plan approved</t>
  </si>
  <si>
    <t>Dear Brothers: We have reviewed the GHA Kikam RTO Draft Procurement Plan and have no further comments.  We look forward to reviewing the Final Procurement Plan in due course.  No hard copy will follow. Please return this code in your e-mail if necessar</t>
  </si>
  <si>
    <t>McDonald, Darcy; ten Have, Fabian</t>
  </si>
  <si>
    <t>Existing water treatment, cut existing pipe (P-602) [YES]</t>
  </si>
  <si>
    <t>Answer below.  Symon   From: ten Have, Fabian Sent: 16 May 2014 02:53 PM To: Bent, Symon Subject: RE: GHA BEX; Existing water treatment, cut existing pipe (P-602)   Hi Symon,   That is indeed the right location.   Gr,   F</t>
  </si>
  <si>
    <t>Concrete Recipes 25MPa (7-day results May 7th)</t>
  </si>
  <si>
    <t>MAllan's analysis</t>
  </si>
  <si>
    <t>Initial response from Structural; let’s wait and see the 28-day result too.   Greetings,   SymonBent South Africa RDC M: +261 33 37 012 39  |  T: 2588       From: Allan, Mark Sent: 14 May 2014 09:41 AM To: Bent, Symon Cc:</t>
  </si>
  <si>
    <t>Existing water treatment level switch; why need new one also [YES]</t>
  </si>
  <si>
    <t>And another fine reply from Meister ten Have.   Greetings,   SymonBent South Africa RDC M: +261 33 37 012 39  |  T: 2588       From: ten Have, Fabian Sent: 15 May 2014 07:34 PM To: Bent, Symon Subject: RE: GHA BEX; Existi</t>
  </si>
  <si>
    <t>Utility building, Hilti HY-150 vs HY-200 [OKAY]</t>
  </si>
  <si>
    <t>Here you go gentlemen!  Even better than the spec.   Symon   From: Allan, Mark Sent: 16 May 2014 01:27 PM To: Bent, Symon; Bateman, Tristan Cc: Reichel, Venessa Subject: RE: GHA BEX; Utility building, Hilti HY-150 vs HY-200?   On th</t>
  </si>
  <si>
    <t>Question regarding Civil Rev 2, move bridge, EP 4 5</t>
  </si>
  <si>
    <t>Hi Christian,   Replies below based on the reply from the Civil discipline.   Kind regards,   SymonBent South Africa RDC M: +261 33 37 012 39  |  T: 2588   Symon   From: Pinon, Christian Sent: 24 April 2014 08:38 PM</t>
  </si>
  <si>
    <t>Coombs, Shaun; Salvidge, Mark; McDonald, Darcy; Tunstall, Hilton; Bent, Symon</t>
  </si>
  <si>
    <t>REVISED Safety Outlines 2014-05</t>
  </si>
  <si>
    <t>I see the link you sent was to DBD 2013 folder…so I created a new folder as follows:   HYPERLINK "file:///\\bethel.jw.org\zaf\DeptArchive\RDC\Reference\Safety%20Outlines%20(Revised%202014-05)"N:\RDC\Reference\Safety Outlines (Revised 2014-05)  </t>
  </si>
  <si>
    <t>Commissioning for August 2014</t>
  </si>
  <si>
    <t>Lync Meeting Minutes Date:     2014-May-15 @ 09:00 CAT Att:        ZMB:     Cam Thomson, Kenneth, Misha, Samson (Cam please forward to all present, and confirm my names—the connection was fuzzy!)                 RDC:      Nathan Washburn, Symon</t>
  </si>
  <si>
    <t>Can we remove some manholes? Just one!</t>
  </si>
  <si>
    <t>Hi Jared,   Yes, just the one before the septic tank.  He was okay with that one; we did discuss it.  Rodding eyes are fine, but they just don’t provide 3-way rodding access at critical junctions.  That was our main concern, hence we’d prefer to kee</t>
  </si>
  <si>
    <t>Photos of water connection to site</t>
  </si>
  <si>
    <t>Hi Symon…. GHA VIEPE RTO… Water is flowing.   Matt Shears CONSTRUCTION OFFICE GHANA BRANCH    </t>
  </si>
  <si>
    <t>RFQ for SALTO Access Control and Panic Hardware</t>
  </si>
  <si>
    <t>Initial quote</t>
  </si>
  <si>
    <t>Hi Symon   Here are initial costs as requested. Please keep in mind they may adjust slightly when full specification of site is received.    Regards Gareth Ekins     _____     Morning Gareth,   They were looking into changing all the panic bar</t>
  </si>
  <si>
    <t>As-built information on Existing Plans</t>
  </si>
  <si>
    <t>What do you think Sarah, anything missing or still needed? Symon   From: Pinon, Christian Sent: 15 May 2014 01:06 PM To: Bent, Symon Cc: DODIN, Jean-Marc Subject: RE: GHA BEX; As-built information on Existing Plans   Hi Symon, Find</t>
  </si>
  <si>
    <t>Hi Symon, Find attached the requested information.  Let us know if is fine or you need another things. Thank you for the chat yesterday. Greetings,     Christian Pinon Ghana Construction Office       From: Bent, Symon</t>
  </si>
  <si>
    <t>De Meyer, Efraim; Imai, Masaaki; Washburn, Nathan</t>
  </si>
  <si>
    <t>AVR installation clarifying cable diameters</t>
  </si>
  <si>
    <t>Hi Cam,   Just a quick follow-up from Efraim on our discussion this morning, see below and attached.  I’ll try to get some simple action points/minutes from our discussion this morning out to you later today.   Kind regards,   SymonBent</t>
  </si>
  <si>
    <t>Crook, Arthur; Washburn, Nathan; Tunstall, Hilton; Bent, Symon; Coombs, Shaun; Salvidge, Mark; McDonald, Darcy; Bhana, Teresh</t>
  </si>
  <si>
    <t>MiTek Coordinator = EM; Job description</t>
  </si>
  <si>
    <t>Hi Van   New assignment for you! You are taking over from me as ‘MiTek Coordinator’ – MC Van!   So now the revised procedure when MiTek Quotes and Shop Dwgs etc come in is:   1.       Site submits NLBR for roof structure.  2.       SA</t>
  </si>
  <si>
    <t>Washburn, Nathan; McDonald, Darcy; Hughes, Mike (WSP); Thomson, Cameron; Fruciano, Jared; Coombs, Shaun; Salvidge, Mark; Bateman, Tristan; Tunstall, Hilton</t>
  </si>
  <si>
    <t>Office DCP Results (WET-WACK-RAKE-PLATE)</t>
  </si>
  <si>
    <t>Soft soil</t>
  </si>
  <si>
    <t>Thanks This will open up quite a bit of work now J Paul   From: Allan, Mark Sent: Wednesday, May 14, 2014 7:27 PM To: Tobin, Paul; Bent, Symon Cc: Washburn, Nathan; McDonald, Darcy; Hughes, Mike (WSP); Thomson, Cameron; Fruciano, Jared; Co</t>
  </si>
  <si>
    <t>RDC:REG</t>
  </si>
  <si>
    <t>AO-6 No.1</t>
  </si>
  <si>
    <t>The enclosed draft AO-6 #1 has a value of USD 200,676 and has been compiled by your project’s overseer. As a summary, this draft AO-6 #1 includes funds for the following main items: a chain link fence to separate the Assembly Hall from the RTO along with a double leaf main entrance metal swing gate and a metal pedestrian gate; one 66kVA generator set (this unit will be a permanent installation and be used as one of the two units in the long-term); two LandCruiser vehicles (we presume that they are already ordered by you as requested with our memorandum REA:REL March 6, 2014) as well as funds for some general site and home set up. Funds included also allow for the rental of two houses. The AO-6 has negative figures built in based on the fact that some items will be either sold or transferred on to the next RTO project.</t>
  </si>
  <si>
    <t>Assembly Hall Dedications When a Governing Body Member is the Speaker</t>
  </si>
  <si>
    <t>In connection with any Assembly Hall dedication program, it has been determined that organization funds may be used to cover the travel expenses of only one Branch Committee member and his wife. Also, only one Branch Committee member should share in the dedication program.</t>
  </si>
  <si>
    <t>Choral Studio - Minutes on conceptual design proposal review</t>
  </si>
  <si>
    <t>Send ROM Cost to WDC</t>
  </si>
  <si>
    <t>Meeting Minutes (WDC Word version attached) Date:     2014-May-14 @ 14:00 CAT Att:        PWG: Zeny St. Jean (Chair), Mark Salvidge, Peter Wilhjelm, Jeff Watts South Africa-RDC: Nathan Washburn, Symon Bent, Arthur Crook, Hans Sooben Audio/V</t>
  </si>
  <si>
    <t>Allan, Mark; McDonald, Darcy; Washburn, Nathan; ZMB-ENG-ConstructionCommittee</t>
  </si>
  <si>
    <t>Utilities DCP Results</t>
  </si>
  <si>
    <t>And another one…   Utilities building slab DCP results. These were taken from the bottom of the G3 layer before the sub-base is ripped and re-compacted. Also 2 results from the bottom of the electrical manholes either side of the utilities buildi</t>
  </si>
  <si>
    <t>Washburn, Nathan; McDonald, Darcy; Allan, Mark; ZMB-ENG-ConstructionCommittee</t>
  </si>
  <si>
    <t>Office DCP Results</t>
  </si>
  <si>
    <t>Afternoon Symon   We have followed through with Mike’s suggestions for firming up the ground below the soilcrete level. We went through 3 versions: ·         Firstly we tried just adding water… soaking the trench floor and leaving it for an hour</t>
  </si>
  <si>
    <t>Imai, Masaaki; Agostinho, Rudi; ten Have, Fabian</t>
  </si>
  <si>
    <t>Electrical supply, to supply to the Katete RTO 1 generator only (J130K)</t>
  </si>
  <si>
    <t>Hi Symon,   Based on the information underneath we`re going to supply to the Katete RTO 1 generator only (J130K). Since we will get a low voltage connection we will have a slightly bigger AVR (it will include an isolation transformer) The size</t>
  </si>
  <si>
    <t>Washburn, Nathan; McDonald, Darcy; Allan, Mark</t>
  </si>
  <si>
    <t>Field Sketch, KJ-S-302-S1 Add bars added due to Utilities passing through slab</t>
  </si>
  <si>
    <t>Morning Paul,   Here’s a field sketch showing the necessary add bars around the electrical block-outs in the utility structure.   Includes one (1) drawing:   1.       KJ-S-302-S1  Add bars added due to Utilities passing through slab  </t>
  </si>
  <si>
    <t>Stub walls tie in; location of saw-cuts [REPLY]</t>
  </si>
  <si>
    <t>Some nice portly replies from Mark A. below.  Keep on building!   Warm regards,   SymonBent South Africa RDC M: +261 33 37 012 39  |  T: 2588       From: Allan, Mark Sent: 13 May 2014 03:27 PM To: Bent, Symon Cc: Reichel,</t>
  </si>
  <si>
    <t>McDonald, Darcy; Allan, Mark</t>
  </si>
  <si>
    <t>Res foundation rebar, Y10 or 16, cut 12m length</t>
  </si>
  <si>
    <t>Answers</t>
  </si>
  <si>
    <t>See below.  Symon   From: Reichel, Venessa Sent: 13 May 2014 03:13 PM To: Bent, Symon Cc: Allan, Mark Subject: RE: GHA BEX; Res foundation rebar, Y10 or 16, cut 12m length?   Symon,   Please see answers in red below.   Tx V</t>
  </si>
  <si>
    <t>Price, Neiel</t>
  </si>
  <si>
    <t>Wallace, Nadia; Ellis, Leonard; InboxMNT.BI</t>
  </si>
  <si>
    <t>BDI Branch</t>
  </si>
  <si>
    <t>BDI Branch Cisa keys situation</t>
  </si>
  <si>
    <t>Updates</t>
  </si>
  <si>
    <t>Hi Symon,   The cylinders that were last sent on 2nd December 2013 are incorrect.  They are incorrect because the Housekeeping key cannot open them.  This is the only defect. The profiles are good, and the keys provided function correctly. However w</t>
  </si>
  <si>
    <t>McDonald, Darcy; Washburn, Nathan; ten Have, Fabian</t>
  </si>
  <si>
    <t>Can we remove some manholes? No.</t>
  </si>
  <si>
    <t>Only the one nearest the distrib. box</t>
  </si>
  <si>
    <t>Answers below…   Symon   From: ten Have, Fabian Sent: 13 May 2014 11:50 AM To: Bent, Symon Subject: RE: ZMB Mongu RTO; Manhole Query #1   Hi Symon,   I understand the question and the reasoning below.   I would recommend</t>
  </si>
  <si>
    <t>Schiller, Ben; McDonald, Darcy; Washburn, Nathan; Michalakis, Evangelos; Lichtenhahn, Wyatt</t>
  </si>
  <si>
    <t>Leach Field sizing--match Mongu</t>
  </si>
  <si>
    <t>Hi Symon Thanks for the good news. We do not have any ‘commuter changing facilities’ to factor in, so I think 6x27m will be good.   Our temp site setup has a fully functioning toilet block and a pretty good septic tank we already built. It’s f</t>
  </si>
  <si>
    <t>Arch, Tiling</t>
  </si>
  <si>
    <t>Mapei Waterproofing, new products approved</t>
  </si>
  <si>
    <t>Hi Jared,   Not sure if we ever replied officially to you on this one.  The new Mapei products were tested and heartily recommended!   Regards,   SymonBent South Africa RDC M: +261 33 37 012 39  |  T: 2588   Symon   Fro</t>
  </si>
  <si>
    <t>Branch Order 5869 Door hardware and sizes</t>
  </si>
  <si>
    <t>Resolution to questions</t>
  </si>
  <si>
    <t>Hi Symon, &amp; Raquel,   Please see the response to Window Man.   It seems like the email below did not get through to you guys..   Kind Regards, Van     From: Michalakis, Evangelos Sent: Friday, May 02, 2014 9:41 AM To: Webb</t>
  </si>
  <si>
    <t>BDI Branch; Cisa keys situation</t>
  </si>
  <si>
    <t>Morning Neiel,   Sorry this one got overlooked in my mailbox!  Do you understand what CISA are asking below?  If so, could you confirm?  I don’t realistically think that we can send the cylinders before we receive the new ones, but let’s see what yo</t>
  </si>
  <si>
    <t>Creek Topograpy and photos</t>
  </si>
  <si>
    <t>Hi Symon, Find attached the additional information requested.   Greetings   Christian Pinon Ghana Construction Office   From: Wilcox, Brandon Wayne Sent: Monday, May 12, 2014 9:23 AM To: Pinon, Christian Subject: Creek Topo</t>
  </si>
  <si>
    <t>Washburn, Nathan; McDonald, Darcy; Imai, Masaaki; De Meyer, Efraim</t>
  </si>
  <si>
    <t>AVR and Generator installation photos</t>
  </si>
  <si>
    <t>Symon,   The needed material for the generator project has finally arrived at the Branch this weekend.(8 months) The work left to do on the AVR is 1-2 days and on the generator is 4-5 days. The AVR is connected and the cables are run into the tra</t>
  </si>
  <si>
    <t>McDonald, Darcy; Allan, Mark; Thomson, Cameron; Washburn, Nathan</t>
  </si>
  <si>
    <t>Field Sketch, LL-S-102-S2 Internal Loadbearing footings revised to form inverted T-Beam</t>
  </si>
  <si>
    <t>Dear Jared,   Based on informal emails and input from yourselves, Kabompo team and Cam, we are also providing you with a footing revision, as your soil conditions appear to mirror those of Kabompo.  Thanks to our efficient structural team please fin</t>
  </si>
  <si>
    <t>Site survey and soils information for review, additional</t>
  </si>
  <si>
    <t>Additional info</t>
  </si>
  <si>
    <t>Answers below and attached.  Tx,   Symon   From: Thomson, Cameron Sent: 12 May 2014 10:50 AM To: Bent, Symon Cc: Washburn, Nathan; McDonald, Darcy Subject: FW: ZMB Choma RTO; Site survey and soils information for review   Symon,</t>
  </si>
  <si>
    <t>Site survey, additional benchmarks</t>
  </si>
  <si>
    <t>Symon,   Here are the responses from our surveyor. Please feel free to ask anything else you need clarification on.       Thanks  Cam Thomson Zambia Construction Projects 0964302509  Voip(093) 6167       From: Aub</t>
  </si>
  <si>
    <t>Pinon, Christian; DODIN, Jean-Marc; McDonald, Darcy; Allan, Mark</t>
  </si>
  <si>
    <t>Backfill SOILS TEST - Laterite from AKATSI [ASSESSMENT]</t>
  </si>
  <si>
    <t>Morning Matt,   Here’s the result of our assessment of the laterite soil you found for Viepe project.  As you will see from the report it is not ideal.   Regards,   SymonBent South Africa RDC M: +261 33 37 012 39  |  T: 2588  </t>
  </si>
  <si>
    <t>Fruciano, Jared; McDonald, Darcy; ten Have, Fabian; Thomson, Cameron</t>
  </si>
  <si>
    <t>Size of HDPE Water supply to BLDGS [REPLY]</t>
  </si>
  <si>
    <t>Hi Todd,   1.       The MECH sizes are the right ones: two separate pipes, one DN25 and one DN40  2.       Upsizing?  DN25 = Ø32mm HDPE, DN40 = Ø50mm HDPE     Kind regards,   SymonBent South Africa RDC M: +261 33 37 012</t>
  </si>
  <si>
    <t>Dear Mike,   As Mark Allan may have mentioned to you already, we would like to ask you for a quotation for the following project: Congo Lubumbashi RTO Civil Design.  We are also waiting on updated soils tests from another Congo project, Kikwit, whic</t>
  </si>
  <si>
    <t>Bent, Symon; McDonald, Darcy; Washburn, Nathan; Thomson, Cameron</t>
  </si>
  <si>
    <t>Int Wall Footings (MHUGHES COMPACTION COMMENTS Mongu too )</t>
  </si>
  <si>
    <t>Compacting sandy soil</t>
  </si>
  <si>
    <t>Thanks Mike   Paul / Cam – please pass this info on to Mongu / Jared? However, before he actually goes ahead and applies this procedure, he should first do DCP tests etc like Paul did. Just to make sure what we are dealing with on that site too…</t>
  </si>
  <si>
    <t>Thomson, Cameron; Allan, Mark; McDonald, Darcy; Reichel, Venessa</t>
  </si>
  <si>
    <t>KJ-S-102 S2 Internal Footing Revision due to poor DCP results</t>
  </si>
  <si>
    <t>Dear Paul,   How’s this for service?!  (Thanks VR…)  Please find attached the following Field Sketch update:   1.       KJ-S-102-S2 Internal Loadbearing footings revised to form inverted T-Beam   Hope it helps get you going again.  </t>
  </si>
  <si>
    <t>Bond Breaker - Casting Slab for Blocks MAPEI PLASTIMUL</t>
  </si>
  <si>
    <t>Solution for fresh block sticking to casting slab</t>
  </si>
  <si>
    <t>See below   Regards, Mark Allan (ZAF-RDC) (REC) Watch Tower Bible and Tract Society of South Africa, NPC. Registration number: 2006/022758/08. PBO number: 930021658   From: McArdle Peter [mailto:p.mcardle@mapei.co.za] Sent: 09 May 2014</t>
  </si>
  <si>
    <t>Bond Breaker for CMUs</t>
  </si>
  <si>
    <t>To prevent sticking to casting slab</t>
  </si>
  <si>
    <t>Sorry for the late reply. The Mapei reps took a long time to answer L   I will be sending a separate e-mail on this entitled “Bond Breaker - Casting Slab for Blocks MAPEI PLASTIMUL”.    They recommend a bituminous coating called PLASTIMUL. So</t>
  </si>
  <si>
    <t>Bent, Symon; McDonald, Darcy; Washburn, Nathan; Thomson, Cameron; Hughes, Mike (WSP)</t>
  </si>
  <si>
    <t>Int Wall Footings, draft comments from MA</t>
  </si>
  <si>
    <t>Hi Paul   I spoke to Mike Hughes today. We are confident we have a simple way forward to proceed with the excavation and backfill of stabilized soil block; we will send you an e-mail soon regarding this.   But what we do want to do is change t</t>
  </si>
  <si>
    <t>Reichel, Venessa; Rendon, Hector; Washburn, Nathan; Bent, Symon</t>
  </si>
  <si>
    <t>MOZ Dondo Feedback - Plastering Ext Walls vs Spatter-dash</t>
  </si>
  <si>
    <t>Hi Hilton   So I chatted to Hector. For their fence wall, they are going to get excellent quality blocks, not inferior blocks from the roadside that their neighbours would normally use. Thus when it comes to plastering, the wall need only be plaster</t>
  </si>
  <si>
    <t>New dishwasher specs WTM180ERB from Arthur</t>
  </si>
  <si>
    <t>AC's spec</t>
  </si>
  <si>
    <t>Symon,   Please look these over and see what you think. If all is in order, send them on.   Arthur</t>
  </si>
  <si>
    <t>Saunders, Tareyton; Kudjoe, Rachel; Bent, Symon</t>
  </si>
  <si>
    <t>Hardware, Keys</t>
  </si>
  <si>
    <t>Ronis-Dom Electronic locking system</t>
  </si>
  <si>
    <t>Dear Tara,   We are have started working on our new key system hierarchy to replace the faulty Union cylinders, please can you send us a catalogue from Ronis-Dom to guide us in selecting the correct cylinder length needed for our different doors con</t>
  </si>
  <si>
    <t>De Meyer, Efraim; McDonald, Darcy; Pinon, Christian</t>
  </si>
  <si>
    <t>Electrical connection sizing and cost</t>
  </si>
  <si>
    <t>Work out spec with ECG</t>
  </si>
  <si>
    <t>Hi Matt,   Ephraim mentioned that we would normally leave this up to you and the electricity company to specify, as long as the transformer output is what we are asking for.  Happy ECG’ing and Luke 18:5!   Greetings,   SymonBent South</t>
  </si>
  <si>
    <t>Thomson, Cameron; McDonald, Darcy; Washburn, Nathan</t>
  </si>
  <si>
    <t>KJ-A-601 S1 Field Sketch--Updated hardware groups</t>
  </si>
  <si>
    <t>Dear Paul,   We recently discovered a discrepancy in the specifications in the door hardware groups.   ARCH have updated the door hardware schedule as in the attached Field Sketch.  Please update all your drawings accordingly, and if still possible</t>
  </si>
  <si>
    <t>LL-A-601 S1 Field Sketch--Updated hardware groups</t>
  </si>
  <si>
    <t>Dear Jared,   Based on your wife’s tireless research ARCH have updated the door hardware schedule as in the attached Field Sketch.  Please update all your drawings accordingly, and if still possible check any relevant NLBRs.   Field Sketch inc</t>
  </si>
  <si>
    <t>Pinon, Christian; McDonald, Darcy; De Meyer, Efraim</t>
  </si>
  <si>
    <t>Recommended sizing</t>
  </si>
  <si>
    <t>Dear Matt,   I’m just following up on the electrical connection for Viepe RTO project we spoke about the other day.  I asked Ephraim about the 16mm² 3-PH connection that you have already installed:  this will be adequate for your construction needs</t>
  </si>
  <si>
    <t>Bent, Symon; Marriott, Brian</t>
  </si>
  <si>
    <t>Okay to overrun cost on this code</t>
  </si>
  <si>
    <t>Dear Mitch, Yes, just go over budget, not a problem, not an AO-7. Sorry for not catching this earlier…. M   From: Fuentes, Miguel Sent: Wednesday, May 07, 2014 7:05 PM To: Salvidge, Mark Cc: Bent, Symon; Marriott, Brian Subject: RE: CO</t>
  </si>
  <si>
    <t>DODIN, Jean-Marc; Bateman, Tristan; Imai, Masaaki; McDonald, Darcy</t>
  </si>
  <si>
    <t>Conduits through foundations of Existing Generator house [OKAY]</t>
  </si>
  <si>
    <t>Morning Christian,   My apologies, I was supposed to contact you about this one; it got overlooked in the mass.  We did sit down and discuss this with Structural and Electrical, and we see no problem to go ahead as you have outlined below.   R</t>
  </si>
  <si>
    <t>File Project &amp; FEV Reports within one week</t>
  </si>
  <si>
    <t>Brothers, We had the RDC meeting this week, and had an interesting discussion on receiving reports.  We note that sometimes the reports come right after the visit (as is usually the case with KHPO reports), and other times they delay considerably befor</t>
  </si>
  <si>
    <t>DODIN, Jean-Marc; Schiller, Ben</t>
  </si>
  <si>
    <t>Coordinates of lift stations nr Res 3</t>
  </si>
  <si>
    <t>Christian,  Here are the coordinates you asked for.  Symon   From: Schiller, Ben Sent: 07 May 2014 01:11 PM To: Bent, Symon Subject: Coordinates   LF1:        104517.197          377562.292 LF2:        104518.098          377568.948</t>
  </si>
  <si>
    <t>Fruciano, Jared; Thomson, Cameron; McDonald, Darcy; ten Have, Fabian</t>
  </si>
  <si>
    <t>Is there a urinal in the Office BLDG Mens Room [NO]</t>
  </si>
  <si>
    <t>And here you go!   Greets to you all.   Symon   From: ten Have, Fabian Sent: 07 May 2014 10:28 AM To: Bent, Symon Subject: RE: ZMB Mongu RTO; QRY#01 Is there a urinal in the Office BLDG Mens Room?   Symon,    The architec</t>
  </si>
  <si>
    <t>McDonald, Darcy; ZMB-ENG-ConstructionCommittee; Bent, Symon</t>
  </si>
  <si>
    <t>Extra Cylinders approved by PO</t>
  </si>
  <si>
    <t>Thanks Nathan   I don’t think it’s a problem, I just hadn’t heard of any direction on purchasing of spares and wanted to check first. We’re happy to do it for maintenance, they’ve been a big help to us over the past few months. It will help th</t>
  </si>
  <si>
    <t>2nd submersible pump, can place NLBR</t>
  </si>
  <si>
    <t>Order 2nd pump for BIO system, just-in-case!</t>
  </si>
  <si>
    <t>Miguel/Brian,   We would like to recommend that you order a 2nd submersible pump for the BIO sewage treatment system, just in case of breakdown---the whole system depends on this.  Could you use the information from the supplier below to generate a</t>
  </si>
  <si>
    <t>Office DCP 3</t>
  </si>
  <si>
    <t>Mark Just for giggles we ran the DCP test again at the same end of the office building. Only did 3 tests just for interests sake really. We have run the plate compactor over the area and it has also dried out some now. The surface is noticeably firm</t>
  </si>
  <si>
    <t>Lee Chee, Bernard</t>
  </si>
  <si>
    <t>Kassholm, Mats; Washburn, Nathan; Allan, Mark</t>
  </si>
  <si>
    <t>MUS Branch</t>
  </si>
  <si>
    <t>Expansion joint repair (Sikaflex Pro 3)</t>
  </si>
  <si>
    <t>Go ahead and order locally</t>
  </si>
  <si>
    <t>Dear Bernard,   Please go ahead with your order for the Sikaflex Pro 3. The attached datasheet contains an excellent explanation on page 3 of how to calculate the quantities you will need.  Keep in mind that the width of joint determines not only di</t>
  </si>
  <si>
    <t>McDonald, Darcy; Allan, Mark; Bateman, Tristan</t>
  </si>
  <si>
    <t>Dry pack under Steel Baseplates</t>
  </si>
  <si>
    <t>Good typical detail of drypack under steel plates</t>
  </si>
  <si>
    <t>Gentlemen!   A nice simple working-man’s solution is presented below.  Enjoy!   Regards,   SymonBent South Africa RDC M: +261 33 37 012 39  |  T: 2588     From: Allan, Mark Sent: 06 May 2014 11:41 AM To: Bateman, Trista</t>
  </si>
  <si>
    <t>Allan, Mark; Bateman, Tristan; McDonald, Darcy</t>
  </si>
  <si>
    <t>Field Sketch KM-S-503-S2 Generator Slab Manhole revision</t>
  </si>
  <si>
    <t>Dear brothers,   As requested, please find attached an updated Field Sketch for the Generator building manhole detail:   Drawing included:   1.       KM-S-503-S2      Generator Slab Manhole revision   Be sure to clearly mark as voi</t>
  </si>
  <si>
    <t>Cut steel angle crossing saw cut in Generator Building</t>
  </si>
  <si>
    <t>Answer below.  Symon   From: Allan, Mark Sent: 05 May 2014 08:52 PM To: Bateman, Tristan; Bent, Symon Cc: McDonald, Darcy Subject: RE: GHA BEX; Cut steel angle crossing saw cut in Generator Building?   Sounds good.    Regards, Ma</t>
  </si>
  <si>
    <t>Rangasami, Darmen</t>
  </si>
  <si>
    <t>Commissioning, Roof</t>
  </si>
  <si>
    <t>Products for bitumen roof and expansion joint repair</t>
  </si>
  <si>
    <t>Hi Symon,   Further to our last conversation, I have some specifications concerning the materials which will be used for the waterproofing of the roof and the reparation of the crack in the wall between the existing and extension building.   C</t>
  </si>
  <si>
    <t>Access Control Meeting minutes</t>
  </si>
  <si>
    <t>Discussion about ZAF options, prefered systems</t>
  </si>
  <si>
    <t>MEETING MINUTES   Subject:       Access Control   Date:           5 May 2014   Venue:         Maintenance Training Room PR1 Lev1   Present:      Rene Ballinger/Alfred Mashego/ Jamie McKelvey/ Mark While/Warren Kent/Symon Bent/Jean Paul/Nadia Walla</t>
  </si>
  <si>
    <t>Kudjoe, Rachel; Wilson, Stephanie Ann</t>
  </si>
  <si>
    <t>Dear Symon,   We have received something from GB that may help as you work on our electronic lock system.   See mail below and attached   Thanks   Gideon Arthur Maintenance (22400/42400   From: InboxPRCH.GB Sent: Frid</t>
  </si>
  <si>
    <t>Double Storey RTO Plan from NGA</t>
  </si>
  <si>
    <t>For our reference</t>
  </si>
  <si>
    <t>FYI guys/girls, Not looking to rip it apart, more FYI Marky   From: Salvidge, Mark Sent: Monday, May 05, 2014 10:06 AM To: Tunstall, Hilton; Crook, Arthur Subject: FW: Double Storey RTO Plan   Men, Here is an un-coordinated floor</t>
  </si>
  <si>
    <t>DODIN, Jean-Marc; McDonald, Darcy; Imai, Masaaki</t>
  </si>
  <si>
    <t>Routing of Res 4 telephone cable, C-104 2</t>
  </si>
  <si>
    <t>Voila!   Symon   From: Imai, Masaaki Sent: 05 May 2014 08:45 AM To: Bent, Symon Subject: RE: GHA BEX; Routing of Res 4 telephone cable, C-104 2   Hi Symon,   No problem with me if branch has no issue with that.   Thanks,</t>
  </si>
  <si>
    <t>Initial DCP Test for Residence bldg</t>
  </si>
  <si>
    <t>Hi Mike   Can we please ‘pick your brains’ again please? See e-trail below   In the attached PDF is the foundation detail we spec’d for Kabompo RTO. Bearing Pressure (BP) at underside of concrete footing is 50kPA; then the soilcrete ‘stabilize</t>
  </si>
  <si>
    <t>Allan, Mark; Bent, Symon; InboxWDC</t>
  </si>
  <si>
    <t>WDC RTO Survey Completed</t>
  </si>
  <si>
    <t>Worldwide RTO planning survey</t>
  </si>
  <si>
    <t>Darrin, Please find our RTO planning doc enclosed.  Symon Bent did an excellent job of putting this together.   The “extra” sheet contains additional languages that are being actively pursued by branches in our region that probably should be adde</t>
  </si>
  <si>
    <t>FtH, SS, PB, DM, MA</t>
  </si>
  <si>
    <t>Meeting Minutes--Natural ventilation options; cost comparisons betw single &amp; double loaded designs</t>
  </si>
  <si>
    <t>Meeting Minutes Date:     2014-May-02 Att:        SB, NW, MA, SS, FtH, MI, PB Re:         GHA BEX LT; Natural ventilation options; cost comparisons between single &amp; double loaded designs   ­Actions: 1.        SS: Provide a 3rd option: si</t>
  </si>
  <si>
    <t>Here you go     From: Allan, Mark Sent: Friday, May 02, 2014 10:07 AM To: Tobin, Paul; Bent, Symon Cc: McDonald, Darcy Subject: RE: ZMB Kabompo RTO; initial DCP Test for Residence bldg   Please also do the DCP NUMBER CALC as shown in s</t>
  </si>
  <si>
    <t>Chiappetta, Raquel; Bent, Symon</t>
  </si>
  <si>
    <t>Hi Sandra,    Sorry for the late reply. Please see our response below in red.   In the future we would like to specify a Silver Powder Coated Aluminium Door, that would then come with a Silver Door Closer.  Do you have any objections or</t>
  </si>
  <si>
    <t>Draft Procurement Plan</t>
  </si>
  <si>
    <t>ZAF Purchasing updates</t>
  </si>
  <si>
    <t>FYI -----Original Message----- From: Nudd, Don Sent: Friday, May 02, 2014 8:42 AM To: McDonald, Darcy Subject: Emailing: 20140416 GHA Kikam RTO Draft Procurement Plan Hey Darcy ... just a couple of recent updates on your Procurement Plan for GHA</t>
  </si>
  <si>
    <t>InboxBTHL.GH</t>
  </si>
  <si>
    <t>McDonald, Darcy; Jones, David M.; Ryan, Neill</t>
  </si>
  <si>
    <t>New Electrolux Dishwasher spec agreed by GHA</t>
  </si>
  <si>
    <t>Simon,   We like to inform you that we agree with the proposal we discussed this morning. We measured the area again. The work space will really be very tight, but we understand that this would be the best solution and we will cope with the limit</t>
  </si>
  <si>
    <t>MOZ Branch</t>
  </si>
  <si>
    <t>Stats</t>
  </si>
  <si>
    <t>New Languages in Moz</t>
  </si>
  <si>
    <t>Hi Syms   I think from this we can say 5 new languages.   Thanks bud, be seein you soon!   Love to Anna please   Dave   From: Campana, Jose Sent: Thursday, May 01, 2014 3:32 PM To: Gilden, David Subject: RE: New Languages</t>
  </si>
  <si>
    <t>Washburn, Nathan; McDonald, Darcy; ZMB-ENG-ConstructionCommittee; Blackman, Innes</t>
  </si>
  <si>
    <t>Initial DCP Test</t>
  </si>
  <si>
    <t>Afternoon Symon    We have started Office Building excavation for the soil stabilization and are happy to provide you with our initial DCP results for one gable end of this building. You will notice it is very soft but it is at least consistently so</t>
  </si>
  <si>
    <t>Ring Beam 6 bars in corner YES</t>
  </si>
  <si>
    <t>Here you go Paul,   Symon   From: Reichel, Venessa Sent: 01 May 2014 01:34 PM To: Bent, Symon Cc: Allan, Mark Subject: RE: ZMB Kabompo Ring Beam   Correct Symon – even though there are four cage bars the six corner bars must be plac</t>
  </si>
  <si>
    <t>Drawing, Fence</t>
  </si>
  <si>
    <t>Site plan needed for possible contract of wall fence</t>
  </si>
  <si>
    <t>Hope this is good enough for your needs.   Symon   From: Thomson, Cameron Sent: 30 April 2014 05:37 AM To: Bent, Symon Cc: Washburn, Nathan; McDonald, Darcy Subject: RE: ZMB Katete RTO; Possible contract of wall fence in Katete   Th</t>
  </si>
  <si>
    <t>McDonald, Darcy; Sukram, Sarah</t>
  </si>
  <si>
    <t>Burglar Bars for Residence windows type A, B and C</t>
  </si>
  <si>
    <t>Let CC go ahead and decide design of burglar bars</t>
  </si>
  <si>
    <t>Gentlemen!   After discussing this with the Architectural team and your projects overseer here is our conclusion:   The original design was outward opening burglar bars similar to your existing residence buildings; this was later changed to re</t>
  </si>
  <si>
    <t>RDC:REJ</t>
  </si>
  <si>
    <t>At the outset, it may be good to explain what we consider to be a RAH. These are generally facilities that are used by one, or perhaps two, circuits, therefore only used some three to six times a year. The reason for this is that the brothers cannot afford to travel long distances, and if they are any further away, some members of the family have to stay home due to lack of travel funds. We have tried various means to meet these needs. The facilities that we have provided up until now were kept very modest due to the number of them that were needed and the relatively low usage they received, meaning for the most part they were left uncovered. Where the usage was greater, around some 12 or more times a year, we have generally been able to provide covered facilities with a concrete floor.</t>
  </si>
  <si>
    <t>Washburn, Nathan; McDonald, Darcy; ten Have, Fabian</t>
  </si>
  <si>
    <t>Location of relief line in Leech Field</t>
  </si>
  <si>
    <t>Yes, it was a bit confusing so we got it fixed in the Mongu drawings.  I’ve attached them for your reference!  (Build yours not theirs, but you can use their detailing… ;-)   Always good to hear from you.   SymonBent South Africa RDC M:</t>
  </si>
  <si>
    <t>Bent, Symon; McDonald, Darcy; Washburn, Nathan; St. Jean, Zeny; Watts, Jeffery</t>
  </si>
  <si>
    <t>Planning, Schedule</t>
  </si>
  <si>
    <t>RDC Design Construction Schedule</t>
  </si>
  <si>
    <t>The final version for BC use</t>
  </si>
  <si>
    <t>Greetings, Ghana BCPC’s and WDC! With much thanks to Symon Bent, see below for the basic ‘schedule’ for design / construction for the Ghana Long Term (LT) Branch Expansion (BEX)   We have just given target end-dates for the key elements   GHAN</t>
  </si>
  <si>
    <t>Job Mtg</t>
  </si>
  <si>
    <t>Job Meeting 3 -- Minutes</t>
  </si>
  <si>
    <t>For your delectation,   Regards,   SymonBent South Africa RDC M: +261 33 37 012 39  |  T: 2588      </t>
  </si>
  <si>
    <t>Photos Booster pump LOWARA</t>
  </si>
  <si>
    <t>Here you go.   From: Petignat, Pierre Sent: 30 April 2014 07:53 AM To: Bent, Symon Subject: RE: MDG BEX; Photos Booster pump LOWARA    Hi Symon,   Please find attached pics of the 2.2 kw Lowara/ITT/Hydrovar pump.    Thanks</t>
  </si>
  <si>
    <t>Hi Symon,   Please find attached pics of the 2.2 kw Lowara/ITT/Hydrovar pump.    Thanks for your assistance.   Pierre   From: Bent, Symon Sent: Tuesday, April 29, 2014 4:10 PM To: Petignat, Pierre Subject: FW: MDG BEX; bear</t>
  </si>
  <si>
    <t>Geotech</t>
  </si>
  <si>
    <t>FRENCH DRAIN along back of Football Field</t>
  </si>
  <si>
    <t>FYI</t>
  </si>
  <si>
    <t>Tx   Regards, Mark Allan (ZAF-RDC) (REC) Watch Tower Bible and Tract Society of South Africa, NPC. Registration number: 2006/022758/08. PBO number: 930021658   From: Bent, Symon Sent: 29 April 2014 06:08 PM To: Allan, Mark Subject: G</t>
  </si>
  <si>
    <t>Pinon, Christian; Washburn, Nathan</t>
  </si>
  <si>
    <t>CTP</t>
  </si>
  <si>
    <t>CONTACT INFORMATION Ghana Kikam Remote Translation Office (Nzema) Project (GHA0014)</t>
  </si>
  <si>
    <t>CTP information for KIKAM Our apologies for the delay. Tx Matt Shears CONSTRUCTION OFFICE GHANA BRANCH _____________________________________________ From: Bent, Symon Sent: Friday, March 28, 2014 5:44 AM To: McDonald, Darcy Cc: Shears, Matthe</t>
  </si>
  <si>
    <t>McDonald, Darcy; Allan, Mark; Schiller, Ben</t>
  </si>
  <si>
    <t>Drawing, Geotech</t>
  </si>
  <si>
    <t>Revised civil drawing KM-C-105-Rev1</t>
  </si>
  <si>
    <t>Dear Christian/Jean-Marc,   Here is the “final” approved civil revision for the area around the residence buildings 3 &amp; 4.    The following drawing is included in this release:   ·         KM-C-105-Rev1                                Set</t>
  </si>
  <si>
    <t>Bent, Symon; Watts, Jeffery; Washburn, Nathan</t>
  </si>
  <si>
    <t>Engineering Construction Schedule</t>
  </si>
  <si>
    <t>Zeny's response to schedule</t>
  </si>
  <si>
    <t>Mallan/Symon,   Sorry for not responding earlier.  Looks aggressive which is what we want – shows that it is not business as usual at the RDC. As you know -  it will take management skills and hours from you both to make this work with OLA (much lik</t>
  </si>
  <si>
    <t>Cruthirds, Nathan; Moore, Benjamin; McDonald, Darcy</t>
  </si>
  <si>
    <t>Budget, Maintenance</t>
  </si>
  <si>
    <t>FEV Report Apr 2014</t>
  </si>
  <si>
    <t>These cost to be added to CDP!</t>
  </si>
  <si>
    <t>Hi Symon and Pete – we will have to include this work (and associated costs) in the CDP   HYPERLINK "file:///\\bethel.jw.org\zaf\Dept\RDC\Engineering\Projects\Ghana\GHA%2003%20-%20Branch%20Expansion%20Phase%202\S2\EPC\GHA%20FEV%20report%20Apr%202014</t>
  </si>
  <si>
    <t>St. Jean, Zeny; Spanner, Simon; Maxwell, Ronald; Sukram, Sarah; ten Have, Fabian; Imai, Masaaki</t>
  </si>
  <si>
    <t>Natural Ventilation Convection as complement to AC</t>
  </si>
  <si>
    <t>Ideas from Ron Maxwell, to be reviewed.  All felt single loaded was better option in GHA</t>
  </si>
  <si>
    <t>Hi Symon    Please can you go over the e-mail below, as well as the attachments in folder below? Then give me report back? Please work too with Fabian and Sarah on this, and maybe Masaaki?   HYPERLINK "file:///\\bethel.jw.org\zaf\Dept\RDC\Engi</t>
  </si>
  <si>
    <t>Costing Comparison of Building Styles</t>
  </si>
  <si>
    <t>Request from MA to compare styles/costs</t>
  </si>
  <si>
    <t>Hi Symon   Please can you and Sarah work together and give Pete a package soonest for Ghana to do cost comparison (using Nadine) of ‘Bethel style double loaded corridor’ (as shown by Sarah already the first time) vs. ‘open courtyard’ (as proposed by</t>
  </si>
  <si>
    <t>Schmidt, Des</t>
  </si>
  <si>
    <t>Allan, Mark; Michalakis, Evangelos; Chiappetta, Raquel; Crook, Arthur; Bent, Symon; Tunstall, Hilton; Washburn, Nathan; McDonald, Darcy; Coombs, Shaun; Salvidge, Mark; ten Have, Fabian</t>
  </si>
  <si>
    <t>Below is the response from maintenance regarding the Mapei shower waterproofing.  Please go ahead with the revision to the specification for all RTOs.   Sarah R. Sukram (SRS) South Africa Regional Design/Construction Office (RDC) HYPERLINK "ma</t>
  </si>
  <si>
    <t>Booster pump LOWARA</t>
  </si>
  <si>
    <t>Broken bearing on pump</t>
  </si>
  <si>
    <t>Hi Symon,    I opened a folder on the network for this:   HYPERLINK "file:///\\bethel.jw.org\zaf\Dept\RDC\Engineering\Projects\Madagascar\MDG%2099%20-%20Misc\Mech\Booster%20pump%20failure"H:\RDC\Engineering\Projects\Madagascar\MDG 99 - Mis</t>
  </si>
  <si>
    <t>St. Jean, Zeny; Allan, Mark; McDonald, Darcy</t>
  </si>
  <si>
    <t>Additional Building Option for Review, CPP, Risk Assessment</t>
  </si>
  <si>
    <t>Waiting on WHQ approval</t>
  </si>
  <si>
    <t>Dear brothers,   We attach the risk estimate for the GHA Baatsona SKE project as requested below.  The estimated net budget is: $647,454 plus a total risk assessment of $89,080.   Kind regards,   SymonBent South Africa RDC M: +261</t>
  </si>
  <si>
    <t>McDonald, Darcy; Bateman, Tristan; Allan, Mark</t>
  </si>
  <si>
    <t>Drawing, Manhole</t>
  </si>
  <si>
    <t>AFC Field sketch S-503-S1--Manhole cover for minisub</t>
  </si>
  <si>
    <t>HI Christian,   Here’s the field sketch of the manhole cover for the mini-sub area.   Drawing list:   1.       KM-S-503-S1  Minisub Manhole Revision   Hope it all goes well with your pour!   Regards,   SymonBent Sout</t>
  </si>
  <si>
    <t>Long-term design time project schedule</t>
  </si>
  <si>
    <t>Draft for Zeny's review</t>
  </si>
  <si>
    <t>Morning Zeny,   Based on MAllan’s hard work we have drafted schedule for the design of the Ghana Branch Long-Term works, based heavily on the use of outside consultants.     Could you give us some feedback?  How does the timing look?  Have we</t>
  </si>
  <si>
    <t>Washburn, Nathan; John Silver (work); John Silver (home)</t>
  </si>
  <si>
    <t>S Spanner comments; Applying new design principles to GHA Long-term project</t>
  </si>
  <si>
    <t>Dear Brothers,   Here are some comments on the Ghana initial concepts.  Very nice job done in creating the additional residence.  It would be great to sit around a table and discuss these ideas together.   I know you will be moving ahead with</t>
  </si>
  <si>
    <t>Geotech, Soil</t>
  </si>
  <si>
    <t>Question regarding Civil Rev 2</t>
  </si>
  <si>
    <t>For your comments.   Symon   From: Pinon, Christian Sent: 24 April 2014 08:38 PM To: Bent, Symon Cc: DODIN, Jean-Marc Subject: GHA - BEX Question regarding Rev 2   Hi Symon, After reviewing  the drawing few questions come up:</t>
  </si>
  <si>
    <t>Cisa keys situation</t>
  </si>
  <si>
    <t>Sent to CISA to replace non-working cylinders/keys</t>
  </si>
  <si>
    <t>Afternoon Nadia,   Here’s a thorough reply from Neiel, clearly identifying all cylinders/keys that do not work.  Can you pass this on to Tim Allen, and let’s get the ball rolling!   Many thanks for your patience,   SymonBent South Afr</t>
  </si>
  <si>
    <t>Allan, Mark; McDonald, Darcy; Schiller, Ben</t>
  </si>
  <si>
    <t>Revised civil drawings around Res 3 &amp; 4</t>
  </si>
  <si>
    <t>Final changes due to high water table, added swales</t>
  </si>
  <si>
    <t>Dear Christian/Jean-Marc,   Here are the approved civil revisions for the area around the residence buildings 3 &amp; 4.  We have simplified the swales a little around the residence 4 to better respect the 1:6 slopes.   The following drawings are</t>
  </si>
  <si>
    <t>revised civil drawings; swales; high water table</t>
  </si>
  <si>
    <t>Mike Hughes approval</t>
  </si>
  <si>
    <t>Dear Symon, Thank you for your patience. A very nice job has been made of the detailing. Thank you. The box drain appears to have not been detailed/attached to the apron slabs around the residence buildings on this one plan KM-C-201. See attac</t>
  </si>
  <si>
    <t>Bethel Enrolements--Updated</t>
  </si>
  <si>
    <t>Cracks in Office 2 around base of building</t>
  </si>
  <si>
    <t>Dear Darcy,   Our Service department building walls have been cracking over the past few years. We thought the soil will settle after about five years and thus stop the building from cracking.   But the soil is still moving and the building ke</t>
  </si>
  <si>
    <t>McDonald, Darcy; Washburn, Nathan; ten Have, Fabian; De Meyer, Efraim</t>
  </si>
  <si>
    <t>Utility Building Orientation</t>
  </si>
  <si>
    <t>Thanks Symon   The idea of the diesel trucks feeding the tanks from outside the perimeter wall seems doubtful… the truck would need a 35 meter pipe to reach from the road side… Zambian trucks barely have the right number of wheels let alone extra pi</t>
  </si>
  <si>
    <t>Derwent termination points connections, water treatment</t>
  </si>
  <si>
    <t>Answers below gentlemen.  Symon   From: ten Have, Fabian Sent: 22 April 2014 10:10 AM To: Bent, Symon Subject: FW: GHA BEX; Derwent termination points connections   Symon,    Example TP01: Derwent states that this connection is a ‘2”</t>
  </si>
  <si>
    <t>Non specified termination point on dwg P-101, water treatment</t>
  </si>
  <si>
    <t>Answers below.  Symon   From: ten Have, Fabian Sent: 22 April 2014 10:02 AM To: Bent, Symon Subject: RE: GHA BEX; Non specified termination point on dwg P-101   Symon,   Drawing 3910-809 from Derwent shows this connection as a ¾” con</t>
  </si>
  <si>
    <t>Afternoon bra’ Paul,   Here’s your reply my friend.  Let the reader use discernment!   Tx,   SymonBent South Africa RDC M: +261 33 37 012 39  |  T: 2588       From: De Meyer, Efraim Sent: 22 April 2014 02:55 PM To: B</t>
  </si>
  <si>
    <t>Elec, Manhole</t>
  </si>
  <si>
    <t>Manhole EP 12--still needed</t>
  </si>
  <si>
    <t>Answer below.  Symon   From: Imai, Masaaki Sent: 21 April 2014 08:36 AM To: Bent, Symon Subject: RE: GHA BEX; Manhole EP 12--still needed?   Hi,   I was thinking better keeping that due to the possible temporary feeds to the existing</t>
  </si>
  <si>
    <t>Studio, Survey</t>
  </si>
  <si>
    <t>Choral studio project survey package; 2 options</t>
  </si>
  <si>
    <t>Morning Arthur,   The COD Choral Studio survey package.  Could you tell me if this is enough information for you?   Regards,   SymonBent South Africa RDC M: +261 33 37 012 39  |  T: 2588     From: Salvidge, Mark Sent: 21</t>
  </si>
  <si>
    <t>HSB:HLB</t>
  </si>
  <si>
    <t>Personnel enrollments for those who work on theocratic construction projects</t>
  </si>
  <si>
    <t>The Publishing Committee’s letter No. C-25388P of HPA:HDA January 28, 2014, informed you that the Regional Building Committee arrangement and Kingdom Hall construction for lands with limited resources were to be combined into one program. Because of this,</t>
  </si>
  <si>
    <t>move EP 2 and EP 11 [OKAY]</t>
  </si>
  <si>
    <t>As below. Symon   From: Imai, Masaaki Sent: 21 April 2014 01:28 PM To: Bent, Symon Subject: RE: GHA+BEX Ep 2 and EP 11   This is fine, no problem with me.  Masaaki   From: Bent, Symon Sent: Monday, April 21, 2014 1:26 PM To:</t>
  </si>
  <si>
    <t>DODIN, Jean-Marc; Jack, Barry; Imai, Masaaki</t>
  </si>
  <si>
    <t>Manhole</t>
  </si>
  <si>
    <t>Residence footings, high water table swale solution [APPROVED]</t>
  </si>
  <si>
    <t>Manhole elevations should be fine</t>
  </si>
  <si>
    <t>Hi Christian,   The revised civil drawing will show the manholes higher on the banking near each residence building, in theory the bottom of manhole should be above the water table., however the conduits will need to be properly glued together to pr</t>
  </si>
  <si>
    <t>DODIN, Jean-Marc; Allan, Mark; Bateman, Tristan</t>
  </si>
  <si>
    <t>Manhole covers for minisub--size</t>
  </si>
  <si>
    <t>Hi Christian,   Yes, once you find a suitable local manhole cover can you send us a cut-sheet and STRUCT will revisit the cover rebar design and send you a field sketch.   Regards,   SymonBent South Africa RDC M: +261 33 37 012 39 </t>
  </si>
  <si>
    <t>InboxRDCMaintenanceSupport.ZA; Jones, David M.</t>
  </si>
  <si>
    <t>Long-term--Paint for facia boards</t>
  </si>
  <si>
    <t>Morning All,   Just my 2¢ worth: Gideon had mentioned this concern before: it’s a good point.  Therefore we had already added a note for the long-term design concept to avoid dark paints.  Not just the colour but the type/quality of paint need to be</t>
  </si>
  <si>
    <t>Allowance for larger apartments, design consultants, way forward</t>
  </si>
  <si>
    <t>Meeting Minutes Date:     2014-04-18 15:10 Att:        MA, SB, ZJ Re:         GHA BEX Long-term; allowance for larger apartments, design consultants, way forward.   ­Actions: 1.       [MA/SB] Meet with MI/FtH (Elec/Mech) to see if they c</t>
  </si>
  <si>
    <t>Bent, Symon; Marriott, Brian; Salvidge, Mark</t>
  </si>
  <si>
    <t>Borehole pump Branch Order 367436 - revised</t>
  </si>
  <si>
    <t>Quotation</t>
  </si>
  <si>
    <t>Hi Miguel,    This email contains some more info compared to the email I sent you yesterday, the attachments are the same.   Please find attached the quote for the borehole pump installation for the Kamina RTO. Please note that the quote in</t>
  </si>
  <si>
    <t>Electrical Manhole Size [DOS]</t>
  </si>
  <si>
    <t>Reply below. Symon   From: Imai, Masaaki Sent: 18 April 2014 07:54 AM To: Bent, Symon Subject: RE: GHA BEX; Electrical Manhole Size   Hi Symon,   DOS would be fine.   Thanks, M   From: Bent, Symon Sent: Friday, Apri</t>
  </si>
  <si>
    <t>Updated Guidelines on Number of Translation Project Teams</t>
  </si>
  <si>
    <t>This letter replaces the letter dated GEA:ED April 17, 2008</t>
  </si>
  <si>
    <t>We are pleased to inform you that the Governing Body has approved an update to the guidelines for the size of translation teams. This letter replaces the letter dated GEA:ED April 17, 2008. The guidelines for sign languages have been adjusted to mirror those for written languages.</t>
  </si>
  <si>
    <t>Plumbing</t>
  </si>
  <si>
    <t>Office building plumbing chase wall width</t>
  </si>
  <si>
    <t>Hi Jared,   Here you go!   Greets,   SymonBent South Africa RDC M: +261 33 37 012 39  |  T: 2588     From: ten Have, Fabian Sent: 17 April 2014 04:47 PM To: Bent, Symon Subject: RE: ZMB Mongu RTO; Office building plumb</t>
  </si>
  <si>
    <t>HDPE gas pipe req NLBR 4159</t>
  </si>
  <si>
    <t>I was right (for once), see Fabian’s reply below…   Symon   From: ten Have, Fabian Sent: 17 April 2014 04:52 PM To: Bent, Symon Subject: RE: GHA BEX; HDPE gas pipe req. NLBR 4159   Symon,   Answer to the question: “I wondering</t>
  </si>
  <si>
    <t>Allan, Mark; John Dovey; Sukram, Sarah; Crook, Arthur; Briel, Pieter</t>
  </si>
  <si>
    <t>Long-term design refinements, way forward</t>
  </si>
  <si>
    <t>Afternoon Zeny,   We had another fruitful meeting with John Dovey, Sarah, Pieter and Mark to look over some further refinements of OS-Lang’s design ideas for GHA long-term expansion.  The conceptual drawings are HYPERLINK "file:///\\bethel.jw.org\za</t>
  </si>
  <si>
    <t>McDonald, Darcy; Abbott, Steven; Allen, David A; Hardy, Stephen; Bent, Symon</t>
  </si>
  <si>
    <t>Water Treatment_Ref 412_Approval Drawings_Drewent_Rev 10</t>
  </si>
  <si>
    <t>Drawings OK</t>
  </si>
  <si>
    <t>Dear David,    Please find attached the following attachment: Transmittal Sheet 4 28-03-14 - comments Watchtower.xls   In short: we are happy with all the drawings made by Derwent, no changes are needed.    Thanks for your help,   </t>
  </si>
  <si>
    <t>DODIN, Jean-Marc; ten Have, Fabian</t>
  </si>
  <si>
    <t>HDPE Underground diesel pipe nr genrator house</t>
  </si>
  <si>
    <t>No HDPE, metal only!</t>
  </si>
  <si>
    <t>Answer below chaps…   SymonBent South Africa RDC M: +261 33 37 012 39  |  T: 2588   Symon   From: ten Have, Fabian Sent: 17 April 2014 09:05 AM To: Bent, Symon Subject: RE: GHA BEX; HDPE Underground diesel pipe nr genrator hous</t>
  </si>
  <si>
    <t>Sadler, Shane; Bent, Symon; Washburn, Nathan</t>
  </si>
  <si>
    <t>Crush tester</t>
  </si>
  <si>
    <t>Cam I’ve attached some info regarding making cubes which might be needed by those on site… I think it came from Mark Allan originally   As for coordinating - there’s not much we can do regarding crushing exactly on the 7 and 28 days… logistics ar</t>
  </si>
  <si>
    <t>the way forward' (CDP etc) UPDATE</t>
  </si>
  <si>
    <t>No problem, I’ll take care of that till you get back.     As for point 1: I did a thorough comparison between the 2011 and 2014 surveys, and also went back and review everything I could find about the scope of the proposed project.  Although the</t>
  </si>
  <si>
    <t>Outsource design of just new buildings (ZsJ)</t>
  </si>
  <si>
    <t>FYI   Regards, Mark Allan (ZAF-RDC) (REC) Watch Tower Bible and Tract Society of South Africa, NPC. Registration number: 2006/022758/08. PBO number: 930021658   From: St. Jean, Zeny Sent: 04 April 2014 11:05 PM To: Allan, Mark Subjec</t>
  </si>
  <si>
    <t>CE door cylinders</t>
  </si>
  <si>
    <t>CISA offer to replace failed cylinders</t>
  </si>
  <si>
    <t>FYI.  From: Tim Allan [mailto:timallan@cisa.co.za] Sent: 16 April 2014 01:09 PM To: Wallace, Nadia Subject: CE door cylinders   Nadia   Thank you for returning the problematic Zimbabwe CE cylinders.   Our technical dept has fully</t>
  </si>
  <si>
    <t>Test pits near football field</t>
  </si>
  <si>
    <t>Hi Mark/Ben,   Here’s the result of the test pits we asks them to dig down on the football field.   Regards,   SymonBent South Africa RDC M: +261 33 37 012 39  |  T: 2588       From: DODIN, Jean-Marc Sent: 16 April 20</t>
  </si>
  <si>
    <t>amount of water storage [4 x 5000L]</t>
  </si>
  <si>
    <t>Increase size of Utility structure</t>
  </si>
  <si>
    <t>Dear All,   As Fabian explains below we will also need to extend the size of the utility structure at Viepe RTO---4 x 5000L tanks instead of 2.  I have updated the HYPERLINK "file:///\\bethel.jw.org\zaf\dept\RDC\Engineering\Projects\Ghana\GHA%2005%2</t>
  </si>
  <si>
    <t>davinles@hotmail.com</t>
  </si>
  <si>
    <t>Washburn, Nathan; McDonald, Darcy; Bent, Symon; ZMB-ENG-ConstructionCommittee</t>
  </si>
  <si>
    <t>Zambia assignment for RTOs</t>
  </si>
  <si>
    <t>Hi Davin/Jason,   We received your itineraries. Thank you for that.   I don’t know how much has been explained as to what you will work with here, but you will be part of group of 4 IS couples that will be the basis of a 3rd RTO construction t</t>
  </si>
  <si>
    <t>Schiller, Ben; Coombs, Yolanda; Washburn, Nathan; McDonald, Darcy; Blackman, Innes</t>
  </si>
  <si>
    <t>Surveying elevation discrepency of 81m</t>
  </si>
  <si>
    <t>Approval of 81m difference</t>
  </si>
  <si>
    <t>Marvelous Thanks for all the collective eyeballing J Paul   From: Bent, Symon Sent: Tuesday, April 15, 2014 2:39 PM To: Tobin, Paul Cc: Schiller, Ben; Coombs, Yolanda; Washburn, Nathan; McDonald, Darcy Subject: RE: ZMB Kabompo RTO; Survey</t>
  </si>
  <si>
    <t>Washburn, Nathan; McDonald, Darcy; Thomson, Cameron; Blackman, Innes</t>
  </si>
  <si>
    <t>Boundary Wall around trees, let CC decide</t>
  </si>
  <si>
    <t>That is great  We’ll let the brothers decide this week. And we’ll mark it up as an asbuilt whichever way they want to go   Paul   From: Bent, Symon Sent: Tuesday, April 15, 2014 2:37 PM To: Tobin, Paul Cc: Washburn, Nathan; McDonald,</t>
  </si>
  <si>
    <t>Access control Sensable Sensor contact; DorTag VI</t>
  </si>
  <si>
    <t>We can call him on the number listed below.    TEL: +27 31 700 8260   From: Andrew Miller [mailto:andrewm@sensablesensors.co.za] Sent: 15 April 2014 04:07 PM To: Wallace, Nadia Subject: RE: Meeting with Watchtower: DorTag VI   Perfec</t>
  </si>
  <si>
    <t>Jared's recommendations for preparing new CS</t>
  </si>
  <si>
    <t>Brothers,   Thanks for the valuable information. It will be nice for them to learn from what has been experienced so far. I hope to order many of the site setup things as soon. I will pass on the soil comments to Symon, who has the soil survey</t>
  </si>
  <si>
    <t>Existing Furniture List</t>
  </si>
  <si>
    <t>Compare later when ordering begins</t>
  </si>
  <si>
    <t>Symon, Here is a very detailed list of the home/office equipment already in Lubumbashi. The idea is to avoid buying office and home items for the LSH RTO as much as possible please. This list needs to be kept on file and used when the team come to RSA</t>
  </si>
  <si>
    <t>Dwgs for Construction Teams - 'For Estimating'</t>
  </si>
  <si>
    <t>Correct dwg stamp</t>
  </si>
  <si>
    <t>Greetings   Just a reminder that when we plot hard copy dwgs for construction crews that come into the office (e.g. the Dondo RTO team), the stamp we should put on the dwgs is ‘NOT FOR CONSTRUCTION - ESTIMATING PURPOSES’   The stamp should not</t>
  </si>
  <si>
    <t>Allan, Mark; Washburn, Nathan; McDonald, Darcy</t>
  </si>
  <si>
    <t>Mold</t>
  </si>
  <si>
    <t>How to deal with mold growth in existing rooms [Meeting Minutes]</t>
  </si>
  <si>
    <t>FtH's long-term solution for mold, incl. costs</t>
  </si>
  <si>
    <t>Hi Symon,    For some funny reason part of the email I sent you went missing.    What I wrote in that part was something like:   The existing exhaust fan does 650l/s. When we would build a system like this nowadays we would install 25l/s</t>
  </si>
  <si>
    <t>Coombs, Yolanda; Schiller, Ben; ZMB-ENG-ConstructionCommittee; McDonald, Darcy; Blackman, Innes</t>
  </si>
  <si>
    <t>Surveying elevation off by 80m</t>
  </si>
  <si>
    <t>Hi Nathan I hadn’t forgotten this… just waiting for our dumpy level to turn up… which it still hasn’t… Anyway Greg in maintenance very kindly lent us his personal transit-level and we have been able to establish some of the elevations on site.  </t>
  </si>
  <si>
    <t>How to order Mitek Roof Trusses [ANSWER]</t>
  </si>
  <si>
    <t>Hi Jared,   The official answer (from Mark A. so it’s very official!) is prepare a branch order for the Mitek roof structure package, mention the drawing numbers referenced, and Teresh follows up on it from this end.  Make sense?   Here’s the</t>
  </si>
  <si>
    <t>GHA General Fire Precaution Regulations</t>
  </si>
  <si>
    <t>Don't know if you all have these already, Darcy forwarded them for our reference if not.   SymonBent South Africa RDC M: +261 33 37 012 39  |  T: 2588     -----Original Message----- From: McDonald, Darcy Sent: 10 April 2014 06:59 P</t>
  </si>
  <si>
    <t>Publisher Statistics</t>
  </si>
  <si>
    <t>Symon,   Here is the information you requested.   Thanks Cam   From: Bent, Symon Sent: Thursday, April 10, 2014 4:59 PM To: Thomson, Cameron Cc: Washburn, Nathan; McDonald, Darcy Subject: FW: ZMB RTO Statistics.xlsx   Hi Ca</t>
  </si>
  <si>
    <t>revised water table drainage and civil plans</t>
  </si>
  <si>
    <t>Symon,   Here are the Ghana drawings. I’ve made all the changes we discussed. Let me know if there’s anything else that you find needs adjustment.   Per our discussion, I’ve included the general ‘existing conditions’ site plan that Ryo had put</t>
  </si>
  <si>
    <t>New slopes at Building Platforms Res 3 4</t>
  </si>
  <si>
    <t>Morning Christian,   A clarification about how to apply the in-situ soil wedge!   Symon   From: Hughes, Mike [mailto:Mike.Hughes@WSPGroup.co.za] Sent: 10 April 2014 10:52 AM To: Allan, Mark; Bent, Symon Subject: RE: GHA BEX New slope</t>
  </si>
  <si>
    <t>Luccioni, Robert; Watts, Jeffery</t>
  </si>
  <si>
    <t>Mtg Minutes; Applying new design principles to GHA Long-term project</t>
  </si>
  <si>
    <t> Hi Mallan/Symon,   Thanks for the good conversation today and the new ideas.  I know that you are both aware of these points but just a word of caution on how we approach this project:   ·         Please don’t show the BC any new site layouts</t>
  </si>
  <si>
    <t>Mtg Minutes Applying new design principles to GHA Long-term project</t>
  </si>
  <si>
    <t>Meeting Minutes Date:     2014-04-10 15:00 Att:        RDC:      Symon Bent, Mark Allan, Arthur Crook, John Dovey                 WDC:     Zeny St Jean, Simon Spanner Re:         Applying new design principles to GHA Long-term project  </t>
  </si>
  <si>
    <t>Washburn, Nathan; Thomson, Cameron</t>
  </si>
  <si>
    <t>Concrete Aggregate SDC13563 - Black white Granite</t>
  </si>
  <si>
    <t>WHITE GRANITE will be fine…   Regards, Mark Allan (ZAF-RDC) (REC) Watch Tower Bible and Tract Society of South Africa, NPC. Registration number: 2006/022758/08. PBO number: 930021658   From: Fruciano, Jared Sent: 10 April 2014 12:30 PM</t>
  </si>
  <si>
    <t>McDonald, Darcy; Michalakis, Evangelos</t>
  </si>
  <si>
    <t>Propoerty owner for drawing title</t>
  </si>
  <si>
    <t>Owner of the Property for the RTO projects:   Watch Tower Bible and Tract Society of Ghana, P. O. Box GP 760, Accra      Matt Shears CONSTRUCTION OFFICE GHANA BRANCH   From: Bent, Symon Sent: Thursday, April 10, 2014 7:44 AM</t>
  </si>
  <si>
    <t>Pipes for dewatering rainwater [400mm CONCRETE]</t>
  </si>
  <si>
    <t>Hi Christian,   Here’s the reply from Mike: use the ø400mm concrete pipe please.   Greetings,   SymonBent South Africa RDC M: +261 33 37 012 39  |  T: 2588     From: Hughes, Mike [mailto:Mike.Hughes@WSPGroup.co.za] Sent:</t>
  </si>
  <si>
    <t>New slopes at Building Platforms Res 3 &amp; 4 [APPROVED]</t>
  </si>
  <si>
    <t>Hi Christian,   You can go ahead as you planned and use the in-situ soil for the extra soil wedge.   Greets,   SymonBent South Africa RDC M: +261 33 37 012 39  |  T: 2588       From: Hughes, Mike [mailto:Mike.Hughes@WSP</t>
  </si>
  <si>
    <t>Centurion Access Control Options</t>
  </si>
  <si>
    <t>Please find quotes attached.   Nadia   From: Louis Loots [mailto:Louis.Loots@centurionsystems.co.za] Sent: 09 April 2014 03:29 PM To: Wallace, Nadia Subject: RE: Watchtower Access Control meeting   Good day Nadia,    I hope you</t>
  </si>
  <si>
    <t>draft conceptual review memo ZAF442122</t>
  </si>
  <si>
    <t>Thanks Mark, thorough as always.  Replies below and attached. Symon   From: Allan, Mark Sent: 09 April 2014 02:36 PM To: Bent, Symon Cc: Washburn, Nathan; McDonald, Darcy Subject: FW: GHA Baatsona SKE; draft conceptual review memo ZAF442122</t>
  </si>
  <si>
    <t>Burglar Bars for windows type A, B and C</t>
  </si>
  <si>
    <t>GHA's suggestion for bars</t>
  </si>
  <si>
    <t>Good morning Symon,   Please find enclosed the proposed sketch for burglar bars. The proposed design aims at the following: ·         Accessibility for maintenance and cleaning. ·         Ease of egress in case of emergency. ·         Ae</t>
  </si>
  <si>
    <t>McDonald, Darcy; Washburn, Nathan; Thomson, Cameron; ten Have, Fabian; Schiller, Ben</t>
  </si>
  <si>
    <t>location of Bore Hole</t>
  </si>
  <si>
    <t>Hi Jared,   You can go ahead with the new bore hole location you have proposed.   Greets,   SymonBent South Africa RDC M: +261 33 37 012 39  |  T: 2588   From: Schiller, Ben Sent: 09 April 2014 11:45 AM To: ten Have, Fabia</t>
  </si>
  <si>
    <t>Mech, Civil</t>
  </si>
  <si>
    <t>HDPE Gas line minimum depth [Norm = 1m]</t>
  </si>
  <si>
    <t>Answer below. Symon   From: ten Have, Fabian Sent: 09 April 2014 07:52 AM To: Bent, Symon Subject: RE: GHA BEX; HDPE Gas line minimum depth?   Hi Symon,    Gas we normally put on a 1 meter depth.   Gr,   Fabian  </t>
  </si>
  <si>
    <t>Trial Pit Tests</t>
  </si>
  <si>
    <t>Hi Symon, Here are the pit tests we did.   Soils should be on their way tomorrow.  I’ll send you the tracking info when I get it. Please could you send me the address info again?  My lync session closed down and I lost the address. Thanks, Bri</t>
  </si>
  <si>
    <t>Long-term overview and scope</t>
  </si>
  <si>
    <t>A good overview of workload and personnel from DM</t>
  </si>
  <si>
    <t>Symon: We are presently trying to do work at the same time on the BEX as well as on RTOs and an SKE.  There is some resistance to this already from construction who feel the only way to address the workload of completing these projects simultaneously i</t>
  </si>
  <si>
    <t>Hi Zeny,   I went through the entire scope of the project quite thoroughly with Pieter Briel before he did the ROM estimate so that should remain realistic.  Some of the aspects under the “To Be Confirmed” section are not in the estimate.  Nothing t</t>
  </si>
  <si>
    <t>Bent, Symon; Washburn, Nathan; McDonald, Darcy; ZMB-ENG-ConstructionCommittee</t>
  </si>
  <si>
    <t>Tree holes BACKFILL</t>
  </si>
  <si>
    <t>See attached – the natural soil in Kabompo (if clean and grubbed) will be fine for use as backfill material inside the leftover hole after the tree stump is removed (the sides of the hole will contain the sandy material as you compact it)  </t>
  </si>
  <si>
    <t>Afternoon Zeny,   Here my current planning list covering scope and unclear factors for the GHA long-term project (best viewed in Word outline mode).  I’ve tried to review the entire scope of the project, capturing pending or uncommitted aspects of t</t>
  </si>
  <si>
    <t>DCP Results From The New Water Treatment House [SOLUTION]</t>
  </si>
  <si>
    <t>Hi Christian,   Please proceed as Mark explains below.   Regards,   SymonBent South Africa RDC M: +261 33 37 012 39  |  T: 2588   From: Allan, Mark Sent: 07 April 2014 04:45 PM To: Bent, Symon Subject: GHA BEX DCP Results</t>
  </si>
  <si>
    <t>Thomson, Cameron; Allan, Mark; Washburn, Nathan</t>
  </si>
  <si>
    <t>S-101 Y10 bar count [6 pcs]</t>
  </si>
  <si>
    <t>Here‘s your answer! Symon   From: Reichel, Venessa Sent: 07 April 2014 01:16 PM To: Bent, Symon Cc: Allan, Mark Subject: RE: ZMB Mongu RTO; S-101 Y10 bar count   Sorry Symon, it’s 6 (six)   Tx Venessa   From: Bent, Symon</t>
  </si>
  <si>
    <t>Orientation of Generators in Utility building</t>
  </si>
  <si>
    <t>U saving this one?   Regards, Mark Allan (ZAF-RDC) (REC) Watch Tower Bible and Tract Society of South Africa, NPC. Registration number: 2006/022758/08. PBO number: 930021658   From: Bent, Symon Sent: 04 April 2014 01:11 PM To: Pinon,</t>
  </si>
  <si>
    <t>ZMB-ENG-ConstructionCommittee; McDonald, Darcy; Bent, Symon</t>
  </si>
  <si>
    <t>Retining Wall - Additonal Costs no AO-7 needed</t>
  </si>
  <si>
    <t>Jared, Yes, Symon explained this. Still, let’s not turn in an AO-7 on a project that just started.  Keep track of the work and we’ll see how it affects the overall budget in the end. Thanks, Nathan    From: Fruciano, Jared Sent: Friday</t>
  </si>
  <si>
    <t>Pinon, Christian; Bent, Symon; McDonald, Darcy</t>
  </si>
  <si>
    <t>Request for Quote - Metal Structures for Utility Bldg</t>
  </si>
  <si>
    <t>Dear Brothers    Please use the following reference when placing the order:   Ref: 390405     Regards Teresh Bhana Purchasing      1213       From: InboxPRCH.ZA Sent: 04 April 2014 08:40 AM To: DODIN, Jean-Marc</t>
  </si>
  <si>
    <t>Rebar for brickforce OKAY</t>
  </si>
  <si>
    <t xml:space="preserve">Positive answer below.   Symon   From: Allan, Mark Sent: 04 April 2014 08:21 AM To: Bent, Symon Subject: GHA BEX Rebar for brickforce   Hi Symon,   This request is fine – they may use mild steel 5.5mm bar in place of R6 (which </t>
  </si>
  <si>
    <t>Washburn, Nathan; Chiappetta, Raquel</t>
  </si>
  <si>
    <t>filing drawings for Kabompo and Mongu</t>
  </si>
  <si>
    <t>Hi Cam,   Here you go, this should do the job.  As always with these things please make sure that the AutoCAD drawings are only used for this purpose.  We’ll keep this in mind for future ZMB projects.   Greetings,   SymonBent South Af</t>
  </si>
  <si>
    <t>Sukram, Sarah; Crook, Arthur; Washburn, Nathan</t>
  </si>
  <si>
    <t>MTG Minutes Ideas from John Dovey about GHA Long-term plans</t>
  </si>
  <si>
    <t>Meeting Minutes</t>
  </si>
  <si>
    <t>Meeting Minutes   Re:         Ideas from John Dovey about GHA Long-term plans Date:     2014-04-04 13:00 Att:        AC, SyB, MA, SS, John Dovey   Summary:   Some general comments from John about general layout: ·         Allow</t>
  </si>
  <si>
    <t>Ghana Project Work Group Meeting Minutes</t>
  </si>
  <si>
    <t>Dear Brothers: Notes from our meeting on Monday are attached for your review. Please let me know if any adjustments are needed.   Thank you.   Jeff Watts Worldwide Design/Construction Department  No hard copy will follow. Please retur</t>
  </si>
  <si>
    <t>Salvidge, Mark; SOOBEN, Hans; Crook, Arthur; Washburn, Nathan</t>
  </si>
  <si>
    <t>Choral Studio preliminary spatial layout proposals</t>
  </si>
  <si>
    <t>Meeting Minutes 1</t>
  </si>
  <si>
    <t>Dear brother Elongo,   Here are the minutes for our fruitful discussion about the Choral Studio on Tuesday morning.  Please forward to all involved, and of course feel free to inform me if anything is inaccurate or missing.   Regards,  </t>
  </si>
  <si>
    <t>C-106 2 questions answered</t>
  </si>
  <si>
    <t xml:space="preserve">Hi Christian,   Another fine reply from the master!   Greets, Symon   From: Bent, Symon Sent: 02 April 2014 09:15 AM To: ten Have, Fabian Subject: RE: C-106 2 question   So basically you are saying: Matthew 24:15---“let the </t>
  </si>
  <si>
    <t>Draft soution, final drawings to follow</t>
  </si>
  <si>
    <t xml:space="preserve">Hi Christian,   Please go ahead as you have indicated on your attached sketch.  Keep us posted on any changes or difficulties.  We will begin drafting some proper AFC drawings once the solution is “tried and tested” in the field (and once our civil </t>
  </si>
  <si>
    <t>DCP test for transformer slab area</t>
  </si>
  <si>
    <t>15mm/blow acceptable</t>
  </si>
  <si>
    <t>Hi Christian,   Some sensible advice below.   Symon   From: Allan, Mark Sent: 02 April 2014 02:07 PM To: Bent, Symon Subject: FW: GHA BEX DCP test for transformer slab area   For this kind of a structure, DCP tests of 15mm/blow</t>
  </si>
  <si>
    <t>Swale Elevations and Info</t>
  </si>
  <si>
    <t>Dear Christian / Jean-Marc,   Thank Brandon for his thorough work.  This looks feasible as you have laid it out.  I just had a couple of comments as noted on the marked-up sketch attached:   1.       Manhole SE of Res. 3.3:  looks like the pip</t>
  </si>
  <si>
    <t>P-602 valve questions</t>
  </si>
  <si>
    <t xml:space="preserve">A fine reply below Gents!   Symon   From: ten Have, Fabian Sent: 02 April 2014 09:15 AM To: Bent, Symon Subject: RE: P-602 valve questions   Hi Symon,   I suggest that for the whole grey water system we use butterfly valves. </t>
  </si>
  <si>
    <t>Hi Symon, Find attached the conceptual drawing for dewatering, we added some comments. We verified the elevation to see if it can work, with a 450mm pipe @ 1% slope it will be tight. As soon as you can let us know what we can do, the contractor w</t>
  </si>
  <si>
    <t>Retaining Wall Detail J on S-501</t>
  </si>
  <si>
    <t>Get the sack cloth on my man, get the sack cloth on!   From: Fruciano, Jared Sent: 01 April 2014 04:50 PM To: Bent, Symon Cc: Allan, Mark Subject: RE: ZMB Mongu Retaining Wall Detail J on S-501   I repent in dust and ashes.  I think I sta</t>
  </si>
  <si>
    <t>CISA ELECTRIC STRIKE INFO</t>
  </si>
  <si>
    <t>Please find info from Tim attached.  Nadia From: Tim Allan [mailto:timallan@cisa.co.za] Sent: 01 April 2014 11:33 AM To: Sukram, Sarah Cc: Wallace, Nadia Subject: Fwd: CISA ELECTRIC STRIKE INFO   Sarah   Hi.   How good is your</t>
  </si>
  <si>
    <t>the way forward' (CDP etc)</t>
  </si>
  <si>
    <t>Direction from MA</t>
  </si>
  <si>
    <t>Hi Symon   1.       Could you please compare “Ghana Staffing Survey - 2014-02-15 (3)_FINAL Appr'd by Pub.Comm.xlsx” in folder below and Sarah’s plans (for 380 people), comparing it against Zeny’s Planning Study / PT Report for 300 and see if there’s</t>
  </si>
  <si>
    <t>SKE ZMB0018 AO-7 2 POWER BACK UP</t>
  </si>
  <si>
    <t>CTP Approval</t>
  </si>
  <si>
    <t>Symon, Here is the AO-7. You will forward to Zambia, correct? Thanks, Nathan  _____________________________________________ From: InboxRDCCTPSupport.US Sent: Wednesday, March 26, 2014 3:45 PM To: Finlayson, Gerald Cc: Washburn, Nathan; Morgan</t>
  </si>
  <si>
    <t>Long-term concept review with BC WDC [Minutes from SB]</t>
  </si>
  <si>
    <t>Meeting minutes   With ZJ, JW: ·         ZJ: Straight into CDP, no planning options report.  No too many potential changes, most factors are known.   o   GHA mentioned new housing going up; no one considers outside houses as an option. ·   </t>
  </si>
  <si>
    <t>SAF SWR DWG DESIGN REVIEWS</t>
  </si>
  <si>
    <t>Example of how SWR design review was done, for ref.</t>
  </si>
  <si>
    <t>FYI – what we did for SAF Warehouse   Regards, Mark Allan (ZAF-RDC) (REC) Watch Tower Bible and Tract Society of South Africa, NPC. Registration number: 2006/022758/08. PBO number: 930021658   From: Allan, Mark Sent: 24 January 2014 06</t>
  </si>
  <si>
    <t>Washburn, Nathan; McDonald, Darcy; ZMB-ENG-ConstructionCommittee</t>
  </si>
  <si>
    <t>Crush Results March 19, 2014</t>
  </si>
  <si>
    <t>Mark,   Here is a report on the block making at our Branch.     Block Making Report   Here is what we’re using for making the blocks per mix:   20 Kg (20 liters)  of Lafarge Superset cement (42.5R  CEM II A-L ) 60 Kg (40 liters</t>
  </si>
  <si>
    <t>Elongo, Robert; Moulanier, Gratian; Marriott, Brian; Salvidge, Mark; Allan, Mark</t>
  </si>
  <si>
    <t>COD RTOs Additional soil tests needed</t>
  </si>
  <si>
    <t>Dear Brothers,   We need to ask you to obtain further soil tests for both Kikwit and Lubumbashi RTO properties.  We have attached our most recent guidelines for soil tests, as we suspect that you may have submitted your surveys before we issued this</t>
  </si>
  <si>
    <t>Christian: Andre &amp; I have discussed this and I have filled this information request for your review. This is following the setup we currently have. Please review Tx Matt Shears CONSTRUCTION OFFICE GHANA BRANCH … Dear Brothers: It would be app</t>
  </si>
  <si>
    <t>DODIN, Jean-Marc; Allan, Mark; McDonald, Darcy</t>
  </si>
  <si>
    <t>Mini Sub Station manholes [REPLIES]</t>
  </si>
  <si>
    <t>Dear Christian,   All the replies are below inline.   Regards,   SymonBent South Africa RDC M: +261 33 37 012 39  |  T: 2588       From: Allan, Mark Sent: 30 March 2014 08:13 PM To: Bent, Symon Cc: Bateman, Tristan</t>
  </si>
  <si>
    <t>Utility structure steel, request for Quote</t>
  </si>
  <si>
    <t>Dear Brothers,   We wish to kindly request for a quote for the fabrication of two metal structures as per the attached drawings.   Drawings KM-S-501 and KM-S-502 refer to a Generator Housing and drawings KX-S-501 and KX-S-502 to a Water Treatm</t>
  </si>
  <si>
    <t>Need to review major compaction of foundation soil</t>
  </si>
  <si>
    <t>Thanks Mark, I’ll file this for posterity! Symon   From: Allan, Mark Sent: 28 March 2014 02:58 PM To: Bent, Symon Subject: RE: GHA Viepe RTO Need to review "major compaction" of foundation soil   As discussed – we will use our ‘standard</t>
  </si>
  <si>
    <t>Use our ‘standard’ inverted T-beam footing now</t>
  </si>
  <si>
    <t>As discussed – we will use our ‘standard’ inverted T-beam footing now   Regards, Mark Allan (ZAF-RDC) (REC) Watch Tower Bible and Tract Society of South Africa, NPC. Registration number: 2006/022758/08. PBO number: 930021658   From: Alla</t>
  </si>
  <si>
    <t>Rebar lab tests Approved</t>
  </si>
  <si>
    <t>Morning Christian,   An approval with a proviso from Mark A. below.  Keep us posted.   Greetings,   SymonBent South Africa RDC M: +261 33 37 012 39  |  T: 2588     From: Allan, Mark Sent: 28 March 2014 10:29 AM To: Bent</t>
  </si>
  <si>
    <t>Hi Symon, Hopefully we can get this sorted.. Thanks for your help.   Is there any more we can do?   Greetings.     Neiel PRICE HYPERLINK "mailto:NPrice@bdi.wtbts.net"NPrice@bdi.wtbts.net BURUNDI BRANCH        </t>
  </si>
  <si>
    <t>Various Drawing Queries</t>
  </si>
  <si>
    <t>Replies attached in your original document.  Good questions!   Regards,   SymonBent South Africa RDC M: +261 33 37 012 39  |  T: 2588       From: DODIN, Jean-Marc Sent: 25 March 2014 03:10 PM To: Bent, Symon Cc: Pinon, Ch</t>
  </si>
  <si>
    <t>DODIN, Jean-Marc; McDonald, Darcy; Imai, Masaaki; McKelvey, Jennifer</t>
  </si>
  <si>
    <t>11kV cable termination kit, info for NLBR</t>
  </si>
  <si>
    <t>Hi Christian,   Here’s the necessary information to order the cable termination kits you need.  See Masaaki’s instructions below.  If anything is unclear just give me a call…   Greetings,     SymonBent South Africa RDC M: +261 3</t>
  </si>
  <si>
    <t>Salvidge, Mark; Washburn, Nathan; InboxPRCH.ZA</t>
  </si>
  <si>
    <t>Draft Procurement Plan approved</t>
  </si>
  <si>
    <t>Dear Brothers: We have reviewed the COD Lubumbashi RTO Draft Procurement Plan and have no further comments.  We look forward to reviewing the Final Procurement Plan in due course.  No hard copy will follow. Please return this code in your e-mail if nec</t>
  </si>
  <si>
    <t>Rebar lab tests</t>
  </si>
  <si>
    <t xml:space="preserve">Hello Symon,   Please find enclosed mill certificates for 10, 12 and 16 mm rebar and also a compressed folder containing pictures for two bending test that were required. After the tests the 10mm rebar samples did not show any sign of fracture. </t>
  </si>
  <si>
    <t>Perimeter Wall - Retaining wall section</t>
  </si>
  <si>
    <t>Don't move retainig wall footing</t>
  </si>
  <si>
    <t>Hi Jared,   Just talked this over with Nathan, and we both agree that it would be good to leave the fence at the full extent of the property boundary (as below in sketch) if you can confirm that there are no legal implications for this.  Perhaps dou</t>
  </si>
  <si>
    <t>Salvidge, Mark; Washburn, Nathan; SOOBEN, Hans; Crook, Arthur</t>
  </si>
  <si>
    <t>Dear brother Elongo,   We have attached a preliminary spatial estimate for a new choral studio at your branch as proposed in the memo HDA:HDK February 24, 2014.  Could you circulate the attached options and sizing document among the Branch Committee</t>
  </si>
  <si>
    <t>Washburn, Nathan; Thomson, Cameron; Coombs, Yolanda; Schiller, Ben</t>
  </si>
  <si>
    <t>Type and location of Geotextile for Perimeter Wall</t>
  </si>
  <si>
    <t>Use A3 – more durable   Regards, Mark Allan (ZAF-RDC) (REC) Watch Tower Bible and Tract Society of South Africa, NPC. Registration number: 2006/022758/08. PBO number: 930021658   From: Fruciano, Jared Sent: 26 March 2014 11:30 AM To:</t>
  </si>
  <si>
    <t>Residence footings, high water table solution [DRAFT]</t>
  </si>
  <si>
    <t>Dear Christian / Jean-Marc,   Here is the draft solution for the high water table problems around your new residence buildings.  Could you all take the time to look it over thoroughly and then perhaps we can get together for a conference call this a</t>
  </si>
  <si>
    <t>Washburn, Nathan; Thomson, Cameron; Allan, Mark; Coombs, Yolanda; Schiller, Ben</t>
  </si>
  <si>
    <t>Type and location of Geotextile for Soakaway [Bidim A2 Approved]</t>
  </si>
  <si>
    <t>Hi there Jared,   Here’s your thorough answer from Mark A. (Bless his little cotton socks!)  Happy reading!   Greetings,   SymonBent South Africa RDC M: +261 33 37 012 39  |  T: 2588       From: Allan, Mark Sent: 26 M</t>
  </si>
  <si>
    <t>Demolish and rebuild Zesco Substation Wall</t>
  </si>
  <si>
    <t>Hi Jared,   You can’t go wrong with that suggestion!   Thanks,   SymonBent South Africa RDC M: +261 33 37 012 39  |  T: 2588   From: Fruciano, Jared Sent: 26 March 2014 08:54 AM To: Bent, Symon Cc: Washburn, Nathan; Thoms</t>
  </si>
  <si>
    <t>11kV cable termination kit for Ghana</t>
  </si>
  <si>
    <t xml:space="preserve">Hi Jennifer,   Thank you for your help yesterday. This is the information for the 11kV cable termination kit. What we need is a kit for C-Type M16 connection, cable type is a 3-core, 25 or 35mm2. Perhaps, that is called HV Termination Kit, </t>
  </si>
  <si>
    <t>Brick and CMU Block crush test results CLARIFICATION</t>
  </si>
  <si>
    <t>MAllan's approval!</t>
  </si>
  <si>
    <t>Thanks for the info.   We NEVER take off the hollows when testing – the ‘MPa’ is always calculated on the ‘gross area’   So 475kN over 210 x 95 = 23.8MPa, not 25.7   But it is still a very strong brick. I like it!   Regards, Mar</t>
  </si>
  <si>
    <t>Brick and CMU Block crush test results</t>
  </si>
  <si>
    <t>Hi Symon,  Find our answer below. Greetings   Christian Pinon Ghana Construction Office   From: Bent, Symon Sent: Tuesday, March 25, 2014 11:35 AM To: Pinon, Christian Cc: DODIN, Jean-Marc; McDonald, Darcy; Allan, Mark Subject: F</t>
  </si>
  <si>
    <t>Salvidge, Mark; Washburn, Nathan; Watts, Jeffery</t>
  </si>
  <si>
    <t>COD Choral Studio - Spatial and ROM Estmate</t>
  </si>
  <si>
    <t>Hi Symon,   Thanks for the update and the work.     1)      Seems like the first step is for the RDC to review the bldg. concept and site layout plan with the COD branch.   2)      After you have their comments we could have set up meeting</t>
  </si>
  <si>
    <t>Crook, Arthur; Salvidge, Mark; SOOBEN, Hans; Washburn, Nathan; Allan, Mark</t>
  </si>
  <si>
    <t>Choral Studio Spatial and ROM Estmate</t>
  </si>
  <si>
    <t>Dear Zeny,   Here’s our first take on the COD choral studio.  Arthur and I discussed and agreed the sizing with RAVC here (Olaf assigned Hans Sooben to handle it).  The only comment we all have is that perhaps the waiting area could be reduced, howe</t>
  </si>
  <si>
    <t>McDonald, Darcy; Bateman, Tristan; Washburn, Nathan</t>
  </si>
  <si>
    <t>Hi Symon – I saved the PDF’s in: HYPERLINK "file:///\\bethel.jw.org\zaf\dept\RDC\Engineering\Projects\Ghana\GHA%2004%20-%20Branch%20Expansion%20Phase%201\S4\Struct\Masonry%20Crush%20Tests"H:\RDC\Engineering\Projects\Ghana\GHA 04 - Branch Expansion Phase 1</t>
  </si>
  <si>
    <t>Pinon, Christian; McDonald, Darcy; DODIN, Jean-Marc; Washburn, Nathan; Bateman, Tristan</t>
  </si>
  <si>
    <t>Analysis of CMU (Blocks) Tests EASTERN QUARRIES</t>
  </si>
  <si>
    <t>MAllan's assessment of GHA blocks</t>
  </si>
  <si>
    <t>Greetings – thanks for this. Symon – I saved the results in “20140228 Block Test - Eastern Quarries.pdf” in: HYPERLINK "file:///\\bethel.jw.org\zaf\dept\RDC\Engineering\Projects\Ghana\GHA%2005%20-%20Viepe%20RTO\S3\Struct\Masonry%20-%20Crush%20Tests"H:\RDC</t>
  </si>
  <si>
    <t>Brewster, Darryl</t>
  </si>
  <si>
    <t>Fuentes, Miguel; InboxPRCH.ZA; Schmidt, Linus; Petrino, Paris; McNeill, Jon</t>
  </si>
  <si>
    <t>DOORS - Congo NLBR 6375</t>
  </si>
  <si>
    <t>Hi Van,   Please see the attachment from the door manufacturer.  There is some additional information needed to properly machine for the strike plate so as to match the door.  The areas they need information for are shown in the attachment.  Since t</t>
  </si>
  <si>
    <t>GHA Longterm Option 3a</t>
  </si>
  <si>
    <t>This is the final Option 3a containing all the requests from the GHA BC and CC.   Sorry we missed that one!  Please express my apologies.   SymonBent South Africa RDC M: +261 33 37 012 39  |  T: 2588  </t>
  </si>
  <si>
    <t>ten Have, Fabian; DODIN, Jean-Marc; McDonald, Darcy</t>
  </si>
  <si>
    <t>P-602 pipe diameters</t>
  </si>
  <si>
    <t>Reply below. Symon   From: ten Have, Fabian Sent: 21 March 2014 08:40 AM To: Bent, Symon Subject: RE: P-602 pipe diameters?   Hi Symon,    My comments in red.   Gr,   Fabian   From: Bent, Symon Sent: Friday, Ma</t>
  </si>
  <si>
    <t>DODIN, Jean-Marc; McDonald, Darcy</t>
  </si>
  <si>
    <t>Replies below.   Symon   From: ten Have, Fabian Sent: 21 March 2014 07:52 AM To: Bent, Symon Subject: RE: P-602 valve questions   Hi Symon,   My comments in red below.   Gr,   Fabian   From: Bent, Symon Sent</t>
  </si>
  <si>
    <t>DODIN, Jean-Marc; McDonald, Darcy; Schiller, Ben</t>
  </si>
  <si>
    <t>C-103 S1 Additional Information for Utility Buildings</t>
  </si>
  <si>
    <t>Hi there Christian,   Our apologies!  Our structural man sent you the wrong version without the dimensions… he’s off to Nepal for a holiday, so we can forgive him!   Here’s the correct one!  Please destroy the other one.   Regards,  </t>
  </si>
  <si>
    <t>Coombs, Yolanda; Michalakis, Evangelos; Coombs, Shaun; Bent, Symon; ten Have, Fabian</t>
  </si>
  <si>
    <t>MOZ Dondo WWT Soakaway High Water Table OZONATION</t>
  </si>
  <si>
    <t>Thanks SB. Hi all – seems we are safe…an ozonator is included in all the quotes we have received so far.   Regards, Mark Allan (ZAF-RDC) (REC) Watch Tower Bible and Tract Society of South Africa, NPC. Registration number: 2006/022758/08. PBO n</t>
  </si>
  <si>
    <t>RTO Meeting Minutes #5</t>
  </si>
  <si>
    <t>Dear All, Attached are the meeting minutes from today’s meeting. Robert, feel free to pass on to all BC members. Well done for everyone! LDC oversight: Please note that I REALLY appreciate that this extra work adds to your heavy load but with Jehovah</t>
  </si>
  <si>
    <t>Remote Translation Office Facility Approvals</t>
  </si>
  <si>
    <t>SECTION V—REQUESTING APPROVAL</t>
  </si>
  <si>
    <t>Something strange here…they say the dimensions are 380 x 180, but if you calculate their MPa vs. their crush strength, they are using 390 x 190 as the size? Anyway, if we were to use 380 x 180, area would be smaller, and MPa would be bigger. Average is 4.</t>
  </si>
  <si>
    <t>Ghana—Long-Term Needs for Branch Expansion</t>
  </si>
  <si>
    <t>APPROVED to move forward based on long-term personnel estimates</t>
  </si>
  <si>
    <t>We have been working with the Ghana branch to forecast their future expansion needs. There is an average of over 113,000 publishers in Ghana and growth during the past ten years has averaged 5 percent annually. If growth continues at the same pace, in ten</t>
  </si>
  <si>
    <t>ten Have, Fabian; McDonald, Darcy; Pinon, Christian</t>
  </si>
  <si>
    <t>Revised water connection quotation [APPROVED]</t>
  </si>
  <si>
    <t>Hi Matt,   Size looks fine, price is reasonable given the distance.  Go ahead and place the contact; like you say if you can get it buried deeper then all the better for the future.   One thing you can keep in mind is that they often provide y</t>
  </si>
  <si>
    <t>McDonald, Darcy; Allan, Mark; Bhana, Teresh</t>
  </si>
  <si>
    <t>Revised roof structure quotation from MiTek</t>
  </si>
  <si>
    <t>Afternoon Christian,   Here’s the latest and greatest quotation for your roof trusses from MiTek.  Should help get your NLBR completed.   Greetings,   SymonBent South Africa RDC M: +261 33 37 012 39  |  T: 2588     From: A</t>
  </si>
  <si>
    <t>Brick and CMU Block crush test reusults</t>
  </si>
  <si>
    <t>HI Mark A,   These block test results are the same as for the Viepe/Kikam RTO, the brick tests are new.  However to keep these projects separate here’s the official test results for block and brick crush tests for the GHA 04 BEX project for you to c</t>
  </si>
  <si>
    <t>Revised water connection quotation</t>
  </si>
  <si>
    <t>Hi Symon: Please see the updated cost estimate for the Water Connection at VIEPE. We understand from the material list that they will run a 50mm HDPE from the main road to our junction, and then a 25mm HPDE from Avarkome Junction to our site. For</t>
  </si>
  <si>
    <t>Pinon, Christian; McDonald, Darcy; Allan, Mark; DODIN, Jean-Marc</t>
  </si>
  <si>
    <t>Solid block information</t>
  </si>
  <si>
    <t>Hi Symon: Please attached file, showing 7 different types of block that we had crush-tested.   1. 200 SERIES HOLLOW – HONEYCOMB  2. 200 SERIES HOLLOW – 2 CELL 3. 200 SERIES SOLID 4. 150 SERIES SOLID 5. 150 SERIES HOLLOW – 2 CELL 6.</t>
  </si>
  <si>
    <t>ROM Long-Term Estimates for Branch Expansion</t>
  </si>
  <si>
    <t xml:space="preserve">Thanks very much, PB   ZSJ – see below and attached…   Regards, Mark Allan (ZAF-RDC) (REC) Watch Tower Bible and Tract Society of South Africa, NPC. Registration number: 2006/022758/08. PBO number: 930021658   From: Briel, Pieter </t>
  </si>
  <si>
    <t>Burglar bar options for Residences</t>
  </si>
  <si>
    <t>Hi Christian,   This sounds fine.   Galvanisation is quite cheap in ZAF, currently R.6.10 per kg (your security  bars would be about 15kg/m² I estimate).  I can see it being possible to make something similar to what you currently have for $22</t>
  </si>
  <si>
    <t>DODIN, Jean-Marc; Imai, Masaaki; McDonald, Darcy</t>
  </si>
  <si>
    <t>Fibre optic cable, Request 4193 Lines 240-270</t>
  </si>
  <si>
    <t>Hi Christian,   So here’s your answer:   1.       We can check for you here in ZAF; an example is quoted below. We can match the original cost. 2.       You can look for another supplier in GBR with equivalent spec. and better pricing.  </t>
  </si>
  <si>
    <t>Moore, Benjamin; Washburn, Nathan</t>
  </si>
  <si>
    <t>Electronic Access Control - Product Price Inquiry</t>
  </si>
  <si>
    <t>Dear René,   I have attached the specification and prices for the three different access control systems we would like to try out.  Please could you arrange to order one of each, and then set them up somewhere where we could test them out thoroughly</t>
  </si>
  <si>
    <t xml:space="preserve">Dear Brothers: We have reviewed the Congo (Kinshasa) Kikwit RTO Draft Procurement Plan and have no further comments.  We look forward to reviewing the Final Procurement Plan in due course.  We appreciate your use of the different supplier arrangements </t>
  </si>
  <si>
    <t xml:space="preserve">Dear Brothers: We have reviewed the Ghana Viepe RTO Draft Procurement Plan and have no further comments.  We look forward to receiving the Final Procurement Plan in due course. Thank you for your excellent work to incorporate the available supplier </t>
  </si>
  <si>
    <t>Price of DorTag VI Access Controller</t>
  </si>
  <si>
    <t>Hi Symon   The Product Manager at Sensable Sensors mentioned that the DortagV is no longer available.    The DorTag VI has just been launched. And the price they gave me, R750 excluding VAT, is for the Dortag VI.    Please find info atta</t>
  </si>
  <si>
    <t>De Meyer, Efraim; Imai, Masaaki; Washburn, Nathan; Coombs, Shaun; McDonald, Darcy; Nyberg, Patric; Heyer, Bjoern; Viljoen, Rene; Smith, Jeffrey S; Salvidge, Mark; Coubray, Brian; HIROSE, KAZUMA</t>
  </si>
  <si>
    <t>Installation of network systems in RTO's</t>
  </si>
  <si>
    <t>Brothers:   Firstly, I apologise for only getting these minutes out now.  They should be labelled hours, not minutes.     The question came up what should be included on the AO-6 for RTO’s in the way of network cabling, outlets, etc.   This wa</t>
  </si>
  <si>
    <t>Fuentes, Miguel; Salvidge, Mark; Cruthirds, Nathan; Washburn, Nathan</t>
  </si>
  <si>
    <t>Electrolux NLBR approved</t>
  </si>
  <si>
    <t>Hi Brian,   I’ve attached our reviewed copy with a few suggested changes, mainly updated prices and need to check the duty/tax figures.  Once all these comments are fixed this can go out. Thanks for all the painstaking work to get it sorted out!</t>
  </si>
  <si>
    <t>Washburn, Nathan; Bent, Symon; Morgan, Wendell</t>
  </si>
  <si>
    <t>CHECKED ZMB0021 AO6 1 ZAMBIA KATETE AO-6#1</t>
  </si>
  <si>
    <t>Dear Brothers ~ Thank you for your message. Please find attached the checked ZMB001 AO-6 No. 1 and a separate file for the estimate workbook.  The Project Name has been adjusted slightly. We understand that property was purchased for this RTO so th</t>
  </si>
  <si>
    <t>MITEK Shop drawings OK</t>
  </si>
  <si>
    <t>Teresh – COD Kamina is good to go!   Regards, Mark Allan (ZAF-RDC) (REC) Watch Tower Bible and Tract Society of South Africa, NPC. Registration number: 2006/022758/08. PBO number: 930021658   From: Bent, Symon Sent: 12 March 2014 03:54</t>
  </si>
  <si>
    <t>Schiller, Ben; ten Have, Fabian; Allan, Mark; McDonald, Darcy</t>
  </si>
  <si>
    <t>NLBR GHA4160 Line 80 Ribbon marker barrier tape [OPTIONS]</t>
  </si>
  <si>
    <t xml:space="preserve">Hi Christian,   So to sum it all up, for underground utilities you have the following options:   1.       Can use local plastic mesh/barrier tape (colours still need to be respected.) a.       Storm-water lines                            </t>
  </si>
  <si>
    <t>GHA - High Water Table &amp; Geotech Challenges (URGENT)</t>
  </si>
  <si>
    <t>Mike Hughes' soution</t>
  </si>
  <si>
    <t>Hi all   Good news – Mike Hughes has kindly taken a look at this for us and come up with some good solutions – see yellow below as well as 2-page PDF attached   Bad news – it will involve quite a significant change to the dwgs; so we will need</t>
  </si>
  <si>
    <t>CHECKED GHA0014 AO6 1 GHANA KIKAM RTO</t>
  </si>
  <si>
    <t>Dear Brothers ~ Thank you for your message. Please find attached the checked GHA0014 AO-6 1 and a separate file for the estimate workbook. We adjusted the form to show the translation team language in parenthesis as part of the Project Name.  Pleas</t>
  </si>
  <si>
    <t>Reinaerdt Sound Door offer -RFQ51868 - COD6371 - ID349</t>
  </si>
  <si>
    <t>Hi Brian / Miguel,   All the information you need is in the email below.  I would suggest that you change the glazing and price references in your description, and then attach the relevant parts of the email as a cut-sheet to your NLBR for further d</t>
  </si>
  <si>
    <t>Request to replace the complete Branch key system</t>
  </si>
  <si>
    <t>Hi Nadia,   The first thing I would say is: can we arrange a conference call between us, BDI, and CISA, to see if the problem is a fundamentally unsolvable one or if this documentation issue can be clarified.   Then if necessary we could look</t>
  </si>
  <si>
    <t>Afternoon Mark,   This photo captures the problem well: left is the neighbours home, middle is our wall, right the temp dining room.  A HYPERLINK "file:///\\bethel.jw.org\zaf\dept\RDC\Engineering\Projects\Ghana\GHA%2005%20-%20Viepe%20RTO\S3\Struct"m</t>
  </si>
  <si>
    <t>McDonald, Darcy; DODIN, Jean-Marc; Allan, Mark</t>
  </si>
  <si>
    <t>Roof Structure, Mitek order process, +10%</t>
  </si>
  <si>
    <t>Morning Christian,   MiTek Roof Structure: You can proceed as follows: 1.       Submit the NLBR, allow for 10% increase as noted below.  Double-check your freight and shipping costs from ZAF. 2.       When Teresh receives the NLBR he will requ</t>
  </si>
  <si>
    <t>ZMB RTO Crush test March 6 2014</t>
  </si>
  <si>
    <t xml:space="preserve">Hi Cam,   Reply below.   Symon   From: Allan, Mark Sent: 10 March 2014 08:55 AM To: Bent, Symon Subject: ZMB RTO Crush test March 6 2014   7 days would be 3.1MPa or thereabouts…so getting closer, but technically still under </t>
  </si>
  <si>
    <t>Revised quote from Clotan</t>
  </si>
  <si>
    <t>From: Jardus Smith [mailto:jardus@clotansteel.co.za] Sent: 20 December 2013 01:57 PM To: Bhana, Teresh Cc: Declan Silver Subject: Revised quote from Clotan   Hi Teresh   Thank you for taking the time to come out and visit us yes</t>
  </si>
  <si>
    <t>Q Rafter above wall detail</t>
  </si>
  <si>
    <t>GHA Baatsona SKE information.     _____   Recent photo report attached, a few more photos of the site:                   HYPERLINK "file:///\\bethel.jw.org\zaf\DeptArchive\RDC\Engineering\Projects\Ghana\GHA%2099%20-%20Misc\Accra%20AH%20Main</t>
  </si>
  <si>
    <t>Washburn, Nathan; Bent, Symon; Allan, Mark; Sadler, Shane</t>
  </si>
  <si>
    <t>Crush test March 6 2014</t>
  </si>
  <si>
    <t>Please see another crush test. Another will follow with the material were are using which will add additional strength.   From: Thomson, Bonny Sent: Friday, March 07, 2014 7:31 AM To: Thomson, Cameron Subject: Crush test       Thanks</t>
  </si>
  <si>
    <t>Audio Recording Facilities</t>
  </si>
  <si>
    <t>Thank you for your letter dated FB February 28, 2014, No. 1221, regarding audio recording facilities for your branch. You explain that “after taking into consideration the time to build these offices and the possible additional of other languages to be re</t>
  </si>
  <si>
    <t>Overall site and utility layout plan KM-C-00 [NOT APPROVED FOR CONSTRUCTION]</t>
  </si>
  <si>
    <t>Dear Christian / Jean-Marc,   As you requested some time back here is a 1-page A1 overview of the entire site and the utilities.  This is not an official part of your drawing package and is NOT APPROVED FOR CONSTRUCTION.  Verify all details and meas</t>
  </si>
  <si>
    <t>Bateman, Tristan; Pinon, Christian; DODIN, Jean-Marc; Washburn, Nathan</t>
  </si>
  <si>
    <t>DCP tests (20140228) - Prelim Analysis</t>
  </si>
  <si>
    <t>Hi Darcy and Symon (for sake of speed, I also copy JM and CP)   I am still waiting for info on subsurface drainage from Mike Hughes, but in the meantime, based on the DCP Tests provided, this is what I see:   RESIDENCE PRESENT ELEV. OF PLAT</t>
  </si>
  <si>
    <t>GHA Baatsona SKE Struct Assess</t>
  </si>
  <si>
    <t>Confirmed that TB reviewed concerns</t>
  </si>
  <si>
    <t>From: Bent, Symon Sent: 05 March 2014 02:02 PM To: Allan, Mark Cc: Bhana, Teresh Subject: FW: GHA Baatsona SKE Struct Assess?   Hi Mark,   Sorry, my misunderstanding!  I hereby confirm that the Tristan reviewed the structural concerns that we had</t>
  </si>
  <si>
    <t>McDonald, Darcy; Pinon, Christian; DODIN, Jean-Marc</t>
  </si>
  <si>
    <t>Shower curtains may be okay</t>
  </si>
  <si>
    <t>Symon: I have made the changes on the DPP, as per our discussions.   A couple of notes:   SHOWER COMPARTMENTS Although this may need discussion at CC / BC level, what are your thoughts on the shower compartments being screened off with a</t>
  </si>
  <si>
    <t>Thoughts of RTO speeding up RTO workflow</t>
  </si>
  <si>
    <t>Here’s a few modest thoughts from me.  I don’t know all the “strategic, logistic, pipeline, throughput, acceleration model” lingo yet, but I’ll keep learning!   1.      General: a.      Details matter! That's where the time goes. b.      Afric</t>
  </si>
  <si>
    <t>Pinon, Christian; McDonald, Darcy; Bateman, Tristan</t>
  </si>
  <si>
    <t>Rafter above wall detail</t>
  </si>
  <si>
    <t>Symon: Please the photo below. The wall in question was removed around 2008 and built in between the columns, enlarging the size of the dining room. The photo report may give some other information to assist your Structural dept.   I searched in</t>
  </si>
  <si>
    <t>Washburn, Nathan; De Meyer, Efraim; Imai, Masaaki; Sichela, Misheck</t>
  </si>
  <si>
    <t>SKE Power backup HV option 3 not feasible</t>
  </si>
  <si>
    <t>Dear Simon,   We have reviewed the information and the updated recommendation.  We confirm that we understand and agree with the change in direction (Cam Thomson has also expressed agreement).  Please feel free to continue with your new drawings and</t>
  </si>
  <si>
    <t>Vehicles for RTO's NLBR up front</t>
  </si>
  <si>
    <t>Agreed, Hence why I wrote to Zeny and asked the exception, and he went for it. I will send a memo to COD then… Thanks for your input. Mark   From: Bent, Symon Sent: Tuesday, March 04, 2014 7:41 AM To: Salvidge, Mark Subject: RE: Vehi</t>
  </si>
  <si>
    <t>Risk assessment</t>
  </si>
  <si>
    <t>Ahoy sailor, here you go,   I added for risk – inflationary as well as import duty.    Although it seems that the organization is viewed favourably there seems no clarity as to the exact quantum payable so I added Duty on intermediate goods (u</t>
  </si>
  <si>
    <t>Accessories</t>
  </si>
  <si>
    <t>Towel Rail Substitute</t>
  </si>
  <si>
    <t>Hi Symon and Nathan – as EPC and PO, copying you too… Regards, Mark Allan (ZAF-RDC) (REC) Watch Tower Bible and Tract Society of South Africa, NPC. Registration number: 2006/022758/08. PBO number: 930021658  ______________________________________</t>
  </si>
  <si>
    <t>AO-6 1 Questions, 16% vat allowed</t>
  </si>
  <si>
    <t>Yes, 16% VAT has been allowed an all local items.   Symon   From: Thomson, Cameron Sent: 03 March 2014 03:51 PM To: Bent, Symon Subject: RE: ZAMBIA KATETE RTO AO-6#1 Questions   Yes Thanks     From: Bent, Symon Sent: Mo</t>
  </si>
  <si>
    <t>Petignat, Pierre (ppetignat@mdg.wtbts.net)</t>
  </si>
  <si>
    <t>Busciglio, Dominic (dbusciglio@mdg.wtbts.net); Salvidge, Mark</t>
  </si>
  <si>
    <t>New sub-frames for cooler doors</t>
  </si>
  <si>
    <t>Hi Pierre,   As you can see (far) below you will be receiving some new door sub-frames for the cooler doors.  This should solve the problems with condensation around the doors and the flexing of the walls when the doors open.  As for the condensatio</t>
  </si>
  <si>
    <t>Backfull SOILS TEST - Laterite from AKATSI</t>
  </si>
  <si>
    <t>This is an example of available backfill material in the Viepe area.  Depending on how we decide to do the foundation works for Viepe could this be considered as backfill material?   Symon   From: Shears, Matthew Sent: 28 February 2014 05:09</t>
  </si>
  <si>
    <t>Salvidge, Mark; Allan, Mark</t>
  </si>
  <si>
    <t>Field Sketch CMU Wall tie at Returns &amp; Corners</t>
  </si>
  <si>
    <t>Dear Miguel / Brian,   Please find attached an updated field sketch [S-301-S1] concerning the additional butterfly ties 150mm from ends/corners of walls.  Be sure to attach it to your on-site and as-built drawing set.   Thanks,   SymonBe</t>
  </si>
  <si>
    <t>NEAREST TRANFORMER</t>
  </si>
  <si>
    <t>GHA VIEPE RTO PROJECT Please see the technical information off the side of the transformer currently feeding the site at VIEPE.   Matt Shears CONSTRUCTION OFFICE GHANA BRANCH  _____________________________________________ From: Shears, Ma</t>
  </si>
  <si>
    <t>Reichel, Venessa; Bateman, Tristan</t>
  </si>
  <si>
    <t>CMU Crush results; MA review</t>
  </si>
  <si>
    <t>Hi Symon   For Hollow CMU we want 3.5MPa (3.5N/mm2)…but that should be based on the GROSS area, not the reduced area! Cover sheet says:    Venessa – we need to tweak this paragraph a little – please see me? Should say ‘solid units 7.0MPa, h</t>
  </si>
  <si>
    <t>McDonald, Darcy; Bateman, Tristan; Schiller, Ben</t>
  </si>
  <si>
    <t>Soil condition Res 4 2 - High Water Table</t>
  </si>
  <si>
    <t>Original discussion about high water table problems</t>
  </si>
  <si>
    <t>I must  say, I cannot recall seeing the geotechnical report before…but then again, I have seen so many soils reports the past year or two (for all the different projects like RTO’s) that I cannot say for sure J   Anyway, the report says:        I</t>
  </si>
  <si>
    <t>McDonald, Darcy; DODIN, Jean-Marc</t>
  </si>
  <si>
    <t>Residence 3 DCP tests</t>
  </si>
  <si>
    <t xml:space="preserve">Hi Symon, Find attached some other DCP test for your information.   Christian Pinon Ghana Branch Construction HYPERLINK "mailto:cpinon@gha.wtbts.net"cpinon@gha.wtbts.net Tel: (233) 030 2712 456 Cel: (233) 054 4314 840 ext. 22430 </t>
  </si>
  <si>
    <t>Soil Investigation Report Scanned</t>
  </si>
  <si>
    <t>For your reference this was the soil report that GHA were referring to.   Symon   From: Pinon, Christian Sent: 27 February 2014 03:30 PM To: Bent, Symon Cc: McDonald, Darcy Subject: GHA Scan Report   Hi Symon, For your perusal fi</t>
  </si>
  <si>
    <t>Scanned Report of soil conditions at Res 4 &amp; 4</t>
  </si>
  <si>
    <t xml:space="preserve">Hi Symon, For your perusal find attached the scan copy of the report on soil condition.   Greetings   Christian Pinon Ghana Branch Construction HYPERLINK "mailto:cpinon@gha.wtbts.net"cpinon@gha.wtbts.net Tel: (233) 030 2712 456 </t>
  </si>
  <si>
    <t>Existing Sewage Treatment (JJR)</t>
  </si>
  <si>
    <t>From: St. Jean, Zeny Sent: Tuesday, February 26, 2013 11:49 AM To: Jean-Jacques Richard Cc: Williamson, Bob; Allan, Mark; McDonald, Darcy; Cruthirds, Nathan; ten Have, Fabian Subject: RE: GHA Branch Existing Sewage Treatment   Hello J</t>
  </si>
  <si>
    <t>Washburn, Nathan; Briel, Pieter</t>
  </si>
  <si>
    <t>ZAMBIA KATETE RTO CONCEPTUAL ESTIMATE</t>
  </si>
  <si>
    <t>Hi Simon Attached please find the excel workbook for the Zambia Katete RTO Conceptual Estimate for US$1,542,190 to which Pieter will still need to add the risk factor.  Just one concern – the total value of the imported materials is US$ 885,034 and dut</t>
  </si>
  <si>
    <t>Fuentes, Miguel; InboxPRCH.ZA; Schmidt, Linus; Mosher, Tonya</t>
  </si>
  <si>
    <t>DOORS - Congo NLBR 6375 - RTO Kamina</t>
  </si>
  <si>
    <t>Hi Darryl, how are you?   I’m pleased to say that the much anticipated Spec Sheets for the Lock Cases have finally arrived. Please find them attached, and let me know if you need anything further.   Kind Regards, Van,   Evangelos M</t>
  </si>
  <si>
    <t>Bent, Symon; McDonald, Darcy; Washburn, Nathan; Watts, Jeffery; Schiller, Ben</t>
  </si>
  <si>
    <t>GHA LT EXP - ST Utilities OK for 380 People</t>
  </si>
  <si>
    <t xml:space="preserve">Great – thanks for the update!   From: Allan, Mark Sent: Wednesday, February 26, 2014 2:40 AM To: ten Have, Fabian; Imai, Masaaki; St. Jean, Zeny Cc: Bent, Symon; McDonald, Darcy; Washburn, Nathan; Watts, Jeffery; Schiller, Ben Subject: GHA LT </t>
  </si>
  <si>
    <t>GHA AO-6 #1 Ghana Kikam RTO - RDC Estimate Estimate (2014-02-26 11-41) xls</t>
  </si>
  <si>
    <t>Brothers:   This is the overall estimate for Kikam including the AO6-#1 of approximately $330,000.00   I used the Viepe estimate reducing the size of the office building by two offices.   Please check it over and if you have any comments</t>
  </si>
  <si>
    <t>Risk-Draft__RTO-Viepe_Ghana_01_25February2014 xlsx</t>
  </si>
  <si>
    <t xml:space="preserve">Here you go Mr B   The upper-limit amount is $1,754,317.00 including taxes, duty, etc.   pb </t>
  </si>
  <si>
    <t>InboxPRCH.CD; Michalakis, Evangelos; Crook, Arthur; Chiappetta, Raquel; Tunstall, Hilton; Salvidge, Mark</t>
  </si>
  <si>
    <t xml:space="preserve">Miguel: see below for an important question about the price! Hilton: this info will be valid for other RTOs   _____     Dear brothers,   In reply to your questions about the Reinaerdt Sound Doors: 1.       In the correspondence below </t>
  </si>
  <si>
    <t>AO-6 No.1 review</t>
  </si>
  <si>
    <t>Nathan,   Here is the AO-6 No.1 for Katete for you to review. It is based off the approved DPP. We have also tried to adjust it to reflect what actually was ordered in the beginning  for Kabompo and Mongu. The price is a little more than the o</t>
  </si>
  <si>
    <t>CHECKED ZMB0020 AO6 2 ZAMBIA MONGU RTO AO-6#2</t>
  </si>
  <si>
    <t>Dear Brothers Can you follow on this please Thanks Gerald  _____________________________________________ From: InboxRDCCTPSupport.US Sent: 25 February 2014 10:40 PM To: Finlayson, Gerald Cc: Watts, Jeffery; Washburn, Nathan; Morgan, Wendell S</t>
  </si>
  <si>
    <t>The Governing Body prefers that congregations not own or control property other than what is necessary for congregation meetings. Of course, we understand that exceptions may need to be made from time to time. It is not the role of the congregation to provide housing for publishers, regular pioneers, elders, caretakers, or those who have come to serve where the need is greater. This includes both permanent accommodations, such as houses or apartments, and temporary provisions of any kind. At the discretion of the branch office, exceptions may be made for modest dwellings for traveling overseers, special pioneers, or others in special full-time service provided that those dwellings are in harmony with current organizational directives such as those found in the circular letters HLA:HSE August 28, 2013, No. C_x001E_20974G and HSA:HSE September 11, 2012, No. C-10902S.</t>
  </si>
  <si>
    <t>Pinon, Christian; McDonald, Darcy</t>
  </si>
  <si>
    <t>Creek Elevations</t>
  </si>
  <si>
    <t>Hi Symon,   Please find enclosed a drawing showing some spot elevations at the creek bed.  Hope this helps to determine the course of action for remedial work at the platform for Res 4.2.   Yesterday, the contractor did part of the excavati</t>
  </si>
  <si>
    <t>Maxidor Quote - Ghana</t>
  </si>
  <si>
    <t>Hi Greg, Sarah Sukram mentioned that you were able to meet with Maxidor finally and that the end result was positive; it sounds quite positive for us to use them on our RTOs. Any chance of a quick confirmation in writing, especially point 1,2 &amp; 3 belo</t>
  </si>
  <si>
    <t>Imai, Masaaki; McDonald, Darcy; Pinon, Christian; DODIN, Jean-Marc</t>
  </si>
  <si>
    <t>Current elelctrical connection to site</t>
  </si>
  <si>
    <t>Hi Symon: In response to your questions:  How far is the real cable distance from transformer to site? FROM THE TRANSFORMER TO THE PRESENT SITE CONNECTION IS 409 METERS. Do you already have a permanent cable installed? If so what size (mm²/phase)</t>
  </si>
  <si>
    <t>Meeting Minutes   Re:                         GHA: Dealing with mould growth in existing rooms in Branch [Re-assess solutions] Date:                     2014-02-21 Present:               Nathan C, Ben M, Symon B, Fabian TH   Feedback fro</t>
  </si>
  <si>
    <t>Updated survey information</t>
  </si>
  <si>
    <t>This is the final survey update package from COD for Lubumbashi.  There is an explanation below of how they did it, plus the AutoCAD file is attached.   Tx, Symon   From: Moulanier, Gratian Sent: 21 February 2014 02:34 PM To: Bent, Symon C</t>
  </si>
  <si>
    <t>ZMB10-20 - Booster pumps for Site Set-up</t>
  </si>
  <si>
    <t>Hi Tedd,    Here all ok.   Please see the attachment for the pump I would recommend as booster pump for your rented house.   This is the SAF purchasing info:      Hope this helps,    Fabian   From: Nolan, Todd S</t>
  </si>
  <si>
    <t>Washburn, Nathan; Allan, Mark; Wallace, Nadia</t>
  </si>
  <si>
    <t>Key matrix recommendations from RDC</t>
  </si>
  <si>
    <t>Dear Simon,   Thank you for the quick reply.  We had already prepared a sample matrix to explore a one key solution through CISA.  I have attached it for your reference in case you are curious.  It has 4 expansion cylinders in the matrix.  Additiona</t>
  </si>
  <si>
    <t>END of Phase #1 for GHA VIEPE Project - MEETING MINUTES</t>
  </si>
  <si>
    <t xml:space="preserve">Brothers: Please see the attached minutes from our LYNC meeting this morning, covering the points related to the VIEPE Project. If there are any points that need to be adjusted or added, please let me know. Otherwise, we will proceed on these points </t>
  </si>
  <si>
    <t>Salvidge, Mark; Mukendi, Félicien</t>
  </si>
  <si>
    <t>I just send it.                   Yes it is cm. the ref point is as Mark said: in the middle of the front door of the Depot the ref. mark is in red. He recommend to call it 100.00m. so 100cm for the start represent the point 0. All the over point ar</t>
  </si>
  <si>
    <t>Simple master key system OK</t>
  </si>
  <si>
    <t>Hi Gregory,   So, we talked this one over again in the office, and we are happy to let you to go ahead with your plan for a simple master key system for each RTO.  We would just add the following provisos:   1.       The matrix should be prepa</t>
  </si>
  <si>
    <t>Allan, Mark; Pinon, Christian; McDonald, Darcy</t>
  </si>
  <si>
    <t>DHAWENYA 20140131 LATERITE</t>
  </si>
  <si>
    <t>Good afternoon Symon,   Please thank MA for this quick reply.   The earthwork contractor has finished cutting both platforms and we are now at the required elevation for cut. After proof rolling it looks that the soil at RES 4.2 seems to be so</t>
  </si>
  <si>
    <t>McDonald, Darcy; Allan, Mark; Reichel, Venessa</t>
  </si>
  <si>
    <t>Bending Shedule 3 &amp; 4 identical</t>
  </si>
  <si>
    <t>Dear Christian,   Structural have checked the schedule and the quantities are correct.  However what is confusing maybe is the fact that the schedule for building 4.2 actually contains all the rebar for building 3 footings also, as these are identic</t>
  </si>
  <si>
    <t>Approved fill - Additional Information (Atterburg limits)</t>
  </si>
  <si>
    <t>FYI   Symon   From: DODIN, Jean-Marc Sent: 19 February 2014 03:28 PM To: Bent, Symon Cc: McDonald, Darcy; Pinon, Christian Subject: Approved fill - Additional Information   Hello Symon,   Atterberg limits were missing on the l</t>
  </si>
  <si>
    <t>Thomson, Cameron; Washburn, Nathan; Allan, Mark</t>
  </si>
  <si>
    <t>Updated field sketch KJ-S-501 - perimeter wall filled cores</t>
  </si>
  <si>
    <t>Here’s your answer! Symon   From: Reichel, Venessa Sent: 19 February 2014 08:34 AM To: Bent, Symon Subject: RE: ZMB Kabompo RTO Updated field sketch KJ-S-501 - perimeter wall filled cores   Correct Symon, the note still applies “no bedd</t>
  </si>
  <si>
    <t>Budget risk assessment</t>
  </si>
  <si>
    <t>Symon: Please see our answers…   GHANA VIEPE RTO PROJECT – BUDGET RISK ASSESSMENT   1.       Economic: a.       Import Duty rate? 20% b.      VAT Rate? 17.5% c.       CPI Rate (Inflation)? 13.8% (as of January 2013) d.      Cent</t>
  </si>
  <si>
    <t>Bent, Symon; Allan, Mark; Finlayson, Gerald</t>
  </si>
  <si>
    <t>AO-9 reminders</t>
  </si>
  <si>
    <t>RDC/PO to send AO-9 reminders</t>
  </si>
  <si>
    <t>Brothers, Please see this note from CTP support. I think that it would be best for the POs to handle this. We probably know best when a project is nearing completion. So the memo that CTP support used to send with reminders should now come from us.</t>
  </si>
  <si>
    <t>McDonald, Darcy; ten Have, Fabian; Allan, Mark</t>
  </si>
  <si>
    <t>Proceed with City Water connection find flow rates</t>
  </si>
  <si>
    <t xml:space="preserve">Dear brothers,   We now have a definitive answer from our mechanical discipline and maintenance support: we would like to pursue only the city water connection for Viepe RTO.  Simply put: the borehole water is both salty and contaminated, and would </t>
  </si>
  <si>
    <t>3 Water Tests (City, borehole and well) [USE CITY WATER!]</t>
  </si>
  <si>
    <t>I will add this point to the Project Description document for future reference.  Thanks Fabian!   Symon   From: ten Have, Fabian Sent: 17 February 2014 04:12 PM To: Bent, Symon Cc: McDonald, Darcy; Cruthirds, Nathan Subject: RE: GHA VIEPE</t>
  </si>
  <si>
    <t>AO-6#2 Forgot grease trap, overrun</t>
  </si>
  <si>
    <t>Symon, Agreed.  To go back and change the AO-6 would be a step backward now.  Let’s keep moving forward and handle it as you state. Thanks, Nathan    From: Bent, Symon Sent: Monday, February 17, 2014 2:46 PM To: Washburn, Nathan Cc: Fin</t>
  </si>
  <si>
    <t>Salvidge, Mark; Allan, Mark; Reichel, Venessa</t>
  </si>
  <si>
    <t>Updated field sketch KQ-S-501 - perimeter wall filled cores</t>
  </si>
  <si>
    <t>Dear Miguel,   Please find attached a small field sketch (KQ-S-501) updating a detail on the S-501 drawing.  It shows a change to the perimeter wall – Courses below ground level to be either solid block or filled cores.   Please make sure that</t>
  </si>
  <si>
    <t>Reichel, Venessa; Thomson, Cameron; Washburn, Nathan; Allan, Mark</t>
  </si>
  <si>
    <t>Dear Paul,   Please find attached a small field sketch (KJ-S-501) updating a detail on the S-501 drawing.  It shows a change to the perimeter wall – Courses below ground level to be either solid block or filled cores.   Please make sure that i</t>
  </si>
  <si>
    <t>Ghana new languages Ahanta, Sefwi, Dagbaane and Fanti</t>
  </si>
  <si>
    <t>FYI   From: Crudass, Paul Sent: Friday, February 14, 2014 5:23 PM To: McDonald, Darcy Subject: Announcements   Hi Darcy   1.        Just to let you know that we announced the name change from KHCD to LOCAL DESIGN/CONSTRUCTION DEPARME</t>
  </si>
  <si>
    <t>GHA 04 - MAIN DB ATS PLC Program</t>
  </si>
  <si>
    <t xml:space="preserve">Hi David,   I am sending you PLC program for ATS/Main DB for Ghana branch, which is now being fabricated at Schneider U.K. Please forward this to them so that they can load it on their panel.   Thank you, Masaaki </t>
  </si>
  <si>
    <t>Draft Site Layout</t>
  </si>
  <si>
    <t>Okay, let’s try again.   Symon   From: Salvidge, Mark Sent: 13 February 2014 05:30 PM To: Bent, Symon Subject: RE: COD Kikwit RTO Draft Site Layout   Love yaJ   From: Bent, Symon Sent: Thursday, February 13, 2014 4:30 PM To:</t>
  </si>
  <si>
    <t>Setting up a Project resource for a team of people</t>
  </si>
  <si>
    <t>From: http://answers.oreilly.com/topic/8778-five-quick-tips-for-microsoft-project-2013/   4. Setting up a Project resource for a team of people “Suppose you have a team of people with the same skill set, such as a painting crew. If you don’t care</t>
  </si>
  <si>
    <t>Agree to use DOM for locks and hardware</t>
  </si>
  <si>
    <t>HI there Christian,   Just to ease your concern we see no problem to change to another manufacturer.  DOM was already investigated during the design time and we can specify their lock-cases instead.  Architectural are already working on it, and we s</t>
  </si>
  <si>
    <t>Municipal water quality, NC approves</t>
  </si>
  <si>
    <t>Hi Fabian, Yes we can put the appropriate options on the oven and dishwasher to care for this.  Can you get another water sample brought back to the office for us to test.  The chloride, pH, and conductivity put us off the Electrolux chart, particularl</t>
  </si>
  <si>
    <t>Washburn, Nathan; Salvidge, Mark</t>
  </si>
  <si>
    <t>Sikagard 63N - Application Tips</t>
  </si>
  <si>
    <t>Dear brothers,   Please could you add these 2 documents to your Structural P/S catalogues?   Many thanks,   SymonBent South Africa RDC M: +261 33 37 012 39  |  T: 2588 :: Watch Tower Bible and Tract Society of South Africa, N</t>
  </si>
  <si>
    <t>Washburn, Nathan; Cruthirds, Nathan; ten Have, Fabian; ZMB-ENG-ConstructionCommittee</t>
  </si>
  <si>
    <t>Water samples</t>
  </si>
  <si>
    <t xml:space="preserve">Symon,   Here are the results on the tests of  water samples from the Katete RTO site. Do you want them sent  as well officially in a memo?   Thanks Cam Thomson Zambia Construction Projects 0964302509   </t>
  </si>
  <si>
    <t>Moore, Benjamin</t>
  </si>
  <si>
    <t>Meeting Minutes   Re:                         GHA: Dealing with mould growth in existing rooms in Branch Date:                     2014-02-12 Present:               Nathan C, Ben M, Darcy M, Symon B, Fabian TH   Background: See HYPERL</t>
  </si>
  <si>
    <t>Gerhard, Christian</t>
  </si>
  <si>
    <t>ZAF-RDC Master key system for GHA branch, DOM vs CES</t>
  </si>
  <si>
    <t>DEU approve use of DOM locks and cylinders</t>
  </si>
  <si>
    <t>Dear Symon   I have checked with our brothers here at the branch. They use CES and are very happy with it. According to the brother DOM seems to be a little more expansive and the reputation is good although we do not have experience with it.</t>
  </si>
  <si>
    <t>DODIN, Jean-Marc; Salvidge, Mark; McDonald, Darcy; Schiller, Ben; Allan, Mark</t>
  </si>
  <si>
    <t>Afternoon Christian,   To conclude our review of the Soilguard termite treatment vs the recommended Premise SC, we have the following comments.  Below is a quotation from a professional in the industry regarding the two products, that sums up well t</t>
  </si>
  <si>
    <t>Borehole Drilling Report</t>
  </si>
  <si>
    <t>HI Fabian, here is the final borehole report for GHA Viepe RTO project.  We’ll deal with their AO-6 questions once you have done your final analysis.   Symon   From: Shears, Matthew Sent: 13 February 2014 11:45 AM To: Bent, Symon; McDonald,</t>
  </si>
  <si>
    <t>ZMB CISA New Keying System</t>
  </si>
  <si>
    <t xml:space="preserve">Hi Gregory   We trust you are doing well.   In the last week, we have met with both CISA and the RDC Office. The discussion circled around concerns that have been raised regarding newly installed cylinders that are failing on CISA systems. </t>
  </si>
  <si>
    <t>Viepe Drilling Report</t>
  </si>
  <si>
    <t>Symon: We have received the written report from the bore hole company. They plan to follow up with a proposed treatment design and cost, for our consideration.   A QUESTION Are we going to make a decision on the water supply and proceed with i</t>
  </si>
  <si>
    <t>Price Request_Ref 927 Roof vapour barrier Monarperm Plus vs Klober Permo Forte [APPROVED]</t>
  </si>
  <si>
    <t xml:space="preserve">Hi Christian,   Please see below.   Tx,   SymonBent South Africa RDC M: +261 33 37 012 39  |  T: 2588       From: Sukram, Sarah Sent: 13 February 2014 07:57 AM To: Bent, Symon Cc: McDonald, Darcy; ten Have, Fabian </t>
  </si>
  <si>
    <t>ERG Review master key system for GHA, MOZ and future RTOs</t>
  </si>
  <si>
    <t>For your reference a summary of both meetings is included below: ******   ERG: Review master key system for GHA, MOZ and future RTOs =====   Friday, Feb 12, 2014 Conference Room Level 5 Present: Teresh B, Nadia W, Sarah S, Symon B,</t>
  </si>
  <si>
    <t>Meeting Minutes with CISA - Problems with master key systems reliability</t>
  </si>
  <si>
    <t>Meeting with CISA   Re:                         Problems with CISA master key systems; reliability of cylinders Date:                     2014-Feb-12 Present:               RDC: Ben Moore BM, Symon Bent SB, Nathan Cruthirds NC PUR: Teresh B</t>
  </si>
  <si>
    <t>McDonald, Darcy; Pinon, Christian</t>
  </si>
  <si>
    <t>Test Results for Approved Fill</t>
  </si>
  <si>
    <t>Good afternoon Symon,   We are sending for your review and comments two test results for approved fill material. The samples were taken from two different piles but at the same borrow pit, called Dhawenya. Material from this site was formerly app</t>
  </si>
  <si>
    <t>Table of all ZAF supplied Key Systems</t>
  </si>
  <si>
    <t>Dear Brothers   As requested, please find attached a table with all the information I could find on the Key Systems in Africa that we have been, or will possibly be, involved with.   Kind Regards,   NadiaWallace Purchasing M: 71-2</t>
  </si>
  <si>
    <t>Sika MaxMix acceptable as mortar plasticiser [APPROVED]</t>
  </si>
  <si>
    <t>Dear brothers,   Please note the approval from structural below.   Regards,   SymonBent South Africa RDC M: +261 33 37 012 39  |  T: 2588     From: Allan, Mark Sent: 11 February 2014 06:28 PM To: Bent, Symon Cc: McDona</t>
  </si>
  <si>
    <t>Imai, Masaaki; De Meyer, Efraim; Allan, Mark; Pinon, Christian; McDonald, Darcy</t>
  </si>
  <si>
    <t>Project Ref 389 - Change model to V400C2 SDMO Generator (was V375C2)</t>
  </si>
  <si>
    <t>Dear brothers,   I have checked with the brothers responsible, and we confirm that the order can go ahead.  Thank you for checking!   Warm greetings,   SymonBent South Africa RDC M: +261 33 37 012 39  |  T: 2588 - Watch Tower</t>
  </si>
  <si>
    <t>GHA Batch plant and reroute stormline [APPROVED]</t>
  </si>
  <si>
    <t>_x000D_Afternoon Christian,   We all looked this over and your proposal makes  a lot of sense.  Pl</t>
  </si>
  <si>
    <t>Quotation from RCP for 2 5m box culvert</t>
  </si>
  <si>
    <t>_x000D_Christian / Jean Marc,   Here’s a standard quote from RCP for the 2.5 x 2.5 culvert elements.  It wo</t>
  </si>
  <si>
    <t>Bent, Symon; Bateman, Tristan; Washburn, Nathan</t>
  </si>
  <si>
    <t>RTO PS Cats - New Way to 'Divide'</t>
  </si>
  <si>
    <t>_x000D_Hi Venessa. To help Purchasing ‘wade through’ our PS Cats, we will now split them into ‘2 sections’:   SECTION 1 – this will be ‘PRODUCTS’ that need to be ordered e.g. Sika Top-Seal 107, Hilti HPS-1 anchors, Valmatex mesh etc. That way Purchasing ca</t>
  </si>
  <si>
    <t>Damage unloading the Generator zy458</t>
  </si>
  <si>
    <t>From: Cruthirds, Nathan Sent: Monday, February 10, 2014 11:04 AM To: PERROT Jacques Cc: Jean-Charles Ascoet ; Marie-Josee Graton; Helweg, Arjen; Dorp, Jethro van; Moore, Benjamin; De Meyer, Efraim; Imai, Masaaki Subject: FW: Damage unloadin</t>
  </si>
  <si>
    <t>McDonald, Darcy; Pinon, Christian; Schiller, Ben</t>
  </si>
  <si>
    <t>CAD Civil Drawings; Excel tables instead</t>
  </si>
  <si>
    <t>_x000D_Morning Jean-Marc,   I did ask about this last week and as an office policy we don’t usually send C</t>
  </si>
  <si>
    <t>Earth Works Contract understanding</t>
  </si>
  <si>
    <t>_x000D_The understanding is correct.   Isaac Y. Akrong Tel: 22001/0544346884       From: Ben</t>
  </si>
  <si>
    <t>Pinon, Christian; Leigh, Mark; Darby, Julie; Hardy, Stephen; Bent, Symon; McDonald, Darcy</t>
  </si>
  <si>
    <t>Watchtower_GHA_Power House Main DB Ref_591_Rev 8</t>
  </si>
  <si>
    <t>_x000D_Hi David,   Sorry to be late responding on this, since I just came back from my visit to an</t>
  </si>
  <si>
    <t>Slay, Christopher</t>
  </si>
  <si>
    <t>Union Locks - Union's Offer</t>
  </si>
  <si>
    <t>_x000D_Hi Simon,   Hope things are well.  I thought it good to forward Tareyton’s comments regarding the lock matters—y</t>
  </si>
  <si>
    <t>Michalakis, Evangelos; Washburn, Nathan; Thomson, Cameron</t>
  </si>
  <si>
    <t>Inquiry Desk Options, Number 1950</t>
  </si>
  <si>
    <t>_x000D_Hi Jared,   I just checked with my good friend Van, and 48” would match nicely with the original specification.  Go for it!   Regards,   SymonBent South Africa RDC M: +261 33 37 012 39  |  T: 2588   From: Fruciano, Jared Se</t>
  </si>
  <si>
    <t>McDonald, Darcy; Briel, Pieter</t>
  </si>
  <si>
    <t>CONCEPTUAL ESTIMATE - Structural Info</t>
  </si>
  <si>
    <t>_x000D_Please see “GHA Viepe - Soils Analysis &amp; Foundation Type.msg” in HYPERLINK "file:///\\bethel.jw.org\zaf\dept\RDC\Engineering\Projects\Ghana\GHA%2005%20-%20Viepe%20RTO\S3\Struct"H:\RDC\Engineering\Projects\Ghana\GHA 05 - Viepe RTO\S3\Struct   Some ma</t>
  </si>
  <si>
    <t>Seabrook, Celeste</t>
  </si>
  <si>
    <t>Bhana, Teresh; Nudd, Don; Michalakis, Evangelos; Bent, Symon; Fruciano, Jared; Fruciano, Marisa</t>
  </si>
  <si>
    <t>Inquiry Cabinets, Number 1941</t>
  </si>
  <si>
    <t>_x000D_Dear Brothers,   We have received the drawings with the adjustments to some of the sizes.  The drawings that were previously sent were only for a reference of what was priced out previously for the other RTO currently being built.  We have not recei</t>
  </si>
  <si>
    <t>Municipal water quality</t>
  </si>
  <si>
    <t>Hi Nathan,   Please find attached the water test results of the municipal supply for our RTO in Ghana Viepe.   To me it all looks good. It is not the best water, but it is ok for consumption.   I see that the hardness is more than the sp</t>
  </si>
  <si>
    <t>Reichel, Venessa; Salvidge, Mark; Coombs, Shaun</t>
  </si>
  <si>
    <t>BIO System - No Orenco Filter</t>
  </si>
  <si>
    <t>FYI   Regards, Mark Allan (ZAF-RDC) (REC)   From: Allan, Mark Sent: 04 February 2014 08:18 AM To: Reichel, Venessa Cc: Salvidge, Mark Subject: RE: BIO System - No Orenco Filter?   Oops. Please arrange for this to be fixed ASAP be</t>
  </si>
  <si>
    <t>Gable wall support method do not affect vapour barrier</t>
  </si>
  <si>
    <t>_x000D_Hi Symon,   The building envelop, the area of the building which will have the vapou</t>
  </si>
  <si>
    <t>Concrete Recipes 25 and 30 mpa</t>
  </si>
  <si>
    <t>_x000D_Hi Symon,   We are forwarding 2 concrete mix designs (25 and 30 mpa targets) for review and comments. You wil</t>
  </si>
  <si>
    <t>Soil Platforms Embankments Compaction - guidelines, tips</t>
  </si>
  <si>
    <t xml:space="preserve">_x000D_Dear brothers,   Mark A. thoughtfully found an excellent document that will help a </t>
  </si>
  <si>
    <t>DODIN, Jean-Marc; McDonald, Darcy; Allan, Mark</t>
  </si>
  <si>
    <t>Bending Schedule for S-102 missing</t>
  </si>
  <si>
    <t>_x000D_Morning Christian,   The missing bending sheet is attached.   Greets,   SymonBent South Af</t>
  </si>
  <si>
    <t>McDonald, Darcy; Allan, Mark; Crook, Arthur</t>
  </si>
  <si>
    <t>Ecostore Premium refrigerator R134a gas (cutsheet)</t>
  </si>
  <si>
    <t>Dear Neill,   We checked your recommendation below and yes, there is definitely a R134</t>
  </si>
  <si>
    <t xml:space="preserve">_x000D_Hi Matt, Just checking up on this one: any news on the solid block crush tests?   Regards,   </t>
  </si>
  <si>
    <t>Allan, Mark; Tunstall, Hilton; Cruthirds, Nathan; Luccioni, Robert; Bent, Symon; Henderson, Phillip</t>
  </si>
  <si>
    <t>Main entrance Electronic entry door locks can be considered</t>
  </si>
  <si>
    <t>_x000D_Zeny, We will look into it.  However, the reasoning that they use actually goes against what they first said, that they wanted to have a simple system with only one entry key.  Now they will have a card to get in the building and a key to open the door</t>
  </si>
  <si>
    <t>McDonald, Darcy; Allan, Mark; Washburn, Nathan</t>
  </si>
  <si>
    <t>Master Key System - Replacement options</t>
  </si>
  <si>
    <t>_x000D_Hi Tara,   Sorry for the frustrations with this one; this has been a long, challenging process I’m s</t>
  </si>
  <si>
    <t>Burglar bars, current ideas</t>
  </si>
  <si>
    <t>Rapid release from inside, yet burglar proof… this is going to be challenging!   From: Allan, Mark Sent: 27 January 2014 04:10 PM To: Crook, Arthur; Sukram, Sarah Cc: Washburn, Nathan; Coombs, Shaun; Tunstall, Hilton; Bent, Symon Subject: RE: B</t>
  </si>
  <si>
    <t>Washburn, Nathan; Coombs, Shaun; Tunstall, Hilton; Bent, Symon</t>
  </si>
  <si>
    <t>Concerns about fire exit thru Burglar bars</t>
  </si>
  <si>
    <t>Just keeping all the comments together…HT mentioned the point below in grey   Regards, Mark Allan (ZAF-RDC) (REC)   From: Crook, Arthur Sent: 27 January 2014 02:53 PM To: Sukram, Sarah; Allan, Mark Cc: Washburn, Nathan; Coombs, Shaun; T</t>
  </si>
  <si>
    <t>Madagascar KHPO Report December 2013</t>
  </si>
  <si>
    <t>The RDC oversight group has reviewed the Projects Overseer Report for the Madagascar Kingdom Hall program, dated December 2-20, 2013. We would like to thank the Madagascar Branch Committee and the Kingdom Hall Construction Desk for their continued support</t>
  </si>
  <si>
    <t>Tunstall, Hilton; Bateman, Tristan; McDonald, Darcy; Washburn, Nathan; Salvidge, Mark; Bent, Symon</t>
  </si>
  <si>
    <t>MWI Chintheche Brick wall Bonding options (use R6 L-bars)</t>
  </si>
  <si>
    <t>Typical detail</t>
  </si>
  <si>
    <t>Hi Shaun (I copy other PO’s and EPC’s too for their info)   SUBMITTAL FROM SITE:       STRUCTURAL COMMENTS:   In the past we have spec'd R6 bars as suggested as a connection between cross wall. It is in theory not a bad idea. Howev</t>
  </si>
  <si>
    <t>Original Generator commisioning plan</t>
  </si>
  <si>
    <t>Was planned for April, postponed due to material damage and delays</t>
  </si>
  <si>
    <t>Symon, It would be best for you to handle this as EPC.  Looks like we want to make a commissioning visit for the generators only in late April. Could you get with ZMB CC on this?  You were copied on ZMB’s original request. Thanks, Nathan   </t>
  </si>
  <si>
    <t>RTO Fibre Optic Splicing won`t be necessary anymore for new projects</t>
  </si>
  <si>
    <t>Great!   From: De Meyer, Efraim Sent: 22 January 2014 08:11 AM To: Bent, Symon; Tunstall, Hilton Subject: RTO Pre-construction Meeting Minutes   Dear EPC brothers,   In some pre construction meetings it was said under commissioning :</t>
  </si>
  <si>
    <t>GHA Viepe-Kikam RTO</t>
  </si>
  <si>
    <t>Roof cover and Mitek structure in Marine environment Vapour barrier</t>
  </si>
  <si>
    <t xml:space="preserve">_x000D_Greetings all – please see below and attached?   Seems they </t>
  </si>
  <si>
    <t>CPP Approval; Property Purchase and Residence Options</t>
  </si>
  <si>
    <t>In their memorandum to the Worldwide Design/Construction Department (WDC), REA:REG November 29, 2013, South Africa confirmed the property purchase for the Kikwit Remote Translation Office (RTO), which was approved in our letter HPA:HT November 14, 2013, N</t>
  </si>
  <si>
    <t>Nordin, Timothy; Washburn, Nathan; McDonald, Darcy</t>
  </si>
  <si>
    <t>Culvert &amp; Temp Development of Adj Plot</t>
  </si>
  <si>
    <t>_x000D_So…the Culvert is no longer under GHA 04…it will have its own AO-6 as explained below   New AO-6 #1 (</t>
  </si>
  <si>
    <t>AO-6 Refrigerated Container, Branch Request GHA-4184</t>
  </si>
  <si>
    <t>Add to next AO-6</t>
  </si>
  <si>
    <t>In summary:   Track costs of this Refrigerated Container and add to next AO-6 #2 for GHA 04 Short Term EXP, as is going to be done with the costs for Car Park Offices   Regards, Mark Allan (ZAF-RDC) (REC)   From: McDonald, Darcy Sent: 17 January</t>
  </si>
  <si>
    <t>AO-6 Offices in Car Park</t>
  </si>
  <si>
    <t>In summary:   USD 40,000-45,000 for this work is being tracked now; add these ‘Car Park Offices’ costs later to AO-6 #2 for GHA 04 Short Term when (if) it comes (along with Refrigerated Container – see separate e-mail)   We are enclosing exist</t>
  </si>
  <si>
    <t>AO-6 Temp Development Adj Branch Property AND Culvert</t>
  </si>
  <si>
    <t>In summary:   New AO-6 #1 (separate from GHA 04 Short Term EXP – see # below) will be generated for both the Culvert Project and Temporary Works – USD 800,000 MSL for culvert was approved (conceptual); USD 78,000 is needed for the Temporary Developm</t>
  </si>
  <si>
    <t>Perc tests are too fast for leech field</t>
  </si>
  <si>
    <t xml:space="preserve">_x000D_Mark Allan has done all the research on this…   Ben </t>
  </si>
  <si>
    <t>Elec, MTO</t>
  </si>
  <si>
    <t>_x000D_Meeting Minutes 30/12/2013 10:30am   Attendees:   Purchasing – Teresh Bhana; McKelvey Jennifer; Rojo Montiel Josué; RDC - Bent, Symon; De Meyer Efraim, McDonald Darcy   RE: RTO MTOs  Introduction: Minimum order quantities are often a problem w</t>
  </si>
  <si>
    <t>RTOs - AC's submittals, Daikin instead of Mitsubishi</t>
  </si>
  <si>
    <t>Could we not just send this out as one master memo, copy to all?   From: ten Have, Fabian Sent: 27 December 2013 03:27 PM To: Tunstall, Hilton Cc: Bent, Symon Subject: RTO's - AC's submittals, Daikin instead of Mitsubishi   H:   Tha</t>
  </si>
  <si>
    <t>Codes</t>
  </si>
  <si>
    <t>OCS Minutes Project Description and Site Layout</t>
  </si>
  <si>
    <t>_x000D_Answers to fire code questions   From: Shears, Matthew Sent: 02 January 2014 01:26 PM T</t>
  </si>
  <si>
    <t>CPP approval Swahili (Congo) Language</t>
  </si>
  <si>
    <t xml:space="preserve">USD 1,625,000 </t>
  </si>
  <si>
    <t xml:space="preserve">This is in response to South Africa’s memorandum REA:REG November 25, 2013, that proposed constructing a remote translation office (RTO) for Swahili (Congo) on a portion of the Lubumbashi Assembly Hall property. We understand that your Branch Committee and the South Africa Regional Design/Construction Department (RDC) are in agreement with this proposal. The parcel that is available ap-pears to be of adequate size. However, the permitted uses should be confirmed since it is zoned “Residential” according to Item 38 on the Property Evaluation (CN 27) form. If it is determined that the required use is allowable as-of-right or readily obtainable, we agree to develop the RTO on this property since it is already owned by the organization, and you are approved to work with the South Africa Regional Design/Construction Department (RDC) to develop a five-team standard plan facility.  We understand that the upper limit cost for this project will be USD 1,625,000 </t>
  </si>
  <si>
    <t>Mold Presence In Residence Rooms</t>
  </si>
  <si>
    <t>We are writing to bring to your attention a problem we have with mold growing in our Residence and Office buildings. It is presently on most of the room walls, also it is on the room ceilings along with the bathroom tiles and ceilings. We can also find it</t>
  </si>
  <si>
    <t>Mech, Mold</t>
  </si>
  <si>
    <t>To be handled in phase 2; add costs!</t>
  </si>
  <si>
    <t>Unfortunately, we do not have a definitive medical diagnosis that mold is causing their symptoms. Our doctor at Bethel considers mold to be highly probable as a reason for certain illnesses that some are experiencing. He mentioned that twice in the past two weeks patients have suspected mold after trying to eliminate other possible causes. With a very strong mold smell and seeing it in various locations in Bethel both in residence rooms and offices, it is very difficult to ignore a possible connection after repeated Bethelites are facing similar illnesses.</t>
  </si>
  <si>
    <t>BOA:BMB</t>
  </si>
  <si>
    <t>Switching From Window Air Conditioner Units to Split Units</t>
  </si>
  <si>
    <t>History of window unit chage</t>
  </si>
  <si>
    <t>We will be very happy if you add the Residence 1 window units’ replacements to the budget. We look forward to hearing from you on this.</t>
  </si>
  <si>
    <t>In most of the rooms now, the water from the air conditioner drains into the room staining the walls with some brownish water because the casing for the air conditioners are rusted and cannot drain properly the water from the condensation. We have researched through our Primary Purchasing Branch and other markets in Europe, USA and China/Hong Kong and we could not find any suitable brand that may serve our purpose. The air conditioner manufacturers made known to us that they are moving away from window units to split units and so it will be very difficult for them to support us. The responses were the same everywhere we turned to for assistance. Also the limited options we had when we researched in China/Hong Kong market, the window units were either bigger than our existing slots in the wall or the quality is very low.</t>
  </si>
  <si>
    <t>HSA:HSE</t>
  </si>
  <si>
    <t>Making Letters to Elders Available in Additional Languages</t>
  </si>
  <si>
    <t>Branch offices that use jw.org to provide letters to all elders may find it practical to have the Service Department publish letters in additional languages on jw.org even if there are no congregations established in those languages. The Branch Committee is responsible to determine the language(s) in which such letters are made available on jw.org after taking into consideration the number of special full-time servants who are not yet fluent in the language(s) of the country. If an appointed elder serving in your branch territory has access to a computer and the Internet, the local domain administrator of the congregation to which the elder is assigned should create an account for him on the local congregation domain. (See letter to all bodies of elders dated September 6, 2011.) This step will enable the elder to view letters and forms in all the languages the branch office has decided to make available. An elder should only have access to documents made available to him by his assigned congregation in the territory of the branch office in which he is serving. If an elder is deleted or moves to another congregation, his access to the local congregation domain should be removed by the local domain administrator.</t>
  </si>
  <si>
    <t>Test</t>
  </si>
  <si>
    <t>Laundry</t>
  </si>
  <si>
    <t>Report</t>
  </si>
  <si>
    <t>Guidelines</t>
  </si>
  <si>
    <t>AC</t>
  </si>
  <si>
    <t>DC-44</t>
  </si>
  <si>
    <t>Collaboration</t>
  </si>
  <si>
    <t>TDM</t>
  </si>
  <si>
    <t>CCP</t>
  </si>
  <si>
    <t>DC-51</t>
  </si>
  <si>
    <t>Workflow</t>
  </si>
  <si>
    <t>Lesson</t>
  </si>
  <si>
    <t>POR</t>
  </si>
  <si>
    <t>DP</t>
  </si>
  <si>
    <t>Internet</t>
  </si>
  <si>
    <t>Metalwork</t>
  </si>
  <si>
    <t>civil</t>
  </si>
  <si>
    <t>design</t>
  </si>
  <si>
    <t>Solar</t>
  </si>
  <si>
    <t>TV</t>
  </si>
  <si>
    <t>Vehicle</t>
  </si>
  <si>
    <t>PWG</t>
  </si>
  <si>
    <t>Plaster</t>
  </si>
  <si>
    <t>DC-4</t>
  </si>
  <si>
    <t>DC-50</t>
  </si>
  <si>
    <t>Earthworks</t>
  </si>
  <si>
    <t>safety</t>
  </si>
  <si>
    <t>Municipality</t>
  </si>
  <si>
    <t>HVAC</t>
  </si>
  <si>
    <t>Salto</t>
  </si>
  <si>
    <t>CN-23</t>
  </si>
  <si>
    <t>Keen, Anthony</t>
  </si>
  <si>
    <t>Mokhali, Mosiuoa</t>
  </si>
  <si>
    <t>Lindstrom, Carl-Johan; Prinsloo, Jurie; Bent, Symon</t>
  </si>
  <si>
    <t>ZAF LDC - ZWE Bulawayo</t>
  </si>
  <si>
    <t>Design Concept options for RTO</t>
  </si>
  <si>
    <t>Mokhali,   Please could you review these properties and have someone provide a recommendation on each one to determine if either can cater for a 5 project team? Also, include any observations, concerns, recommendations on what further investigation</t>
  </si>
  <si>
    <t>COD NGA Fire Trucks--Trip to Alabama; COD Concerns</t>
  </si>
  <si>
    <t>GHA 05 Viepe RTO</t>
  </si>
  <si>
    <t>GHA 06 Kikam RTO</t>
  </si>
  <si>
    <t>GHA 07 Kumasi RTO</t>
  </si>
  <si>
    <t>D1</t>
  </si>
  <si>
    <t>D1-Implementation</t>
  </si>
  <si>
    <t>D2</t>
  </si>
  <si>
    <t>D2-Commissioning</t>
  </si>
  <si>
    <t>Abbreviation</t>
  </si>
  <si>
    <t>Expanded</t>
  </si>
  <si>
    <t>GHAR05</t>
  </si>
  <si>
    <t>GHAR06</t>
  </si>
  <si>
    <t>GHAR07</t>
  </si>
  <si>
    <t>Bi-fold gate options and cutsheets</t>
  </si>
  <si>
    <t>DODIN, Jean-Marc; Shears, Matthew; Bent, Symon; GHA-PRCH-Overseer; Bart-Plange, John Ekow</t>
  </si>
  <si>
    <t>Conceptual Drawings for local QS Quote</t>
  </si>
  <si>
    <t>Hi Kataali,     Thank you for coming for yesterday’s meeting. As we discussed, here are the drawings that  will need to provide a quote for  consultant and QS work.  We will look for 3 different quotes:   1.      Creek Repair Project</t>
  </si>
  <si>
    <t>McMurtry, Darren Robin</t>
  </si>
  <si>
    <t>Looks like there was this one also. Symon   From: InboxRDC.ZA Sent: 31 August 2015 09:39 AM To: Bent, Symon Cc: InboxRDCMaintenanceSupport.ZA; Allan, Mark Subject: FW: LKA As-builts - 2014-11-18 AUSRDC to SARDC re Sri Lanka drawing   H</t>
  </si>
  <si>
    <t>DODIN, Jean-Marc; Thomson, Cameron; Shears, Matthew</t>
  </si>
  <si>
    <t>Latest procurement plan</t>
  </si>
  <si>
    <t>In Message (14)</t>
  </si>
  <si>
    <t>fyi   From: Bart-Plange, John Ekow Sent: Thursday, September 03, 2015 3:30 PM To: Oppong, Kofi Subject: RE: GHA BEX 2; Latest procurement plan   Dear Kofi,   Please find attached an updated procurement plan with additional comments.</t>
  </si>
  <si>
    <t>RTO Cabinet drawings for local quote</t>
  </si>
  <si>
    <t>How’s this Andre, good enough to get a quote? Symon   From: Michalakis, Evangelos Sent: 03 September 2015 02:18 PM To: Bent, Symon Subject: RTO Cabinet drawings   Hi Symon,   This should be enough information for the company t</t>
  </si>
  <si>
    <t>Bent, Symon; Michalakis, Evangelos; McMurtry, Darren Robin</t>
  </si>
  <si>
    <t>ZMB RTO Mbala</t>
  </si>
  <si>
    <t>Final decision on Mbala plot access</t>
  </si>
  <si>
    <t>Fantastic. Thanks for the follow-up. I will ask Tristan about scheduling some time to sit down with ARCH, I believe Van said that Darren will be helping with the site layout on this one.   Ben   From: Struyf, Andrew Peter Sent: Thursday, Sep</t>
  </si>
  <si>
    <t>AFC, Culvert</t>
  </si>
  <si>
    <t>Channel, DRAWINGS AND BOQ FOR REVIEW</t>
  </si>
  <si>
    <t>Hi Mark   Herewith the AFC drawings and BOQ for review.   We have not provided any detail on the security grid on the inlet and outlet yet. I will send you a proposal as soon as I have something.   Regards Patrick Riley Pr Tech Eng O</t>
  </si>
  <si>
    <t>Kikwe Assembly Hall Video Plans</t>
  </si>
  <si>
    <t>Hi Symon,   I received this this directly from ZMB, reviewed, the report is all good. Could you forward this back to InboxLDC.ZM?   Thank you, Masaaki Imai RDC-South Africa Ext. 41448   From: InboxLDC.ZM Sent: 07 August 201</t>
  </si>
  <si>
    <t>Finch, Ed; Hyatt, Tyson; Bent, Symon</t>
  </si>
  <si>
    <t>Dear Brothers,   Please find attached the questionnaire with the date of review by the Zambia BC and RDC indicated.   I have reattached the pdf document that shows the site diagrams, pictures and floor plans of the facility.  Please let me kno</t>
  </si>
  <si>
    <t>Finch, Ed; Hyatt, Tyson; Philpott, Joseph</t>
  </si>
  <si>
    <t>Chingwere Rural Assembly Hall site questionnaire 2015 08 20</t>
  </si>
  <si>
    <t>Hi Symon,   Would you mind arranging for a meeting about this? I will have a very tight schedule for next two weeks with an engineer visiting us from US-RDC but a brief meeting should be okay.   Thank you, Masaaki Imai RDC-South Afric</t>
  </si>
  <si>
    <t>50% AFC Drawings for Review</t>
  </si>
  <si>
    <t>Hi Mark   Herewith the 50% AFC drawings of the stormwater channel and pipe for Ghana Branch for your review.   Regards, Patrick Riley Pr Tech Eng Office Director  WSP | Parsons Brinckerhoff, Development, Transportation and Infrastruc</t>
  </si>
  <si>
    <t>White, Adrian</t>
  </si>
  <si>
    <t>ten Have, Fabian; Bent, Symon; Nudd, Don</t>
  </si>
  <si>
    <t>Contract, Mech, Water</t>
  </si>
  <si>
    <t>Water treatment installation contracts</t>
  </si>
  <si>
    <t>Hi Adrian   Here is the info. as discussed  If you can check first with Brother Allen, or this company, that would be great.   The evaluation report outlines what work Envirogen still needs to do.  We need to know (1)  Will they be following t</t>
  </si>
  <si>
    <t>Design, Quote</t>
  </si>
  <si>
    <t>Phase 2- BM Construction Quote for VMB</t>
  </si>
  <si>
    <t>Symon/Mark   We have had a meeting with Jerry today to discuss the possible contract for engineering the VMB and the Warehouse extension. They will be sending a list soon of what they will need form DRC to move ahead with their engineering.  </t>
  </si>
  <si>
    <t>DCP, Office</t>
  </si>
  <si>
    <t>Hi Symon,   These tests look good.   On test number D1 which is a soft spot, they can re-compact this area. Once they send us the results for that one test, we can give them the go ahead to proceed.    Another option would be for them to</t>
  </si>
  <si>
    <t>Piliso, Loyiso</t>
  </si>
  <si>
    <t>Phone</t>
  </si>
  <si>
    <t>Branch Cell Phones</t>
  </si>
  <si>
    <t>Morning Brothers,   Please can you review the attached document and reply with your comments.  Any further questions are welcome.   Thank you, Veg Computer Department Ext. 1263   HYPERLINK "sip:mwhile@bethel.jw.org"Contact me on</t>
  </si>
  <si>
    <t>Washburn, Nathan; Bent, Symon; Gilden, David; McDonald, Darcy; Finlayson, Gerald; Fynn, Ryan</t>
  </si>
  <si>
    <t>Preliminary Project Description templates</t>
  </si>
  <si>
    <t>Hi,   The following FYI on how the RDC USA is planning to use the attached for the CMR project:   Cameroon project specifications: ·         Specifications for the Cameroon project will not follow typical past Design/Build style performance</t>
  </si>
  <si>
    <t>Emma Chapman</t>
  </si>
  <si>
    <t>Lloyd Chitty; David Brooke</t>
  </si>
  <si>
    <t>Project Ghana - DOM RS8 Ronis - Request for Quote</t>
  </si>
  <si>
    <t>Hi Emma   I have been assured that the attached Master Key Schedule corresponds to the Excel RFQ document attached and is correct.  If however, you come across any discrepancies please let me know immediately.   Please can you let us have a co</t>
  </si>
  <si>
    <t>Carnell, Paul; Sukram, Sarah; Allan, Mark; OGuin, Colin; Jones, David M.; GHA-CNST-Overseer; Bent, Symon</t>
  </si>
  <si>
    <t>Keys, NLBR</t>
  </si>
  <si>
    <t>RDC review of NLBR DOM-Ronis Master Key System</t>
  </si>
  <si>
    <t>Hello Tara,   Please attached are the updated key matrix and a copy of the NLBR for the cylinders and keys. You can work with this and give us the prices for ordering.   (Please this is just a reminder: As we did before, you have to calculate</t>
  </si>
  <si>
    <t>81.75;291.75</t>
  </si>
  <si>
    <t>Photo, Water</t>
  </si>
  <si>
    <t>Broken Water Tanks</t>
  </si>
  <si>
    <t>Hi Symon I have never seen a tank break that spectacular.   Andre</t>
  </si>
  <si>
    <t>Survey Diagram Error</t>
  </si>
  <si>
    <t>Hi Caleb/Innes,   I was unaware that the Kasempa survey was incorrect. Here is some info that you must already have for the property. As I thought that Jared Fruciano was going there, I forwarded all communication to him on this property…..he mig</t>
  </si>
  <si>
    <t>DODIN, Jean-Marc; Shears, Matthew; Thomson, Cameron; Jones, David M.; Carnell, Paul; Kwesie, Samuel</t>
  </si>
  <si>
    <t>Dear Symon,   Please attached is the list of all the entrance doors that will have key less access, their location and category. Let us know after your review and what needs to be done, like what cables to use for wiring the hard wired doors and any</t>
  </si>
  <si>
    <t>Design, WDC</t>
  </si>
  <si>
    <t>KB Paint - Ceramic Thermal Insulation Coating</t>
  </si>
  <si>
    <t>HYPERLINK "url:orbit://WID&amp;WHQ-WDC-CCE4B79A-D278-480F-8C1B-17D326CDA3EC"Worldwide Design/Construction On Meeting Henderson, Phillip 8/3/2015 9:26am  Dear Brothers: Our office was introduced to a product which could be used to resurface our</t>
  </si>
  <si>
    <t>GHA-CNST-Committee; InboxRDCMaintenanceSupport.ZA; Bent, Symon; Allan, Mark</t>
  </si>
  <si>
    <t>DC-41, Equipment, Kitchen, Procurement, Water</t>
  </si>
  <si>
    <t>DC-41 Early Procurement Kitchen Equipment list - water filter-softener</t>
  </si>
  <si>
    <t>Very helpful Fabian.  Thank you.     Neill   From: ten Have, Fabian Sent: Wednesday, July 29, 2015 1:46 PM To: Ryan, Neill; Crook, Arthur Cc: GHA-CNST-Committee; InboxRDCMaintenanceSupport.ZA; Bent, Symon; Allan, Mark Subject: GHA BEX 2;</t>
  </si>
  <si>
    <t>Bent, Symon; Sharp, Dayrell; Simwamba, Japhet; Finch, Ed; Kapata, Henry</t>
  </si>
  <si>
    <t>Visual Equipment for Convention Sites</t>
  </si>
  <si>
    <t>Hi Joseph, No problems, I'm still waiting for GHA visas thus not 100% sure if I can fly out on Monday. Anyways, he can call me when he sees I'm available on Lync. I am in general agreement with the questionnaires that he prepared. I was just wonde</t>
  </si>
  <si>
    <t>Container Housing DC-41 Revision--updated drawings</t>
  </si>
  <si>
    <t>Tim: We would like to have ‘high level’ estimates for this series of options by Friday morning, if possible.  I believe this would take precedence over work on the Ghana cost plan at this point!  We probably won’t have a meeting on Ghana until Friday a</t>
  </si>
  <si>
    <t>DC-41, Modular</t>
  </si>
  <si>
    <t>Kwikspace Temp Office--PT Import xlsx</t>
  </si>
  <si>
    <t>    From: Busciglio, Dominic Sent: Wednesday, August 19, 2015 1:02 PM To: Gilden, Jasmine Subject: RE: MDG RTO Toliara Kwikspace Temp. Office--PT Import.xlsx   Hello Jasmine   Thanks for the note and the power point “DC-41 for dummie</t>
  </si>
  <si>
    <t>Kwikspace mobile home pricing options</t>
  </si>
  <si>
    <t>FYI… Kwikspace container pricing options   From: Houghting, Mike Sent: Wednesday, July 22, 2015 08:40 To: Bent, Symon Cc: InboxPRCHBranchRequests.ZA; Nudd, Don Subject: Quote - Kwikspace for DRC Kinshasa   Dear Symon,   The supplier</t>
  </si>
  <si>
    <t>Elec, Equipment</t>
  </si>
  <si>
    <t>Cookers are 16A, melting plugs</t>
  </si>
  <si>
    <t>For your comments. Symon   From: Hyatt, Tyson Sent: Thursday, July 16, 2015 16:30 To: Bent, Symon Subject: RE: ZMB RTOs; Cookers are 16A, melting plugs?   Hello Symon, The plugs and outlets have melted on three of the units so far. T</t>
  </si>
  <si>
    <t>WDC:</t>
  </si>
  <si>
    <t>19-08-2015</t>
  </si>
  <si>
    <t>Estimate, Modular</t>
  </si>
  <si>
    <t>Cost Plan Container Housing xlsm</t>
  </si>
  <si>
    <t>Ben: Please find attached the cost plan with the CBS completed.  I think this is what you were looking for?  Thank you; Your Brother; Darcy McDonald Estimating Group South Africa Regional Design Construction Department   Watch Towe</t>
  </si>
  <si>
    <t>Cruthirds, Nathan; Washburn, Nathan; Moore, Benjamin; Allan, Mark</t>
  </si>
  <si>
    <t>Power, Transformer</t>
  </si>
  <si>
    <t>Power demand exceeds transformer capacity</t>
  </si>
  <si>
    <t>Hi Symon,   I understand Masaaki wasn`t able to answer yet? I tried to contact the maintenance brother from Madagascar but that didn`t work out either.   Please let the brothers know that no dangerous situation seems to exist. The transform</t>
  </si>
</sst>
</file>

<file path=xl/styles.xml><?xml version="1.0" encoding="utf-8"?>
<styleSheet xmlns="http://schemas.openxmlformats.org/spreadsheetml/2006/main" xmlns:mc="http://schemas.openxmlformats.org/markup-compatibility/2006" xmlns:x14ac="http://schemas.microsoft.com/office/spreadsheetml/2009/9/ac" mc:Ignorable="x14ac">
  <fonts count="26">
    <font>
      <sz val="11"/>
      <color theme="1"/>
      <name val="Calibri"/>
      <family val="2"/>
      <scheme val="minor"/>
    </font>
    <font>
      <b/>
      <sz val="11"/>
      <color theme="1"/>
      <name val="Calibri"/>
      <family val="2"/>
      <scheme val="minor"/>
    </font>
    <font>
      <sz val="12"/>
      <color theme="1" tint="0.249977111117893"/>
      <name val="Segoe UI"/>
      <family val="2"/>
    </font>
    <font>
      <b/>
      <sz val="12"/>
      <color theme="1" tint="0.249977111117893"/>
      <name val="Segoe UI"/>
      <family val="2"/>
    </font>
    <font>
      <sz val="12"/>
      <color theme="1" tint="0.34998626667073579"/>
      <name val="Segoe UI"/>
      <family val="2"/>
    </font>
    <font>
      <b/>
      <sz val="12"/>
      <color theme="1" tint="0.34998626667073579"/>
      <name val="Segoe UI"/>
      <family val="2"/>
    </font>
    <font>
      <b/>
      <sz val="14"/>
      <color theme="1" tint="0.34998626667073579"/>
      <name val="Segoe UI"/>
      <family val="2"/>
    </font>
    <font>
      <sz val="14"/>
      <color theme="1" tint="0.34998626667073579"/>
      <name val="Segoe UI"/>
      <family val="2"/>
    </font>
    <font>
      <sz val="11"/>
      <color theme="1" tint="0.499984740745262"/>
      <name val="Segoe UI"/>
      <family val="2"/>
    </font>
    <font>
      <sz val="11"/>
      <color theme="1"/>
      <name val="Franklin Gothic Medium Cond"/>
      <family val="2"/>
    </font>
    <font>
      <sz val="10"/>
      <color theme="1" tint="0.249977111117893"/>
      <name val="Segoe UI"/>
      <family val="2"/>
    </font>
    <font>
      <u/>
      <sz val="10"/>
      <color theme="10"/>
      <name val="Segoe UI"/>
      <family val="2"/>
    </font>
    <font>
      <u/>
      <sz val="11"/>
      <color theme="10"/>
      <name val="Calibri"/>
      <family val="2"/>
      <scheme val="minor"/>
    </font>
    <font>
      <sz val="11"/>
      <color theme="1" tint="0.34998626667073579"/>
      <name val="Calibri"/>
      <family val="2"/>
      <scheme val="minor"/>
    </font>
    <font>
      <sz val="8"/>
      <color theme="1" tint="0.34998626667073579"/>
      <name val="Segoe UI"/>
      <family val="2"/>
    </font>
    <font>
      <sz val="10"/>
      <color rgb="FF404040"/>
      <name val="Segoe UI"/>
      <family val="2"/>
    </font>
    <font>
      <sz val="9"/>
      <color indexed="81"/>
      <name val="Segoe UI"/>
      <family val="2"/>
    </font>
    <font>
      <b/>
      <sz val="9"/>
      <color indexed="81"/>
      <name val="Segoe UI"/>
      <family val="2"/>
    </font>
    <font>
      <sz val="9"/>
      <color indexed="81"/>
      <name val="Tahoma"/>
      <family val="2"/>
    </font>
    <font>
      <b/>
      <sz val="11"/>
      <color indexed="81"/>
      <name val="Segoe UI"/>
      <family val="2"/>
    </font>
    <font>
      <sz val="10"/>
      <color indexed="81"/>
      <name val="Segoe UI"/>
      <family val="2"/>
    </font>
    <font>
      <b/>
      <sz val="12"/>
      <color indexed="81"/>
      <name val="Segoe UI"/>
      <family val="2"/>
    </font>
    <font>
      <b/>
      <sz val="10"/>
      <color indexed="81"/>
      <name val="Segoe UI"/>
      <family val="2"/>
    </font>
    <font>
      <i/>
      <sz val="10"/>
      <color indexed="81"/>
      <name val="Segoe UI"/>
      <family val="2"/>
    </font>
    <font>
      <u/>
      <sz val="10"/>
      <color indexed="81"/>
      <name val="Segoe UI"/>
      <family val="2"/>
    </font>
    <font>
      <b/>
      <sz val="9"/>
      <color indexed="81"/>
      <name val="Tahoma"/>
      <family val="2"/>
    </font>
  </fonts>
  <fills count="9">
    <fill>
      <patternFill patternType="none"/>
    </fill>
    <fill>
      <patternFill patternType="gray125"/>
    </fill>
    <fill>
      <patternFill patternType="solid">
        <fgColor theme="3" tint="0.59999389629810485"/>
        <bgColor indexed="64"/>
      </patternFill>
    </fill>
    <fill>
      <patternFill patternType="solid">
        <fgColor theme="3" tint="0.79998168889431442"/>
        <bgColor indexed="64"/>
      </patternFill>
    </fill>
    <fill>
      <patternFill patternType="solid">
        <fgColor theme="2" tint="-9.9948118533890809E-2"/>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79998168889431442"/>
        <bgColor indexed="64"/>
      </patternFill>
    </fill>
    <fill>
      <patternFill patternType="solid">
        <fgColor theme="2" tint="-9.9978637043366805E-2"/>
        <bgColor indexed="64"/>
      </patternFill>
    </fill>
  </fills>
  <borders count="9">
    <border>
      <left/>
      <right/>
      <top/>
      <bottom/>
      <diagonal/>
    </border>
    <border>
      <left style="thin">
        <color indexed="64"/>
      </left>
      <right style="thin">
        <color theme="8" tint="0.79998168889431442"/>
      </right>
      <top/>
      <bottom/>
      <diagonal/>
    </border>
    <border>
      <left style="thin">
        <color theme="8" tint="0.79998168889431442"/>
      </left>
      <right style="thin">
        <color theme="8" tint="0.79998168889431442"/>
      </right>
      <top/>
      <bottom/>
      <diagonal/>
    </border>
    <border>
      <left/>
      <right style="thin">
        <color theme="8" tint="0.79998168889431442"/>
      </right>
      <top/>
      <bottom/>
      <diagonal/>
    </border>
    <border>
      <left style="thin">
        <color theme="8" tint="0.79998168889431442"/>
      </left>
      <right style="thin">
        <color theme="8" tint="0.79995117038483843"/>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s>
  <cellStyleXfs count="4">
    <xf numFmtId="0" fontId="0" fillId="0" borderId="0"/>
    <xf numFmtId="0" fontId="11" fillId="6" borderId="2">
      <alignment horizontal="left" indent="1"/>
    </xf>
    <xf numFmtId="0" fontId="12" fillId="0" borderId="0" applyNumberFormat="0" applyFill="0" applyBorder="0" applyAlignment="0" applyProtection="0"/>
    <xf numFmtId="0" fontId="15" fillId="6" borderId="2">
      <alignment horizontal="left" indent="1"/>
    </xf>
  </cellStyleXfs>
  <cellXfs count="45">
    <xf numFmtId="0" fontId="0" fillId="0" borderId="0" xfId="0"/>
    <xf numFmtId="0" fontId="2" fillId="2" borderId="0" xfId="0" applyFont="1" applyFill="1" applyBorder="1" applyAlignment="1">
      <alignment horizontal="left" vertical="top" indent="5"/>
    </xf>
    <xf numFmtId="0" fontId="2" fillId="2" borderId="0" xfId="0" applyFont="1" applyFill="1" applyBorder="1" applyAlignment="1">
      <alignment horizontal="left" vertical="top" indent="1"/>
    </xf>
    <xf numFmtId="0" fontId="4" fillId="3" borderId="0" xfId="0" applyFont="1" applyFill="1" applyBorder="1" applyAlignment="1">
      <alignment horizontal="left" vertical="top" indent="4"/>
    </xf>
    <xf numFmtId="0" fontId="4" fillId="3" borderId="0" xfId="0" applyFont="1" applyFill="1" applyBorder="1" applyAlignment="1">
      <alignment horizontal="center" vertical="top"/>
    </xf>
    <xf numFmtId="0" fontId="4" fillId="3" borderId="0" xfId="0" applyFont="1" applyFill="1" applyBorder="1" applyAlignment="1">
      <alignment horizontal="left" vertical="top" indent="1"/>
    </xf>
    <xf numFmtId="0" fontId="6" fillId="4" borderId="0" xfId="0" applyFont="1" applyFill="1" applyBorder="1" applyAlignment="1">
      <alignment horizontal="left" vertical="top" indent="4"/>
    </xf>
    <xf numFmtId="0" fontId="2" fillId="2" borderId="0" xfId="0" applyFont="1" applyFill="1" applyBorder="1" applyAlignment="1">
      <alignment horizontal="left" vertical="top" indent="4"/>
    </xf>
    <xf numFmtId="0" fontId="2" fillId="2" borderId="0" xfId="0" applyFont="1" applyFill="1" applyBorder="1" applyAlignment="1">
      <alignment horizontal="center" vertical="top"/>
    </xf>
    <xf numFmtId="0" fontId="2" fillId="5" borderId="0" xfId="0" applyFont="1" applyFill="1" applyBorder="1" applyAlignment="1">
      <alignment horizontal="left" vertical="top" indent="1"/>
    </xf>
    <xf numFmtId="0" fontId="8" fillId="5" borderId="0" xfId="0" applyFont="1" applyFill="1" applyBorder="1" applyAlignment="1">
      <alignment horizontal="left" vertical="top" indent="1"/>
    </xf>
    <xf numFmtId="0" fontId="9" fillId="0" borderId="0" xfId="0" applyFont="1" applyAlignment="1">
      <alignment horizontal="left" vertical="center" wrapText="1"/>
    </xf>
    <xf numFmtId="0" fontId="10" fillId="6" borderId="1" xfId="0" applyFont="1" applyFill="1" applyBorder="1"/>
    <xf numFmtId="0" fontId="10" fillId="6" borderId="2" xfId="0" quotePrefix="1" applyFont="1" applyFill="1" applyBorder="1"/>
    <xf numFmtId="22" fontId="10" fillId="6" borderId="2" xfId="0" quotePrefix="1" applyNumberFormat="1" applyFont="1" applyFill="1" applyBorder="1"/>
    <xf numFmtId="14" fontId="10" fillId="6" borderId="2" xfId="0" applyNumberFormat="1" applyFont="1" applyFill="1" applyBorder="1" applyAlignment="1">
      <alignment horizontal="center"/>
    </xf>
    <xf numFmtId="0" fontId="10" fillId="6" borderId="2" xfId="0" applyFont="1" applyFill="1" applyBorder="1" applyAlignment="1">
      <alignment horizontal="center"/>
    </xf>
    <xf numFmtId="0" fontId="10" fillId="6" borderId="2" xfId="0" applyFont="1" applyFill="1" applyBorder="1"/>
    <xf numFmtId="0" fontId="11" fillId="6" borderId="2" xfId="1">
      <alignment horizontal="left" indent="1"/>
    </xf>
    <xf numFmtId="0" fontId="10" fillId="6" borderId="3" xfId="0" applyFont="1" applyFill="1" applyBorder="1" applyAlignment="1">
      <alignment horizontal="left" indent="1"/>
    </xf>
    <xf numFmtId="0" fontId="13" fillId="6" borderId="4" xfId="2" applyFont="1" applyFill="1" applyBorder="1" applyAlignment="1">
      <alignment horizontal="center"/>
    </xf>
    <xf numFmtId="0" fontId="14" fillId="6" borderId="3" xfId="0" applyFont="1" applyFill="1" applyBorder="1"/>
    <xf numFmtId="0" fontId="15" fillId="6" borderId="2" xfId="3">
      <alignment horizontal="left" indent="1"/>
    </xf>
    <xf numFmtId="0" fontId="11" fillId="6" borderId="2" xfId="2" applyFont="1" applyFill="1" applyBorder="1" applyAlignment="1">
      <alignment horizontal="left" indent="1"/>
    </xf>
    <xf numFmtId="0" fontId="11" fillId="6" borderId="2" xfId="1" applyFont="1">
      <alignment horizontal="left" indent="1"/>
    </xf>
    <xf numFmtId="0" fontId="15" fillId="6" borderId="2" xfId="2" applyFont="1" applyFill="1" applyBorder="1" applyAlignment="1">
      <alignment horizontal="left" indent="1"/>
    </xf>
    <xf numFmtId="0" fontId="0" fillId="0" borderId="0" xfId="0" applyAlignment="1">
      <alignment horizontal="left"/>
    </xf>
    <xf numFmtId="0" fontId="0" fillId="0" borderId="0" xfId="0" applyAlignment="1">
      <alignment horizontal="left" wrapText="1"/>
    </xf>
    <xf numFmtId="0" fontId="0" fillId="0" borderId="0" xfId="0" quotePrefix="1"/>
    <xf numFmtId="0" fontId="1" fillId="7" borderId="0" xfId="0" applyFont="1" applyFill="1"/>
    <xf numFmtId="0" fontId="0" fillId="0" borderId="5" xfId="0" applyBorder="1"/>
    <xf numFmtId="0" fontId="0" fillId="0" borderId="6" xfId="0" applyBorder="1"/>
    <xf numFmtId="0" fontId="0" fillId="0" borderId="7" xfId="0" applyBorder="1"/>
    <xf numFmtId="0" fontId="0" fillId="0" borderId="8" xfId="0" applyBorder="1"/>
    <xf numFmtId="0" fontId="1" fillId="8" borderId="0" xfId="0" applyFont="1" applyFill="1" applyAlignment="1">
      <alignment vertical="top"/>
    </xf>
    <xf numFmtId="0" fontId="1" fillId="8" borderId="0" xfId="0" applyFont="1" applyFill="1" applyAlignment="1">
      <alignment vertical="top" wrapText="1"/>
    </xf>
    <xf numFmtId="0" fontId="1" fillId="8" borderId="0" xfId="0" applyFont="1" applyFill="1" applyAlignment="1">
      <alignment horizontal="center"/>
    </xf>
    <xf numFmtId="0" fontId="1" fillId="8" borderId="0" xfId="0" applyNumberFormat="1" applyFont="1" applyFill="1" applyAlignment="1">
      <alignment horizontal="center" wrapText="1"/>
    </xf>
    <xf numFmtId="14" fontId="0" fillId="0" borderId="0" xfId="0" applyNumberFormat="1" applyAlignment="1">
      <alignment horizontal="center" vertical="top" wrapText="1"/>
    </xf>
    <xf numFmtId="0" fontId="0" fillId="0" borderId="0" xfId="0" applyAlignment="1">
      <alignment vertical="top" wrapText="1"/>
    </xf>
    <xf numFmtId="0" fontId="0" fillId="0" borderId="0" xfId="0" applyAlignment="1">
      <alignment vertical="top"/>
    </xf>
    <xf numFmtId="14" fontId="0" fillId="0" borderId="0" xfId="0" applyNumberFormat="1" applyAlignment="1">
      <alignment horizontal="center" vertical="top"/>
    </xf>
    <xf numFmtId="0" fontId="0" fillId="0" borderId="0" xfId="0" applyAlignment="1">
      <alignment horizontal="center" vertical="top"/>
    </xf>
    <xf numFmtId="14" fontId="0" fillId="0" borderId="0" xfId="0" applyNumberFormat="1" applyAlignment="1">
      <alignment horizontal="center"/>
    </xf>
    <xf numFmtId="0" fontId="0" fillId="0" borderId="0" xfId="0" applyAlignment="1">
      <alignment wrapText="1"/>
    </xf>
  </cellXfs>
  <cellStyles count="4">
    <cellStyle name="CorLogEmbedded" xfId="3"/>
    <cellStyle name="CorLogHyperlink" xfId="1"/>
    <cellStyle name="Hyperlink" xfId="2" builtinId="8"/>
    <cellStyle name="Normal" xfId="0" builtinId="0"/>
  </cellStyles>
  <dxfs count="2598">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
      <fill>
        <patternFill>
          <bgColor rgb="FFEDF6F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xdr:colOff>
          <xdr:row>0</xdr:row>
          <xdr:rowOff>28575</xdr:rowOff>
        </xdr:from>
        <xdr:to>
          <xdr:col>8</xdr:col>
          <xdr:colOff>333375</xdr:colOff>
          <xdr:row>0</xdr:row>
          <xdr:rowOff>342900</xdr:rowOff>
        </xdr:to>
        <xdr:sp macro="" textlink="">
          <xdr:nvSpPr>
            <xdr:cNvPr id="1025" name="cmdCorLog"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333375</xdr:colOff>
          <xdr:row>0</xdr:row>
          <xdr:rowOff>342900</xdr:rowOff>
        </xdr:to>
        <xdr:sp macro="" textlink="">
          <xdr:nvSpPr>
            <xdr:cNvPr id="1026" name="cmdDeleteRow"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0</xdr:row>
          <xdr:rowOff>28575</xdr:rowOff>
        </xdr:from>
        <xdr:to>
          <xdr:col>9</xdr:col>
          <xdr:colOff>342900</xdr:colOff>
          <xdr:row>0</xdr:row>
          <xdr:rowOff>342900</xdr:rowOff>
        </xdr:to>
        <xdr:sp macro="" textlink="">
          <xdr:nvSpPr>
            <xdr:cNvPr id="1027" name="cmdOpenLocation"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971550</xdr:colOff>
          <xdr:row>0</xdr:row>
          <xdr:rowOff>38100</xdr:rowOff>
        </xdr:from>
        <xdr:to>
          <xdr:col>8</xdr:col>
          <xdr:colOff>2876550</xdr:colOff>
          <xdr:row>0</xdr:row>
          <xdr:rowOff>266700</xdr:rowOff>
        </xdr:to>
        <xdr:sp macro="" textlink="">
          <xdr:nvSpPr>
            <xdr:cNvPr id="1028" name="cboSearch" hidden="1">
              <a:extLst>
                <a:ext uri="{63B3BB69-23CF-44E3-9099-C40C66FF867C}">
                  <a14:compatExt spid="_x0000_s102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0</xdr:row>
          <xdr:rowOff>28575</xdr:rowOff>
        </xdr:from>
        <xdr:to>
          <xdr:col>3</xdr:col>
          <xdr:colOff>314325</xdr:colOff>
          <xdr:row>0</xdr:row>
          <xdr:rowOff>342900</xdr:rowOff>
        </xdr:to>
        <xdr:sp macro="" textlink="">
          <xdr:nvSpPr>
            <xdr:cNvPr id="1029" name="cmdSortdate"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333375</xdr:colOff>
      <xdr:row>17</xdr:row>
      <xdr:rowOff>133351</xdr:rowOff>
    </xdr:from>
    <xdr:to>
      <xdr:col>13</xdr:col>
      <xdr:colOff>561975</xdr:colOff>
      <xdr:row>44</xdr:row>
      <xdr:rowOff>59583</xdr:rowOff>
    </xdr:to>
    <xdr:pic>
      <xdr:nvPicPr>
        <xdr:cNvPr id="40" name="Picture 39"/>
        <xdr:cNvPicPr>
          <a:picLocks noChangeAspect="1"/>
        </xdr:cNvPicPr>
      </xdr:nvPicPr>
      <xdr:blipFill>
        <a:blip xmlns:r="http://schemas.openxmlformats.org/officeDocument/2006/relationships" r:embed="rId1"/>
        <a:stretch>
          <a:fillRect/>
        </a:stretch>
      </xdr:blipFill>
      <xdr:spPr>
        <a:xfrm>
          <a:off x="2771775" y="3943351"/>
          <a:ext cx="5715000" cy="5755532"/>
        </a:xfrm>
        <a:prstGeom prst="rect">
          <a:avLst/>
        </a:prstGeom>
      </xdr:spPr>
    </xdr:pic>
    <xdr:clientData/>
  </xdr:twoCellAnchor>
  <xdr:twoCellAnchor>
    <xdr:from>
      <xdr:col>9</xdr:col>
      <xdr:colOff>578252</xdr:colOff>
      <xdr:row>11</xdr:row>
      <xdr:rowOff>81799</xdr:rowOff>
    </xdr:from>
    <xdr:to>
      <xdr:col>12</xdr:col>
      <xdr:colOff>158168</xdr:colOff>
      <xdr:row>17</xdr:row>
      <xdr:rowOff>59519</xdr:rowOff>
    </xdr:to>
    <xdr:sp macro="" textlink="">
      <xdr:nvSpPr>
        <xdr:cNvPr id="2" name="Bent Arrow 1"/>
        <xdr:cNvSpPr/>
      </xdr:nvSpPr>
      <xdr:spPr>
        <a:xfrm rot="8403230">
          <a:off x="6064652" y="2177299"/>
          <a:ext cx="1408716" cy="1692220"/>
        </a:xfrm>
        <a:prstGeom prst="bentArrow">
          <a:avLst>
            <a:gd name="adj1" fmla="val 12302"/>
            <a:gd name="adj2" fmla="val 15079"/>
            <a:gd name="adj3" fmla="val 35317"/>
            <a:gd name="adj4" fmla="val 64385"/>
          </a:avLst>
        </a:prstGeom>
        <a:solidFill>
          <a:schemeClr val="accent1">
            <a:alpha val="27000"/>
          </a:schemeClr>
        </a:solidFill>
        <a:ln w="12700">
          <a:solidFill>
            <a:schemeClr val="accent1">
              <a:shade val="50000"/>
              <a:alpha val="4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solidFill>
              <a:schemeClr val="tx1"/>
            </a:solidFill>
          </a:endParaRPr>
        </a:p>
      </xdr:txBody>
    </xdr:sp>
    <xdr:clientData/>
  </xdr:twoCellAnchor>
  <xdr:twoCellAnchor editAs="oneCell">
    <xdr:from>
      <xdr:col>5</xdr:col>
      <xdr:colOff>314325</xdr:colOff>
      <xdr:row>59</xdr:row>
      <xdr:rowOff>142875</xdr:rowOff>
    </xdr:from>
    <xdr:to>
      <xdr:col>12</xdr:col>
      <xdr:colOff>247125</xdr:colOff>
      <xdr:row>85</xdr:row>
      <xdr:rowOff>123209</xdr:rowOff>
    </xdr:to>
    <xdr:pic>
      <xdr:nvPicPr>
        <xdr:cNvPr id="3" name="Picture 2"/>
        <xdr:cNvPicPr>
          <a:picLocks noChangeAspect="1"/>
        </xdr:cNvPicPr>
      </xdr:nvPicPr>
      <xdr:blipFill>
        <a:blip xmlns:r="http://schemas.openxmlformats.org/officeDocument/2006/relationships" r:embed="rId2"/>
        <a:stretch>
          <a:fillRect/>
        </a:stretch>
      </xdr:blipFill>
      <xdr:spPr>
        <a:xfrm>
          <a:off x="3362325" y="12639675"/>
          <a:ext cx="4200000" cy="4933334"/>
        </a:xfrm>
        <a:prstGeom prst="rect">
          <a:avLst/>
        </a:prstGeom>
      </xdr:spPr>
    </xdr:pic>
    <xdr:clientData/>
  </xdr:twoCellAnchor>
  <xdr:twoCellAnchor>
    <xdr:from>
      <xdr:col>12</xdr:col>
      <xdr:colOff>466724</xdr:colOff>
      <xdr:row>12</xdr:row>
      <xdr:rowOff>171450</xdr:rowOff>
    </xdr:from>
    <xdr:to>
      <xdr:col>17</xdr:col>
      <xdr:colOff>266699</xdr:colOff>
      <xdr:row>16</xdr:row>
      <xdr:rowOff>85725</xdr:rowOff>
    </xdr:to>
    <xdr:sp macro="" textlink="">
      <xdr:nvSpPr>
        <xdr:cNvPr id="5" name="Line Callout 1 4"/>
        <xdr:cNvSpPr/>
      </xdr:nvSpPr>
      <xdr:spPr>
        <a:xfrm>
          <a:off x="7781924" y="2457450"/>
          <a:ext cx="2847975" cy="1133475"/>
        </a:xfrm>
        <a:prstGeom prst="borderCallout1">
          <a:avLst>
            <a:gd name="adj1" fmla="val 99321"/>
            <a:gd name="adj2" fmla="val 3162"/>
            <a:gd name="adj3" fmla="val 164426"/>
            <a:gd name="adj4" fmla="val -16294"/>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Choose the</a:t>
          </a:r>
          <a:r>
            <a:rPr lang="en-ZA" sz="1100" b="1" baseline="0">
              <a:solidFill>
                <a:srgbClr val="C00000"/>
              </a:solidFill>
            </a:rPr>
            <a:t> items to be logged:</a:t>
          </a:r>
        </a:p>
        <a:p>
          <a:pPr algn="l"/>
          <a:r>
            <a:rPr lang="en-ZA" sz="1100" b="1" baseline="0"/>
            <a:t>Drop: </a:t>
          </a:r>
          <a:r>
            <a:rPr lang="en-ZA" sz="1100" baseline="0"/>
            <a:t>drag and drop files, documents here .</a:t>
          </a:r>
        </a:p>
        <a:p>
          <a:pPr algn="l"/>
          <a:r>
            <a:rPr lang="en-ZA" sz="1100" b="1" baseline="0"/>
            <a:t>Folder: </a:t>
          </a:r>
          <a:r>
            <a:rPr lang="en-ZA" sz="1100" baseline="0"/>
            <a:t>show all files in a specific folder</a:t>
          </a:r>
          <a:br>
            <a:rPr lang="en-ZA" sz="1100" baseline="0"/>
          </a:br>
          <a:r>
            <a:rPr lang="en-ZA" sz="1100" baseline="0"/>
            <a:t>    Change folder in </a:t>
          </a:r>
          <a:r>
            <a:rPr lang="en-ZA" sz="1100" i="1" baseline="0">
              <a:solidFill>
                <a:srgbClr val="C00000"/>
              </a:solidFill>
            </a:rPr>
            <a:t>Options...</a:t>
          </a:r>
        </a:p>
        <a:p>
          <a:pPr algn="l"/>
          <a:r>
            <a:rPr lang="en-ZA" sz="1100" b="1" baseline="0"/>
            <a:t>Outlook: </a:t>
          </a:r>
          <a:r>
            <a:rPr lang="en-ZA" sz="1100" baseline="0"/>
            <a:t>show the currently selected messages in Outlook</a:t>
          </a:r>
        </a:p>
        <a:p>
          <a:pPr algn="l"/>
          <a:r>
            <a:rPr lang="en-ZA" sz="1100" i="1" baseline="0"/>
            <a:t>(click tabs to refresh the list)</a:t>
          </a:r>
          <a:endParaRPr lang="en-ZA" sz="1100" i="1"/>
        </a:p>
      </xdr:txBody>
    </xdr:sp>
    <xdr:clientData/>
  </xdr:twoCellAnchor>
  <xdr:twoCellAnchor>
    <xdr:from>
      <xdr:col>5</xdr:col>
      <xdr:colOff>495301</xdr:colOff>
      <xdr:row>12</xdr:row>
      <xdr:rowOff>161926</xdr:rowOff>
    </xdr:from>
    <xdr:to>
      <xdr:col>10</xdr:col>
      <xdr:colOff>447675</xdr:colOff>
      <xdr:row>16</xdr:row>
      <xdr:rowOff>238125</xdr:rowOff>
    </xdr:to>
    <xdr:sp macro="" textlink="">
      <xdr:nvSpPr>
        <xdr:cNvPr id="6" name="Line Callout 1 5"/>
        <xdr:cNvSpPr/>
      </xdr:nvSpPr>
      <xdr:spPr>
        <a:xfrm>
          <a:off x="3543301" y="2447926"/>
          <a:ext cx="3000374" cy="1295399"/>
        </a:xfrm>
        <a:prstGeom prst="borderCallout1">
          <a:avLst>
            <a:gd name="adj1" fmla="val 99687"/>
            <a:gd name="adj2" fmla="val 56600"/>
            <a:gd name="adj3" fmla="val 136514"/>
            <a:gd name="adj4" fmla="val 56819"/>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Configuration:</a:t>
          </a:r>
        </a:p>
        <a:p>
          <a:pPr algn="l"/>
          <a:r>
            <a:rPr lang="en-ZA" sz="1100" b="1"/>
            <a:t>Lists: </a:t>
          </a:r>
          <a:r>
            <a:rPr lang="en-ZA" sz="1100" b="0"/>
            <a:t>Refresh the dropdown lists (Projects, Tags) and hidden name-to-country list.</a:t>
          </a:r>
        </a:p>
        <a:p>
          <a:pPr algn="l"/>
          <a:r>
            <a:rPr lang="en-ZA" sz="1100" b="1"/>
            <a:t>Folders:</a:t>
          </a:r>
          <a:r>
            <a:rPr lang="en-ZA" sz="1100" b="1" baseline="0"/>
            <a:t>  </a:t>
          </a:r>
          <a:r>
            <a:rPr lang="en-ZA" sz="1100" b="0" baseline="0"/>
            <a:t>click to refresh the list of  target folders; </a:t>
          </a:r>
          <a:r>
            <a:rPr lang="en-ZA" sz="1100" b="0" i="1" baseline="0">
              <a:solidFill>
                <a:srgbClr val="C00000"/>
              </a:solidFill>
            </a:rPr>
            <a:t>Ctrl+Click</a:t>
          </a:r>
          <a:r>
            <a:rPr lang="en-ZA" sz="1100" b="0" baseline="0"/>
            <a:t> to open the list of folders.</a:t>
          </a:r>
        </a:p>
        <a:p>
          <a:pPr algn="l"/>
          <a:r>
            <a:rPr lang="en-ZA" sz="1100" b="1" baseline="0"/>
            <a:t>Options:  </a:t>
          </a:r>
          <a:r>
            <a:rPr lang="en-ZA" sz="1100" b="0" baseline="0"/>
            <a:t>all the user options for CorLog. </a:t>
          </a:r>
          <a:r>
            <a:rPr lang="en-ZA" sz="1100" b="0" i="1" baseline="0"/>
            <a:t>(see below)</a:t>
          </a:r>
          <a:endParaRPr lang="en-ZA" sz="1100" b="0" i="1"/>
        </a:p>
      </xdr:txBody>
    </xdr:sp>
    <xdr:clientData/>
  </xdr:twoCellAnchor>
  <xdr:twoCellAnchor>
    <xdr:from>
      <xdr:col>0</xdr:col>
      <xdr:colOff>161924</xdr:colOff>
      <xdr:row>12</xdr:row>
      <xdr:rowOff>152400</xdr:rowOff>
    </xdr:from>
    <xdr:to>
      <xdr:col>4</xdr:col>
      <xdr:colOff>571499</xdr:colOff>
      <xdr:row>15</xdr:row>
      <xdr:rowOff>200025</xdr:rowOff>
    </xdr:to>
    <xdr:sp macro="" textlink="">
      <xdr:nvSpPr>
        <xdr:cNvPr id="7" name="Line Callout 1 6"/>
        <xdr:cNvSpPr/>
      </xdr:nvSpPr>
      <xdr:spPr>
        <a:xfrm>
          <a:off x="161924" y="2438400"/>
          <a:ext cx="2847975" cy="962025"/>
        </a:xfrm>
        <a:prstGeom prst="borderCallout1">
          <a:avLst>
            <a:gd name="adj1" fmla="val 99142"/>
            <a:gd name="adj2" fmla="val 95804"/>
            <a:gd name="adj3" fmla="val 188465"/>
            <a:gd name="adj4" fmla="val 10745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Meta:</a:t>
          </a:r>
        </a:p>
        <a:p>
          <a:pPr algn="l"/>
          <a:r>
            <a:rPr lang="en-ZA" sz="1100" b="0"/>
            <a:t>A list of all the meta (hidden) information</a:t>
          </a:r>
          <a:r>
            <a:rPr lang="en-ZA" sz="1100" b="0" baseline="0"/>
            <a:t> contained in the selected file or message.  This can be used to automatically build a new file name and destination in the Name/Template boxes below</a:t>
          </a:r>
          <a:endParaRPr lang="en-ZA" sz="1100" b="0"/>
        </a:p>
      </xdr:txBody>
    </xdr:sp>
    <xdr:clientData/>
  </xdr:twoCellAnchor>
  <xdr:twoCellAnchor>
    <xdr:from>
      <xdr:col>14</xdr:col>
      <xdr:colOff>352424</xdr:colOff>
      <xdr:row>38</xdr:row>
      <xdr:rowOff>28575</xdr:rowOff>
    </xdr:from>
    <xdr:to>
      <xdr:col>18</xdr:col>
      <xdr:colOff>57150</xdr:colOff>
      <xdr:row>42</xdr:row>
      <xdr:rowOff>123825</xdr:rowOff>
    </xdr:to>
    <xdr:sp macro="" textlink="">
      <xdr:nvSpPr>
        <xdr:cNvPr id="8" name="Line Callout 1 7"/>
        <xdr:cNvSpPr/>
      </xdr:nvSpPr>
      <xdr:spPr>
        <a:xfrm>
          <a:off x="8886824" y="8524875"/>
          <a:ext cx="2143126" cy="857250"/>
        </a:xfrm>
        <a:prstGeom prst="borderCallout1">
          <a:avLst>
            <a:gd name="adj1" fmla="val 51019"/>
            <a:gd name="adj2" fmla="val -628"/>
            <a:gd name="adj3" fmla="val 11034"/>
            <a:gd name="adj4" fmla="val -39301"/>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Extension:</a:t>
          </a:r>
        </a:p>
        <a:p>
          <a:pPr algn="l"/>
          <a:r>
            <a:rPr lang="en-ZA" sz="1100" b="0"/>
            <a:t>The</a:t>
          </a:r>
          <a:r>
            <a:rPr lang="en-ZA" sz="1100" b="0" baseline="0"/>
            <a:t> format used when saving an Outlook message.</a:t>
          </a:r>
          <a:endParaRPr lang="en-ZA" sz="1100" b="0"/>
        </a:p>
      </xdr:txBody>
    </xdr:sp>
    <xdr:clientData/>
  </xdr:twoCellAnchor>
  <xdr:twoCellAnchor>
    <xdr:from>
      <xdr:col>7</xdr:col>
      <xdr:colOff>85724</xdr:colOff>
      <xdr:row>45</xdr:row>
      <xdr:rowOff>95251</xdr:rowOff>
    </xdr:from>
    <xdr:to>
      <xdr:col>11</xdr:col>
      <xdr:colOff>85725</xdr:colOff>
      <xdr:row>55</xdr:row>
      <xdr:rowOff>133351</xdr:rowOff>
    </xdr:to>
    <xdr:sp macro="" textlink="">
      <xdr:nvSpPr>
        <xdr:cNvPr id="9" name="Line Callout 1 8"/>
        <xdr:cNvSpPr/>
      </xdr:nvSpPr>
      <xdr:spPr>
        <a:xfrm>
          <a:off x="4352924" y="9925051"/>
          <a:ext cx="2438401" cy="1943100"/>
        </a:xfrm>
        <a:prstGeom prst="borderCallout1">
          <a:avLst>
            <a:gd name="adj1" fmla="val -908"/>
            <a:gd name="adj2" fmla="val 50206"/>
            <a:gd name="adj3" fmla="val -76688"/>
            <a:gd name="adj4" fmla="val 34585"/>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Target</a:t>
          </a:r>
          <a:r>
            <a:rPr lang="en-ZA" sz="1100" b="1" baseline="0">
              <a:solidFill>
                <a:srgbClr val="C00000"/>
              </a:solidFill>
            </a:rPr>
            <a:t> folder:</a:t>
          </a:r>
          <a:endParaRPr lang="en-ZA" sz="1100" b="1">
            <a:solidFill>
              <a:srgbClr val="C00000"/>
            </a:solidFill>
          </a:endParaRPr>
        </a:p>
        <a:p>
          <a:pPr algn="l"/>
          <a:r>
            <a:rPr lang="en-ZA" sz="1100" b="0"/>
            <a:t>The name above is added to this target folder to create the final</a:t>
          </a:r>
          <a:r>
            <a:rPr lang="en-ZA" sz="1100" b="0" baseline="0"/>
            <a:t> resting place for the file or message.</a:t>
          </a:r>
        </a:p>
        <a:p>
          <a:pPr algn="l"/>
          <a:r>
            <a:rPr lang="en-ZA" sz="1100" b="1" i="1" baseline="0">
              <a:solidFill>
                <a:srgbClr val="C00000"/>
              </a:solidFill>
            </a:rPr>
            <a:t>Click</a:t>
          </a:r>
          <a:r>
            <a:rPr lang="en-ZA" sz="1100" b="0" baseline="0"/>
            <a:t> to choose the target folder from a list (based on the folders option above)</a:t>
          </a:r>
        </a:p>
        <a:p>
          <a:pPr algn="l"/>
          <a:r>
            <a:rPr lang="en-ZA" sz="1100" b="0" baseline="0"/>
            <a:t>If the text is </a:t>
          </a:r>
          <a:r>
            <a:rPr lang="en-ZA" sz="1100" b="1" baseline="0">
              <a:solidFill>
                <a:srgbClr val="C00000"/>
              </a:solidFill>
            </a:rPr>
            <a:t>RED</a:t>
          </a:r>
          <a:r>
            <a:rPr lang="en-ZA" sz="1100" b="0" baseline="0">
              <a:solidFill>
                <a:srgbClr val="C00000"/>
              </a:solidFill>
            </a:rPr>
            <a:t> </a:t>
          </a:r>
          <a:r>
            <a:rPr lang="en-ZA" sz="1100" b="0" baseline="0"/>
            <a:t>then the Project name does not match the Folder selected.</a:t>
          </a:r>
        </a:p>
        <a:p>
          <a:pPr algn="l"/>
          <a:r>
            <a:rPr lang="en-ZA" sz="1100" b="1" i="1" baseline="0">
              <a:solidFill>
                <a:srgbClr val="C00000"/>
              </a:solidFill>
            </a:rPr>
            <a:t>Ctrl+Click</a:t>
          </a:r>
          <a:r>
            <a:rPr lang="en-ZA" sz="1100" b="1" baseline="0"/>
            <a:t> </a:t>
          </a:r>
          <a:r>
            <a:rPr lang="en-ZA" sz="1100" b="0" baseline="0"/>
            <a:t>to open this folder in an Explorer window</a:t>
          </a:r>
          <a:endParaRPr lang="en-ZA" sz="1100" b="0"/>
        </a:p>
      </xdr:txBody>
    </xdr:sp>
    <xdr:clientData/>
  </xdr:twoCellAnchor>
  <xdr:twoCellAnchor>
    <xdr:from>
      <xdr:col>4</xdr:col>
      <xdr:colOff>304800</xdr:colOff>
      <xdr:row>45</xdr:row>
      <xdr:rowOff>95249</xdr:rowOff>
    </xdr:from>
    <xdr:to>
      <xdr:col>6</xdr:col>
      <xdr:colOff>428626</xdr:colOff>
      <xdr:row>53</xdr:row>
      <xdr:rowOff>47625</xdr:rowOff>
    </xdr:to>
    <xdr:sp macro="" textlink="">
      <xdr:nvSpPr>
        <xdr:cNvPr id="10" name="Line Callout 1 9"/>
        <xdr:cNvSpPr/>
      </xdr:nvSpPr>
      <xdr:spPr>
        <a:xfrm>
          <a:off x="2743200" y="9925049"/>
          <a:ext cx="1343026" cy="1476376"/>
        </a:xfrm>
        <a:prstGeom prst="borderCallout1">
          <a:avLst>
            <a:gd name="adj1" fmla="val -548"/>
            <a:gd name="adj2" fmla="val 50654"/>
            <a:gd name="adj3" fmla="val -48957"/>
            <a:gd name="adj4" fmla="val 5642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Move:</a:t>
          </a:r>
        </a:p>
        <a:p>
          <a:pPr algn="l"/>
          <a:r>
            <a:rPr lang="en-ZA" sz="1100" b="0"/>
            <a:t>Either move the file to a completely new location,</a:t>
          </a:r>
          <a:r>
            <a:rPr lang="en-ZA" sz="1100" b="0" baseline="0"/>
            <a:t> or rename it in-place.</a:t>
          </a:r>
        </a:p>
        <a:p>
          <a:pPr algn="l"/>
          <a:r>
            <a:rPr lang="en-ZA" sz="1100" b="0" i="1" baseline="0"/>
            <a:t>Items from Outlook are always moved!</a:t>
          </a:r>
          <a:endParaRPr lang="en-ZA" sz="1100" b="0" i="1"/>
        </a:p>
      </xdr:txBody>
    </xdr:sp>
    <xdr:clientData/>
  </xdr:twoCellAnchor>
  <xdr:twoCellAnchor>
    <xdr:from>
      <xdr:col>11</xdr:col>
      <xdr:colOff>304799</xdr:colOff>
      <xdr:row>45</xdr:row>
      <xdr:rowOff>95250</xdr:rowOff>
    </xdr:from>
    <xdr:to>
      <xdr:col>13</xdr:col>
      <xdr:colOff>247650</xdr:colOff>
      <xdr:row>48</xdr:row>
      <xdr:rowOff>9525</xdr:rowOff>
    </xdr:to>
    <xdr:sp macro="" textlink="">
      <xdr:nvSpPr>
        <xdr:cNvPr id="11" name="Line Callout 1 10"/>
        <xdr:cNvSpPr/>
      </xdr:nvSpPr>
      <xdr:spPr>
        <a:xfrm>
          <a:off x="7010399" y="9925050"/>
          <a:ext cx="1162051" cy="485775"/>
        </a:xfrm>
        <a:prstGeom prst="borderCallout1">
          <a:avLst>
            <a:gd name="adj1" fmla="val 4576"/>
            <a:gd name="adj2" fmla="val 191"/>
            <a:gd name="adj3" fmla="val -134840"/>
            <a:gd name="adj4" fmla="val -3953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Start the logging</a:t>
          </a:r>
          <a:r>
            <a:rPr lang="en-ZA" sz="1100" b="1" baseline="0">
              <a:solidFill>
                <a:srgbClr val="C00000"/>
              </a:solidFill>
            </a:rPr>
            <a:t> process</a:t>
          </a:r>
          <a:endParaRPr lang="en-ZA" sz="1100" b="0">
            <a:solidFill>
              <a:srgbClr val="C00000"/>
            </a:solidFill>
          </a:endParaRPr>
        </a:p>
      </xdr:txBody>
    </xdr:sp>
    <xdr:clientData/>
  </xdr:twoCellAnchor>
  <xdr:twoCellAnchor>
    <xdr:from>
      <xdr:col>0</xdr:col>
      <xdr:colOff>142874</xdr:colOff>
      <xdr:row>38</xdr:row>
      <xdr:rowOff>0</xdr:rowOff>
    </xdr:from>
    <xdr:to>
      <xdr:col>4</xdr:col>
      <xdr:colOff>8474</xdr:colOff>
      <xdr:row>44</xdr:row>
      <xdr:rowOff>66675</xdr:rowOff>
    </xdr:to>
    <xdr:sp macro="" textlink="">
      <xdr:nvSpPr>
        <xdr:cNvPr id="12" name="Line Callout 1 11"/>
        <xdr:cNvSpPr/>
      </xdr:nvSpPr>
      <xdr:spPr>
        <a:xfrm>
          <a:off x="142874" y="8496300"/>
          <a:ext cx="2304000" cy="1209675"/>
        </a:xfrm>
        <a:prstGeom prst="borderCallout1">
          <a:avLst>
            <a:gd name="adj1" fmla="val 23460"/>
            <a:gd name="adj2" fmla="val 99749"/>
            <a:gd name="adj3" fmla="val 13946"/>
            <a:gd name="adj4" fmla="val 126956"/>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Name:</a:t>
          </a:r>
        </a:p>
        <a:p>
          <a:pPr algn="l"/>
          <a:r>
            <a:rPr lang="en-ZA" sz="1100" b="0"/>
            <a:t>The new name of the file.  This is combined with</a:t>
          </a:r>
          <a:r>
            <a:rPr lang="en-ZA" sz="1100" b="0" baseline="0"/>
            <a:t> the </a:t>
          </a:r>
          <a:r>
            <a:rPr lang="en-ZA" sz="1100" b="0" i="1" baseline="0">
              <a:solidFill>
                <a:srgbClr val="C00000"/>
              </a:solidFill>
            </a:rPr>
            <a:t>Folder</a:t>
          </a:r>
          <a:r>
            <a:rPr lang="en-ZA" sz="1100" b="0" baseline="0"/>
            <a:t> box above to create the final save path.</a:t>
          </a:r>
        </a:p>
        <a:p>
          <a:pPr algn="l"/>
          <a:r>
            <a:rPr lang="en-ZA" sz="1100" b="0" baseline="0"/>
            <a:t>This name is built using the </a:t>
          </a:r>
          <a:r>
            <a:rPr lang="en-ZA" sz="1100" b="0" i="1" baseline="0">
              <a:solidFill>
                <a:srgbClr val="C00000"/>
              </a:solidFill>
            </a:rPr>
            <a:t>Template</a:t>
          </a:r>
          <a:r>
            <a:rPr lang="en-ZA" sz="1100" b="0" baseline="0"/>
            <a:t> box below.</a:t>
          </a:r>
          <a:endParaRPr lang="en-ZA" sz="1100" b="0"/>
        </a:p>
      </xdr:txBody>
    </xdr:sp>
    <xdr:clientData/>
  </xdr:twoCellAnchor>
  <xdr:twoCellAnchor>
    <xdr:from>
      <xdr:col>0</xdr:col>
      <xdr:colOff>142874</xdr:colOff>
      <xdr:row>45</xdr:row>
      <xdr:rowOff>104775</xdr:rowOff>
    </xdr:from>
    <xdr:to>
      <xdr:col>4</xdr:col>
      <xdr:colOff>8474</xdr:colOff>
      <xdr:row>53</xdr:row>
      <xdr:rowOff>104775</xdr:rowOff>
    </xdr:to>
    <xdr:sp macro="" textlink="">
      <xdr:nvSpPr>
        <xdr:cNvPr id="13" name="Line Callout 1 12"/>
        <xdr:cNvSpPr/>
      </xdr:nvSpPr>
      <xdr:spPr>
        <a:xfrm>
          <a:off x="142874" y="9934575"/>
          <a:ext cx="2304000" cy="1524000"/>
        </a:xfrm>
        <a:prstGeom prst="borderCallout1">
          <a:avLst>
            <a:gd name="adj1" fmla="val 12634"/>
            <a:gd name="adj2" fmla="val 99846"/>
            <a:gd name="adj3" fmla="val -62995"/>
            <a:gd name="adj4" fmla="val 125628"/>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Template:</a:t>
          </a:r>
        </a:p>
        <a:p>
          <a:pPr algn="l"/>
          <a:r>
            <a:rPr lang="en-ZA" sz="1100" b="0"/>
            <a:t>How the new file name is created.  Click</a:t>
          </a:r>
          <a:r>
            <a:rPr lang="en-ZA" sz="1100" b="0" baseline="0"/>
            <a:t> this field to see a list of possible template options based on the item's metadata.</a:t>
          </a:r>
        </a:p>
        <a:p>
          <a:pPr algn="l"/>
          <a:r>
            <a:rPr lang="en-ZA" sz="1100" b="0" baseline="0"/>
            <a:t>Double-click any item from the list to add it to the template (or just type it in)</a:t>
          </a:r>
          <a:endParaRPr lang="en-ZA" sz="1100" b="0"/>
        </a:p>
      </xdr:txBody>
    </xdr:sp>
    <xdr:clientData/>
  </xdr:twoCellAnchor>
  <xdr:twoCellAnchor>
    <xdr:from>
      <xdr:col>14</xdr:col>
      <xdr:colOff>352424</xdr:colOff>
      <xdr:row>28</xdr:row>
      <xdr:rowOff>123825</xdr:rowOff>
    </xdr:from>
    <xdr:to>
      <xdr:col>18</xdr:col>
      <xdr:colOff>57150</xdr:colOff>
      <xdr:row>32</xdr:row>
      <xdr:rowOff>180975</xdr:rowOff>
    </xdr:to>
    <xdr:sp macro="" textlink="">
      <xdr:nvSpPr>
        <xdr:cNvPr id="14" name="Line Callout 1 13"/>
        <xdr:cNvSpPr/>
      </xdr:nvSpPr>
      <xdr:spPr>
        <a:xfrm>
          <a:off x="8886824" y="6715125"/>
          <a:ext cx="2143126" cy="819150"/>
        </a:xfrm>
        <a:prstGeom prst="borderCallout1">
          <a:avLst>
            <a:gd name="adj1" fmla="val 51019"/>
            <a:gd name="adj2" fmla="val -628"/>
            <a:gd name="adj3" fmla="val 195493"/>
            <a:gd name="adj4" fmla="val -46834"/>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Target:</a:t>
          </a:r>
        </a:p>
        <a:p>
          <a:pPr algn="l"/>
          <a:r>
            <a:rPr lang="en-ZA" sz="1100" b="0"/>
            <a:t>Click to </a:t>
          </a:r>
          <a:r>
            <a:rPr lang="en-ZA" sz="1100" b="1">
              <a:solidFill>
                <a:srgbClr val="C00000"/>
              </a:solidFill>
            </a:rPr>
            <a:t>M</a:t>
          </a:r>
          <a:r>
            <a:rPr lang="en-ZA" sz="1100" b="0"/>
            <a:t>atch the target folder based</a:t>
          </a:r>
          <a:r>
            <a:rPr lang="en-ZA" sz="1100" b="0" baseline="0"/>
            <a:t> on the Project name.</a:t>
          </a:r>
          <a:endParaRPr lang="en-ZA" sz="1100" b="0"/>
        </a:p>
      </xdr:txBody>
    </xdr:sp>
    <xdr:clientData/>
  </xdr:twoCellAnchor>
  <xdr:twoCellAnchor>
    <xdr:from>
      <xdr:col>14</xdr:col>
      <xdr:colOff>352424</xdr:colOff>
      <xdr:row>33</xdr:row>
      <xdr:rowOff>142875</xdr:rowOff>
    </xdr:from>
    <xdr:to>
      <xdr:col>18</xdr:col>
      <xdr:colOff>57150</xdr:colOff>
      <xdr:row>37</xdr:row>
      <xdr:rowOff>47625</xdr:rowOff>
    </xdr:to>
    <xdr:sp macro="" textlink="">
      <xdr:nvSpPr>
        <xdr:cNvPr id="15" name="Line Callout 1 14"/>
        <xdr:cNvSpPr/>
      </xdr:nvSpPr>
      <xdr:spPr>
        <a:xfrm>
          <a:off x="8886824" y="7686675"/>
          <a:ext cx="2143126" cy="666750"/>
        </a:xfrm>
        <a:prstGeom prst="borderCallout1">
          <a:avLst>
            <a:gd name="adj1" fmla="val 51019"/>
            <a:gd name="adj2" fmla="val -628"/>
            <a:gd name="adj3" fmla="val 96590"/>
            <a:gd name="adj4" fmla="val -31663"/>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Default</a:t>
          </a:r>
          <a:r>
            <a:rPr lang="en-ZA" sz="1100" b="1" baseline="0">
              <a:solidFill>
                <a:srgbClr val="C00000"/>
              </a:solidFill>
            </a:rPr>
            <a:t> Folder:</a:t>
          </a:r>
        </a:p>
        <a:p>
          <a:pPr algn="l"/>
          <a:r>
            <a:rPr lang="en-ZA" sz="1100" b="0" baseline="0"/>
            <a:t>Click to set the default target folder.</a:t>
          </a:r>
          <a:endParaRPr lang="en-ZA" sz="1100" b="0"/>
        </a:p>
      </xdr:txBody>
    </xdr:sp>
    <xdr:clientData/>
  </xdr:twoCellAnchor>
  <xdr:twoCellAnchor>
    <xdr:from>
      <xdr:col>0</xdr:col>
      <xdr:colOff>142874</xdr:colOff>
      <xdr:row>16</xdr:row>
      <xdr:rowOff>47624</xdr:rowOff>
    </xdr:from>
    <xdr:to>
      <xdr:col>4</xdr:col>
      <xdr:colOff>8474</xdr:colOff>
      <xdr:row>27</xdr:row>
      <xdr:rowOff>142876</xdr:rowOff>
    </xdr:to>
    <xdr:sp macro="" textlink="">
      <xdr:nvSpPr>
        <xdr:cNvPr id="16" name="Line Callout 1 15"/>
        <xdr:cNvSpPr/>
      </xdr:nvSpPr>
      <xdr:spPr>
        <a:xfrm>
          <a:off x="142874" y="3552824"/>
          <a:ext cx="2304000" cy="2990852"/>
        </a:xfrm>
        <a:prstGeom prst="borderCallout1">
          <a:avLst>
            <a:gd name="adj1" fmla="val 60247"/>
            <a:gd name="adj2" fmla="val 99785"/>
            <a:gd name="adj3" fmla="val 69572"/>
            <a:gd name="adj4" fmla="val 124707"/>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Project:</a:t>
          </a:r>
        </a:p>
        <a:p>
          <a:pPr algn="l"/>
          <a:r>
            <a:rPr lang="en-ZA" sz="1100" b="1"/>
            <a:t>1. </a:t>
          </a:r>
          <a:r>
            <a:rPr lang="en-ZA" sz="1100" b="0"/>
            <a:t>Guess Project name based on Subject line up to a fixed symbol </a:t>
          </a:r>
          <a:r>
            <a:rPr lang="en-ZA" sz="1100" b="0" i="1"/>
            <a:t>(see Options)</a:t>
          </a:r>
        </a:p>
        <a:p>
          <a:pPr algn="l"/>
          <a:r>
            <a:rPr lang="en-ZA" sz="1100" b="1"/>
            <a:t>2. </a:t>
          </a:r>
          <a:r>
            <a:rPr lang="en-ZA" sz="1100" b="0"/>
            <a:t>Press </a:t>
          </a:r>
          <a:r>
            <a:rPr lang="en-ZA" sz="1100" b="0" i="1">
              <a:solidFill>
                <a:srgbClr val="C00000"/>
              </a:solidFill>
            </a:rPr>
            <a:t>1-9</a:t>
          </a:r>
          <a:r>
            <a:rPr lang="en-ZA" sz="1100" b="0"/>
            <a:t> in this box to capture the first words of the Subject line</a:t>
          </a:r>
          <a:r>
            <a:rPr lang="en-ZA" sz="1100" b="0" baseline="0"/>
            <a:t/>
          </a:r>
          <a:br>
            <a:rPr lang="en-ZA" sz="1100" b="0" baseline="0"/>
          </a:br>
          <a:r>
            <a:rPr lang="en-ZA" sz="1100" b="0" baseline="0"/>
            <a:t>    E.g press "2" to grab the first 2 words from the Subject</a:t>
          </a:r>
        </a:p>
        <a:p>
          <a:pPr algn="l"/>
          <a:r>
            <a:rPr lang="en-ZA" sz="1100" b="1" baseline="0"/>
            <a:t>3. </a:t>
          </a:r>
          <a:r>
            <a:rPr lang="en-ZA" sz="1100" b="0" baseline="0"/>
            <a:t>Press </a:t>
          </a:r>
          <a:r>
            <a:rPr lang="en-ZA" sz="1100" b="0" i="1" baseline="0">
              <a:solidFill>
                <a:srgbClr val="C00000"/>
              </a:solidFill>
            </a:rPr>
            <a:t>0</a:t>
          </a:r>
          <a:r>
            <a:rPr lang="en-ZA" sz="1100" b="0" baseline="0"/>
            <a:t> to reuse the previous project name</a:t>
          </a:r>
        </a:p>
        <a:p>
          <a:pPr algn="l"/>
          <a:endParaRPr lang="en-ZA" sz="1100" b="0" baseline="0"/>
        </a:p>
        <a:p>
          <a:pPr algn="l"/>
          <a:r>
            <a:rPr lang="en-ZA" sz="1100" b="1" baseline="0"/>
            <a:t>Tick</a:t>
          </a:r>
          <a:r>
            <a:rPr lang="en-ZA" sz="1100" b="0" baseline="0"/>
            <a:t> the </a:t>
          </a:r>
          <a:r>
            <a:rPr lang="en-ZA" sz="1100" b="0" i="1" baseline="0">
              <a:solidFill>
                <a:srgbClr val="C00000"/>
              </a:solidFill>
            </a:rPr>
            <a:t>Lock </a:t>
          </a:r>
          <a:r>
            <a:rPr lang="en-ZA" sz="1100" b="0" baseline="0">
              <a:solidFill>
                <a:schemeClr val="dk1"/>
              </a:solidFill>
              <a:latin typeface="+mn-lt"/>
              <a:ea typeface="+mn-ea"/>
              <a:cs typeface="+mn-cs"/>
            </a:rPr>
            <a:t>checkbox to lock/fix the Project name for this batch</a:t>
          </a:r>
        </a:p>
        <a:p>
          <a:pPr algn="l"/>
          <a:r>
            <a:rPr lang="en-ZA" sz="1100" b="1" baseline="0"/>
            <a:t>Tick</a:t>
          </a:r>
          <a:r>
            <a:rPr lang="en-ZA" sz="1100" b="0" baseline="0"/>
            <a:t> the </a:t>
          </a:r>
          <a:r>
            <a:rPr lang="en-ZA" sz="1100" b="0" i="1" baseline="0">
              <a:solidFill>
                <a:srgbClr val="C00000"/>
              </a:solidFill>
            </a:rPr>
            <a:t>Match</a:t>
          </a:r>
          <a:r>
            <a:rPr lang="en-ZA" sz="1100" b="0" baseline="0"/>
            <a:t> checkbox to always try to guess the target folder name. (see below)</a:t>
          </a:r>
          <a:endParaRPr lang="en-ZA" sz="1100" b="0"/>
        </a:p>
      </xdr:txBody>
    </xdr:sp>
    <xdr:clientData/>
  </xdr:twoCellAnchor>
  <xdr:twoCellAnchor>
    <xdr:from>
      <xdr:col>14</xdr:col>
      <xdr:colOff>352424</xdr:colOff>
      <xdr:row>17</xdr:row>
      <xdr:rowOff>285750</xdr:rowOff>
    </xdr:from>
    <xdr:to>
      <xdr:col>18</xdr:col>
      <xdr:colOff>57150</xdr:colOff>
      <xdr:row>27</xdr:row>
      <xdr:rowOff>171450</xdr:rowOff>
    </xdr:to>
    <xdr:sp macro="" textlink="">
      <xdr:nvSpPr>
        <xdr:cNvPr id="17" name="Line Callout 1 16"/>
        <xdr:cNvSpPr/>
      </xdr:nvSpPr>
      <xdr:spPr>
        <a:xfrm>
          <a:off x="8886824" y="4095750"/>
          <a:ext cx="2143126" cy="2476500"/>
        </a:xfrm>
        <a:prstGeom prst="borderCallout1">
          <a:avLst>
            <a:gd name="adj1" fmla="val 49591"/>
            <a:gd name="adj2" fmla="val -628"/>
            <a:gd name="adj3" fmla="val 44909"/>
            <a:gd name="adj4" fmla="val -4693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Items to Log:</a:t>
          </a:r>
        </a:p>
        <a:p>
          <a:pPr algn="l"/>
          <a:r>
            <a:rPr lang="en-ZA" sz="1100" b="1" i="1">
              <a:solidFill>
                <a:srgbClr val="C00000"/>
              </a:solidFill>
            </a:rPr>
            <a:t>Click</a:t>
          </a:r>
          <a:r>
            <a:rPr lang="en-ZA" sz="1100" b="0"/>
            <a:t> to select</a:t>
          </a:r>
          <a:r>
            <a:rPr lang="en-ZA" sz="1100" b="0" baseline="0"/>
            <a:t> one item to Log</a:t>
          </a:r>
        </a:p>
        <a:p>
          <a:pPr algn="l"/>
          <a:endParaRPr lang="en-ZA" sz="1100" b="0"/>
        </a:p>
        <a:p>
          <a:pPr algn="l"/>
          <a:r>
            <a:rPr lang="en-ZA" sz="1100" b="1" i="1">
              <a:solidFill>
                <a:srgbClr val="C00000"/>
              </a:solidFill>
            </a:rPr>
            <a:t>Ctrl+Click  or Ctrl+Shift</a:t>
          </a:r>
          <a:r>
            <a:rPr lang="en-ZA" sz="1100" b="1" i="1" baseline="0">
              <a:solidFill>
                <a:srgbClr val="C00000"/>
              </a:solidFill>
            </a:rPr>
            <a:t> </a:t>
          </a:r>
          <a:r>
            <a:rPr lang="en-ZA" sz="1100" b="0"/>
            <a:t>to select</a:t>
          </a:r>
          <a:r>
            <a:rPr lang="en-ZA" sz="1100" b="0" baseline="0"/>
            <a:t> more than one item to be saved </a:t>
          </a:r>
          <a:r>
            <a:rPr lang="en-ZA" sz="1100" b="1" baseline="0"/>
            <a:t>or</a:t>
          </a:r>
          <a:r>
            <a:rPr lang="en-ZA" sz="1100" b="0" baseline="0"/>
            <a:t> if in "Select" mode then which items are attachments</a:t>
          </a:r>
        </a:p>
        <a:p>
          <a:pPr algn="l"/>
          <a:endParaRPr lang="en-ZA" sz="1100" b="0" baseline="0"/>
        </a:p>
        <a:p>
          <a:pPr algn="l"/>
          <a:r>
            <a:rPr lang="en-ZA" sz="1100" b="1" i="1" baseline="0">
              <a:solidFill>
                <a:srgbClr val="C00000"/>
              </a:solidFill>
            </a:rPr>
            <a:t>Ctrl+Shift+Click</a:t>
          </a:r>
          <a:r>
            <a:rPr lang="en-ZA" sz="1100" b="1" baseline="0"/>
            <a:t> </a:t>
          </a:r>
          <a:r>
            <a:rPr lang="en-ZA" sz="1100" b="0" baseline="0"/>
            <a:t>to select all immediately</a:t>
          </a:r>
        </a:p>
        <a:p>
          <a:pPr algn="l"/>
          <a:endParaRPr lang="en-ZA" sz="1100" b="0" baseline="0"/>
        </a:p>
        <a:p>
          <a:pPr algn="l"/>
          <a:r>
            <a:rPr lang="en-ZA" sz="1100" b="1" i="1" baseline="0">
              <a:solidFill>
                <a:srgbClr val="C00000"/>
              </a:solidFill>
            </a:rPr>
            <a:t>Alt+N</a:t>
          </a:r>
          <a:r>
            <a:rPr lang="en-ZA" sz="1100" b="1" baseline="0"/>
            <a:t> </a:t>
          </a:r>
          <a:r>
            <a:rPr lang="en-ZA" sz="1100" b="0" baseline="0"/>
            <a:t>to move to next item to be logged</a:t>
          </a:r>
          <a:endParaRPr lang="en-ZA" sz="1100" b="0"/>
        </a:p>
      </xdr:txBody>
    </xdr:sp>
    <xdr:clientData/>
  </xdr:twoCellAnchor>
  <xdr:twoCellAnchor>
    <xdr:from>
      <xdr:col>1</xdr:col>
      <xdr:colOff>552449</xdr:colOff>
      <xdr:row>57</xdr:row>
      <xdr:rowOff>171450</xdr:rowOff>
    </xdr:from>
    <xdr:to>
      <xdr:col>4</xdr:col>
      <xdr:colOff>209550</xdr:colOff>
      <xdr:row>61</xdr:row>
      <xdr:rowOff>76200</xdr:rowOff>
    </xdr:to>
    <xdr:sp macro="" textlink="">
      <xdr:nvSpPr>
        <xdr:cNvPr id="18" name="Line Callout 1 17"/>
        <xdr:cNvSpPr/>
      </xdr:nvSpPr>
      <xdr:spPr>
        <a:xfrm>
          <a:off x="1162049" y="12287250"/>
          <a:ext cx="1485901" cy="666750"/>
        </a:xfrm>
        <a:prstGeom prst="borderCallout1">
          <a:avLst>
            <a:gd name="adj1" fmla="val 51019"/>
            <a:gd name="adj2" fmla="val 100654"/>
            <a:gd name="adj3" fmla="val 118019"/>
            <a:gd name="adj4" fmla="val 167959"/>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What to do with the original</a:t>
          </a:r>
          <a:r>
            <a:rPr lang="en-ZA" sz="1100" b="0" baseline="0"/>
            <a:t> file once it has been archived.</a:t>
          </a:r>
          <a:endParaRPr lang="en-ZA" sz="1100" b="0"/>
        </a:p>
      </xdr:txBody>
    </xdr:sp>
    <xdr:clientData/>
  </xdr:twoCellAnchor>
  <xdr:twoCellAnchor>
    <xdr:from>
      <xdr:col>1</xdr:col>
      <xdr:colOff>228599</xdr:colOff>
      <xdr:row>62</xdr:row>
      <xdr:rowOff>85725</xdr:rowOff>
    </xdr:from>
    <xdr:to>
      <xdr:col>4</xdr:col>
      <xdr:colOff>209550</xdr:colOff>
      <xdr:row>65</xdr:row>
      <xdr:rowOff>180975</xdr:rowOff>
    </xdr:to>
    <xdr:sp macro="" textlink="">
      <xdr:nvSpPr>
        <xdr:cNvPr id="19" name="Line Callout 1 18"/>
        <xdr:cNvSpPr/>
      </xdr:nvSpPr>
      <xdr:spPr>
        <a:xfrm>
          <a:off x="838199" y="13154025"/>
          <a:ext cx="1809751" cy="666750"/>
        </a:xfrm>
        <a:prstGeom prst="borderCallout1">
          <a:avLst>
            <a:gd name="adj1" fmla="val 48162"/>
            <a:gd name="adj2" fmla="val 99898"/>
            <a:gd name="adj3" fmla="val 85162"/>
            <a:gd name="adj4" fmla="val 154843"/>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What to do with the original Outlook e-mail once it has been</a:t>
          </a:r>
          <a:r>
            <a:rPr lang="en-ZA" sz="1100" b="0" baseline="0"/>
            <a:t> archived.</a:t>
          </a:r>
          <a:endParaRPr lang="en-ZA" sz="1100" b="0"/>
        </a:p>
      </xdr:txBody>
    </xdr:sp>
    <xdr:clientData/>
  </xdr:twoCellAnchor>
  <xdr:twoCellAnchor>
    <xdr:from>
      <xdr:col>0</xdr:col>
      <xdr:colOff>238124</xdr:colOff>
      <xdr:row>67</xdr:row>
      <xdr:rowOff>0</xdr:rowOff>
    </xdr:from>
    <xdr:to>
      <xdr:col>4</xdr:col>
      <xdr:colOff>209550</xdr:colOff>
      <xdr:row>71</xdr:row>
      <xdr:rowOff>47625</xdr:rowOff>
    </xdr:to>
    <xdr:sp macro="" textlink="">
      <xdr:nvSpPr>
        <xdr:cNvPr id="20" name="Line Callout 1 19"/>
        <xdr:cNvSpPr/>
      </xdr:nvSpPr>
      <xdr:spPr>
        <a:xfrm>
          <a:off x="238124" y="14020800"/>
          <a:ext cx="2409826" cy="809625"/>
        </a:xfrm>
        <a:prstGeom prst="borderCallout1">
          <a:avLst>
            <a:gd name="adj1" fmla="val 48666"/>
            <a:gd name="adj2" fmla="val 99767"/>
            <a:gd name="adj3" fmla="val 85021"/>
            <a:gd name="adj4" fmla="val 143488"/>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How to label archived Emails</a:t>
          </a:r>
          <a:r>
            <a:rPr lang="en-ZA" sz="1100" b="0" baseline="0"/>
            <a:t> in Outlook (useful if you choose not to delete it.)</a:t>
          </a:r>
        </a:p>
        <a:p>
          <a:pPr algn="l"/>
          <a:r>
            <a:rPr lang="en-ZA" sz="1100" b="0" baseline="0"/>
            <a:t>Overwrite removes all existing labels first.</a:t>
          </a:r>
          <a:endParaRPr lang="en-ZA" sz="1100" b="0"/>
        </a:p>
      </xdr:txBody>
    </xdr:sp>
    <xdr:clientData/>
  </xdr:twoCellAnchor>
  <xdr:twoCellAnchor>
    <xdr:from>
      <xdr:col>0</xdr:col>
      <xdr:colOff>542924</xdr:colOff>
      <xdr:row>72</xdr:row>
      <xdr:rowOff>57150</xdr:rowOff>
    </xdr:from>
    <xdr:to>
      <xdr:col>4</xdr:col>
      <xdr:colOff>209550</xdr:colOff>
      <xdr:row>76</xdr:row>
      <xdr:rowOff>152401</xdr:rowOff>
    </xdr:to>
    <xdr:sp macro="" textlink="">
      <xdr:nvSpPr>
        <xdr:cNvPr id="21" name="Line Callout 1 20"/>
        <xdr:cNvSpPr/>
      </xdr:nvSpPr>
      <xdr:spPr>
        <a:xfrm>
          <a:off x="542924" y="15030450"/>
          <a:ext cx="2105026" cy="857251"/>
        </a:xfrm>
        <a:prstGeom prst="borderCallout1">
          <a:avLst>
            <a:gd name="adj1" fmla="val 49908"/>
            <a:gd name="adj2" fmla="val 100277"/>
            <a:gd name="adj3" fmla="val 5160"/>
            <a:gd name="adj4" fmla="val 141261"/>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t>How attachments will be saved:</a:t>
          </a:r>
        </a:p>
        <a:p>
          <a:pPr algn="l"/>
          <a:r>
            <a:rPr lang="en-ZA" sz="1100" b="0"/>
            <a:t>1. Embedded in the message</a:t>
          </a:r>
        </a:p>
        <a:p>
          <a:pPr algn="l"/>
          <a:r>
            <a:rPr lang="en-ZA" sz="1100" b="0"/>
            <a:t>2. To a separate</a:t>
          </a:r>
          <a:r>
            <a:rPr lang="en-ZA" sz="1100" b="0" baseline="0"/>
            <a:t> zipped folder</a:t>
          </a:r>
        </a:p>
        <a:p>
          <a:pPr algn="l"/>
          <a:r>
            <a:rPr lang="en-ZA" sz="1100" b="0" baseline="0"/>
            <a:t>3. To a separate normal folder</a:t>
          </a:r>
          <a:endParaRPr lang="en-ZA" sz="1100" b="0"/>
        </a:p>
      </xdr:txBody>
    </xdr:sp>
    <xdr:clientData/>
  </xdr:twoCellAnchor>
  <xdr:twoCellAnchor>
    <xdr:from>
      <xdr:col>0</xdr:col>
      <xdr:colOff>542925</xdr:colOff>
      <xdr:row>77</xdr:row>
      <xdr:rowOff>161926</xdr:rowOff>
    </xdr:from>
    <xdr:to>
      <xdr:col>4</xdr:col>
      <xdr:colOff>209550</xdr:colOff>
      <xdr:row>82</xdr:row>
      <xdr:rowOff>9526</xdr:rowOff>
    </xdr:to>
    <xdr:sp macro="" textlink="">
      <xdr:nvSpPr>
        <xdr:cNvPr id="22" name="Line Callout 1 21"/>
        <xdr:cNvSpPr/>
      </xdr:nvSpPr>
      <xdr:spPr>
        <a:xfrm>
          <a:off x="542925" y="16087726"/>
          <a:ext cx="2105025" cy="800100"/>
        </a:xfrm>
        <a:prstGeom prst="borderCallout1">
          <a:avLst>
            <a:gd name="adj1" fmla="val 50110"/>
            <a:gd name="adj2" fmla="val 99617"/>
            <a:gd name="adj3" fmla="val -50834"/>
            <a:gd name="adj4" fmla="val 152248"/>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Everything in the Subject</a:t>
          </a:r>
          <a:r>
            <a:rPr lang="en-ZA" sz="1100" b="0" baseline="0"/>
            <a:t> line up to any one of these symbol/character is considered as the Project name</a:t>
          </a:r>
          <a:endParaRPr lang="en-ZA" sz="1100" b="0"/>
        </a:p>
      </xdr:txBody>
    </xdr:sp>
    <xdr:clientData/>
  </xdr:twoCellAnchor>
  <xdr:twoCellAnchor>
    <xdr:from>
      <xdr:col>3</xdr:col>
      <xdr:colOff>600074</xdr:colOff>
      <xdr:row>88</xdr:row>
      <xdr:rowOff>152399</xdr:rowOff>
    </xdr:from>
    <xdr:to>
      <xdr:col>6</xdr:col>
      <xdr:colOff>257175</xdr:colOff>
      <xdr:row>92</xdr:row>
      <xdr:rowOff>57149</xdr:rowOff>
    </xdr:to>
    <xdr:sp macro="" textlink="">
      <xdr:nvSpPr>
        <xdr:cNvPr id="23" name="Line Callout 1 22"/>
        <xdr:cNvSpPr/>
      </xdr:nvSpPr>
      <xdr:spPr>
        <a:xfrm>
          <a:off x="2428874" y="18173699"/>
          <a:ext cx="1485901" cy="666750"/>
        </a:xfrm>
        <a:prstGeom prst="borderCallout1">
          <a:avLst>
            <a:gd name="adj1" fmla="val -410"/>
            <a:gd name="adj2" fmla="val 49372"/>
            <a:gd name="adj3" fmla="val -183410"/>
            <a:gd name="adj4" fmla="val 104497"/>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Remove the "RE:"</a:t>
          </a:r>
          <a:r>
            <a:rPr lang="en-ZA" sz="1100" b="0" baseline="0"/>
            <a:t> or "FW:" from the Subject line</a:t>
          </a:r>
          <a:endParaRPr lang="en-ZA" sz="1100" b="0"/>
        </a:p>
      </xdr:txBody>
    </xdr:sp>
    <xdr:clientData/>
  </xdr:twoCellAnchor>
  <xdr:twoCellAnchor>
    <xdr:from>
      <xdr:col>14</xdr:col>
      <xdr:colOff>352424</xdr:colOff>
      <xdr:row>43</xdr:row>
      <xdr:rowOff>123825</xdr:rowOff>
    </xdr:from>
    <xdr:to>
      <xdr:col>18</xdr:col>
      <xdr:colOff>57150</xdr:colOff>
      <xdr:row>49</xdr:row>
      <xdr:rowOff>171451</xdr:rowOff>
    </xdr:to>
    <xdr:sp macro="" textlink="">
      <xdr:nvSpPr>
        <xdr:cNvPr id="24" name="Line Callout 1 23"/>
        <xdr:cNvSpPr/>
      </xdr:nvSpPr>
      <xdr:spPr>
        <a:xfrm>
          <a:off x="8886824" y="9572625"/>
          <a:ext cx="2143126" cy="1190626"/>
        </a:xfrm>
        <a:prstGeom prst="borderCallout1">
          <a:avLst>
            <a:gd name="adj1" fmla="val 51019"/>
            <a:gd name="adj2" fmla="val -628"/>
            <a:gd name="adj3" fmla="val -34767"/>
            <a:gd name="adj4" fmla="val -34728"/>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Drop Target</a:t>
          </a:r>
          <a:r>
            <a:rPr lang="en-ZA" sz="1100" b="1" baseline="0">
              <a:solidFill>
                <a:srgbClr val="C00000"/>
              </a:solidFill>
            </a:rPr>
            <a:t>:</a:t>
          </a:r>
        </a:p>
        <a:p>
          <a:pPr algn="l"/>
          <a:r>
            <a:rPr lang="en-ZA" sz="1100" b="0" baseline="0"/>
            <a:t>Drop a new target folder here from Windows Explorer.</a:t>
          </a:r>
        </a:p>
        <a:p>
          <a:pPr algn="l"/>
          <a:r>
            <a:rPr lang="en-ZA" sz="1100" b="0" i="1" baseline="0"/>
            <a:t>A quick way to set a rarely used target folder.</a:t>
          </a:r>
          <a:endParaRPr lang="en-ZA" sz="1100" b="0" i="1"/>
        </a:p>
      </xdr:txBody>
    </xdr:sp>
    <xdr:clientData/>
  </xdr:twoCellAnchor>
  <xdr:twoCellAnchor>
    <xdr:from>
      <xdr:col>7</xdr:col>
      <xdr:colOff>76199</xdr:colOff>
      <xdr:row>88</xdr:row>
      <xdr:rowOff>152399</xdr:rowOff>
    </xdr:from>
    <xdr:to>
      <xdr:col>10</xdr:col>
      <xdr:colOff>238125</xdr:colOff>
      <xdr:row>98</xdr:row>
      <xdr:rowOff>95250</xdr:rowOff>
    </xdr:to>
    <xdr:sp macro="" textlink="">
      <xdr:nvSpPr>
        <xdr:cNvPr id="25" name="Line Callout 1 24"/>
        <xdr:cNvSpPr/>
      </xdr:nvSpPr>
      <xdr:spPr>
        <a:xfrm>
          <a:off x="4343399" y="18173699"/>
          <a:ext cx="1990726" cy="1847851"/>
        </a:xfrm>
        <a:prstGeom prst="borderCallout1">
          <a:avLst>
            <a:gd name="adj1" fmla="val -405"/>
            <a:gd name="adj2" fmla="val 38457"/>
            <a:gd name="adj3" fmla="val -87957"/>
            <a:gd name="adj4" fmla="val 44907"/>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t>The</a:t>
          </a:r>
          <a:r>
            <a:rPr lang="en-ZA" sz="1100" b="1" baseline="0"/>
            <a:t> default folder name for the CorLog.</a:t>
          </a:r>
        </a:p>
        <a:p>
          <a:pPr algn="l"/>
          <a:r>
            <a:rPr lang="en-ZA" sz="1100" b="0" baseline="0"/>
            <a:t>If you </a:t>
          </a:r>
          <a:r>
            <a:rPr lang="en-ZA" sz="1100" b="1" i="1" baseline="0">
              <a:solidFill>
                <a:srgbClr val="C00000"/>
              </a:solidFill>
            </a:rPr>
            <a:t>Ctrl + Click </a:t>
          </a:r>
          <a:r>
            <a:rPr lang="en-ZA" sz="1100" b="0" baseline="0"/>
            <a:t>the select folder option in the main window then this folder name is added to the path of this workbook.</a:t>
          </a:r>
        </a:p>
        <a:p>
          <a:pPr algn="l"/>
          <a:r>
            <a:rPr lang="en-ZA" sz="1100" b="0" baseline="0"/>
            <a:t>This is useful if you save you email relative to the location of this workbook.</a:t>
          </a:r>
          <a:endParaRPr lang="en-ZA" sz="1100" b="0"/>
        </a:p>
      </xdr:txBody>
    </xdr:sp>
    <xdr:clientData/>
  </xdr:twoCellAnchor>
  <xdr:twoCellAnchor>
    <xdr:from>
      <xdr:col>1</xdr:col>
      <xdr:colOff>142874</xdr:colOff>
      <xdr:row>83</xdr:row>
      <xdr:rowOff>19050</xdr:rowOff>
    </xdr:from>
    <xdr:to>
      <xdr:col>4</xdr:col>
      <xdr:colOff>209550</xdr:colOff>
      <xdr:row>86</xdr:row>
      <xdr:rowOff>123825</xdr:rowOff>
    </xdr:to>
    <xdr:sp macro="" textlink="">
      <xdr:nvSpPr>
        <xdr:cNvPr id="26" name="Line Callout 1 25"/>
        <xdr:cNvSpPr/>
      </xdr:nvSpPr>
      <xdr:spPr>
        <a:xfrm>
          <a:off x="752474" y="17087850"/>
          <a:ext cx="1895476" cy="676275"/>
        </a:xfrm>
        <a:prstGeom prst="borderCallout1">
          <a:avLst>
            <a:gd name="adj1" fmla="val 49986"/>
            <a:gd name="adj2" fmla="val 100119"/>
            <a:gd name="adj3" fmla="val -120615"/>
            <a:gd name="adj4" fmla="val 166525"/>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Where  to insert new lines in the CorLog: At the top or the bottom of the list</a:t>
          </a:r>
        </a:p>
      </xdr:txBody>
    </xdr:sp>
    <xdr:clientData/>
  </xdr:twoCellAnchor>
  <xdr:twoCellAnchor>
    <xdr:from>
      <xdr:col>13</xdr:col>
      <xdr:colOff>228598</xdr:colOff>
      <xdr:row>71</xdr:row>
      <xdr:rowOff>47625</xdr:rowOff>
    </xdr:from>
    <xdr:to>
      <xdr:col>16</xdr:col>
      <xdr:colOff>85725</xdr:colOff>
      <xdr:row>75</xdr:row>
      <xdr:rowOff>161925</xdr:rowOff>
    </xdr:to>
    <xdr:sp macro="" textlink="">
      <xdr:nvSpPr>
        <xdr:cNvPr id="27" name="Line Callout 1 26"/>
        <xdr:cNvSpPr/>
      </xdr:nvSpPr>
      <xdr:spPr>
        <a:xfrm>
          <a:off x="8153398" y="14830425"/>
          <a:ext cx="1685927" cy="876300"/>
        </a:xfrm>
        <a:prstGeom prst="borderCallout1">
          <a:avLst>
            <a:gd name="adj1" fmla="val 49908"/>
            <a:gd name="adj2" fmla="val -1080"/>
            <a:gd name="adj3" fmla="val 53390"/>
            <a:gd name="adj4" fmla="val -10507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t>How File Attachments will be saved:</a:t>
          </a:r>
        </a:p>
        <a:p>
          <a:pPr algn="l"/>
          <a:r>
            <a:rPr lang="en-ZA" sz="1100" b="0"/>
            <a:t>1. As a</a:t>
          </a:r>
          <a:r>
            <a:rPr lang="en-ZA" sz="1100" b="0" baseline="0"/>
            <a:t> zipped folder</a:t>
          </a:r>
        </a:p>
        <a:p>
          <a:pPr algn="l"/>
          <a:r>
            <a:rPr lang="en-ZA" sz="1100" b="0" baseline="0"/>
            <a:t>3. As a normal folder</a:t>
          </a:r>
          <a:endParaRPr lang="en-ZA" sz="1100" b="0"/>
        </a:p>
      </xdr:txBody>
    </xdr:sp>
    <xdr:clientData/>
  </xdr:twoCellAnchor>
  <xdr:twoCellAnchor>
    <xdr:from>
      <xdr:col>13</xdr:col>
      <xdr:colOff>228598</xdr:colOff>
      <xdr:row>77</xdr:row>
      <xdr:rowOff>9525</xdr:rowOff>
    </xdr:from>
    <xdr:to>
      <xdr:col>16</xdr:col>
      <xdr:colOff>457200</xdr:colOff>
      <xdr:row>85</xdr:row>
      <xdr:rowOff>0</xdr:rowOff>
    </xdr:to>
    <xdr:sp macro="" textlink="">
      <xdr:nvSpPr>
        <xdr:cNvPr id="28" name="Line Callout 1 27"/>
        <xdr:cNvSpPr/>
      </xdr:nvSpPr>
      <xdr:spPr>
        <a:xfrm>
          <a:off x="8153398" y="15935325"/>
          <a:ext cx="2057402" cy="1514475"/>
        </a:xfrm>
        <a:prstGeom prst="borderCallout1">
          <a:avLst>
            <a:gd name="adj1" fmla="val 49908"/>
            <a:gd name="adj2" fmla="val -1080"/>
            <a:gd name="adj3" fmla="val -1813"/>
            <a:gd name="adj4" fmla="val -70011"/>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t>Matching Project to Folder:</a:t>
          </a:r>
        </a:p>
        <a:p>
          <a:pPr algn="l"/>
          <a:r>
            <a:rPr lang="en-ZA" sz="1100" b="0"/>
            <a:t>How to match the Project name to the target folder:</a:t>
          </a:r>
        </a:p>
        <a:p>
          <a:pPr algn="l"/>
          <a:r>
            <a:rPr lang="en-ZA" sz="1100" b="0"/>
            <a:t>1. No match</a:t>
          </a:r>
        </a:p>
        <a:p>
          <a:pPr algn="l"/>
          <a:r>
            <a:rPr lang="en-ZA" sz="1100" b="0"/>
            <a:t>2. Match the folder Name</a:t>
          </a:r>
        </a:p>
        <a:p>
          <a:pPr algn="l"/>
          <a:r>
            <a:rPr lang="en-ZA" sz="1100" b="0"/>
            <a:t>3. Match the folder Path</a:t>
          </a:r>
        </a:p>
        <a:p>
          <a:pPr algn="l"/>
          <a:r>
            <a:rPr lang="en-ZA" sz="1100" b="0"/>
            <a:t>4. Match both Name and Path </a:t>
          </a:r>
          <a:r>
            <a:rPr lang="en-ZA" sz="1100" b="0" i="1"/>
            <a:t>(default)</a:t>
          </a:r>
        </a:p>
      </xdr:txBody>
    </xdr:sp>
    <xdr:clientData/>
  </xdr:twoCellAnchor>
  <xdr:twoCellAnchor>
    <xdr:from>
      <xdr:col>0</xdr:col>
      <xdr:colOff>142874</xdr:colOff>
      <xdr:row>28</xdr:row>
      <xdr:rowOff>104775</xdr:rowOff>
    </xdr:from>
    <xdr:to>
      <xdr:col>4</xdr:col>
      <xdr:colOff>8474</xdr:colOff>
      <xdr:row>37</xdr:row>
      <xdr:rowOff>47625</xdr:rowOff>
    </xdr:to>
    <xdr:sp macro="" textlink="">
      <xdr:nvSpPr>
        <xdr:cNvPr id="29" name="Line Callout 1 28"/>
        <xdr:cNvSpPr/>
      </xdr:nvSpPr>
      <xdr:spPr>
        <a:xfrm>
          <a:off x="142874" y="6696075"/>
          <a:ext cx="2304000" cy="1657350"/>
        </a:xfrm>
        <a:prstGeom prst="borderCallout1">
          <a:avLst>
            <a:gd name="adj1" fmla="val 28360"/>
            <a:gd name="adj2" fmla="val 100162"/>
            <a:gd name="adj3" fmla="val 38549"/>
            <a:gd name="adj4" fmla="val 143906"/>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Select:</a:t>
          </a:r>
        </a:p>
        <a:p>
          <a:pPr algn="l"/>
          <a:r>
            <a:rPr lang="en-ZA" sz="1100" b="1"/>
            <a:t>Drop/Folder: </a:t>
          </a:r>
          <a:r>
            <a:rPr lang="en-ZA" sz="1100" b="1">
              <a:solidFill>
                <a:srgbClr val="C00000"/>
              </a:solidFill>
            </a:rPr>
            <a:t>Select</a:t>
          </a:r>
          <a:r>
            <a:rPr lang="en-ZA" sz="1100" b="0"/>
            <a:t> to allow you to chose which items in the list are attachments to the one</a:t>
          </a:r>
          <a:r>
            <a:rPr lang="en-ZA" sz="1100" b="1" i="1"/>
            <a:t> </a:t>
          </a:r>
          <a:r>
            <a:rPr lang="en-ZA" sz="1100" b="1" i="1">
              <a:solidFill>
                <a:schemeClr val="dk1"/>
              </a:solidFill>
              <a:effectLst/>
              <a:latin typeface="+mn-lt"/>
              <a:ea typeface="+mn-ea"/>
              <a:cs typeface="+mn-cs"/>
            </a:rPr>
            <a:t>selected </a:t>
          </a:r>
          <a:r>
            <a:rPr lang="en-ZA" sz="1100" b="1" i="1"/>
            <a:t>first</a:t>
          </a:r>
          <a:r>
            <a:rPr lang="en-ZA" sz="1100" b="0"/>
            <a:t>.</a:t>
          </a:r>
        </a:p>
        <a:p>
          <a:pPr algn="l"/>
          <a:r>
            <a:rPr lang="en-ZA" sz="1100" b="1"/>
            <a:t>Outlook: </a:t>
          </a:r>
          <a:r>
            <a:rPr lang="en-ZA" sz="1100" b="1">
              <a:solidFill>
                <a:srgbClr val="C00000"/>
              </a:solidFill>
            </a:rPr>
            <a:t>Embed </a:t>
          </a:r>
          <a:r>
            <a:rPr lang="en-ZA" sz="1100" b="0"/>
            <a:t>to ignore the email, and use the </a:t>
          </a:r>
          <a:r>
            <a:rPr lang="en-ZA" sz="1100" b="1" i="1"/>
            <a:t>selected attachment </a:t>
          </a:r>
          <a:r>
            <a:rPr lang="en-ZA" sz="1100" b="0"/>
            <a:t>as a memo </a:t>
          </a:r>
          <a:r>
            <a:rPr lang="en-ZA" sz="1100" b="0" i="1"/>
            <a:t>(good for Admin mail) </a:t>
          </a:r>
          <a:r>
            <a:rPr lang="en-ZA" sz="1100" b="1" i="1">
              <a:solidFill>
                <a:srgbClr val="C00000"/>
              </a:solidFill>
            </a:rPr>
            <a:t>Alt+M</a:t>
          </a:r>
        </a:p>
      </xdr:txBody>
    </xdr:sp>
    <xdr:clientData/>
  </xdr:twoCellAnchor>
  <xdr:twoCellAnchor>
    <xdr:from>
      <xdr:col>11</xdr:col>
      <xdr:colOff>57149</xdr:colOff>
      <xdr:row>88</xdr:row>
      <xdr:rowOff>152399</xdr:rowOff>
    </xdr:from>
    <xdr:to>
      <xdr:col>13</xdr:col>
      <xdr:colOff>323850</xdr:colOff>
      <xdr:row>92</xdr:row>
      <xdr:rowOff>57149</xdr:rowOff>
    </xdr:to>
    <xdr:sp macro="" textlink="">
      <xdr:nvSpPr>
        <xdr:cNvPr id="30" name="Line Callout 1 29"/>
        <xdr:cNvSpPr/>
      </xdr:nvSpPr>
      <xdr:spPr>
        <a:xfrm>
          <a:off x="6762749" y="18173699"/>
          <a:ext cx="1485901" cy="666750"/>
        </a:xfrm>
        <a:prstGeom prst="borderCallout1">
          <a:avLst>
            <a:gd name="adj1" fmla="val -410"/>
            <a:gd name="adj2" fmla="val 49372"/>
            <a:gd name="adj3" fmla="val -186267"/>
            <a:gd name="adj4" fmla="val -79477"/>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0"/>
            <a:t>Automatically save the CorLog</a:t>
          </a:r>
          <a:r>
            <a:rPr lang="en-ZA" sz="1100" b="0" baseline="0"/>
            <a:t> workbook after archiving</a:t>
          </a:r>
          <a:endParaRPr lang="en-ZA" sz="1100" b="0"/>
        </a:p>
      </xdr:txBody>
    </xdr:sp>
    <xdr:clientData/>
  </xdr:twoCellAnchor>
  <xdr:twoCellAnchor>
    <xdr:from>
      <xdr:col>13</xdr:col>
      <xdr:colOff>228598</xdr:colOff>
      <xdr:row>65</xdr:row>
      <xdr:rowOff>85726</xdr:rowOff>
    </xdr:from>
    <xdr:to>
      <xdr:col>16</xdr:col>
      <xdr:colOff>85725</xdr:colOff>
      <xdr:row>70</xdr:row>
      <xdr:rowOff>9526</xdr:rowOff>
    </xdr:to>
    <xdr:sp macro="" textlink="">
      <xdr:nvSpPr>
        <xdr:cNvPr id="31" name="Line Callout 1 30"/>
        <xdr:cNvSpPr/>
      </xdr:nvSpPr>
      <xdr:spPr>
        <a:xfrm>
          <a:off x="8153398" y="13725526"/>
          <a:ext cx="1685927" cy="876300"/>
        </a:xfrm>
        <a:prstGeom prst="borderCallout1">
          <a:avLst>
            <a:gd name="adj1" fmla="val 49908"/>
            <a:gd name="adj2" fmla="val -1080"/>
            <a:gd name="adj3" fmla="val 66433"/>
            <a:gd name="adj4" fmla="val -107332"/>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t>Location</a:t>
          </a:r>
          <a:r>
            <a:rPr lang="en-ZA" sz="1100" b="1" baseline="0"/>
            <a:t> of the Folder Tab:</a:t>
          </a:r>
          <a:endParaRPr lang="en-ZA" sz="1100" b="1"/>
        </a:p>
        <a:p>
          <a:pPr algn="l"/>
          <a:r>
            <a:rPr lang="en-ZA" sz="1100" b="0"/>
            <a:t>Chose which folder</a:t>
          </a:r>
          <a:r>
            <a:rPr lang="en-ZA" sz="1100" b="0" baseline="0"/>
            <a:t> the Folder tab show display</a:t>
          </a:r>
          <a:endParaRPr lang="en-ZA" sz="1100" b="0"/>
        </a:p>
      </xdr:txBody>
    </xdr:sp>
    <xdr:clientData/>
  </xdr:twoCellAnchor>
  <xdr:twoCellAnchor editAs="oneCell">
    <xdr:from>
      <xdr:col>0</xdr:col>
      <xdr:colOff>123825</xdr:colOff>
      <xdr:row>0</xdr:row>
      <xdr:rowOff>76200</xdr:rowOff>
    </xdr:from>
    <xdr:to>
      <xdr:col>25</xdr:col>
      <xdr:colOff>26683</xdr:colOff>
      <xdr:row>5</xdr:row>
      <xdr:rowOff>66557</xdr:rowOff>
    </xdr:to>
    <xdr:pic>
      <xdr:nvPicPr>
        <xdr:cNvPr id="32" name="Picture 31"/>
        <xdr:cNvPicPr>
          <a:picLocks noChangeAspect="1"/>
        </xdr:cNvPicPr>
      </xdr:nvPicPr>
      <xdr:blipFill>
        <a:blip xmlns:r="http://schemas.openxmlformats.org/officeDocument/2006/relationships" r:embed="rId3"/>
        <a:stretch>
          <a:fillRect/>
        </a:stretch>
      </xdr:blipFill>
      <xdr:spPr>
        <a:xfrm>
          <a:off x="123825" y="76200"/>
          <a:ext cx="15142858" cy="942857"/>
        </a:xfrm>
        <a:prstGeom prst="rect">
          <a:avLst/>
        </a:prstGeom>
      </xdr:spPr>
    </xdr:pic>
    <xdr:clientData/>
  </xdr:twoCellAnchor>
  <xdr:twoCellAnchor>
    <xdr:from>
      <xdr:col>0</xdr:col>
      <xdr:colOff>142874</xdr:colOff>
      <xdr:row>5</xdr:row>
      <xdr:rowOff>114300</xdr:rowOff>
    </xdr:from>
    <xdr:to>
      <xdr:col>3</xdr:col>
      <xdr:colOff>457200</xdr:colOff>
      <xdr:row>9</xdr:row>
      <xdr:rowOff>171450</xdr:rowOff>
    </xdr:to>
    <xdr:sp macro="" textlink="">
      <xdr:nvSpPr>
        <xdr:cNvPr id="33" name="Line Callout 1 32"/>
        <xdr:cNvSpPr/>
      </xdr:nvSpPr>
      <xdr:spPr>
        <a:xfrm>
          <a:off x="142874" y="1066800"/>
          <a:ext cx="2143126" cy="819150"/>
        </a:xfrm>
        <a:prstGeom prst="borderCallout1">
          <a:avLst>
            <a:gd name="adj1" fmla="val -1307"/>
            <a:gd name="adj2" fmla="val 48705"/>
            <a:gd name="adj3" fmla="val -75438"/>
            <a:gd name="adj4" fmla="val 17166"/>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Delete:</a:t>
          </a:r>
        </a:p>
        <a:p>
          <a:pPr algn="l"/>
          <a:r>
            <a:rPr lang="en-ZA" sz="1100" b="0"/>
            <a:t>Click to delete the selected row(s) and linked files and attachments</a:t>
          </a:r>
        </a:p>
        <a:p>
          <a:pPr algn="l"/>
          <a:r>
            <a:rPr lang="en-ZA" sz="1100" b="1"/>
            <a:t>[Alt+D]</a:t>
          </a:r>
        </a:p>
      </xdr:txBody>
    </xdr:sp>
    <xdr:clientData/>
  </xdr:twoCellAnchor>
  <xdr:twoCellAnchor>
    <xdr:from>
      <xdr:col>4</xdr:col>
      <xdr:colOff>76199</xdr:colOff>
      <xdr:row>5</xdr:row>
      <xdr:rowOff>114300</xdr:rowOff>
    </xdr:from>
    <xdr:to>
      <xdr:col>7</xdr:col>
      <xdr:colOff>390525</xdr:colOff>
      <xdr:row>9</xdr:row>
      <xdr:rowOff>171450</xdr:rowOff>
    </xdr:to>
    <xdr:sp macro="" textlink="">
      <xdr:nvSpPr>
        <xdr:cNvPr id="34" name="Line Callout 1 33"/>
        <xdr:cNvSpPr/>
      </xdr:nvSpPr>
      <xdr:spPr>
        <a:xfrm>
          <a:off x="2514599" y="1066800"/>
          <a:ext cx="2143126" cy="819150"/>
        </a:xfrm>
        <a:prstGeom prst="borderCallout1">
          <a:avLst>
            <a:gd name="adj1" fmla="val -1307"/>
            <a:gd name="adj2" fmla="val 48705"/>
            <a:gd name="adj3" fmla="val -75438"/>
            <a:gd name="adj4" fmla="val 13166"/>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Sort:</a:t>
          </a:r>
        </a:p>
        <a:p>
          <a:pPr algn="l"/>
          <a:r>
            <a:rPr lang="en-ZA" sz="1100" b="0">
              <a:solidFill>
                <a:schemeClr val="tx1">
                  <a:lumMod val="75000"/>
                  <a:lumOff val="25000"/>
                </a:schemeClr>
              </a:solidFill>
            </a:rPr>
            <a:t>Click to sort by Date (Newest</a:t>
          </a:r>
          <a:r>
            <a:rPr lang="en-ZA" sz="1100" b="0" baseline="0">
              <a:solidFill>
                <a:schemeClr val="tx1">
                  <a:lumMod val="75000"/>
                  <a:lumOff val="25000"/>
                </a:schemeClr>
              </a:solidFill>
            </a:rPr>
            <a:t> at the top)</a:t>
          </a:r>
        </a:p>
        <a:p>
          <a:pPr algn="l"/>
          <a:r>
            <a:rPr lang="en-ZA" sz="1100" b="1" baseline="0">
              <a:solidFill>
                <a:schemeClr val="tx1">
                  <a:lumMod val="75000"/>
                  <a:lumOff val="25000"/>
                </a:schemeClr>
              </a:solidFill>
            </a:rPr>
            <a:t>[Alt+S]</a:t>
          </a:r>
          <a:endParaRPr lang="en-ZA" sz="1100" b="1">
            <a:solidFill>
              <a:schemeClr val="tx1">
                <a:lumMod val="75000"/>
                <a:lumOff val="25000"/>
              </a:schemeClr>
            </a:solidFill>
          </a:endParaRPr>
        </a:p>
      </xdr:txBody>
    </xdr:sp>
    <xdr:clientData/>
  </xdr:twoCellAnchor>
  <xdr:twoCellAnchor>
    <xdr:from>
      <xdr:col>7</xdr:col>
      <xdr:colOff>504824</xdr:colOff>
      <xdr:row>5</xdr:row>
      <xdr:rowOff>114300</xdr:rowOff>
    </xdr:from>
    <xdr:to>
      <xdr:col>11</xdr:col>
      <xdr:colOff>209550</xdr:colOff>
      <xdr:row>9</xdr:row>
      <xdr:rowOff>171450</xdr:rowOff>
    </xdr:to>
    <xdr:sp macro="" textlink="">
      <xdr:nvSpPr>
        <xdr:cNvPr id="35" name="Line Callout 1 34"/>
        <xdr:cNvSpPr/>
      </xdr:nvSpPr>
      <xdr:spPr>
        <a:xfrm>
          <a:off x="4772024" y="1066800"/>
          <a:ext cx="2143126" cy="819150"/>
        </a:xfrm>
        <a:prstGeom prst="borderCallout1">
          <a:avLst>
            <a:gd name="adj1" fmla="val -1307"/>
            <a:gd name="adj2" fmla="val 48705"/>
            <a:gd name="adj3" fmla="val -76601"/>
            <a:gd name="adj4" fmla="val 45166"/>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Log Correspondence:</a:t>
          </a:r>
        </a:p>
        <a:p>
          <a:pPr algn="l"/>
          <a:r>
            <a:rPr lang="en-ZA" sz="1100" b="0">
              <a:solidFill>
                <a:schemeClr val="tx1">
                  <a:lumMod val="75000"/>
                  <a:lumOff val="25000"/>
                </a:schemeClr>
              </a:solidFill>
            </a:rPr>
            <a:t>Click to open the main</a:t>
          </a:r>
          <a:r>
            <a:rPr lang="en-ZA" sz="1100" b="0" baseline="0">
              <a:solidFill>
                <a:schemeClr val="tx1">
                  <a:lumMod val="75000"/>
                  <a:lumOff val="25000"/>
                </a:schemeClr>
              </a:solidFill>
            </a:rPr>
            <a:t> CorLog box (as below)</a:t>
          </a:r>
        </a:p>
        <a:p>
          <a:pPr algn="l"/>
          <a:r>
            <a:rPr lang="en-ZA" sz="1100" b="1" baseline="0">
              <a:solidFill>
                <a:schemeClr val="tx1">
                  <a:lumMod val="75000"/>
                  <a:lumOff val="25000"/>
                </a:schemeClr>
              </a:solidFill>
            </a:rPr>
            <a:t>[Alt+C]</a:t>
          </a:r>
          <a:endParaRPr lang="en-ZA" sz="1100" b="1">
            <a:solidFill>
              <a:schemeClr val="tx1">
                <a:lumMod val="75000"/>
                <a:lumOff val="25000"/>
              </a:schemeClr>
            </a:solidFill>
          </a:endParaRPr>
        </a:p>
      </xdr:txBody>
    </xdr:sp>
    <xdr:clientData/>
  </xdr:twoCellAnchor>
  <xdr:twoCellAnchor>
    <xdr:from>
      <xdr:col>11</xdr:col>
      <xdr:colOff>390524</xdr:colOff>
      <xdr:row>5</xdr:row>
      <xdr:rowOff>114300</xdr:rowOff>
    </xdr:from>
    <xdr:to>
      <xdr:col>15</xdr:col>
      <xdr:colOff>95250</xdr:colOff>
      <xdr:row>9</xdr:row>
      <xdr:rowOff>171450</xdr:rowOff>
    </xdr:to>
    <xdr:sp macro="" textlink="">
      <xdr:nvSpPr>
        <xdr:cNvPr id="36" name="Line Callout 1 35"/>
        <xdr:cNvSpPr/>
      </xdr:nvSpPr>
      <xdr:spPr>
        <a:xfrm>
          <a:off x="7096124" y="1066800"/>
          <a:ext cx="2143126" cy="819150"/>
        </a:xfrm>
        <a:prstGeom prst="borderCallout1">
          <a:avLst>
            <a:gd name="adj1" fmla="val -1307"/>
            <a:gd name="adj2" fmla="val 48705"/>
            <a:gd name="adj3" fmla="val -85903"/>
            <a:gd name="adj4" fmla="val 2499"/>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Search &amp; Filter:</a:t>
          </a:r>
        </a:p>
        <a:p>
          <a:pPr algn="l"/>
          <a:r>
            <a:rPr lang="en-ZA" sz="1100" b="0">
              <a:solidFill>
                <a:schemeClr val="tx1">
                  <a:lumMod val="75000"/>
                  <a:lumOff val="25000"/>
                </a:schemeClr>
              </a:solidFill>
            </a:rPr>
            <a:t>Type</a:t>
          </a:r>
          <a:r>
            <a:rPr lang="en-ZA" sz="1100" b="0" baseline="0">
              <a:solidFill>
                <a:schemeClr val="tx1">
                  <a:lumMod val="75000"/>
                  <a:lumOff val="25000"/>
                </a:schemeClr>
              </a:solidFill>
            </a:rPr>
            <a:t> a search|filter  wxpression here.  Double-click to reset.</a:t>
          </a:r>
        </a:p>
        <a:p>
          <a:pPr algn="l"/>
          <a:r>
            <a:rPr lang="en-ZA" sz="1100" b="0" baseline="0">
              <a:solidFill>
                <a:schemeClr val="tx1">
                  <a:lumMod val="75000"/>
                  <a:lumOff val="25000"/>
                </a:schemeClr>
              </a:solidFill>
            </a:rPr>
            <a:t>(More info at cell comment)</a:t>
          </a:r>
          <a:endParaRPr lang="en-ZA" sz="1100" b="0">
            <a:solidFill>
              <a:schemeClr val="tx1">
                <a:lumMod val="75000"/>
                <a:lumOff val="25000"/>
              </a:schemeClr>
            </a:solidFill>
          </a:endParaRPr>
        </a:p>
      </xdr:txBody>
    </xdr:sp>
    <xdr:clientData/>
  </xdr:twoCellAnchor>
  <xdr:twoCellAnchor>
    <xdr:from>
      <xdr:col>15</xdr:col>
      <xdr:colOff>285749</xdr:colOff>
      <xdr:row>5</xdr:row>
      <xdr:rowOff>114300</xdr:rowOff>
    </xdr:from>
    <xdr:to>
      <xdr:col>18</xdr:col>
      <xdr:colOff>600075</xdr:colOff>
      <xdr:row>9</xdr:row>
      <xdr:rowOff>171450</xdr:rowOff>
    </xdr:to>
    <xdr:sp macro="" textlink="">
      <xdr:nvSpPr>
        <xdr:cNvPr id="37" name="Line Callout 1 36"/>
        <xdr:cNvSpPr/>
      </xdr:nvSpPr>
      <xdr:spPr>
        <a:xfrm>
          <a:off x="9429749" y="1066800"/>
          <a:ext cx="2143126" cy="819150"/>
        </a:xfrm>
        <a:prstGeom prst="borderCallout1">
          <a:avLst>
            <a:gd name="adj1" fmla="val -1307"/>
            <a:gd name="adj2" fmla="val 48705"/>
            <a:gd name="adj3" fmla="val -74275"/>
            <a:gd name="adj4" fmla="val -43723"/>
          </a:avLst>
        </a:prstGeom>
        <a:ln>
          <a:headEnd type="none" w="med" len="med"/>
          <a:tailEnd type="triangle" w="med" len="med"/>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ZA" sz="1100" b="1">
              <a:solidFill>
                <a:srgbClr val="C00000"/>
              </a:solidFill>
            </a:rPr>
            <a:t>Link Location:</a:t>
          </a:r>
        </a:p>
        <a:p>
          <a:pPr algn="l"/>
          <a:r>
            <a:rPr lang="en-ZA" sz="1100" b="0"/>
            <a:t>Click to go to the location of the file in Windows Explorer.</a:t>
          </a:r>
        </a:p>
        <a:p>
          <a:pPr algn="l"/>
          <a:r>
            <a:rPr lang="en-ZA" sz="1100" b="1"/>
            <a:t>[Alt+L]</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ogSheet">
    <tabColor theme="3" tint="0.39997558519241921"/>
  </sheetPr>
  <dimension ref="A1:T2649"/>
  <sheetViews>
    <sheetView tabSelected="1" zoomScaleNormal="100" workbookViewId="0">
      <pane ySplit="1" topLeftCell="A2" activePane="bottomLeft" state="frozen"/>
      <selection activeCell="I11" sqref="I11"/>
      <selection pane="bottomLeft" activeCell="I9" sqref="I9"/>
    </sheetView>
  </sheetViews>
  <sheetFormatPr defaultRowHeight="15"/>
  <cols>
    <col min="1" max="1" width="15" customWidth="1"/>
    <col min="2" max="2" width="13.5703125" customWidth="1"/>
    <col min="3" max="3" width="11.7109375" customWidth="1"/>
    <col min="4" max="4" width="12.28515625" customWidth="1"/>
    <col min="5" max="6" width="6.5703125" customWidth="1"/>
    <col min="7" max="7" width="15.42578125" customWidth="1"/>
    <col min="8" max="8" width="10.5703125" customWidth="1"/>
    <col min="9" max="9" width="48.28515625" customWidth="1"/>
    <col min="10" max="10" width="21.42578125" customWidth="1"/>
    <col min="11" max="11" width="19.140625" customWidth="1"/>
    <col min="12" max="12" width="15.28515625" customWidth="1"/>
    <col min="13" max="13" width="8.28515625" customWidth="1"/>
    <col min="14" max="14" width="21.140625" customWidth="1"/>
    <col min="15" max="15" width="24" customWidth="1"/>
    <col min="16" max="16" width="40" customWidth="1"/>
  </cols>
  <sheetData>
    <row r="1" spans="1:20" ht="30" customHeight="1">
      <c r="A1" s="1" t="s">
        <v>0</v>
      </c>
      <c r="B1" s="2" t="s">
        <v>1</v>
      </c>
      <c r="C1" s="2" t="s">
        <v>2</v>
      </c>
      <c r="D1" s="3" t="s">
        <v>3</v>
      </c>
      <c r="E1" s="4" t="s">
        <v>4</v>
      </c>
      <c r="F1" s="4" t="s">
        <v>5</v>
      </c>
      <c r="G1" s="5" t="s">
        <v>6</v>
      </c>
      <c r="H1" s="5" t="s">
        <v>7</v>
      </c>
      <c r="I1" s="6" t="s">
        <v>8</v>
      </c>
      <c r="J1" s="7" t="s">
        <v>9</v>
      </c>
      <c r="K1" s="2" t="s">
        <v>10</v>
      </c>
      <c r="L1" s="2" t="s">
        <v>11</v>
      </c>
      <c r="M1" s="8" t="s">
        <v>12</v>
      </c>
      <c r="N1" s="9" t="s">
        <v>13</v>
      </c>
      <c r="O1" s="10" t="str">
        <f>COUNTA(I:I) - 1 &amp; " items"</f>
        <v>2648 items</v>
      </c>
      <c r="P1" s="10" t="str">
        <f ca="1">last_change</f>
        <v>Version: 1.2.0.0  2015-07-26</v>
      </c>
      <c r="T1" s="11"/>
    </row>
    <row r="2" spans="1:20">
      <c r="A2" s="12" t="s">
        <v>1418</v>
      </c>
      <c r="B2" s="13" t="s">
        <v>718</v>
      </c>
      <c r="C2" s="14" t="s">
        <v>8183</v>
      </c>
      <c r="D2" s="15">
        <v>42184.631435185183</v>
      </c>
      <c r="E2" s="16" t="s">
        <v>16</v>
      </c>
      <c r="F2" s="16" t="s">
        <v>16</v>
      </c>
      <c r="G2" s="17" t="s">
        <v>966</v>
      </c>
      <c r="H2" s="17" t="s">
        <v>8184</v>
      </c>
      <c r="I2" s="13" t="s">
        <v>8185</v>
      </c>
      <c r="J2" s="18" t="str">
        <f>HYPERLINK("CorLog\MDG\Branch\20150629 MDG Branch Power demand exceeds transformer capacity (RDC-to-RDC).msg", "Power demand exceeds transformer capacity")</f>
        <v>Power demand exceeds transformer capacity</v>
      </c>
      <c r="K2" s="22" t="s">
        <v>969</v>
      </c>
      <c r="L2" s="19"/>
      <c r="M2" s="20"/>
      <c r="N2" s="21" t="s">
        <v>8186</v>
      </c>
    </row>
    <row r="3" spans="1:20">
      <c r="A3" s="12" t="s">
        <v>723</v>
      </c>
      <c r="B3" s="13" t="s">
        <v>1889</v>
      </c>
      <c r="C3" s="14" t="s">
        <v>2042</v>
      </c>
      <c r="D3" s="15">
        <v>42221.604629629626</v>
      </c>
      <c r="E3" s="16" t="s">
        <v>16</v>
      </c>
      <c r="F3" s="16" t="s">
        <v>17</v>
      </c>
      <c r="G3" s="17" t="s">
        <v>913</v>
      </c>
      <c r="H3" s="17" t="s">
        <v>8180</v>
      </c>
      <c r="I3" s="13" t="s">
        <v>8181</v>
      </c>
      <c r="J3" s="18" t="str">
        <f>HYPERLINK("CorLog\COD\Branch\20150805 COD Branch Cost Plan Container Housing xlsm (RDC-to-WDC).msg", "Cost Plan Container Housing xlsm")</f>
        <v>Cost Plan Container Housing xlsm</v>
      </c>
      <c r="K3" s="22" t="s">
        <v>721</v>
      </c>
      <c r="L3" s="19"/>
      <c r="M3" s="20"/>
      <c r="N3" s="21" t="s">
        <v>8182</v>
      </c>
    </row>
    <row r="4" spans="1:20">
      <c r="A4" s="12" t="s">
        <v>8178</v>
      </c>
      <c r="B4" s="13"/>
      <c r="C4" s="14"/>
      <c r="D4" s="15" t="s">
        <v>8179</v>
      </c>
      <c r="E4" s="16" t="s">
        <v>19</v>
      </c>
      <c r="F4" s="16" t="s">
        <v>17</v>
      </c>
      <c r="G4" s="17" t="s">
        <v>1314</v>
      </c>
      <c r="H4" s="17" t="s">
        <v>1850</v>
      </c>
      <c r="I4" s="13" t="s">
        <v>2220</v>
      </c>
      <c r="J4" s="18" t="str">
        <f>HYPERLINK("CorLog\AGO\LDC\20150819 AGO LDC Additional Developments Regarding the Property For Luanda Sul AH (AGO-to-WDC).docx", "Additional Developments Regarding the Property For Luanda Sul AH")</f>
        <v>Additional Developments Regarding the Property For Luanda Sul AH</v>
      </c>
      <c r="K4" s="18" t="str">
        <f>HYPERLINK("CorLog\AGO\LDC\20150819 AGO LDC Additional Developments Regarding the Property For Luanda Sul AH (AGO-to-WDC).zip", "Zipped (1)")</f>
        <v>Zipped (1)</v>
      </c>
      <c r="L4" s="19"/>
      <c r="M4" s="20"/>
      <c r="N4" s="21" t="s">
        <v>2296</v>
      </c>
    </row>
    <row r="5" spans="1:20">
      <c r="A5" s="12" t="s">
        <v>718</v>
      </c>
      <c r="B5" s="13" t="s">
        <v>1418</v>
      </c>
      <c r="C5" s="14"/>
      <c r="D5" s="15">
        <v>42201.688842592594</v>
      </c>
      <c r="E5" s="16" t="s">
        <v>16</v>
      </c>
      <c r="F5" s="16" t="s">
        <v>16</v>
      </c>
      <c r="G5" s="17" t="s">
        <v>1065</v>
      </c>
      <c r="H5" s="17" t="s">
        <v>8175</v>
      </c>
      <c r="I5" s="13" t="s">
        <v>8176</v>
      </c>
      <c r="J5" s="18" t="str">
        <f>HYPERLINK("CorLog\ZMB\RTO Projects\20150716 ZMB RTO Projects Cookers are 16A, melting plugs (RDC-to-RDC).msg", "Cookers are 16A, melting plugs")</f>
        <v>Cookers are 16A, melting plugs</v>
      </c>
      <c r="K5" s="22" t="s">
        <v>3226</v>
      </c>
      <c r="L5" s="19"/>
      <c r="M5" s="20"/>
      <c r="N5" s="21" t="s">
        <v>8177</v>
      </c>
    </row>
    <row r="6" spans="1:20">
      <c r="A6" s="12" t="s">
        <v>718</v>
      </c>
      <c r="B6" s="13" t="s">
        <v>750</v>
      </c>
      <c r="C6" s="14"/>
      <c r="D6" s="15">
        <v>42207.364999999998</v>
      </c>
      <c r="E6" s="16" t="s">
        <v>16</v>
      </c>
      <c r="F6" s="16" t="s">
        <v>16</v>
      </c>
      <c r="G6" s="17" t="s">
        <v>913</v>
      </c>
      <c r="H6" s="17" t="s">
        <v>2848</v>
      </c>
      <c r="I6" s="13" t="s">
        <v>8173</v>
      </c>
      <c r="J6" s="18" t="str">
        <f>HYPERLINK("CorLog\COD\Branch\20150722 COD Branch Kwikspace mobile home pricing options (RDC-to-RDC).msg", "Kwikspace mobile home pricing options")</f>
        <v>Kwikspace mobile home pricing options</v>
      </c>
      <c r="K6" s="22" t="s">
        <v>733</v>
      </c>
      <c r="L6" s="19"/>
      <c r="M6" s="20"/>
      <c r="N6" s="21" t="s">
        <v>8174</v>
      </c>
    </row>
    <row r="7" spans="1:20">
      <c r="A7" s="12" t="s">
        <v>1547</v>
      </c>
      <c r="B7" s="13" t="s">
        <v>718</v>
      </c>
      <c r="C7" s="14"/>
      <c r="D7" s="15">
        <v>42235.502129629633</v>
      </c>
      <c r="E7" s="16" t="s">
        <v>14</v>
      </c>
      <c r="F7" s="16" t="s">
        <v>16</v>
      </c>
      <c r="G7" s="17" t="s">
        <v>1662</v>
      </c>
      <c r="H7" s="17" t="s">
        <v>8170</v>
      </c>
      <c r="I7" s="13" t="s">
        <v>8171</v>
      </c>
      <c r="J7" s="18" t="str">
        <f>HYPERLINK("CorLog\MDG\Toliara RTO\20150819 MDG Toliara RTO Kwikspace Temp Office--PT Import xlsx (MDG-to-RDC).msg", "Kwikspace Temp Office--PT Import xlsx")</f>
        <v>Kwikspace Temp Office--PT Import xlsx</v>
      </c>
      <c r="K7" s="22" t="s">
        <v>733</v>
      </c>
      <c r="L7" s="19"/>
      <c r="M7" s="20"/>
      <c r="N7" s="21" t="s">
        <v>8172</v>
      </c>
    </row>
    <row r="8" spans="1:20">
      <c r="A8" s="12" t="s">
        <v>723</v>
      </c>
      <c r="B8" s="13" t="s">
        <v>1447</v>
      </c>
      <c r="C8" s="14" t="s">
        <v>718</v>
      </c>
      <c r="D8" s="15">
        <v>42227.542997685188</v>
      </c>
      <c r="E8" s="16" t="s">
        <v>16</v>
      </c>
      <c r="F8" s="16" t="s">
        <v>16</v>
      </c>
      <c r="G8" s="17" t="s">
        <v>913</v>
      </c>
      <c r="H8" s="17" t="s">
        <v>731</v>
      </c>
      <c r="I8" s="13" t="s">
        <v>8168</v>
      </c>
      <c r="J8" s="18" t="str">
        <f>HYPERLINK("CorLog\COD\Branch\20150811 COD Branch Container Housing DC-41 Revision--updated drawings (RDC-to-RDC).msg", "Container Housing DC-41 Revision--updated drawings")</f>
        <v>Container Housing DC-41 Revision--updated drawings</v>
      </c>
      <c r="K8" s="22" t="s">
        <v>905</v>
      </c>
      <c r="L8" s="19"/>
      <c r="M8" s="20"/>
      <c r="N8" s="21" t="s">
        <v>8169</v>
      </c>
    </row>
    <row r="9" spans="1:20">
      <c r="A9" s="12" t="s">
        <v>964</v>
      </c>
      <c r="B9" s="13" t="s">
        <v>777</v>
      </c>
      <c r="C9" s="14" t="s">
        <v>8165</v>
      </c>
      <c r="D9" s="15">
        <v>42118.419317129628</v>
      </c>
      <c r="E9" s="16" t="s">
        <v>16</v>
      </c>
      <c r="F9" s="16" t="s">
        <v>18</v>
      </c>
      <c r="G9" s="17" t="s">
        <v>780</v>
      </c>
      <c r="H9" s="17" t="s">
        <v>764</v>
      </c>
      <c r="I9" s="13" t="s">
        <v>8166</v>
      </c>
      <c r="J9" s="18" t="str">
        <f>HYPERLINK("CorLog\ZMB\LDC\20150424 ZMB LDC Visual Equipment for Convention Sites (RDC-to-ZMB).msg", "Visual Equipment for Convention Sites")</f>
        <v>Visual Equipment for Convention Sites</v>
      </c>
      <c r="K9" s="22" t="s">
        <v>1124</v>
      </c>
      <c r="L9" s="19"/>
      <c r="M9" s="20"/>
      <c r="N9" s="21" t="s">
        <v>8167</v>
      </c>
    </row>
    <row r="10" spans="1:20">
      <c r="A10" s="12" t="s">
        <v>832</v>
      </c>
      <c r="B10" s="13" t="s">
        <v>795</v>
      </c>
      <c r="C10" s="14" t="s">
        <v>8161</v>
      </c>
      <c r="D10" s="15">
        <v>42214.827337962961</v>
      </c>
      <c r="E10" s="16" t="s">
        <v>21</v>
      </c>
      <c r="F10" s="16" t="s">
        <v>16</v>
      </c>
      <c r="G10" s="17" t="s">
        <v>738</v>
      </c>
      <c r="H10" s="17" t="s">
        <v>8162</v>
      </c>
      <c r="I10" s="13" t="s">
        <v>8163</v>
      </c>
      <c r="J10" s="18" t="str">
        <f>HYPERLINK("CorLog\GHA\BEX 2\20150729 GHA BEX 2 DC-41 Early Procurement Kitchen Equipment list - water filter-softener (GHA-to-RDC).msg", "DC-41 Early Procurement Kitchen Equipment list - water filter-softener")</f>
        <v>DC-41 Early Procurement Kitchen Equipment list - water filter-softener</v>
      </c>
      <c r="K10" s="22" t="s">
        <v>2458</v>
      </c>
      <c r="L10" s="19"/>
      <c r="M10" s="20"/>
      <c r="N10" s="21" t="s">
        <v>8164</v>
      </c>
    </row>
    <row r="11" spans="1:20">
      <c r="A11" s="12" t="s">
        <v>1052</v>
      </c>
      <c r="B11" s="13" t="s">
        <v>1176</v>
      </c>
      <c r="C11" s="14"/>
      <c r="D11" s="15">
        <v>42219.650416666664</v>
      </c>
      <c r="E11" s="16" t="s">
        <v>17</v>
      </c>
      <c r="F11" s="16" t="s">
        <v>16</v>
      </c>
      <c r="G11" s="17" t="s">
        <v>719</v>
      </c>
      <c r="H11" s="17" t="s">
        <v>8158</v>
      </c>
      <c r="I11" s="13" t="s">
        <v>8159</v>
      </c>
      <c r="J11" s="18" t="str">
        <f>HYPERLINK("CorLog\Reference\20150803 Reference KB Paint - Ceramic Thermal Insulation Coating (WDC-to-RDC).msg", "KB Paint - Ceramic Thermal Insulation Coating")</f>
        <v>KB Paint - Ceramic Thermal Insulation Coating</v>
      </c>
      <c r="K11" s="22" t="s">
        <v>1033</v>
      </c>
      <c r="L11" s="19"/>
      <c r="M11" s="20"/>
      <c r="N11" s="21" t="s">
        <v>8160</v>
      </c>
    </row>
    <row r="12" spans="1:20">
      <c r="A12" s="12" t="s">
        <v>737</v>
      </c>
      <c r="B12" s="13" t="s">
        <v>718</v>
      </c>
      <c r="C12" s="14" t="s">
        <v>8156</v>
      </c>
      <c r="D12" s="15">
        <v>42194.659780092596</v>
      </c>
      <c r="E12" s="16" t="s">
        <v>21</v>
      </c>
      <c r="F12" s="16" t="s">
        <v>16</v>
      </c>
      <c r="G12" s="17" t="s">
        <v>738</v>
      </c>
      <c r="H12" s="17" t="s">
        <v>1544</v>
      </c>
      <c r="I12" s="13" t="s">
        <v>1545</v>
      </c>
      <c r="J12" s="18" t="str">
        <f>HYPERLINK("CorLog\GHA\BEX 2\20150709 GHA BEX 2 SALTO - Keyless Access package guidance and order (GHA-to-RDC).msg", "SALTO - Keyless Access package guidance and order")</f>
        <v>SALTO - Keyless Access package guidance and order</v>
      </c>
      <c r="K12" s="22" t="s">
        <v>959</v>
      </c>
      <c r="L12" s="19"/>
      <c r="M12" s="20"/>
      <c r="N12" s="21" t="s">
        <v>8157</v>
      </c>
    </row>
    <row r="13" spans="1:20">
      <c r="A13" s="12" t="s">
        <v>972</v>
      </c>
      <c r="B13" s="13" t="s">
        <v>895</v>
      </c>
      <c r="C13" s="14" t="s">
        <v>718</v>
      </c>
      <c r="D13" s="15">
        <v>42236.528009259258</v>
      </c>
      <c r="E13" s="16" t="s">
        <v>18</v>
      </c>
      <c r="F13" s="16" t="s">
        <v>18</v>
      </c>
      <c r="G13" s="17" t="s">
        <v>2751</v>
      </c>
      <c r="H13" s="17" t="s">
        <v>961</v>
      </c>
      <c r="I13" s="13" t="s">
        <v>8154</v>
      </c>
      <c r="J13" s="18" t="str">
        <f>HYPERLINK("CorLog\ZMB\Kasempa RTO\20150820 ZMB Kasempa RTO Survey Diagram Error (ZMB-to-ZMB).msg", "Survey Diagram Error")</f>
        <v>Survey Diagram Error</v>
      </c>
      <c r="K13" s="22" t="s">
        <v>3226</v>
      </c>
      <c r="L13" s="19"/>
      <c r="M13" s="20"/>
      <c r="N13" s="21" t="s">
        <v>8155</v>
      </c>
    </row>
    <row r="14" spans="1:20">
      <c r="A14" s="12" t="s">
        <v>757</v>
      </c>
      <c r="B14" s="13" t="s">
        <v>718</v>
      </c>
      <c r="C14" s="14"/>
      <c r="D14" s="15">
        <v>42255.367083333331</v>
      </c>
      <c r="E14" s="16" t="s">
        <v>21</v>
      </c>
      <c r="F14" s="16" t="s">
        <v>16</v>
      </c>
      <c r="G14" s="17" t="s">
        <v>807</v>
      </c>
      <c r="H14" s="17" t="s">
        <v>8151</v>
      </c>
      <c r="I14" s="13" t="s">
        <v>8152</v>
      </c>
      <c r="J14" s="18" t="str">
        <f>HYPERLINK("CorLog\GHA\Branch\20150908 GHA Branch Broken Water Tanks (GHA-to-RDC).msg", "Broken Water Tanks")</f>
        <v>Broken Water Tanks</v>
      </c>
      <c r="K14" s="22" t="s">
        <v>747</v>
      </c>
      <c r="L14" s="19"/>
      <c r="M14" s="20"/>
      <c r="N14" s="21" t="s">
        <v>8153</v>
      </c>
    </row>
    <row r="15" spans="1:20">
      <c r="A15" s="12" t="s">
        <v>737</v>
      </c>
      <c r="B15" s="13" t="s">
        <v>1425</v>
      </c>
      <c r="C15" s="14" t="s">
        <v>8146</v>
      </c>
      <c r="D15" s="15">
        <v>42215.476006944446</v>
      </c>
      <c r="E15" s="16" t="s">
        <v>21</v>
      </c>
      <c r="F15" s="16" t="s">
        <v>15</v>
      </c>
      <c r="G15" s="17" t="s">
        <v>738</v>
      </c>
      <c r="H15" s="17" t="s">
        <v>8147</v>
      </c>
      <c r="I15" s="13" t="s">
        <v>8148</v>
      </c>
      <c r="J15" s="18" t="str">
        <f>HYPERLINK("CorLog\GHA\BEX 2\20150730 GHA BEX 2 RDC review of NLBR DOM-Ronis Master Key System (GHA-to-ZAF).msg", "RDC review of NLBR DOM-Ronis Master Key System")</f>
        <v>RDC review of NLBR DOM-Ronis Master Key System</v>
      </c>
      <c r="K15" s="22" t="s">
        <v>747</v>
      </c>
      <c r="L15" s="19"/>
      <c r="M15" s="20"/>
      <c r="N15" s="21" t="s">
        <v>8149</v>
      </c>
    </row>
    <row r="16" spans="1:20">
      <c r="A16" s="12" t="s">
        <v>1425</v>
      </c>
      <c r="B16" s="13" t="s">
        <v>8142</v>
      </c>
      <c r="C16" s="14" t="s">
        <v>8143</v>
      </c>
      <c r="D16" s="15">
        <v>42240.483148148145</v>
      </c>
      <c r="E16" s="16" t="s">
        <v>15</v>
      </c>
      <c r="F16" s="16" t="s">
        <v>26</v>
      </c>
      <c r="G16" s="17" t="s">
        <v>738</v>
      </c>
      <c r="H16" s="17" t="s">
        <v>1426</v>
      </c>
      <c r="I16" s="13" t="s">
        <v>8144</v>
      </c>
      <c r="J16" s="18" t="str">
        <f>HYPERLINK("CorLog\GHA\BEX 2\20150824 GHA BEX 2 Project Ghana - DOM RS8 Ronis - Request for Quote (ZAF-to-GBR).msg", "Project Ghana - DOM RS8 Ronis - Request for Quote")</f>
        <v>Project Ghana - DOM RS8 Ronis - Request for Quote</v>
      </c>
      <c r="K16" s="22" t="s">
        <v>733</v>
      </c>
      <c r="L16" s="19"/>
      <c r="M16" s="20"/>
      <c r="N16" s="21" t="s">
        <v>8145</v>
      </c>
    </row>
    <row r="17" spans="1:14">
      <c r="A17" s="12" t="s">
        <v>795</v>
      </c>
      <c r="B17" s="13" t="s">
        <v>717</v>
      </c>
      <c r="C17" s="14" t="s">
        <v>8139</v>
      </c>
      <c r="D17" s="15">
        <v>42239.701597222222</v>
      </c>
      <c r="E17" s="16" t="s">
        <v>16</v>
      </c>
      <c r="F17" s="16" t="s">
        <v>16</v>
      </c>
      <c r="G17" s="17" t="s">
        <v>719</v>
      </c>
      <c r="H17" s="17" t="s">
        <v>759</v>
      </c>
      <c r="I17" s="13" t="s">
        <v>8140</v>
      </c>
      <c r="J17" s="18" t="str">
        <f>HYPERLINK("CorLog\Reference\20150823 Reference Preliminary Project Description templates (RDC-to-RDC).msg", "Preliminary Project Description templates")</f>
        <v>Preliminary Project Description templates</v>
      </c>
      <c r="K17" s="22" t="s">
        <v>747</v>
      </c>
      <c r="L17" s="19"/>
      <c r="M17" s="20"/>
      <c r="N17" s="21" t="s">
        <v>8141</v>
      </c>
    </row>
    <row r="18" spans="1:14">
      <c r="A18" s="12" t="s">
        <v>3296</v>
      </c>
      <c r="B18" s="13" t="s">
        <v>8135</v>
      </c>
      <c r="C18" s="14"/>
      <c r="D18" s="15">
        <v>42251.424710648149</v>
      </c>
      <c r="E18" s="16" t="s">
        <v>15</v>
      </c>
      <c r="F18" s="16" t="s">
        <v>15</v>
      </c>
      <c r="G18" s="17" t="s">
        <v>719</v>
      </c>
      <c r="H18" s="17" t="s">
        <v>8136</v>
      </c>
      <c r="I18" s="13" t="s">
        <v>8137</v>
      </c>
      <c r="J18" s="18" t="str">
        <f>HYPERLINK("CorLog\Reference\20150904 Reference Branch Cell Phones (ZAF-to-ZAF).msg", "Branch Cell Phones")</f>
        <v>Branch Cell Phones</v>
      </c>
      <c r="K18" s="22" t="s">
        <v>721</v>
      </c>
      <c r="L18" s="19"/>
      <c r="M18" s="20"/>
      <c r="N18" s="21" t="s">
        <v>8138</v>
      </c>
    </row>
    <row r="19" spans="1:14">
      <c r="A19" s="12" t="s">
        <v>916</v>
      </c>
      <c r="B19" s="13" t="s">
        <v>718</v>
      </c>
      <c r="C19" s="14"/>
      <c r="D19" s="15">
        <v>42205.742696759262</v>
      </c>
      <c r="E19" s="16" t="s">
        <v>16</v>
      </c>
      <c r="F19" s="16" t="s">
        <v>16</v>
      </c>
      <c r="G19" s="17" t="s">
        <v>838</v>
      </c>
      <c r="H19" s="17" t="s">
        <v>8133</v>
      </c>
      <c r="I19" s="13" t="s">
        <v>852</v>
      </c>
      <c r="J19" s="18" t="str">
        <f>HYPERLINK("CorLog\ZMB\Choma RTO\20150720 ZMB Choma RTO Final DCP tests for Office BLDG 20150720 (RDC-to-RDC).msg", "Final DCP tests for Office BLDG 20150720")</f>
        <v>Final DCP tests for Office BLDG 20150720</v>
      </c>
      <c r="K19" s="22" t="s">
        <v>747</v>
      </c>
      <c r="L19" s="19"/>
      <c r="M19" s="20"/>
      <c r="N19" s="21" t="s">
        <v>8134</v>
      </c>
    </row>
    <row r="20" spans="1:14">
      <c r="A20" s="12" t="s">
        <v>972</v>
      </c>
      <c r="B20" s="13" t="s">
        <v>718</v>
      </c>
      <c r="C20" s="14" t="s">
        <v>3476</v>
      </c>
      <c r="D20" s="15">
        <v>42247.632939814815</v>
      </c>
      <c r="E20" s="16" t="s">
        <v>18</v>
      </c>
      <c r="F20" s="16" t="s">
        <v>16</v>
      </c>
      <c r="G20" s="17" t="s">
        <v>738</v>
      </c>
      <c r="H20" s="17" t="s">
        <v>8130</v>
      </c>
      <c r="I20" s="13" t="s">
        <v>8131</v>
      </c>
      <c r="J20" s="18" t="str">
        <f>HYPERLINK("CorLog\GHA\BEX 2\20150831 GHA BEX 2 Phase 2- BM Construction Quote for VMB (ZMB-to-RDC).msg", "Phase 2- BM Construction Quote for VMB")</f>
        <v>Phase 2- BM Construction Quote for VMB</v>
      </c>
      <c r="K20" s="22" t="s">
        <v>959</v>
      </c>
      <c r="L20" s="19"/>
      <c r="M20" s="20"/>
      <c r="N20" s="21" t="s">
        <v>8132</v>
      </c>
    </row>
    <row r="21" spans="1:14">
      <c r="A21" s="12" t="s">
        <v>971</v>
      </c>
      <c r="B21" s="13" t="s">
        <v>8125</v>
      </c>
      <c r="C21" s="14" t="s">
        <v>8126</v>
      </c>
      <c r="D21" s="15">
        <v>42212.585451388892</v>
      </c>
      <c r="E21" s="16" t="s">
        <v>15</v>
      </c>
      <c r="F21" s="16" t="s">
        <v>15</v>
      </c>
      <c r="G21" s="17" t="s">
        <v>790</v>
      </c>
      <c r="H21" s="17" t="s">
        <v>8127</v>
      </c>
      <c r="I21" s="13" t="s">
        <v>8128</v>
      </c>
      <c r="J21" s="18" t="str">
        <f>HYPERLINK("CorLog\GHA\BEX\20150727 GHA BEX Water treatment installation contracts (ZAF-to-ZAF).msg", "Water treatment installation contracts")</f>
        <v>Water treatment installation contracts</v>
      </c>
      <c r="K21" s="22" t="s">
        <v>959</v>
      </c>
      <c r="L21" s="19"/>
      <c r="M21" s="20"/>
      <c r="N21" s="21" t="s">
        <v>8129</v>
      </c>
    </row>
    <row r="22" spans="1:14">
      <c r="A22" s="12" t="s">
        <v>1187</v>
      </c>
      <c r="B22" s="13" t="s">
        <v>750</v>
      </c>
      <c r="C22" s="14" t="s">
        <v>1556</v>
      </c>
      <c r="D22" s="15">
        <v>42223.598668981482</v>
      </c>
      <c r="E22" s="16" t="s">
        <v>15</v>
      </c>
      <c r="F22" s="16" t="s">
        <v>16</v>
      </c>
      <c r="G22" s="17" t="s">
        <v>738</v>
      </c>
      <c r="H22" s="17" t="s">
        <v>8113</v>
      </c>
      <c r="I22" s="13" t="s">
        <v>8123</v>
      </c>
      <c r="J22" s="18" t="str">
        <f>HYPERLINK("CorLog\GHA\BEX 2\20150807 GHA BEX 2 50% AFC Drawings for Review (ZAF-to-RDC).msg", "50% AFC Drawings for Review")</f>
        <v>50% AFC Drawings for Review</v>
      </c>
      <c r="K22" s="22" t="s">
        <v>2458</v>
      </c>
      <c r="L22" s="19"/>
      <c r="M22" s="20"/>
      <c r="N22" s="21" t="s">
        <v>8124</v>
      </c>
    </row>
    <row r="23" spans="1:14">
      <c r="A23" s="12" t="s">
        <v>964</v>
      </c>
      <c r="B23" s="13" t="s">
        <v>718</v>
      </c>
      <c r="C23" s="14" t="s">
        <v>8120</v>
      </c>
      <c r="D23" s="15">
        <v>42237.542592592596</v>
      </c>
      <c r="E23" s="16" t="s">
        <v>16</v>
      </c>
      <c r="F23" s="16" t="s">
        <v>16</v>
      </c>
      <c r="G23" s="17" t="s">
        <v>780</v>
      </c>
      <c r="H23" s="17" t="s">
        <v>764</v>
      </c>
      <c r="I23" s="13" t="s">
        <v>8121</v>
      </c>
      <c r="J23" s="18" t="str">
        <f>HYPERLINK("CorLog\ZMB\LDC\20150821 ZMB LDC Chingwere Rural Assembly Hall site questionnaire 2015 08 20 (RDC-to-RDC).msg", "Chingwere Rural Assembly Hall site questionnaire 2015 08 20")</f>
        <v>Chingwere Rural Assembly Hall site questionnaire 2015 08 20</v>
      </c>
      <c r="K23" s="22" t="s">
        <v>733</v>
      </c>
      <c r="L23" s="19"/>
      <c r="M23" s="20"/>
      <c r="N23" s="21" t="s">
        <v>8122</v>
      </c>
    </row>
    <row r="24" spans="1:14">
      <c r="A24" s="12" t="s">
        <v>777</v>
      </c>
      <c r="B24" s="13" t="s">
        <v>1225</v>
      </c>
      <c r="C24" s="14" t="s">
        <v>8118</v>
      </c>
      <c r="D24" s="15">
        <v>42200.863495370373</v>
      </c>
      <c r="E24" s="16" t="s">
        <v>18</v>
      </c>
      <c r="F24" s="16" t="s">
        <v>25</v>
      </c>
      <c r="G24" s="17" t="s">
        <v>780</v>
      </c>
      <c r="H24" s="17" t="s">
        <v>1241</v>
      </c>
      <c r="I24" s="13" t="s">
        <v>1228</v>
      </c>
      <c r="J24" s="18" t="str">
        <f>HYPERLINK("CorLog\ZMB\LDC\20150715 ZMB LDC Lusaka Assembly Hall video equipment (ZMB-to-WHQ).msg", "Lusaka Assembly Hall video equipment")</f>
        <v>Lusaka Assembly Hall video equipment</v>
      </c>
      <c r="K24" s="22" t="s">
        <v>733</v>
      </c>
      <c r="L24" s="19"/>
      <c r="M24" s="20"/>
      <c r="N24" s="21" t="s">
        <v>8119</v>
      </c>
    </row>
    <row r="25" spans="1:14">
      <c r="A25" s="12" t="s">
        <v>964</v>
      </c>
      <c r="B25" s="13" t="s">
        <v>718</v>
      </c>
      <c r="C25" s="14"/>
      <c r="D25" s="15">
        <v>42227.605520833335</v>
      </c>
      <c r="E25" s="16" t="s">
        <v>16</v>
      </c>
      <c r="F25" s="16" t="s">
        <v>16</v>
      </c>
      <c r="G25" s="17" t="s">
        <v>780</v>
      </c>
      <c r="H25" s="17" t="s">
        <v>764</v>
      </c>
      <c r="I25" s="13" t="s">
        <v>8116</v>
      </c>
      <c r="J25" s="18" t="str">
        <f>HYPERLINK("CorLog\ZMB\LDC\20150811 ZMB LDC Kikwe Assembly Hall Video Plans (RDC-to-RDC).msg", "Kikwe Assembly Hall Video Plans")</f>
        <v>Kikwe Assembly Hall Video Plans</v>
      </c>
      <c r="K25" s="22" t="s">
        <v>1033</v>
      </c>
      <c r="L25" s="19"/>
      <c r="M25" s="20"/>
      <c r="N25" s="21" t="s">
        <v>8117</v>
      </c>
    </row>
    <row r="26" spans="1:14">
      <c r="A26" s="12" t="s">
        <v>1187</v>
      </c>
      <c r="B26" s="13" t="s">
        <v>750</v>
      </c>
      <c r="C26" s="14" t="s">
        <v>718</v>
      </c>
      <c r="D26" s="15">
        <v>42247.535740740743</v>
      </c>
      <c r="E26" s="16" t="s">
        <v>15</v>
      </c>
      <c r="F26" s="16" t="s">
        <v>16</v>
      </c>
      <c r="G26" s="17" t="s">
        <v>738</v>
      </c>
      <c r="H26" s="17" t="s">
        <v>8113</v>
      </c>
      <c r="I26" s="13" t="s">
        <v>8114</v>
      </c>
      <c r="J26" s="18" t="str">
        <f>HYPERLINK("CorLog\GHA\BEX 2\20150831 GHA BEX 2 Channel, DRAWINGS AND BOQ FOR REVIEW (ZAF-to-RDC).msg", "Channel, DRAWINGS AND BOQ FOR REVIEW")</f>
        <v>Channel, DRAWINGS AND BOQ FOR REVIEW</v>
      </c>
      <c r="K26" s="22" t="s">
        <v>905</v>
      </c>
      <c r="L26" s="19"/>
      <c r="M26" s="20"/>
      <c r="N26" s="21" t="s">
        <v>8115</v>
      </c>
    </row>
    <row r="27" spans="1:14">
      <c r="A27" s="12" t="s">
        <v>1818</v>
      </c>
      <c r="B27" s="13" t="s">
        <v>1146</v>
      </c>
      <c r="C27" s="14" t="s">
        <v>8109</v>
      </c>
      <c r="D27" s="15">
        <v>42250.440810185188</v>
      </c>
      <c r="E27" s="16" t="s">
        <v>16</v>
      </c>
      <c r="F27" s="16" t="s">
        <v>18</v>
      </c>
      <c r="G27" s="17" t="s">
        <v>8110</v>
      </c>
      <c r="H27" s="17" t="s">
        <v>3586</v>
      </c>
      <c r="I27" s="13" t="s">
        <v>8111</v>
      </c>
      <c r="J27" s="18" t="str">
        <f>HYPERLINK("CorLog\ZMB\RTO Mbala\20150903 ZMB RTO Mbala Final decision on Mbala plot access (RDC-to-ZMB).msg", "Final decision on Mbala plot access")</f>
        <v>Final decision on Mbala plot access</v>
      </c>
      <c r="K27" s="22" t="s">
        <v>721</v>
      </c>
      <c r="L27" s="19"/>
      <c r="M27" s="20"/>
      <c r="N27" s="21" t="s">
        <v>8112</v>
      </c>
    </row>
    <row r="28" spans="1:14">
      <c r="A28" s="12" t="s">
        <v>718</v>
      </c>
      <c r="B28" s="13" t="s">
        <v>757</v>
      </c>
      <c r="C28" s="14"/>
      <c r="D28" s="15">
        <v>42250.604212962964</v>
      </c>
      <c r="E28" s="16" t="s">
        <v>16</v>
      </c>
      <c r="F28" s="16" t="s">
        <v>21</v>
      </c>
      <c r="G28" s="17" t="s">
        <v>758</v>
      </c>
      <c r="H28" s="17" t="s">
        <v>2175</v>
      </c>
      <c r="I28" s="13" t="s">
        <v>8107</v>
      </c>
      <c r="J28" s="18" t="str">
        <f>HYPERLINK("CorLog\GHA\Viepe RTO\20150903 GHA Viepe RTO RTO Cabinet drawings for local quote (RDC-to-GHA).msg", "RTO Cabinet drawings for local quote")</f>
        <v>RTO Cabinet drawings for local quote</v>
      </c>
      <c r="K28" s="22" t="s">
        <v>747</v>
      </c>
      <c r="L28" s="19"/>
      <c r="M28" s="20"/>
      <c r="N28" s="21" t="s">
        <v>8108</v>
      </c>
    </row>
    <row r="29" spans="1:14">
      <c r="A29" s="12" t="s">
        <v>4095</v>
      </c>
      <c r="B29" s="13" t="s">
        <v>718</v>
      </c>
      <c r="C29" s="14" t="s">
        <v>8103</v>
      </c>
      <c r="D29" s="15">
        <v>42251.661377314813</v>
      </c>
      <c r="E29" s="16" t="s">
        <v>21</v>
      </c>
      <c r="F29" s="16" t="s">
        <v>16</v>
      </c>
      <c r="G29" s="17" t="s">
        <v>738</v>
      </c>
      <c r="H29" s="17" t="s">
        <v>1716</v>
      </c>
      <c r="I29" s="13" t="s">
        <v>8104</v>
      </c>
      <c r="J29" s="18" t="str">
        <f>HYPERLINK("CorLog\GHA\BEX 2\20150904 GHA BEX 2 Latest procurement plan (GHA-to-RDC).msg", "Latest procurement plan")</f>
        <v>Latest procurement plan</v>
      </c>
      <c r="K29" s="22" t="s">
        <v>8105</v>
      </c>
      <c r="L29" s="19"/>
      <c r="M29" s="20"/>
      <c r="N29" s="21" t="s">
        <v>8106</v>
      </c>
    </row>
    <row r="30" spans="1:14">
      <c r="A30" s="12" t="s">
        <v>718</v>
      </c>
      <c r="B30" s="13" t="s">
        <v>8101</v>
      </c>
      <c r="C30" s="14"/>
      <c r="D30" s="15">
        <v>42248.479849537034</v>
      </c>
      <c r="E30" s="16" t="s">
        <v>16</v>
      </c>
      <c r="F30" s="16" t="s">
        <v>16</v>
      </c>
      <c r="G30" s="17" t="s">
        <v>6881</v>
      </c>
      <c r="H30" s="17" t="s">
        <v>2136</v>
      </c>
      <c r="I30" s="13" t="s">
        <v>4856</v>
      </c>
      <c r="J30" s="18" t="str">
        <f>HYPERLINK("CorLog\LKA\Branch\20150901 LKA Branch LKA As-builts - 2014-11-18 AUSRDC to SARDC re Sri Lanka drawing (RDC-to-RDC).msg", "LKA As-builts - 2014-11-18 AUSRDC to SARDC re Sri Lanka drawing")</f>
        <v>LKA As-builts - 2014-11-18 AUSRDC to SARDC re Sri Lanka drawing</v>
      </c>
      <c r="K30" s="22" t="s">
        <v>733</v>
      </c>
      <c r="L30" s="19"/>
      <c r="M30" s="20"/>
      <c r="N30" s="21" t="s">
        <v>8102</v>
      </c>
    </row>
    <row r="31" spans="1:14">
      <c r="A31" s="12" t="s">
        <v>972</v>
      </c>
      <c r="B31" s="13" t="s">
        <v>4997</v>
      </c>
      <c r="C31" s="14" t="s">
        <v>8098</v>
      </c>
      <c r="D31" s="15">
        <v>42249.417650462965</v>
      </c>
      <c r="E31" s="16" t="s">
        <v>18</v>
      </c>
      <c r="F31" s="16" t="s">
        <v>21</v>
      </c>
      <c r="G31" s="17" t="s">
        <v>738</v>
      </c>
      <c r="H31" s="17" t="s">
        <v>5568</v>
      </c>
      <c r="I31" s="13" t="s">
        <v>8099</v>
      </c>
      <c r="J31" s="18" t="str">
        <f>HYPERLINK("CorLog\GHA\BEX 2\20150902 GHA BEX 2 Conceptual Drawings for local QS Quote (ZMB-to-GHA).msg", "Conceptual Drawings for local QS Quote")</f>
        <v>Conceptual Drawings for local QS Quote</v>
      </c>
      <c r="K31" s="22" t="s">
        <v>1124</v>
      </c>
      <c r="L31" s="19"/>
      <c r="M31" s="20"/>
      <c r="N31" s="21" t="s">
        <v>8100</v>
      </c>
    </row>
    <row r="32" spans="1:14">
      <c r="A32" s="12" t="s">
        <v>1866</v>
      </c>
      <c r="B32" s="13" t="s">
        <v>718</v>
      </c>
      <c r="C32" s="14"/>
      <c r="D32" s="15">
        <v>42249.418344907404</v>
      </c>
      <c r="E32" s="16" t="s">
        <v>16</v>
      </c>
      <c r="F32" s="16" t="s">
        <v>16</v>
      </c>
      <c r="G32" s="17" t="s">
        <v>738</v>
      </c>
      <c r="H32" s="17" t="s">
        <v>2119</v>
      </c>
      <c r="I32" s="13" t="s">
        <v>8097</v>
      </c>
      <c r="J32" s="18" t="str">
        <f>HYPERLINK("CorLog\GHA\BEX 2\20150902 GHA BEX 2 Bi-fold gate options and cutsheets (RDC-to-RDC).msg", "Bi-fold gate options and cutsheets")</f>
        <v>Bi-fold gate options and cutsheets</v>
      </c>
      <c r="K32" s="22" t="s">
        <v>1033</v>
      </c>
      <c r="L32" s="19"/>
      <c r="M32" s="20"/>
      <c r="N32" s="21" t="s">
        <v>4321</v>
      </c>
    </row>
    <row r="33" spans="1:14">
      <c r="A33" s="12" t="s">
        <v>8078</v>
      </c>
      <c r="B33" s="13" t="s">
        <v>8079</v>
      </c>
      <c r="C33" s="14" t="s">
        <v>8080</v>
      </c>
      <c r="D33" s="15">
        <v>42216.409930555557</v>
      </c>
      <c r="E33" s="16" t="s">
        <v>15</v>
      </c>
      <c r="F33" s="16" t="s">
        <v>15</v>
      </c>
      <c r="G33" s="17" t="s">
        <v>8081</v>
      </c>
      <c r="H33" s="17" t="s">
        <v>1015</v>
      </c>
      <c r="I33" s="13" t="s">
        <v>8082</v>
      </c>
      <c r="J33" s="18" t="str">
        <f>HYPERLINK("CorLog\ZAF\LDC - ZWE Bulawayo\20150731 ZAF LDC - ZWE Bulawayo Design Concept options for RTO (ZAF-to-ZAF).msg", "Design Concept options for RTO")</f>
        <v>Design Concept options for RTO</v>
      </c>
      <c r="K33" s="22" t="s">
        <v>959</v>
      </c>
      <c r="L33" s="19"/>
      <c r="M33" s="20"/>
      <c r="N33" s="21" t="s">
        <v>8083</v>
      </c>
    </row>
    <row r="34" spans="1:14">
      <c r="A34" s="12" t="s">
        <v>718</v>
      </c>
      <c r="B34" s="13" t="s">
        <v>806</v>
      </c>
      <c r="C34" s="14"/>
      <c r="D34" s="15">
        <v>42215.476782407408</v>
      </c>
      <c r="E34" s="16" t="s">
        <v>16</v>
      </c>
      <c r="F34" s="16" t="s">
        <v>15</v>
      </c>
      <c r="G34" s="17" t="s">
        <v>807</v>
      </c>
      <c r="H34" s="17" t="s">
        <v>808</v>
      </c>
      <c r="I34" s="13" t="s">
        <v>809</v>
      </c>
      <c r="J34" s="18" t="str">
        <f>HYPERLINK("CorLog\GHA\Branch\20150730 GHA Branch GHA-5034 Pump ($8,105 88) (RDC-to-ZAF).msg", "GHA-5034 Pump ($8,105 88)")</f>
        <v>GHA-5034 Pump ($8,105 88)</v>
      </c>
      <c r="K34" s="22" t="s">
        <v>733</v>
      </c>
      <c r="L34" s="19"/>
      <c r="M34" s="20"/>
      <c r="N34" s="21" t="s">
        <v>810</v>
      </c>
    </row>
    <row r="35" spans="1:14">
      <c r="A35" s="12" t="s">
        <v>718</v>
      </c>
      <c r="B35" s="13" t="s">
        <v>811</v>
      </c>
      <c r="C35" s="14" t="s">
        <v>812</v>
      </c>
      <c r="D35" s="15">
        <v>42215.441238425927</v>
      </c>
      <c r="E35" s="16" t="s">
        <v>16</v>
      </c>
      <c r="F35" s="16" t="s">
        <v>23</v>
      </c>
      <c r="G35" s="17" t="s">
        <v>813</v>
      </c>
      <c r="H35" s="17" t="s">
        <v>814</v>
      </c>
      <c r="I35" s="13" t="s">
        <v>815</v>
      </c>
      <c r="J35" s="18" t="str">
        <f>HYPERLINK("CorLog\ZWE\LDC\20150730 ZWE LDC Standard Sign at RTO (RDC-to-ZWE).msg", "Standard Sign at RTO")</f>
        <v>Standard Sign at RTO</v>
      </c>
      <c r="K35" s="22" t="s">
        <v>733</v>
      </c>
      <c r="L35" s="19"/>
      <c r="M35" s="20"/>
      <c r="N35" s="21" t="s">
        <v>816</v>
      </c>
    </row>
    <row r="36" spans="1:14">
      <c r="A36" s="12" t="s">
        <v>817</v>
      </c>
      <c r="B36" s="13"/>
      <c r="C36" s="14"/>
      <c r="D36" s="15">
        <v>42215</v>
      </c>
      <c r="E36" s="16" t="s">
        <v>15</v>
      </c>
      <c r="F36" s="16" t="s">
        <v>17</v>
      </c>
      <c r="G36" s="17" t="s">
        <v>719</v>
      </c>
      <c r="H36" s="17" t="s">
        <v>818</v>
      </c>
      <c r="I36" s="13" t="s">
        <v>819</v>
      </c>
      <c r="J36" s="18" t="str">
        <f>HYPERLINK("CorLog\Reference\20150730 Reference ZAF-RDC Monthly Update - July 2015 (ZAF-to-WDC).docx", "ZAF-RDC Monthly Update - July 2015")</f>
        <v>ZAF-RDC Monthly Update - July 2015</v>
      </c>
      <c r="K36" s="22"/>
      <c r="L36" s="19"/>
      <c r="M36" s="20"/>
      <c r="N36" s="21" t="s">
        <v>820</v>
      </c>
    </row>
    <row r="37" spans="1:14">
      <c r="A37" s="12" t="s">
        <v>821</v>
      </c>
      <c r="B37" s="13" t="s">
        <v>822</v>
      </c>
      <c r="C37" s="14" t="s">
        <v>718</v>
      </c>
      <c r="D37" s="15">
        <v>42214.686354166668</v>
      </c>
      <c r="E37" s="16" t="s">
        <v>21</v>
      </c>
      <c r="F37" s="16" t="s">
        <v>21</v>
      </c>
      <c r="G37" s="17" t="s">
        <v>823</v>
      </c>
      <c r="H37" s="17" t="s">
        <v>28</v>
      </c>
      <c r="I37" s="13" t="s">
        <v>824</v>
      </c>
      <c r="J37" s="18" t="str">
        <f>HYPERLINK("CorLog\GHA\LDC\20150729 GHA LDC Potential Oversight 2 in LDC Recommendation to BC (GHA-to-GHA).msg", "Potential Oversight 2 in LDC Recommendation to BC")</f>
        <v>Potential Oversight 2 in LDC Recommendation to BC</v>
      </c>
      <c r="K37" s="22" t="s">
        <v>721</v>
      </c>
      <c r="L37" s="19" t="s">
        <v>825</v>
      </c>
      <c r="M37" s="20"/>
      <c r="N37" s="21" t="s">
        <v>826</v>
      </c>
    </row>
    <row r="38" spans="1:14">
      <c r="A38" s="12" t="s">
        <v>718</v>
      </c>
      <c r="B38" s="13" t="s">
        <v>827</v>
      </c>
      <c r="C38" s="14" t="s">
        <v>828</v>
      </c>
      <c r="D38" s="15">
        <v>42214.573136574072</v>
      </c>
      <c r="E38" s="16" t="s">
        <v>16</v>
      </c>
      <c r="F38" s="16" t="s">
        <v>21</v>
      </c>
      <c r="G38" s="17" t="s">
        <v>790</v>
      </c>
      <c r="H38" s="17" t="s">
        <v>829</v>
      </c>
      <c r="I38" s="13" t="s">
        <v>830</v>
      </c>
      <c r="J38" s="18" t="str">
        <f>HYPERLINK("CorLog\GHA\BEX\20150729 GHA BEX RDC review of NLBR -60755; Makita Spare parts (RDC-to-GHA).msg", "RDC review of NLBR -60755; Makita Spare parts")</f>
        <v>RDC review of NLBR -60755; Makita Spare parts</v>
      </c>
      <c r="K38" s="22" t="s">
        <v>721</v>
      </c>
      <c r="L38" s="19"/>
      <c r="M38" s="20"/>
      <c r="N38" s="21" t="s">
        <v>831</v>
      </c>
    </row>
    <row r="39" spans="1:14">
      <c r="A39" s="12" t="s">
        <v>718</v>
      </c>
      <c r="B39" s="13" t="s">
        <v>832</v>
      </c>
      <c r="C39" s="14" t="s">
        <v>833</v>
      </c>
      <c r="D39" s="15">
        <v>42214.570104166669</v>
      </c>
      <c r="E39" s="16" t="s">
        <v>16</v>
      </c>
      <c r="F39" s="16" t="s">
        <v>21</v>
      </c>
      <c r="G39" s="17" t="s">
        <v>738</v>
      </c>
      <c r="H39" s="17" t="s">
        <v>834</v>
      </c>
      <c r="I39" s="13" t="s">
        <v>835</v>
      </c>
      <c r="J39" s="18" t="str">
        <f>HYPERLINK("CorLog\GHA\BEX 2\20150729 GHA BEX 2 Temporary kitchen locker room--use container (AGREED) (RDC-to-GHA).msg", "Temporary kitchen locker room--use container (AGREED)")</f>
        <v>Temporary kitchen locker room--use container (AGREED)</v>
      </c>
      <c r="K39" s="22" t="s">
        <v>733</v>
      </c>
      <c r="L39" s="19"/>
      <c r="M39" s="20"/>
      <c r="N39" s="21" t="s">
        <v>836</v>
      </c>
    </row>
    <row r="40" spans="1:14">
      <c r="A40" s="12" t="s">
        <v>718</v>
      </c>
      <c r="B40" s="13" t="s">
        <v>837</v>
      </c>
      <c r="C40" s="14"/>
      <c r="D40" s="15">
        <v>42214.482083333336</v>
      </c>
      <c r="E40" s="16" t="s">
        <v>16</v>
      </c>
      <c r="F40" s="16" t="s">
        <v>18</v>
      </c>
      <c r="G40" s="17" t="s">
        <v>838</v>
      </c>
      <c r="H40" s="17" t="s">
        <v>839</v>
      </c>
      <c r="I40" s="13" t="s">
        <v>840</v>
      </c>
      <c r="J40" s="18" t="str">
        <f>HYPERLINK("CorLog\ZMB\Choma RTO\20150729 ZMB Choma RTO G5 Replacement; In-Situ soil mixed with 13mm stones (RDC-to-ZMB).msg", "G5 Replacement; In-Situ soil mixed with 13mm stones")</f>
        <v>G5 Replacement; In-Situ soil mixed with 13mm stones</v>
      </c>
      <c r="K40" s="22" t="s">
        <v>721</v>
      </c>
      <c r="L40" s="19"/>
      <c r="M40" s="20"/>
      <c r="N40" s="21" t="s">
        <v>841</v>
      </c>
    </row>
    <row r="41" spans="1:14" ht="15" customHeight="1">
      <c r="A41" s="12" t="s">
        <v>718</v>
      </c>
      <c r="B41" s="13" t="s">
        <v>842</v>
      </c>
      <c r="C41" s="14" t="s">
        <v>843</v>
      </c>
      <c r="D41" s="15">
        <v>42214.415300925924</v>
      </c>
      <c r="E41" s="16" t="s">
        <v>16</v>
      </c>
      <c r="F41" s="16" t="s">
        <v>21</v>
      </c>
      <c r="G41" s="17" t="s">
        <v>758</v>
      </c>
      <c r="H41" s="17" t="s">
        <v>844</v>
      </c>
      <c r="I41" s="13" t="s">
        <v>845</v>
      </c>
      <c r="J41" s="18" t="str">
        <f>HYPERLINK("CorLog\GHA\Viepe RTO\20150729 GHA Viepe RTO Residence foundation; Concrete test failures (Updated results) (RDC-to-GHA).msg", "Residence foundation; Concrete test failures (Updated results)")</f>
        <v>Residence foundation; Concrete test failures (Updated results)</v>
      </c>
      <c r="K41" s="22" t="s">
        <v>747</v>
      </c>
      <c r="L41" s="19"/>
      <c r="M41" s="20"/>
      <c r="N41" s="21" t="s">
        <v>846</v>
      </c>
    </row>
    <row r="42" spans="1:14">
      <c r="A42" s="12" t="s">
        <v>718</v>
      </c>
      <c r="B42" s="13" t="s">
        <v>837</v>
      </c>
      <c r="C42" s="14"/>
      <c r="D42" s="15">
        <v>42214.381736111114</v>
      </c>
      <c r="E42" s="16" t="s">
        <v>16</v>
      </c>
      <c r="F42" s="16" t="s">
        <v>18</v>
      </c>
      <c r="G42" s="17" t="s">
        <v>847</v>
      </c>
      <c r="H42" s="17" t="s">
        <v>848</v>
      </c>
      <c r="I42" s="13" t="s">
        <v>849</v>
      </c>
      <c r="J42" s="18" t="str">
        <f>HYPERLINK("CorLog\ZNB\Choma RTO\20150729 ZNB Choma RTO RDC review of NLBR electrolux equipment from Zimbabwe (RDC-to-ZMB).msg", "RDC review of NLBR electrolux equipment from Zimbabwe")</f>
        <v>RDC review of NLBR electrolux equipment from Zimbabwe</v>
      </c>
      <c r="K42" s="22" t="s">
        <v>721</v>
      </c>
      <c r="L42" s="19"/>
      <c r="M42" s="20"/>
      <c r="N42" s="21" t="s">
        <v>850</v>
      </c>
    </row>
    <row r="43" spans="1:14">
      <c r="A43" s="12" t="s">
        <v>718</v>
      </c>
      <c r="B43" s="13" t="s">
        <v>837</v>
      </c>
      <c r="C43" s="14"/>
      <c r="D43" s="15">
        <v>42214.379641203705</v>
      </c>
      <c r="E43" s="16" t="s">
        <v>16</v>
      </c>
      <c r="F43" s="16" t="s">
        <v>18</v>
      </c>
      <c r="G43" s="17" t="s">
        <v>838</v>
      </c>
      <c r="H43" s="17" t="s">
        <v>851</v>
      </c>
      <c r="I43" s="13" t="s">
        <v>852</v>
      </c>
      <c r="J43" s="18" t="str">
        <f>HYPERLINK("CorLog\ZMB\Choma RTO\20150729 ZMB Choma RTO Final DCP tests for Office BLDG 20150720 (RDC-to-ZMB).msg", "Final DCP tests for Office BLDG 20150720")</f>
        <v>Final DCP tests for Office BLDG 20150720</v>
      </c>
      <c r="K43" s="22" t="s">
        <v>747</v>
      </c>
      <c r="L43" s="19"/>
      <c r="M43" s="20"/>
      <c r="N43" s="21" t="s">
        <v>853</v>
      </c>
    </row>
    <row r="44" spans="1:14">
      <c r="A44" s="12" t="s">
        <v>718</v>
      </c>
      <c r="B44" s="13" t="s">
        <v>837</v>
      </c>
      <c r="C44" s="14"/>
      <c r="D44" s="15">
        <v>42214.377129629633</v>
      </c>
      <c r="E44" s="16" t="s">
        <v>16</v>
      </c>
      <c r="F44" s="16" t="s">
        <v>18</v>
      </c>
      <c r="G44" s="17" t="s">
        <v>838</v>
      </c>
      <c r="H44" s="17" t="s">
        <v>854</v>
      </c>
      <c r="I44" s="13" t="s">
        <v>855</v>
      </c>
      <c r="J44" s="18" t="str">
        <f>HYPERLINK("CorLog\ZMB\Choma RTO\20150729 ZMB Choma RTO Joint pier detail and DPC (RDC-to-ZMB).msg", "Joint pier detail and DPC")</f>
        <v>Joint pier detail and DPC</v>
      </c>
      <c r="K44" s="22" t="s">
        <v>747</v>
      </c>
      <c r="L44" s="19"/>
      <c r="M44" s="20"/>
      <c r="N44" s="21" t="s">
        <v>856</v>
      </c>
    </row>
    <row r="45" spans="1:14">
      <c r="A45" s="12" t="s">
        <v>718</v>
      </c>
      <c r="B45" s="13" t="s">
        <v>842</v>
      </c>
      <c r="C45" s="14" t="s">
        <v>757</v>
      </c>
      <c r="D45" s="15">
        <v>42214.367071759261</v>
      </c>
      <c r="E45" s="16" t="s">
        <v>16</v>
      </c>
      <c r="F45" s="16" t="s">
        <v>21</v>
      </c>
      <c r="G45" s="17" t="s">
        <v>857</v>
      </c>
      <c r="H45" s="17" t="s">
        <v>858</v>
      </c>
      <c r="I45" s="13" t="s">
        <v>859</v>
      </c>
      <c r="J45" s="18" t="str">
        <f>HYPERLINK("CorLog\GHA\Kikam RTO\20150729 GHA Kikam RTO RDC review of AO-8 review (June 2015) (RDC-to-GHA).msg", "RDC review of AO-8 review (June 2015)")</f>
        <v>RDC review of AO-8 review (June 2015)</v>
      </c>
      <c r="K45" s="22" t="s">
        <v>721</v>
      </c>
      <c r="L45" s="19"/>
      <c r="M45" s="20"/>
      <c r="N45" s="21" t="s">
        <v>860</v>
      </c>
    </row>
    <row r="46" spans="1:14" ht="15" customHeight="1">
      <c r="A46" s="12" t="s">
        <v>718</v>
      </c>
      <c r="B46" s="13" t="s">
        <v>827</v>
      </c>
      <c r="C46" s="14" t="s">
        <v>861</v>
      </c>
      <c r="D46" s="15">
        <v>42214.366203703707</v>
      </c>
      <c r="E46" s="16" t="s">
        <v>16</v>
      </c>
      <c r="F46" s="16" t="s">
        <v>21</v>
      </c>
      <c r="G46" s="17" t="s">
        <v>790</v>
      </c>
      <c r="H46" s="17" t="s">
        <v>858</v>
      </c>
      <c r="I46" s="13" t="s">
        <v>862</v>
      </c>
      <c r="J46" s="18" t="str">
        <f>HYPERLINK("CorLog\GHA\BEX\20150729 GHA BEX RDC review of AO-8 for June 2015 (RDC-to-GHA).msg", "RDC review of AO-8 for June 2015")</f>
        <v>RDC review of AO-8 for June 2015</v>
      </c>
      <c r="K46" s="22" t="s">
        <v>747</v>
      </c>
      <c r="L46" s="19"/>
      <c r="M46" s="20"/>
      <c r="N46" s="21" t="s">
        <v>863</v>
      </c>
    </row>
    <row r="47" spans="1:14" ht="15" customHeight="1">
      <c r="A47" s="12"/>
      <c r="B47" s="13"/>
      <c r="C47" s="14"/>
      <c r="D47" s="15">
        <v>42214.331458333334</v>
      </c>
      <c r="E47" s="16" t="s">
        <v>22</v>
      </c>
      <c r="F47" s="16" t="s">
        <v>17</v>
      </c>
      <c r="G47" s="17" t="s">
        <v>864</v>
      </c>
      <c r="H47" s="17" t="s">
        <v>764</v>
      </c>
      <c r="I47" s="13" t="s">
        <v>865</v>
      </c>
      <c r="J47" s="18" t="str">
        <f>HYPERLINK("CorLog\COD\Choral Studio\20150729 COD Choral Studio Choral and Audio Video Building (COD-to-WDC).docx", "Choral and Audio Video Building")</f>
        <v>Choral and Audio Video Building</v>
      </c>
      <c r="K47" s="18" t="str">
        <f>HYPERLINK("CorLog\COD\Choral Studio\20150729 COD Choral Studio Choral and Audio Video Building (COD-to-WDC).zip", "Zipped (3)")</f>
        <v>Zipped (3)</v>
      </c>
      <c r="L47" s="19"/>
      <c r="M47" s="20"/>
      <c r="N47" s="21" t="s">
        <v>866</v>
      </c>
    </row>
    <row r="48" spans="1:14">
      <c r="A48" s="12" t="s">
        <v>817</v>
      </c>
      <c r="B48" s="13"/>
      <c r="C48" s="14"/>
      <c r="D48" s="15">
        <v>42214</v>
      </c>
      <c r="E48" s="16" t="s">
        <v>16</v>
      </c>
      <c r="F48" s="16" t="s">
        <v>17</v>
      </c>
      <c r="G48" s="17" t="s">
        <v>28</v>
      </c>
      <c r="H48" s="17" t="s">
        <v>867</v>
      </c>
      <c r="I48" s="13" t="s">
        <v>868</v>
      </c>
      <c r="J48" s="18" t="str">
        <f>HYPERLINK("CorLog\LDC\20150729 LDC 2016 LDC Spending Limits for the Africa Region (RDC-to-WDC).docx", "2016 LDC Spending Limits for the Africa Region")</f>
        <v>2016 LDC Spending Limits for the Africa Region</v>
      </c>
      <c r="K48" s="18" t="str">
        <f>HYPERLINK("CorLog\LDC\20150729 LDC 2016 LDC Spending Limits for the Africa Region (RDC-to-WDC).zip", "Zipped")</f>
        <v>Zipped</v>
      </c>
      <c r="L48" s="19"/>
      <c r="M48" s="20"/>
      <c r="N48" s="21" t="s">
        <v>869</v>
      </c>
    </row>
    <row r="49" spans="1:14">
      <c r="A49" s="12" t="s">
        <v>870</v>
      </c>
      <c r="B49" s="13" t="s">
        <v>724</v>
      </c>
      <c r="C49" s="14"/>
      <c r="D49" s="15">
        <v>42213.336655092593</v>
      </c>
      <c r="E49" s="16" t="s">
        <v>15</v>
      </c>
      <c r="F49" s="16" t="s">
        <v>16</v>
      </c>
      <c r="G49" s="17" t="s">
        <v>28</v>
      </c>
      <c r="H49" s="17" t="s">
        <v>871</v>
      </c>
      <c r="I49" s="13" t="s">
        <v>872</v>
      </c>
      <c r="J49" s="18" t="str">
        <f>HYPERLINK("CorLog\LDC\20150728 LDC Standardization of KHs &amp; RTOs in Africa (ZAF-to-RDC).msg", "Standardization of KHs &amp; RTOs in Africa")</f>
        <v>Standardization of KHs &amp; RTOs in Africa</v>
      </c>
      <c r="K49" s="22" t="s">
        <v>721</v>
      </c>
      <c r="L49" s="19"/>
      <c r="M49" s="20"/>
      <c r="N49" s="21" t="s">
        <v>873</v>
      </c>
    </row>
    <row r="50" spans="1:14">
      <c r="A50" s="12" t="s">
        <v>874</v>
      </c>
      <c r="B50" s="13"/>
      <c r="C50" s="14"/>
      <c r="D50" s="15">
        <v>42213</v>
      </c>
      <c r="E50" s="16" t="s">
        <v>25</v>
      </c>
      <c r="F50" s="16" t="s">
        <v>19</v>
      </c>
      <c r="G50" s="17" t="s">
        <v>744</v>
      </c>
      <c r="H50" s="17" t="s">
        <v>875</v>
      </c>
      <c r="I50" s="13" t="s">
        <v>876</v>
      </c>
      <c r="J50" s="18" t="str">
        <f>HYPERLINK("CorLog\AGO\Viana AH\20150728 AGO Viana AH Viana Literature Depot Project-Final Project Financial Report (AO-9) (WHQ-to-AGO).doc", "Viana Literature Depot Project-Final Project Financial Report (AO-9)")</f>
        <v>Viana Literature Depot Project-Final Project Financial Report (AO-9)</v>
      </c>
      <c r="K50" s="18" t="str">
        <f>HYPERLINK("CorLog\AGO\Viana AH\20150728 AGO Viana AH Viana Literature Depot Project-Final Project Financial Report (AO-9) (WHQ-to-AGO).zip", "Zipped (1)")</f>
        <v>Zipped (1)</v>
      </c>
      <c r="L50" s="19"/>
      <c r="M50" s="20"/>
      <c r="N50" s="21" t="s">
        <v>877</v>
      </c>
    </row>
    <row r="51" spans="1:14">
      <c r="A51" s="12" t="s">
        <v>718</v>
      </c>
      <c r="B51" s="13" t="s">
        <v>878</v>
      </c>
      <c r="C51" s="14" t="s">
        <v>879</v>
      </c>
      <c r="D51" s="15">
        <v>42212.736111111109</v>
      </c>
      <c r="E51" s="16" t="s">
        <v>16</v>
      </c>
      <c r="F51" s="16" t="s">
        <v>21</v>
      </c>
      <c r="G51" s="17" t="s">
        <v>880</v>
      </c>
      <c r="H51" s="17" t="s">
        <v>829</v>
      </c>
      <c r="I51" s="13" t="s">
        <v>881</v>
      </c>
      <c r="J51" s="18" t="str">
        <f>HYPERLINK("CorLog\GHA\Kumasi RTO\20150727 GHA Kumasi RTO RDC review of NLBR -60699; Automatic Voltage Regulator (RDC-to-GHA).msg", "RDC review of NLBR -60699; Automatic Voltage Regulator")</f>
        <v>RDC review of NLBR -60699; Automatic Voltage Regulator</v>
      </c>
      <c r="K51" s="22" t="s">
        <v>733</v>
      </c>
      <c r="L51" s="19"/>
      <c r="M51" s="20"/>
      <c r="N51" s="21" t="s">
        <v>882</v>
      </c>
    </row>
    <row r="52" spans="1:14" ht="15" customHeight="1">
      <c r="A52" s="12" t="s">
        <v>718</v>
      </c>
      <c r="B52" s="13" t="s">
        <v>883</v>
      </c>
      <c r="C52" s="14" t="s">
        <v>884</v>
      </c>
      <c r="D52" s="15">
        <v>42212.722916666666</v>
      </c>
      <c r="E52" s="16" t="s">
        <v>16</v>
      </c>
      <c r="F52" s="16" t="s">
        <v>18</v>
      </c>
      <c r="G52" s="17" t="s">
        <v>885</v>
      </c>
      <c r="H52" s="17" t="s">
        <v>886</v>
      </c>
      <c r="I52" s="13" t="s">
        <v>887</v>
      </c>
      <c r="J52" s="18" t="str">
        <f>HYPERLINK("CorLog\ZMB\Kabompo RTO\20150727 ZMB Kabompo RTO Commuter Building-Grounding Ring question 24072015 (RDC-to-ZMB).msg", "Commuter Building-Grounding Ring question 24072015")</f>
        <v>Commuter Building-Grounding Ring question 24072015</v>
      </c>
      <c r="K52" s="22"/>
      <c r="L52" s="19"/>
      <c r="M52" s="20"/>
      <c r="N52" s="21" t="s">
        <v>888</v>
      </c>
    </row>
    <row r="53" spans="1:14">
      <c r="A53" s="12" t="s">
        <v>718</v>
      </c>
      <c r="B53" s="13" t="s">
        <v>827</v>
      </c>
      <c r="C53" s="14" t="s">
        <v>828</v>
      </c>
      <c r="D53" s="15">
        <v>42212.690972222219</v>
      </c>
      <c r="E53" s="16" t="s">
        <v>16</v>
      </c>
      <c r="F53" s="16" t="s">
        <v>21</v>
      </c>
      <c r="G53" s="17" t="s">
        <v>790</v>
      </c>
      <c r="H53" s="17" t="s">
        <v>829</v>
      </c>
      <c r="I53" s="13" t="s">
        <v>889</v>
      </c>
      <c r="J53" s="18" t="str">
        <f>HYPERLINK("CorLog\GHA\BEX\20150727 GHA BEX RDC review of NLBR -60750; Downspout and Bends (RDC-to-GHA).msg", "RDC review of NLBR -60750; Downspout and Bends")</f>
        <v>RDC review of NLBR -60750; Downspout and Bends</v>
      </c>
      <c r="K53" s="22" t="s">
        <v>721</v>
      </c>
      <c r="L53" s="19"/>
      <c r="M53" s="20"/>
      <c r="N53" s="21" t="s">
        <v>890</v>
      </c>
    </row>
    <row r="54" spans="1:14">
      <c r="A54" s="12" t="s">
        <v>718</v>
      </c>
      <c r="B54" s="13" t="s">
        <v>842</v>
      </c>
      <c r="C54" s="14" t="s">
        <v>891</v>
      </c>
      <c r="D54" s="15">
        <v>42212.68472222222</v>
      </c>
      <c r="E54" s="16" t="s">
        <v>16</v>
      </c>
      <c r="F54" s="16" t="s">
        <v>21</v>
      </c>
      <c r="G54" s="17" t="s">
        <v>758</v>
      </c>
      <c r="H54" s="17" t="s">
        <v>892</v>
      </c>
      <c r="I54" s="13" t="s">
        <v>893</v>
      </c>
      <c r="J54" s="18" t="str">
        <f>HYPERLINK("CorLog\GHA\Viepe RTO\20150727 GHA Viepe RTO RDC review of NLBR -60481; Electrolux Kitchen &amp; Laundry Equipment zb0032 (RDC-to-GHA).msg", "RDC review of NLBR -60481; Electrolux Kitchen &amp; Laundry Equipment zb0032")</f>
        <v>RDC review of NLBR -60481; Electrolux Kitchen &amp; Laundry Equipment zb0032</v>
      </c>
      <c r="K54" s="22" t="s">
        <v>721</v>
      </c>
      <c r="L54" s="19"/>
      <c r="M54" s="20"/>
      <c r="N54" s="21" t="s">
        <v>894</v>
      </c>
    </row>
    <row r="55" spans="1:14">
      <c r="A55" s="12" t="s">
        <v>718</v>
      </c>
      <c r="B55" s="13" t="s">
        <v>895</v>
      </c>
      <c r="C55" s="14" t="s">
        <v>896</v>
      </c>
      <c r="D55" s="15">
        <v>42212.651388888888</v>
      </c>
      <c r="E55" s="16" t="s">
        <v>16</v>
      </c>
      <c r="F55" s="16" t="s">
        <v>18</v>
      </c>
      <c r="G55" s="17" t="s">
        <v>885</v>
      </c>
      <c r="H55" s="17" t="s">
        <v>829</v>
      </c>
      <c r="I55" s="13" t="s">
        <v>897</v>
      </c>
      <c r="J55" s="18" t="str">
        <f>HYPERLINK("CorLog\ZMB\Kabompo RTO\20150727 ZMB Kabompo RTO RDC review of NLBR; REQ 520-12989; Finishes Order; Tile Materials, Lockers, Shelving; 20150723 (RDC-to-ZMB).msg", "RDC review of NLBR; REQ 520-12989; Finishes Order; Tile Materials, Lockers, Shelving; 20150723")</f>
        <v>RDC review of NLBR; REQ 520-12989; Finishes Order; Tile Materials, Lockers, Shelving; 20150723</v>
      </c>
      <c r="K55" s="22" t="s">
        <v>721</v>
      </c>
      <c r="L55" s="19"/>
      <c r="M55" s="20"/>
      <c r="N55" s="21" t="s">
        <v>898</v>
      </c>
    </row>
    <row r="56" spans="1:14">
      <c r="A56" s="12" t="s">
        <v>718</v>
      </c>
      <c r="B56" s="13" t="s">
        <v>827</v>
      </c>
      <c r="C56" s="14" t="s">
        <v>828</v>
      </c>
      <c r="D56" s="15">
        <v>42212.567361111112</v>
      </c>
      <c r="E56" s="16" t="s">
        <v>16</v>
      </c>
      <c r="F56" s="16" t="s">
        <v>21</v>
      </c>
      <c r="G56" s="17" t="s">
        <v>730</v>
      </c>
      <c r="H56" s="17" t="s">
        <v>829</v>
      </c>
      <c r="I56" s="13" t="s">
        <v>899</v>
      </c>
      <c r="J56" s="18" t="str">
        <f>HYPERLINK("CorLog\GHA\Baatsona SKE\20150727 GHA Baatsona SKE RDC review of NLBR -60708; QC Materials (RDC-to-GHA).msg.msg", "RDC review of NLBR -60708; QC Materials")</f>
        <v>RDC review of NLBR -60708; QC Materials</v>
      </c>
      <c r="K56" s="22" t="s">
        <v>721</v>
      </c>
      <c r="L56" s="19"/>
      <c r="M56" s="20"/>
      <c r="N56" s="21" t="s">
        <v>900</v>
      </c>
    </row>
    <row r="57" spans="1:14">
      <c r="A57" s="12" t="s">
        <v>901</v>
      </c>
      <c r="B57" s="13" t="s">
        <v>827</v>
      </c>
      <c r="C57" s="14" t="s">
        <v>902</v>
      </c>
      <c r="D57" s="15">
        <v>42212.457766203705</v>
      </c>
      <c r="E57" s="16" t="s">
        <v>21</v>
      </c>
      <c r="F57" s="16" t="s">
        <v>21</v>
      </c>
      <c r="G57" s="17" t="s">
        <v>790</v>
      </c>
      <c r="H57" s="17" t="s">
        <v>903</v>
      </c>
      <c r="I57" s="13" t="s">
        <v>904</v>
      </c>
      <c r="J57" s="18" t="str">
        <f>HYPERLINK("CorLog\GHA\BEX\20150727 GHA BEX SW Creek-Flood Damage &amp; Debris--WSP Proposal (GHA-to-GHA).msg", "SW Creek-Flood Damage &amp; Debris--WSP Proposal")</f>
        <v>SW Creek-Flood Damage &amp; Debris--WSP Proposal</v>
      </c>
      <c r="K57" s="22" t="s">
        <v>905</v>
      </c>
      <c r="L57" s="19"/>
      <c r="M57" s="20"/>
      <c r="N57" s="21" t="s">
        <v>906</v>
      </c>
    </row>
    <row r="58" spans="1:14">
      <c r="A58" s="12" t="s">
        <v>907</v>
      </c>
      <c r="B58" s="13"/>
      <c r="C58" s="14"/>
      <c r="D58" s="15">
        <v>42212</v>
      </c>
      <c r="E58" s="16" t="s">
        <v>25</v>
      </c>
      <c r="F58" s="16" t="s">
        <v>15</v>
      </c>
      <c r="G58" s="17" t="s">
        <v>17</v>
      </c>
      <c r="H58" s="17" t="s">
        <v>781</v>
      </c>
      <c r="I58" s="13" t="s">
        <v>908</v>
      </c>
      <c r="J58" s="18" t="str">
        <f>HYPERLINK("CorLog\WDC\20150727 WDC Personnel limits for construction projects (WHQ-to-ZAF).docx", "Personnel limits for construction projects")</f>
        <v>Personnel limits for construction projects</v>
      </c>
      <c r="K58" s="22"/>
      <c r="L58" s="19" t="s">
        <v>909</v>
      </c>
      <c r="M58" s="20"/>
      <c r="N58" s="21" t="s">
        <v>910</v>
      </c>
    </row>
    <row r="59" spans="1:14">
      <c r="A59" s="12" t="s">
        <v>911</v>
      </c>
      <c r="B59" s="13" t="s">
        <v>750</v>
      </c>
      <c r="C59" s="14" t="s">
        <v>912</v>
      </c>
      <c r="D59" s="15">
        <v>42209.927430555559</v>
      </c>
      <c r="E59" s="16" t="s">
        <v>25</v>
      </c>
      <c r="F59" s="16" t="s">
        <v>16</v>
      </c>
      <c r="G59" s="17" t="s">
        <v>913</v>
      </c>
      <c r="H59" s="17" t="s">
        <v>914</v>
      </c>
      <c r="I59" s="13" t="s">
        <v>8084</v>
      </c>
      <c r="J59" s="18" t="str">
        <f>HYPERLINK("CorLog\COD\Branch\20150724 COD Branch COD NGA Fire Trucks--Trip to Alabama; COD Concerns (WHQ-to-RDC).msg", "COD NGA Fire Trucks--Trip to Alabama; COD Concerns")</f>
        <v>COD NGA Fire Trucks--Trip to Alabama; COD Concerns</v>
      </c>
      <c r="K59" s="22"/>
      <c r="L59" s="19"/>
      <c r="M59" s="20"/>
      <c r="N59" s="21" t="s">
        <v>915</v>
      </c>
    </row>
    <row r="60" spans="1:14">
      <c r="A60" s="12" t="s">
        <v>916</v>
      </c>
      <c r="B60" s="13" t="s">
        <v>718</v>
      </c>
      <c r="C60" s="14" t="s">
        <v>750</v>
      </c>
      <c r="D60" s="15">
        <v>42209.700046296297</v>
      </c>
      <c r="E60" s="16" t="s">
        <v>16</v>
      </c>
      <c r="F60" s="16" t="s">
        <v>16</v>
      </c>
      <c r="G60" s="17" t="s">
        <v>913</v>
      </c>
      <c r="H60" s="17" t="s">
        <v>914</v>
      </c>
      <c r="I60" s="13" t="s">
        <v>917</v>
      </c>
      <c r="J60" s="18" t="str">
        <f>HYPERLINK("CorLog\COD\Branch\20150724 COD Branch Container Housing - stacked option foundation pads (RDC-to-RDC).msg", "Container Housing - stacked option foundation pads")</f>
        <v>Container Housing - stacked option foundation pads</v>
      </c>
      <c r="K60" s="22" t="s">
        <v>733</v>
      </c>
      <c r="L60" s="19"/>
      <c r="M60" s="20"/>
      <c r="N60" s="21" t="s">
        <v>918</v>
      </c>
    </row>
    <row r="61" spans="1:14">
      <c r="A61" s="12" t="s">
        <v>895</v>
      </c>
      <c r="B61" s="13" t="s">
        <v>718</v>
      </c>
      <c r="C61" s="14" t="s">
        <v>919</v>
      </c>
      <c r="D61" s="15">
        <v>42209.667094907411</v>
      </c>
      <c r="E61" s="16" t="s">
        <v>18</v>
      </c>
      <c r="F61" s="16" t="s">
        <v>16</v>
      </c>
      <c r="G61" s="17" t="s">
        <v>920</v>
      </c>
      <c r="H61" s="17" t="s">
        <v>921</v>
      </c>
      <c r="I61" s="13" t="s">
        <v>922</v>
      </c>
      <c r="J61" s="18" t="str">
        <f>HYPERLINK("CorLog\ZMB\Mbala RTO\20150724 ZMB Mbala RTO Soil Test Report (ZMB-to-RDC).msg", "Soil Test Report")</f>
        <v>Soil Test Report</v>
      </c>
      <c r="K61" s="22" t="s">
        <v>721</v>
      </c>
      <c r="L61" s="19"/>
      <c r="M61" s="20"/>
      <c r="N61" s="21" t="s">
        <v>923</v>
      </c>
    </row>
    <row r="62" spans="1:14">
      <c r="A62" s="12" t="s">
        <v>924</v>
      </c>
      <c r="B62" s="13" t="s">
        <v>717</v>
      </c>
      <c r="C62" s="14" t="s">
        <v>925</v>
      </c>
      <c r="D62" s="15">
        <v>42209.373657407406</v>
      </c>
      <c r="E62" s="16" t="s">
        <v>23</v>
      </c>
      <c r="F62" s="16" t="s">
        <v>16</v>
      </c>
      <c r="G62" s="17" t="s">
        <v>926</v>
      </c>
      <c r="H62" s="17" t="s">
        <v>927</v>
      </c>
      <c r="I62" s="13" t="s">
        <v>928</v>
      </c>
      <c r="J62" s="18" t="str">
        <f>HYPERLINK("CorLog\ZWE\Branch\20150724 ZWE Branch Dining Room Work Start Delay (ZWE-to-RDC).msg", "Dining Room Work Start Delay")</f>
        <v>Dining Room Work Start Delay</v>
      </c>
      <c r="K62" s="22" t="s">
        <v>721</v>
      </c>
      <c r="L62" s="19"/>
      <c r="M62" s="20"/>
      <c r="N62" s="21" t="s">
        <v>929</v>
      </c>
    </row>
    <row r="63" spans="1:14" ht="15" customHeight="1">
      <c r="A63" s="12" t="s">
        <v>717</v>
      </c>
      <c r="B63" s="13" t="s">
        <v>718</v>
      </c>
      <c r="C63" s="14"/>
      <c r="D63" s="15">
        <v>42209.342534722222</v>
      </c>
      <c r="E63" s="16" t="s">
        <v>16</v>
      </c>
      <c r="F63" s="16" t="s">
        <v>16</v>
      </c>
      <c r="G63" s="17" t="s">
        <v>719</v>
      </c>
      <c r="H63" s="17" t="s">
        <v>930</v>
      </c>
      <c r="I63" s="13" t="s">
        <v>931</v>
      </c>
      <c r="J63" s="18" t="str">
        <f>HYPERLINK("CorLog\Reference\20150724 Reference Cost of GRS and Mitek roofing per m2 (RDC-to-RDC).msg.msg", "Cost of GRS and Mitek roofing per m2")</f>
        <v>Cost of GRS and Mitek roofing per m2</v>
      </c>
      <c r="K63" s="22" t="s">
        <v>721</v>
      </c>
      <c r="L63" s="19"/>
      <c r="M63" s="20"/>
      <c r="N63" s="21" t="s">
        <v>932</v>
      </c>
    </row>
    <row r="64" spans="1:14" ht="15" customHeight="1">
      <c r="A64" s="12" t="s">
        <v>933</v>
      </c>
      <c r="B64" s="13" t="s">
        <v>724</v>
      </c>
      <c r="C64" s="14" t="s">
        <v>934</v>
      </c>
      <c r="D64" s="15">
        <v>42209.14916666667</v>
      </c>
      <c r="E64" s="16" t="s">
        <v>935</v>
      </c>
      <c r="F64" s="16" t="s">
        <v>16</v>
      </c>
      <c r="G64" s="17" t="s">
        <v>719</v>
      </c>
      <c r="H64" s="17" t="s">
        <v>936</v>
      </c>
      <c r="I64" s="13" t="s">
        <v>937</v>
      </c>
      <c r="J64" s="18" t="str">
        <f>HYPERLINK("CorLog\Reference\20150724 Reference Video Systems for Kingdom Halls in Africa (GPD-to-RDC).msg", "Video Systems for Kingdom Halls in Africa")</f>
        <v>Video Systems for Kingdom Halls in Africa</v>
      </c>
      <c r="K64" s="22" t="s">
        <v>733</v>
      </c>
      <c r="L64" s="19"/>
      <c r="M64" s="20"/>
      <c r="N64" s="21" t="s">
        <v>938</v>
      </c>
    </row>
    <row r="65" spans="1:14">
      <c r="A65" s="12" t="s">
        <v>895</v>
      </c>
      <c r="B65" s="13" t="s">
        <v>718</v>
      </c>
      <c r="C65" s="14" t="s">
        <v>939</v>
      </c>
      <c r="D65" s="15">
        <v>42208.660219907404</v>
      </c>
      <c r="E65" s="16" t="s">
        <v>18</v>
      </c>
      <c r="F65" s="16" t="s">
        <v>16</v>
      </c>
      <c r="G65" s="17" t="s">
        <v>920</v>
      </c>
      <c r="H65" s="17" t="s">
        <v>940</v>
      </c>
      <c r="I65" s="13" t="s">
        <v>941</v>
      </c>
      <c r="J65" s="18" t="str">
        <f>HYPERLINK("CorLog\ZMB\Mbala RTO\20150723 ZMB Mbala RTO Surveys - Options for access road if property divided (ZMB-to-RDC).msg", "Surveys - Options for access road if property divided")</f>
        <v>Surveys - Options for access road if property divided</v>
      </c>
      <c r="K65" s="22" t="s">
        <v>747</v>
      </c>
      <c r="L65" s="19"/>
      <c r="M65" s="20"/>
      <c r="N65" s="21" t="s">
        <v>942</v>
      </c>
    </row>
    <row r="66" spans="1:14">
      <c r="A66" s="12" t="s">
        <v>718</v>
      </c>
      <c r="B66" s="13" t="s">
        <v>717</v>
      </c>
      <c r="C66" s="14"/>
      <c r="D66" s="15">
        <v>42208.620717592596</v>
      </c>
      <c r="E66" s="16" t="s">
        <v>16</v>
      </c>
      <c r="F66" s="16" t="s">
        <v>16</v>
      </c>
      <c r="G66" s="17" t="s">
        <v>719</v>
      </c>
      <c r="H66" s="17" t="s">
        <v>936</v>
      </c>
      <c r="I66" s="13" t="s">
        <v>943</v>
      </c>
      <c r="J66" s="18" t="str">
        <f>HYPERLINK("CorLog\Reference\20150723 Reference WHQ KH Video Options (RDC-to-RDC).msg", "WHQ KH Video Options")</f>
        <v>WHQ KH Video Options</v>
      </c>
      <c r="K66" s="22" t="s">
        <v>721</v>
      </c>
      <c r="L66" s="19"/>
      <c r="M66" s="20"/>
      <c r="N66" s="21" t="s">
        <v>944</v>
      </c>
    </row>
    <row r="67" spans="1:14">
      <c r="A67" s="12"/>
      <c r="B67" s="13"/>
      <c r="C67" s="14"/>
      <c r="D67" s="15">
        <v>42208.613634259258</v>
      </c>
      <c r="E67" s="16" t="s">
        <v>22</v>
      </c>
      <c r="F67" s="16" t="s">
        <v>16</v>
      </c>
      <c r="G67" s="17" t="s">
        <v>913</v>
      </c>
      <c r="H67" s="17" t="s">
        <v>764</v>
      </c>
      <c r="I67" s="13" t="s">
        <v>945</v>
      </c>
      <c r="J67" s="18" t="str">
        <f>HYPERLINK("CorLog\COD\Branch\20150723 COD Branch DRAFT Memo Choral and Audio Video Building (COD-to-RDC).docx", "DRAFT Memo Choral and Audio Video Building")</f>
        <v>DRAFT Memo Choral and Audio Video Building</v>
      </c>
      <c r="K67" s="18" t="str">
        <f>HYPERLINK("CorLog\COD\Branch\20150723 COD Branch DRAFT Memo Choral and Audio Video Building (COD-to-RDC).zip", "Zipped (4)")</f>
        <v>Zipped (4)</v>
      </c>
      <c r="L67" s="19"/>
      <c r="M67" s="20"/>
      <c r="N67" s="21" t="s">
        <v>866</v>
      </c>
    </row>
    <row r="68" spans="1:14">
      <c r="A68" s="12" t="s">
        <v>718</v>
      </c>
      <c r="B68" s="13" t="s">
        <v>916</v>
      </c>
      <c r="C68" s="14" t="s">
        <v>750</v>
      </c>
      <c r="D68" s="15">
        <v>42208.601388888892</v>
      </c>
      <c r="E68" s="16" t="s">
        <v>16</v>
      </c>
      <c r="F68" s="16" t="s">
        <v>16</v>
      </c>
      <c r="G68" s="17" t="s">
        <v>946</v>
      </c>
      <c r="H68" s="17" t="s">
        <v>947</v>
      </c>
      <c r="I68" s="13" t="s">
        <v>948</v>
      </c>
      <c r="J68" s="18" t="str">
        <f>HYPERLINK("CorLog\ZMB\Mongu RTO\20150723 ZMB Mongu RTO Resolving swale elevations; photos (RDC-to-RDC).msg.msg", "Resolving swale elevations; photos")</f>
        <v>Resolving swale elevations; photos</v>
      </c>
      <c r="K68" s="22" t="s">
        <v>733</v>
      </c>
      <c r="L68" s="19"/>
      <c r="M68" s="20"/>
      <c r="N68" s="21" t="s">
        <v>949</v>
      </c>
    </row>
    <row r="69" spans="1:14">
      <c r="A69" s="12" t="s">
        <v>806</v>
      </c>
      <c r="B69" s="13" t="s">
        <v>950</v>
      </c>
      <c r="C69" s="14" t="s">
        <v>951</v>
      </c>
      <c r="D69" s="15">
        <v>42208.598194444443</v>
      </c>
      <c r="E69" s="16" t="s">
        <v>15</v>
      </c>
      <c r="F69" s="16" t="s">
        <v>952</v>
      </c>
      <c r="G69" s="17" t="s">
        <v>738</v>
      </c>
      <c r="H69" s="17" t="s">
        <v>953</v>
      </c>
      <c r="I69" s="13" t="s">
        <v>954</v>
      </c>
      <c r="J69" s="18" t="str">
        <f>HYPERLINK("CorLog\GHA\BEX 2\20150723 GHA BEX 2 WSP INVOICE 18930 - WATCH TOWER BIBLE AND TRACT SOCIETY - GHANA BRANCH EXPANSION (ZAF-to-WSP).msg", "WSP INVOICE 18930 - WATCH TOWER BIBLE AND TRACT SOCIETY - GHANA BRANCH EXPANSION")</f>
        <v>WSP INVOICE 18930 - WATCH TOWER BIBLE AND TRACT SOCIETY - GHANA BRANCH EXPANSION</v>
      </c>
      <c r="K69" s="22" t="s">
        <v>733</v>
      </c>
      <c r="L69" s="19"/>
      <c r="M69" s="20"/>
      <c r="N69" s="21" t="s">
        <v>955</v>
      </c>
    </row>
    <row r="70" spans="1:14">
      <c r="A70" s="12" t="s">
        <v>750</v>
      </c>
      <c r="B70" s="13" t="s">
        <v>718</v>
      </c>
      <c r="C70" s="14" t="s">
        <v>916</v>
      </c>
      <c r="D70" s="15">
        <v>42208.565844907411</v>
      </c>
      <c r="E70" s="16" t="s">
        <v>16</v>
      </c>
      <c r="F70" s="16" t="s">
        <v>16</v>
      </c>
      <c r="G70" s="17" t="s">
        <v>913</v>
      </c>
      <c r="H70" s="17" t="s">
        <v>914</v>
      </c>
      <c r="I70" s="13" t="s">
        <v>956</v>
      </c>
      <c r="J70" s="18" t="str">
        <f>HYPERLINK("CorLog\COD\Branch\20150723 COD Branch COD Container Housing - stacked option (RDC-to-RDC).msg.msg", "COD Container Housing - stacked option")</f>
        <v>COD Container Housing - stacked option</v>
      </c>
      <c r="K70" s="22" t="s">
        <v>733</v>
      </c>
      <c r="L70" s="19"/>
      <c r="M70" s="20"/>
      <c r="N70" s="21" t="s">
        <v>957</v>
      </c>
    </row>
    <row r="71" spans="1:14">
      <c r="A71" s="12" t="s">
        <v>916</v>
      </c>
      <c r="B71" s="13" t="s">
        <v>750</v>
      </c>
      <c r="C71" s="14" t="s">
        <v>958</v>
      </c>
      <c r="D71" s="15">
        <v>42208.564745370371</v>
      </c>
      <c r="E71" s="16" t="s">
        <v>16</v>
      </c>
      <c r="F71" s="16" t="s">
        <v>16</v>
      </c>
      <c r="G71" s="17" t="s">
        <v>913</v>
      </c>
      <c r="H71" s="17" t="s">
        <v>914</v>
      </c>
      <c r="I71" s="13" t="s">
        <v>956</v>
      </c>
      <c r="J71" s="18" t="str">
        <f>HYPERLINK("CorLog\COD\Branch\20150723 COD Branch COD Container Housing - stacked option (RDC-to-RDC).msg", "COD Container Housing - stacked option")</f>
        <v>COD Container Housing - stacked option</v>
      </c>
      <c r="K71" s="22" t="s">
        <v>959</v>
      </c>
      <c r="L71" s="19"/>
      <c r="M71" s="20"/>
      <c r="N71" s="21" t="s">
        <v>960</v>
      </c>
    </row>
    <row r="72" spans="1:14">
      <c r="A72" s="12" t="s">
        <v>895</v>
      </c>
      <c r="B72" s="13" t="s">
        <v>718</v>
      </c>
      <c r="C72" s="14" t="s">
        <v>919</v>
      </c>
      <c r="D72" s="15">
        <v>42208.552615740744</v>
      </c>
      <c r="E72" s="16" t="s">
        <v>18</v>
      </c>
      <c r="F72" s="16" t="s">
        <v>16</v>
      </c>
      <c r="G72" s="17" t="s">
        <v>920</v>
      </c>
      <c r="H72" s="17" t="s">
        <v>961</v>
      </c>
      <c r="I72" s="13" t="s">
        <v>962</v>
      </c>
      <c r="J72" s="18" t="str">
        <f>HYPERLINK("CorLog\ZMB\Mbala RTO\20150723 ZMB Mbala RTO Subdividing the property (ZMB-to-RDC).msg", "Subdividing the property")</f>
        <v>Subdividing the property</v>
      </c>
      <c r="K72" s="22" t="s">
        <v>959</v>
      </c>
      <c r="L72" s="19"/>
      <c r="M72" s="20"/>
      <c r="N72" s="21" t="s">
        <v>963</v>
      </c>
    </row>
    <row r="73" spans="1:14">
      <c r="A73" s="12" t="s">
        <v>718</v>
      </c>
      <c r="B73" s="13" t="s">
        <v>964</v>
      </c>
      <c r="C73" s="14" t="s">
        <v>965</v>
      </c>
      <c r="D73" s="15">
        <v>42208.490208333336</v>
      </c>
      <c r="E73" s="16" t="s">
        <v>16</v>
      </c>
      <c r="F73" s="16" t="s">
        <v>16</v>
      </c>
      <c r="G73" s="17" t="s">
        <v>966</v>
      </c>
      <c r="H73" s="17" t="s">
        <v>967</v>
      </c>
      <c r="I73" s="13" t="s">
        <v>968</v>
      </c>
      <c r="J73" s="18" t="str">
        <f>HYPERLINK("CorLog\MDG\Branch\20150723 MDG Branch IREM AVR replacement options (RDC-to-RDC).msg", "IREM AVR replacement options")</f>
        <v>IREM AVR replacement options</v>
      </c>
      <c r="K73" s="22" t="s">
        <v>969</v>
      </c>
      <c r="L73" s="19"/>
      <c r="M73" s="20"/>
      <c r="N73" s="21" t="s">
        <v>970</v>
      </c>
    </row>
    <row r="74" spans="1:14" ht="15" customHeight="1">
      <c r="A74" s="12" t="s">
        <v>971</v>
      </c>
      <c r="B74" s="13" t="s">
        <v>972</v>
      </c>
      <c r="C74" s="14" t="s">
        <v>973</v>
      </c>
      <c r="D74" s="15">
        <v>42208.426770833335</v>
      </c>
      <c r="E74" s="16" t="s">
        <v>15</v>
      </c>
      <c r="F74" s="16" t="s">
        <v>21</v>
      </c>
      <c r="G74" s="17" t="s">
        <v>738</v>
      </c>
      <c r="H74" s="17" t="s">
        <v>953</v>
      </c>
      <c r="I74" s="13" t="s">
        <v>974</v>
      </c>
      <c r="J74" s="18" t="str">
        <f>HYPERLINK("CorLog\GHA\BEX 2\20150723 GHA BEX 2 Contractor and QS Pre-selection (ZAF-to-GHA).msg.msg", "Contractor and QS Pre-selection")</f>
        <v>Contractor and QS Pre-selection</v>
      </c>
      <c r="K74" s="22" t="s">
        <v>747</v>
      </c>
      <c r="L74" s="19" t="s">
        <v>975</v>
      </c>
      <c r="M74" s="20"/>
      <c r="N74" s="21" t="s">
        <v>976</v>
      </c>
    </row>
    <row r="75" spans="1:14">
      <c r="A75" s="12" t="s">
        <v>750</v>
      </c>
      <c r="B75" s="13" t="s">
        <v>977</v>
      </c>
      <c r="C75" s="14" t="s">
        <v>978</v>
      </c>
      <c r="D75" s="15">
        <v>42208.396909722222</v>
      </c>
      <c r="E75" s="16" t="s">
        <v>16</v>
      </c>
      <c r="F75" s="16" t="s">
        <v>15</v>
      </c>
      <c r="G75" s="17" t="s">
        <v>979</v>
      </c>
      <c r="H75" s="17" t="s">
        <v>980</v>
      </c>
      <c r="I75" s="13" t="s">
        <v>981</v>
      </c>
      <c r="J75" s="18" t="str">
        <f>HYPERLINK("CorLog\RTO\Projects\20150723 RTO Projects MTO and Price--Passive Comms Equipment (RDC-to-ZAF).msg", "MTO and Price--Passive Comms Equipment")</f>
        <v>MTO and Price--Passive Comms Equipment</v>
      </c>
      <c r="K75" s="22" t="s">
        <v>721</v>
      </c>
      <c r="L75" s="19"/>
      <c r="M75" s="20"/>
      <c r="N75" s="21" t="s">
        <v>982</v>
      </c>
    </row>
    <row r="76" spans="1:14">
      <c r="A76" s="12" t="s">
        <v>965</v>
      </c>
      <c r="B76" s="13" t="s">
        <v>737</v>
      </c>
      <c r="C76" s="14" t="s">
        <v>983</v>
      </c>
      <c r="D76" s="15">
        <v>42208.375937500001</v>
      </c>
      <c r="E76" s="16" t="s">
        <v>16</v>
      </c>
      <c r="F76" s="16" t="s">
        <v>21</v>
      </c>
      <c r="G76" s="17" t="s">
        <v>807</v>
      </c>
      <c r="H76" s="17" t="s">
        <v>984</v>
      </c>
      <c r="I76" s="13" t="s">
        <v>985</v>
      </c>
      <c r="J76" s="18" t="str">
        <f>HYPERLINK("CorLog\GHA\Branch\20150723 GHA Branch Roof Cleaning--annually Use of chemicals zy930 (RDC-to-GHA).msg", "Roof Cleaning--annually Use of chemicals zy930")</f>
        <v>Roof Cleaning--annually Use of chemicals zy930</v>
      </c>
      <c r="K76" s="22" t="s">
        <v>721</v>
      </c>
      <c r="L76" s="19"/>
      <c r="M76" s="20"/>
      <c r="N76" s="21" t="s">
        <v>986</v>
      </c>
    </row>
    <row r="77" spans="1:14">
      <c r="A77" s="12" t="s">
        <v>874</v>
      </c>
      <c r="B77" s="13"/>
      <c r="C77" s="14"/>
      <c r="D77" s="15">
        <v>42208</v>
      </c>
      <c r="E77" s="16" t="s">
        <v>25</v>
      </c>
      <c r="F77" s="16" t="s">
        <v>20</v>
      </c>
      <c r="G77" s="17" t="s">
        <v>987</v>
      </c>
      <c r="H77" s="17" t="s">
        <v>988</v>
      </c>
      <c r="I77" s="13" t="s">
        <v>989</v>
      </c>
      <c r="J77" s="18" t="str">
        <f>HYPERLINK("CorLog\MOZ\Massinga RTO\20150723 MOZ Massinga RTO Remote Translation Office Project-Final Project Financial Report (AO-9) (WHQ-to-MOZ).doc", "Remote Translation Office Project-Final Project Financial Report (AO-9)")</f>
        <v>Remote Translation Office Project-Final Project Financial Report (AO-9)</v>
      </c>
      <c r="K77" s="18" t="str">
        <f>HYPERLINK("CorLog\MOZ\Massinga RTO\20150723 MOZ Massinga RTO Remote Translation Office Project-Final Project Financial Report (AO-9) (WHQ-to-MOZ).zip", "Zipped (1)")</f>
        <v>Zipped (1)</v>
      </c>
      <c r="L77" s="19"/>
      <c r="M77" s="20"/>
      <c r="N77" s="21" t="s">
        <v>990</v>
      </c>
    </row>
    <row r="78" spans="1:14">
      <c r="A78" s="12" t="s">
        <v>991</v>
      </c>
      <c r="B78" s="13"/>
      <c r="C78" s="14"/>
      <c r="D78" s="15">
        <v>42208</v>
      </c>
      <c r="E78" s="16" t="s">
        <v>25</v>
      </c>
      <c r="F78" s="16" t="s">
        <v>30</v>
      </c>
      <c r="G78" s="17" t="s">
        <v>719</v>
      </c>
      <c r="H78" s="17" t="s">
        <v>992</v>
      </c>
      <c r="I78" s="13" t="s">
        <v>993</v>
      </c>
      <c r="J78" s="18" t="str">
        <f>HYPERLINK("CorLog\Reference\20150723 Reference Clarification Regarding Site Information for Admin Enrollments (WHQ-to-ALL).doc", "Clarification Regarding Site Information for Admin Enrollments")</f>
        <v>Clarification Regarding Site Information for Admin Enrollments</v>
      </c>
      <c r="K78" s="18"/>
      <c r="L78" s="19"/>
      <c r="M78" s="20"/>
      <c r="N78" s="21" t="s">
        <v>994</v>
      </c>
    </row>
    <row r="79" spans="1:14">
      <c r="A79" s="12" t="s">
        <v>817</v>
      </c>
      <c r="B79" s="13"/>
      <c r="C79" s="14"/>
      <c r="D79" s="15">
        <v>42208</v>
      </c>
      <c r="E79" s="16" t="s">
        <v>15</v>
      </c>
      <c r="F79" s="16" t="s">
        <v>21</v>
      </c>
      <c r="G79" s="17" t="s">
        <v>790</v>
      </c>
      <c r="H79" s="17" t="s">
        <v>995</v>
      </c>
      <c r="I79" s="13" t="s">
        <v>996</v>
      </c>
      <c r="J79" s="18" t="str">
        <f>HYPERLINK("CorLog\GHA\BEX\20150723 GHA BEX Branch and LDC Projects Overseer Reports (ZAF-to-GHA).docx", "Branch and LDC Projects Overseer Reports")</f>
        <v>Branch and LDC Projects Overseer Reports</v>
      </c>
      <c r="K79" s="18"/>
      <c r="L79" s="19"/>
      <c r="M79" s="20"/>
      <c r="N79" s="21" t="s">
        <v>997</v>
      </c>
    </row>
    <row r="80" spans="1:14" ht="15" customHeight="1">
      <c r="A80" s="12" t="s">
        <v>998</v>
      </c>
      <c r="B80" s="13" t="s">
        <v>724</v>
      </c>
      <c r="C80" s="14"/>
      <c r="D80" s="15">
        <v>42207.801458333335</v>
      </c>
      <c r="E80" s="16" t="s">
        <v>17</v>
      </c>
      <c r="F80" s="16" t="s">
        <v>16</v>
      </c>
      <c r="G80" s="17" t="s">
        <v>999</v>
      </c>
      <c r="H80" s="17" t="s">
        <v>1000</v>
      </c>
      <c r="I80" s="13" t="s">
        <v>1001</v>
      </c>
      <c r="J80" s="18" t="str">
        <f>HYPERLINK("CorLog\ZMB\Branch\20150722 ZMB Branch Long-term needs, staffing, PWG Notes 2015-07-21 docx (WDC-to-RDC).msg", "Long-term needs, staffing, PWG Notes 2015-07-21 docx")</f>
        <v>Long-term needs, staffing, PWG Notes 2015-07-21 docx</v>
      </c>
      <c r="K80" s="22" t="s">
        <v>721</v>
      </c>
      <c r="L80" s="19"/>
      <c r="M80" s="20"/>
      <c r="N80" s="21" t="s">
        <v>1002</v>
      </c>
    </row>
    <row r="81" spans="1:14" ht="15" customHeight="1">
      <c r="A81" s="12" t="s">
        <v>718</v>
      </c>
      <c r="B81" s="13" t="s">
        <v>1003</v>
      </c>
      <c r="C81" s="14" t="s">
        <v>1004</v>
      </c>
      <c r="D81" s="15">
        <v>42207.676550925928</v>
      </c>
      <c r="E81" s="16" t="s">
        <v>16</v>
      </c>
      <c r="F81" s="16" t="s">
        <v>22</v>
      </c>
      <c r="G81" s="17" t="s">
        <v>864</v>
      </c>
      <c r="H81" s="17" t="s">
        <v>1005</v>
      </c>
      <c r="I81" s="13" t="s">
        <v>1006</v>
      </c>
      <c r="J81" s="18" t="str">
        <f>HYPERLINK("CorLog\COD\Choral Studio\20150722 COD Choral Studio OCE Range of Costs (RDC-to-COD).msg", "OCE Range of Costs")</f>
        <v>OCE Range of Costs</v>
      </c>
      <c r="K81" s="22" t="s">
        <v>733</v>
      </c>
      <c r="L81" s="19"/>
      <c r="M81" s="20"/>
      <c r="N81" s="21" t="s">
        <v>1007</v>
      </c>
    </row>
    <row r="82" spans="1:14">
      <c r="A82" s="12" t="s">
        <v>718</v>
      </c>
      <c r="B82" s="13" t="s">
        <v>827</v>
      </c>
      <c r="C82" s="14" t="s">
        <v>828</v>
      </c>
      <c r="D82" s="15">
        <v>42207.634027777778</v>
      </c>
      <c r="E82" s="16" t="s">
        <v>16</v>
      </c>
      <c r="F82" s="16" t="s">
        <v>21</v>
      </c>
      <c r="G82" s="17" t="s">
        <v>790</v>
      </c>
      <c r="H82" s="17" t="s">
        <v>1008</v>
      </c>
      <c r="I82" s="13" t="s">
        <v>1009</v>
      </c>
      <c r="J82" s="18" t="str">
        <f>HYPERLINK("CorLog\GHA\BEX\20150722 GHA BEX RDC review of NLBR -60644; Turbine Roof Fan (RDC-to-GHA).msg.msg", "RDC review of NLBR -60644; Turbine Roof Fan")</f>
        <v>RDC review of NLBR -60644; Turbine Roof Fan</v>
      </c>
      <c r="K82" s="22" t="s">
        <v>721</v>
      </c>
      <c r="L82" s="19"/>
      <c r="M82" s="20"/>
      <c r="N82" s="21" t="s">
        <v>1010</v>
      </c>
    </row>
    <row r="83" spans="1:14">
      <c r="A83" s="12" t="s">
        <v>718</v>
      </c>
      <c r="B83" s="13" t="s">
        <v>837</v>
      </c>
      <c r="C83" s="14" t="s">
        <v>1011</v>
      </c>
      <c r="D83" s="15">
        <v>42207.630555555559</v>
      </c>
      <c r="E83" s="16" t="s">
        <v>16</v>
      </c>
      <c r="F83" s="16" t="s">
        <v>18</v>
      </c>
      <c r="G83" s="17" t="s">
        <v>838</v>
      </c>
      <c r="H83" s="17" t="s">
        <v>829</v>
      </c>
      <c r="I83" s="13" t="s">
        <v>1012</v>
      </c>
      <c r="J83" s="18" t="str">
        <f>HYPERLINK("CorLog\ZMB\Choma RTO\20150722 ZMB Choma RTO RDC review of NLBR -10391 suspended ceiling for review (RDC-to-ZMB).msg.msg", "RDC review of NLBR -10391 suspended ceiling for review")</f>
        <v>RDC review of NLBR -10391 suspended ceiling for review</v>
      </c>
      <c r="K83" s="22" t="s">
        <v>721</v>
      </c>
      <c r="L83" s="19"/>
      <c r="M83" s="20"/>
      <c r="N83" s="21" t="s">
        <v>1013</v>
      </c>
    </row>
    <row r="84" spans="1:14">
      <c r="A84" s="12" t="s">
        <v>724</v>
      </c>
      <c r="B84" s="13" t="s">
        <v>1014</v>
      </c>
      <c r="C84" s="14"/>
      <c r="D84" s="15">
        <v>42207.63</v>
      </c>
      <c r="E84" s="16" t="s">
        <v>16</v>
      </c>
      <c r="F84" s="16" t="s">
        <v>15</v>
      </c>
      <c r="G84" s="17" t="s">
        <v>719</v>
      </c>
      <c r="H84" s="17" t="s">
        <v>1015</v>
      </c>
      <c r="I84" s="13" t="s">
        <v>1016</v>
      </c>
      <c r="J84" s="18" t="str">
        <f>HYPERLINK("CorLog\Reference\20150722 Reference How RDC interacts with GRED &amp; RRED (RDC-to-ZAF).msg.msg", "How RDC interacts with GRED &amp; RRED")</f>
        <v>How RDC interacts with GRED &amp; RRED</v>
      </c>
      <c r="K84" s="22" t="s">
        <v>721</v>
      </c>
      <c r="L84" s="19"/>
      <c r="M84" s="20"/>
      <c r="N84" s="21" t="s">
        <v>1017</v>
      </c>
    </row>
    <row r="85" spans="1:14">
      <c r="A85" s="12" t="s">
        <v>1018</v>
      </c>
      <c r="B85" s="13"/>
      <c r="C85" s="14"/>
      <c r="D85" s="15">
        <v>42207</v>
      </c>
      <c r="E85" s="16" t="s">
        <v>25</v>
      </c>
      <c r="F85" s="16" t="s">
        <v>30</v>
      </c>
      <c r="G85" s="17" t="s">
        <v>719</v>
      </c>
      <c r="H85" s="17" t="s">
        <v>781</v>
      </c>
      <c r="I85" s="13" t="s">
        <v>1019</v>
      </c>
      <c r="J85" s="18" t="str">
        <f>HYPERLINK("CorLog\Reference\20150722 Reference Remote Servants (BRS) New enrollment (WHQ-to-ALL).doc", "Remote Servants (BRS) New enrollment")</f>
        <v>Remote Servants (BRS) New enrollment</v>
      </c>
      <c r="K85" s="22"/>
      <c r="L85" s="19"/>
      <c r="M85" s="20"/>
      <c r="N85" s="21" t="s">
        <v>1020</v>
      </c>
    </row>
    <row r="86" spans="1:14">
      <c r="A86" s="12" t="s">
        <v>1018</v>
      </c>
      <c r="B86" s="13"/>
      <c r="C86" s="14"/>
      <c r="D86" s="15">
        <v>42207</v>
      </c>
      <c r="E86" s="16" t="s">
        <v>25</v>
      </c>
      <c r="F86" s="16" t="s">
        <v>30</v>
      </c>
      <c r="G86" s="17" t="s">
        <v>719</v>
      </c>
      <c r="H86" s="17" t="s">
        <v>1021</v>
      </c>
      <c r="I86" s="13" t="s">
        <v>1022</v>
      </c>
      <c r="J86" s="18" t="str">
        <f>HYPERLINK("CorLog\Reference\20150722 Reference Shipping Personal Belongings to a New Assignment for Special Full-Time Servants (WHQ-to-ALL).doc", "Shipping Personal Belongings to a New Assignment for Special Full-Time Servants")</f>
        <v>Shipping Personal Belongings to a New Assignment for Special Full-Time Servants</v>
      </c>
      <c r="K86" s="18" t="str">
        <f>HYPERLINK("CorLog\Reference\20150722 Reference Shipping Personal Belongings to a New Assignment for Special Full-Time Servants (WHQ-to-ALL).zip", "Zipped (2)")</f>
        <v>Zipped (2)</v>
      </c>
      <c r="L86" s="19"/>
      <c r="M86" s="20"/>
      <c r="N86" s="21" t="s">
        <v>1023</v>
      </c>
    </row>
    <row r="87" spans="1:14">
      <c r="A87" s="12" t="s">
        <v>750</v>
      </c>
      <c r="B87" s="13" t="s">
        <v>718</v>
      </c>
      <c r="C87" s="14"/>
      <c r="D87" s="15">
        <v>42206.567060185182</v>
      </c>
      <c r="E87" s="16" t="s">
        <v>16</v>
      </c>
      <c r="F87" s="16" t="s">
        <v>16</v>
      </c>
      <c r="G87" s="17" t="s">
        <v>738</v>
      </c>
      <c r="H87" s="17" t="s">
        <v>903</v>
      </c>
      <c r="I87" s="13" t="s">
        <v>1024</v>
      </c>
      <c r="J87" s="18" t="str">
        <f>HYPERLINK("CorLog\GHA\BEX 2\20150721 GHA BEX 2 SW Channel--flatten slopes 1;1 5; INLET-OUTLET Plan (RDC-to-RDC).msg", "SW Channel--flatten slopes 1;1 5; INLET-OUTLET Plan")</f>
        <v>SW Channel--flatten slopes 1;1 5; INLET-OUTLET Plan</v>
      </c>
      <c r="K87" s="22" t="s">
        <v>747</v>
      </c>
      <c r="L87" s="19"/>
      <c r="M87" s="20"/>
      <c r="N87" s="21" t="s">
        <v>1025</v>
      </c>
    </row>
    <row r="88" spans="1:14">
      <c r="A88" s="12" t="s">
        <v>718</v>
      </c>
      <c r="B88" s="13" t="s">
        <v>777</v>
      </c>
      <c r="C88" s="14" t="s">
        <v>1026</v>
      </c>
      <c r="D88" s="15">
        <v>42206.470833333333</v>
      </c>
      <c r="E88" s="16" t="s">
        <v>16</v>
      </c>
      <c r="F88" s="16" t="s">
        <v>18</v>
      </c>
      <c r="G88" s="17" t="s">
        <v>780</v>
      </c>
      <c r="H88" s="17" t="s">
        <v>1027</v>
      </c>
      <c r="I88" s="13" t="s">
        <v>1028</v>
      </c>
      <c r="J88" s="18" t="str">
        <f>HYPERLINK("CorLog\ZMB\LDC\20150721 ZMB LDC RDC review of NLBR Sound equipment AH &amp; KH 21 07 2015 (RDC-to-ZMB).msg.msg", "RDC review of NLBR  Sound equipment AH &amp; KH 21 07 2015")</f>
        <v>RDC review of NLBR  Sound equipment AH &amp; KH 21 07 2015</v>
      </c>
      <c r="K88" s="22" t="s">
        <v>721</v>
      </c>
      <c r="L88" s="19"/>
      <c r="M88" s="20"/>
      <c r="N88" s="21" t="s">
        <v>1029</v>
      </c>
    </row>
    <row r="89" spans="1:14">
      <c r="A89" s="12" t="s">
        <v>795</v>
      </c>
      <c r="B89" s="13" t="s">
        <v>718</v>
      </c>
      <c r="C89" s="14" t="s">
        <v>1030</v>
      </c>
      <c r="D89" s="15">
        <v>42205.644872685189</v>
      </c>
      <c r="E89" s="16" t="s">
        <v>16</v>
      </c>
      <c r="F89" s="16" t="s">
        <v>16</v>
      </c>
      <c r="G89" s="17" t="s">
        <v>838</v>
      </c>
      <c r="H89" s="17" t="s">
        <v>1031</v>
      </c>
      <c r="I89" s="13" t="s">
        <v>1032</v>
      </c>
      <c r="J89" s="18" t="str">
        <f>HYPERLINK("CorLog\ZMB\Choma RTO\20150720 ZMB Choma RTO Borehole location in relation to the Soak away (RDC-to-RDC).msg.msg", "Borehole location in relation to the Soak away")</f>
        <v>Borehole location in relation to the Soak away</v>
      </c>
      <c r="K89" s="22" t="s">
        <v>1033</v>
      </c>
      <c r="L89" s="19"/>
      <c r="M89" s="20"/>
      <c r="N89" s="21" t="s">
        <v>1034</v>
      </c>
    </row>
    <row r="90" spans="1:14">
      <c r="A90" s="12" t="s">
        <v>718</v>
      </c>
      <c r="B90" s="13" t="s">
        <v>1035</v>
      </c>
      <c r="C90" s="14" t="s">
        <v>1036</v>
      </c>
      <c r="D90" s="15">
        <v>42205.640277777777</v>
      </c>
      <c r="E90" s="16" t="s">
        <v>16</v>
      </c>
      <c r="F90" s="16" t="s">
        <v>18</v>
      </c>
      <c r="G90" s="17" t="s">
        <v>807</v>
      </c>
      <c r="H90" s="17" t="s">
        <v>1037</v>
      </c>
      <c r="I90" s="13" t="s">
        <v>1038</v>
      </c>
      <c r="J90" s="18" t="str">
        <f>HYPERLINK("CorLog\GHA\Branch\20150720 GHA Branch MNT Office AC replacement options (AGREED) (RDC-to-ZMB).msg.msg", "MNT Office AC replacement options (AGREED)")</f>
        <v>MNT Office AC replacement options (AGREED)</v>
      </c>
      <c r="K90" s="22" t="s">
        <v>721</v>
      </c>
      <c r="L90" s="19"/>
      <c r="M90" s="20"/>
      <c r="N90" s="21" t="s">
        <v>1039</v>
      </c>
    </row>
    <row r="91" spans="1:14">
      <c r="A91" s="12" t="s">
        <v>916</v>
      </c>
      <c r="B91" s="13" t="s">
        <v>717</v>
      </c>
      <c r="C91" s="14" t="s">
        <v>718</v>
      </c>
      <c r="D91" s="15">
        <v>42205.331041666665</v>
      </c>
      <c r="E91" s="16" t="s">
        <v>16</v>
      </c>
      <c r="F91" s="16" t="s">
        <v>16</v>
      </c>
      <c r="G91" s="17" t="s">
        <v>785</v>
      </c>
      <c r="H91" s="17" t="s">
        <v>1040</v>
      </c>
      <c r="I91" s="13" t="s">
        <v>1041</v>
      </c>
      <c r="J91" s="18" t="str">
        <f>HYPERLINK("CorLog\COD\Lubumbashi RTO\20150720 COD Lubumbashi RTO Remedial work Office Building Footings (RDC-to-RDC).msg.msg", "Remedial work Office Building Footings")</f>
        <v>Remedial work Office Building Footings</v>
      </c>
      <c r="K91" s="22" t="s">
        <v>721</v>
      </c>
      <c r="L91" s="19"/>
      <c r="M91" s="20"/>
      <c r="N91" s="21" t="s">
        <v>1042</v>
      </c>
    </row>
    <row r="92" spans="1:14">
      <c r="A92" s="12" t="s">
        <v>1043</v>
      </c>
      <c r="B92" s="13"/>
      <c r="C92" s="14"/>
      <c r="D92" s="15">
        <v>42205</v>
      </c>
      <c r="E92" s="16" t="s">
        <v>17</v>
      </c>
      <c r="F92" s="16" t="s">
        <v>16</v>
      </c>
      <c r="G92" s="17" t="s">
        <v>17</v>
      </c>
      <c r="H92" s="17" t="s">
        <v>818</v>
      </c>
      <c r="I92" s="13" t="s">
        <v>1044</v>
      </c>
      <c r="J92" s="18" t="str">
        <f>HYPERLINK("CorLog\WDC\20150720 WDC Worldwide Design Construction Weekly Update (WDC-to-RDC).docx", "Worldwide Design Construction Weekly Update")</f>
        <v>Worldwide Design Construction Weekly Update</v>
      </c>
      <c r="K92" s="18" t="str">
        <f>HYPERLINK("CorLog\WDC\20150720 WDC Worldwide Design Construction Weekly Update (WDC-to-RDC).zip", "Zipped (3)")</f>
        <v>Zipped (3)</v>
      </c>
      <c r="L92" s="19"/>
      <c r="M92" s="20"/>
      <c r="N92" s="21" t="s">
        <v>1045</v>
      </c>
    </row>
    <row r="93" spans="1:14">
      <c r="A93" s="12" t="s">
        <v>1046</v>
      </c>
      <c r="B93" s="13"/>
      <c r="C93" s="14"/>
      <c r="D93" s="15">
        <v>42205</v>
      </c>
      <c r="E93" s="16" t="s">
        <v>21</v>
      </c>
      <c r="F93" s="16" t="s">
        <v>17</v>
      </c>
      <c r="G93" s="17" t="s">
        <v>880</v>
      </c>
      <c r="H93" s="17" t="s">
        <v>1047</v>
      </c>
      <c r="I93" s="13" t="s">
        <v>1048</v>
      </c>
      <c r="J93" s="18" t="str">
        <f>HYPERLINK("CorLog\GHA\Kumasi RTO\20150720 GHA Kumasi RTO Property, DC-44 Photo Report (GHA-to-WDC).docx", "Property, DC-44 Photo Report")</f>
        <v>Property, DC-44 Photo Report</v>
      </c>
      <c r="K93" s="18" t="str">
        <f>HYPERLINK("CorLog\GHA\Kumasi RTO\20150720 GHA Kumasi RTO Property, DC-44 Photo Report (GHA-to-WDC).zip", "Zipped (1)")</f>
        <v>Zipped (1)</v>
      </c>
      <c r="L93" s="19"/>
      <c r="M93" s="20"/>
      <c r="N93" s="21" t="s">
        <v>1049</v>
      </c>
    </row>
    <row r="94" spans="1:14">
      <c r="A94" s="12" t="s">
        <v>1043</v>
      </c>
      <c r="B94" s="13"/>
      <c r="C94" s="14"/>
      <c r="D94" s="15">
        <v>42205</v>
      </c>
      <c r="E94" s="16" t="s">
        <v>25</v>
      </c>
      <c r="F94" s="16" t="s">
        <v>23</v>
      </c>
      <c r="G94" s="17" t="s">
        <v>802</v>
      </c>
      <c r="H94" s="17" t="s">
        <v>774</v>
      </c>
      <c r="I94" s="13" t="s">
        <v>1050</v>
      </c>
      <c r="J94" s="18" t="str">
        <f>HYPERLINK("CorLog\ZWE\Bulawayo RTO\20150720 ZWE Bulawayo RTO Bulawayo (Ndebele) Remote Translation Office Conceptual Project Proposal (WHQ-to-ZWE).docx", "Bulawayo (Ndebele) Remote Translation Office Conceptual Project Proposal")</f>
        <v>Bulawayo (Ndebele) Remote Translation Office Conceptual Project Proposal</v>
      </c>
      <c r="K94" s="22"/>
      <c r="L94" s="19"/>
      <c r="M94" s="20"/>
      <c r="N94" s="21" t="s">
        <v>1051</v>
      </c>
    </row>
    <row r="95" spans="1:14">
      <c r="A95" s="12" t="s">
        <v>718</v>
      </c>
      <c r="B95" s="13" t="s">
        <v>1052</v>
      </c>
      <c r="C95" s="14" t="s">
        <v>1053</v>
      </c>
      <c r="D95" s="15">
        <v>42202.69027777778</v>
      </c>
      <c r="E95" s="16" t="s">
        <v>16</v>
      </c>
      <c r="F95" s="16" t="s">
        <v>17</v>
      </c>
      <c r="G95" s="17" t="s">
        <v>738</v>
      </c>
      <c r="H95" s="17" t="s">
        <v>953</v>
      </c>
      <c r="I95" s="13" t="s">
        <v>1054</v>
      </c>
      <c r="J95" s="18" t="str">
        <f>HYPERLINK("CorLog\GHA\BEX 2\20150717 GHA BEX 2 Contractor Investigation-Consar (RDC-to-WDC).msg.msg", "Contractor Investigation-Consar")</f>
        <v>Contractor Investigation-Consar</v>
      </c>
      <c r="K95" s="22" t="s">
        <v>733</v>
      </c>
      <c r="L95" s="19"/>
      <c r="M95" s="20"/>
      <c r="N95" s="21" t="s">
        <v>1055</v>
      </c>
    </row>
    <row r="96" spans="1:14">
      <c r="A96" s="12"/>
      <c r="B96" s="13"/>
      <c r="C96" s="14"/>
      <c r="D96" s="15">
        <v>42202.681331018517</v>
      </c>
      <c r="E96" s="16" t="s">
        <v>14</v>
      </c>
      <c r="F96" s="16" t="s">
        <v>25</v>
      </c>
      <c r="G96" s="17" t="s">
        <v>966</v>
      </c>
      <c r="H96" s="17" t="s">
        <v>1056</v>
      </c>
      <c r="I96" s="13" t="s">
        <v>1057</v>
      </c>
      <c r="J96" s="18" t="str">
        <f>HYPERLINK("CorLog\MDG\Branch\20150717 MDG Branch Facilities for Theocratic Schools (MDG-to-WHQ).docx", "Facilities for Theocratic Schools")</f>
        <v>Facilities for Theocratic Schools</v>
      </c>
      <c r="K96" s="18" t="str">
        <f>HYPERLINK("CorLog\MDG\Branch\20150717 MDG Branch Facilities for Theocratic Schools (MDG-to-WHQ).zip", "Zipped (2)")</f>
        <v>Zipped (2)</v>
      </c>
      <c r="L96" s="19"/>
      <c r="M96" s="20"/>
      <c r="N96" s="21" t="s">
        <v>1058</v>
      </c>
    </row>
    <row r="97" spans="1:14">
      <c r="A97" s="12" t="s">
        <v>998</v>
      </c>
      <c r="B97" s="13" t="s">
        <v>1003</v>
      </c>
      <c r="C97" s="14"/>
      <c r="D97" s="15">
        <v>42202.6090625</v>
      </c>
      <c r="E97" s="16" t="s">
        <v>17</v>
      </c>
      <c r="F97" s="16" t="s">
        <v>22</v>
      </c>
      <c r="G97" s="17" t="s">
        <v>913</v>
      </c>
      <c r="H97" s="17" t="s">
        <v>1059</v>
      </c>
      <c r="I97" s="13" t="s">
        <v>1060</v>
      </c>
      <c r="J97" s="18" t="str">
        <f>HYPERLINK("CorLog\COD\Branch\20150717 COD Branch Fire Notes 2015-07-16 docx (WDC-to-COD).msg", "Fire Notes 2015-07-16 docx")</f>
        <v>Fire Notes 2015-07-16 docx</v>
      </c>
      <c r="K97" s="22" t="s">
        <v>721</v>
      </c>
      <c r="L97" s="19"/>
      <c r="M97" s="20"/>
      <c r="N97" s="21" t="s">
        <v>1061</v>
      </c>
    </row>
    <row r="98" spans="1:14">
      <c r="A98" s="12" t="s">
        <v>718</v>
      </c>
      <c r="B98" s="13" t="s">
        <v>827</v>
      </c>
      <c r="C98" s="14" t="s">
        <v>1062</v>
      </c>
      <c r="D98" s="15">
        <v>42202.600694444445</v>
      </c>
      <c r="E98" s="16" t="s">
        <v>16</v>
      </c>
      <c r="F98" s="16" t="s">
        <v>21</v>
      </c>
      <c r="G98" s="17" t="s">
        <v>790</v>
      </c>
      <c r="H98" s="17" t="s">
        <v>829</v>
      </c>
      <c r="I98" s="13" t="s">
        <v>1063</v>
      </c>
      <c r="J98" s="18" t="str">
        <f>HYPERLINK("CorLog\GHA\BEX\20150717 GHA BEX RDC review of NLBR -60539; Pipe Marking Tape (RDC-to-GHA).msg.msg", "RDC review of NLBR -60539; Pipe Marking Tape")</f>
        <v>RDC review of NLBR -60539; Pipe Marking Tape</v>
      </c>
      <c r="K98" s="22" t="s">
        <v>721</v>
      </c>
      <c r="L98" s="19"/>
      <c r="M98" s="20"/>
      <c r="N98" s="21" t="s">
        <v>1064</v>
      </c>
    </row>
    <row r="99" spans="1:14">
      <c r="A99" s="12" t="s">
        <v>895</v>
      </c>
      <c r="B99" s="13" t="s">
        <v>718</v>
      </c>
      <c r="C99" s="14"/>
      <c r="D99" s="15">
        <v>42202.444953703707</v>
      </c>
      <c r="E99" s="16" t="s">
        <v>18</v>
      </c>
      <c r="F99" s="16" t="s">
        <v>16</v>
      </c>
      <c r="G99" s="17" t="s">
        <v>1065</v>
      </c>
      <c r="H99" s="17" t="s">
        <v>1066</v>
      </c>
      <c r="I99" s="13" t="s">
        <v>1067</v>
      </c>
      <c r="J99" s="18" t="str">
        <f>HYPERLINK("CorLog\ZMB\RTO Projects\20150717 ZMB RTO Projects All Projects - Registering Projects With NCC (ZMB-to-RDC).msg.msg", "All Projects - Registering Projects With NCC")</f>
        <v>All Projects - Registering Projects With NCC</v>
      </c>
      <c r="K99" s="22"/>
      <c r="L99" s="19"/>
      <c r="M99" s="20"/>
      <c r="N99" s="21" t="s">
        <v>1068</v>
      </c>
    </row>
    <row r="100" spans="1:14">
      <c r="A100" s="12" t="s">
        <v>718</v>
      </c>
      <c r="B100" s="13" t="s">
        <v>1069</v>
      </c>
      <c r="C100" s="14" t="s">
        <v>724</v>
      </c>
      <c r="D100" s="15">
        <v>42202.317361111112</v>
      </c>
      <c r="E100" s="16" t="s">
        <v>16</v>
      </c>
      <c r="F100" s="16" t="s">
        <v>18</v>
      </c>
      <c r="G100" s="17" t="s">
        <v>1070</v>
      </c>
      <c r="H100" s="17" t="s">
        <v>829</v>
      </c>
      <c r="I100" s="13" t="s">
        <v>1071</v>
      </c>
      <c r="J100" s="18" t="str">
        <f>HYPERLINK("CorLog\ZMB\Katete RTO\20150717 ZMB Katete RTO RDC review of NLBR; REQ 11456; Electrical Order 7 and Misc Items docx (RDC-to-ZMB).msg.msg", "RDC review of NLBR; REQ 11456; Electrical Order 7 and Misc Items docx")</f>
        <v>RDC review of NLBR; REQ 11456; Electrical Order 7 and Misc Items docx</v>
      </c>
      <c r="K100" s="22" t="s">
        <v>721</v>
      </c>
      <c r="L100" s="19"/>
      <c r="M100" s="20"/>
      <c r="N100" s="21" t="s">
        <v>1072</v>
      </c>
    </row>
    <row r="101" spans="1:14">
      <c r="A101" s="12" t="s">
        <v>1073</v>
      </c>
      <c r="B101" s="13"/>
      <c r="C101" s="14"/>
      <c r="D101" s="15">
        <v>42202</v>
      </c>
      <c r="E101" s="16" t="s">
        <v>25</v>
      </c>
      <c r="F101" s="16" t="s">
        <v>15</v>
      </c>
      <c r="G101" s="17" t="s">
        <v>17</v>
      </c>
      <c r="H101" s="17" t="s">
        <v>927</v>
      </c>
      <c r="I101" s="13" t="s">
        <v>1074</v>
      </c>
      <c r="J101" s="18" t="str">
        <f>HYPERLINK("CorLog\WDC\20150717 WDC Schedule for Visit of Brothers Luccioni and St Jean (WHQ-to-ZAF).docx", "Schedule for Visit of Brothers Luccioni and St Jean")</f>
        <v>Schedule for Visit of Brothers Luccioni and St Jean</v>
      </c>
      <c r="K101" s="18"/>
      <c r="L101" s="19"/>
      <c r="M101" s="20"/>
      <c r="N101" s="21" t="s">
        <v>1075</v>
      </c>
    </row>
    <row r="102" spans="1:14">
      <c r="A102" s="12" t="s">
        <v>718</v>
      </c>
      <c r="B102" s="13" t="s">
        <v>837</v>
      </c>
      <c r="C102" s="14" t="s">
        <v>1076</v>
      </c>
      <c r="D102" s="15">
        <v>42201.655555555553</v>
      </c>
      <c r="E102" s="16" t="s">
        <v>16</v>
      </c>
      <c r="F102" s="16" t="s">
        <v>18</v>
      </c>
      <c r="G102" s="17" t="s">
        <v>838</v>
      </c>
      <c r="H102" s="17" t="s">
        <v>851</v>
      </c>
      <c r="I102" s="13" t="s">
        <v>1077</v>
      </c>
      <c r="J102" s="18" t="str">
        <f>HYPERLINK("CorLog\ZMB\Choma RTO\20150716 ZMB Choma RTO 50% of office footing DCP for review 20150716 (RDC-to-ZMB).msg.msg", "50% of office footing DCP for review 20150716")</f>
        <v>50% of office footing DCP for review 20150716</v>
      </c>
      <c r="K102" s="22"/>
      <c r="L102" s="19"/>
      <c r="M102" s="20"/>
      <c r="N102" s="21" t="s">
        <v>1078</v>
      </c>
    </row>
    <row r="103" spans="1:14">
      <c r="A103" s="12" t="s">
        <v>750</v>
      </c>
      <c r="B103" s="13" t="s">
        <v>771</v>
      </c>
      <c r="C103" s="14" t="s">
        <v>718</v>
      </c>
      <c r="D103" s="15">
        <v>42201.645254629628</v>
      </c>
      <c r="E103" s="16" t="s">
        <v>16</v>
      </c>
      <c r="F103" s="16" t="s">
        <v>17</v>
      </c>
      <c r="G103" s="17" t="s">
        <v>913</v>
      </c>
      <c r="H103" s="17" t="s">
        <v>914</v>
      </c>
      <c r="I103" s="13" t="s">
        <v>1079</v>
      </c>
      <c r="J103" s="18" t="str">
        <f>HYPERLINK("CorLog\COD\Branch\20150716 COD Branch Congo Fire Investigation Future Recommendations (BSUTTON) pdf (RDC-to-WDC).msg", "Congo Fire Investigation Future Recommendations (BSUTTON) pdf")</f>
        <v>Congo Fire Investigation Future Recommendations (BSUTTON) pdf</v>
      </c>
      <c r="K103" s="22" t="s">
        <v>721</v>
      </c>
      <c r="L103" s="19"/>
      <c r="M103" s="20"/>
      <c r="N103" s="21" t="s">
        <v>1080</v>
      </c>
    </row>
    <row r="104" spans="1:14">
      <c r="A104" s="12" t="s">
        <v>718</v>
      </c>
      <c r="B104" s="13" t="s">
        <v>842</v>
      </c>
      <c r="C104" s="14" t="s">
        <v>1081</v>
      </c>
      <c r="D104" s="15">
        <v>42201.620833333334</v>
      </c>
      <c r="E104" s="16" t="s">
        <v>16</v>
      </c>
      <c r="F104" s="16" t="s">
        <v>21</v>
      </c>
      <c r="G104" s="17" t="s">
        <v>758</v>
      </c>
      <c r="H104" s="17" t="s">
        <v>829</v>
      </c>
      <c r="I104" s="13" t="s">
        <v>1082</v>
      </c>
      <c r="J104" s="18" t="str">
        <f>HYPERLINK("CorLog\GHA\Viepe RTO\20150716 GHA Viepe RTO RDC review of NLBR -60477- Stove for Residence (RDC-to-GHA).msg.msg", "RDC review of NLBR -60477- Stove for Residence")</f>
        <v>RDC review of NLBR -60477- Stove for Residence</v>
      </c>
      <c r="K104" s="22" t="s">
        <v>721</v>
      </c>
      <c r="L104" s="19"/>
      <c r="M104" s="20"/>
      <c r="N104" s="21" t="s">
        <v>1083</v>
      </c>
    </row>
    <row r="105" spans="1:14">
      <c r="A105" s="12" t="s">
        <v>750</v>
      </c>
      <c r="B105" s="13" t="s">
        <v>771</v>
      </c>
      <c r="C105" s="14" t="s">
        <v>1084</v>
      </c>
      <c r="D105" s="15">
        <v>42201.600925925923</v>
      </c>
      <c r="E105" s="16" t="s">
        <v>16</v>
      </c>
      <c r="F105" s="16" t="s">
        <v>17</v>
      </c>
      <c r="G105" s="17" t="s">
        <v>913</v>
      </c>
      <c r="H105" s="17" t="s">
        <v>1085</v>
      </c>
      <c r="I105" s="13" t="s">
        <v>1086</v>
      </c>
      <c r="J105" s="18" t="str">
        <f>HYPERLINK("CorLog\COD\Branch\20150716 COD Branch 13A RES FIRE; Forensics Report for A Greig--FEEDBACK (RDC-to-WDC).msg", "13A RES FIRE; Forensics Report for A Greig--FEEDBACK")</f>
        <v>13A RES FIRE; Forensics Report for A Greig--FEEDBACK</v>
      </c>
      <c r="K105" s="22"/>
      <c r="L105" s="19"/>
      <c r="M105" s="20"/>
      <c r="N105" s="21" t="s">
        <v>1087</v>
      </c>
    </row>
    <row r="106" spans="1:14">
      <c r="A106" s="12" t="s">
        <v>718</v>
      </c>
      <c r="B106" s="13" t="s">
        <v>837</v>
      </c>
      <c r="C106" s="14" t="s">
        <v>1011</v>
      </c>
      <c r="D106" s="15">
        <v>42201.586111111108</v>
      </c>
      <c r="E106" s="16" t="s">
        <v>16</v>
      </c>
      <c r="F106" s="16" t="s">
        <v>18</v>
      </c>
      <c r="G106" s="17" t="s">
        <v>838</v>
      </c>
      <c r="H106" s="17" t="s">
        <v>839</v>
      </c>
      <c r="I106" s="13" t="s">
        <v>1088</v>
      </c>
      <c r="J106" s="18" t="str">
        <f>HYPERLINK("CorLog\ZMB\Choma RTO\20150716 ZMB Choma RTO G5 Replacement In-Situ soil mixed with 13mm stones (RDC-to-ZMB).msg.msg", "G5 Replacement In-Situ soil mixed with 13mm stones")</f>
        <v>G5 Replacement In-Situ soil mixed with 13mm stones</v>
      </c>
      <c r="K106" s="22" t="s">
        <v>721</v>
      </c>
      <c r="L106" s="19"/>
      <c r="M106" s="20"/>
      <c r="N106" s="21" t="s">
        <v>1089</v>
      </c>
    </row>
    <row r="107" spans="1:14">
      <c r="A107" s="12" t="s">
        <v>1090</v>
      </c>
      <c r="B107" s="13" t="s">
        <v>718</v>
      </c>
      <c r="C107" s="14"/>
      <c r="D107" s="15">
        <v>42201.472511574073</v>
      </c>
      <c r="E107" s="16" t="s">
        <v>36</v>
      </c>
      <c r="F107" s="16" t="s">
        <v>16</v>
      </c>
      <c r="G107" s="17" t="s">
        <v>1091</v>
      </c>
      <c r="H107" s="17" t="s">
        <v>1092</v>
      </c>
      <c r="I107" s="13" t="s">
        <v>1093</v>
      </c>
      <c r="J107" s="18" t="str">
        <f>HYPERLINK("CorLog\SEN\LDC\20150716 SEN LDC 2016 Spending Limit (SEN-to-RDC).msg.msg", "2016 Spending Limit")</f>
        <v>2016 Spending Limit</v>
      </c>
      <c r="K107" s="22" t="s">
        <v>721</v>
      </c>
      <c r="L107" s="19"/>
      <c r="M107" s="20"/>
      <c r="N107" s="21" t="s">
        <v>1094</v>
      </c>
    </row>
    <row r="108" spans="1:14">
      <c r="A108" s="12" t="s">
        <v>750</v>
      </c>
      <c r="B108" s="13" t="s">
        <v>1095</v>
      </c>
      <c r="C108" s="14" t="s">
        <v>742</v>
      </c>
      <c r="D108" s="15">
        <v>42201.464594907404</v>
      </c>
      <c r="E108" s="16" t="s">
        <v>16</v>
      </c>
      <c r="F108" s="16" t="s">
        <v>952</v>
      </c>
      <c r="G108" s="17" t="s">
        <v>838</v>
      </c>
      <c r="H108" s="17" t="s">
        <v>839</v>
      </c>
      <c r="I108" s="13" t="s">
        <v>840</v>
      </c>
      <c r="J108" s="18" t="str">
        <f>HYPERLINK("CorLog\ZMB\Choma RTO\20150716 ZMB Choma RTO G5 Replacement; In-Situ soil mixed with 13mm stones (RDC-to-WSP).msg", "G5 Replacement; In-Situ soil mixed with 13mm stones")</f>
        <v>G5 Replacement; In-Situ soil mixed with 13mm stones</v>
      </c>
      <c r="K108" s="22" t="s">
        <v>721</v>
      </c>
      <c r="L108" s="19"/>
      <c r="M108" s="20"/>
      <c r="N108" s="21" t="s">
        <v>1096</v>
      </c>
    </row>
    <row r="109" spans="1:14">
      <c r="A109" s="12" t="s">
        <v>718</v>
      </c>
      <c r="B109" s="13" t="s">
        <v>827</v>
      </c>
      <c r="C109" s="14" t="s">
        <v>1097</v>
      </c>
      <c r="D109" s="15">
        <v>42201.397222222222</v>
      </c>
      <c r="E109" s="16" t="s">
        <v>16</v>
      </c>
      <c r="F109" s="16" t="s">
        <v>21</v>
      </c>
      <c r="G109" s="17" t="s">
        <v>790</v>
      </c>
      <c r="H109" s="17" t="s">
        <v>829</v>
      </c>
      <c r="I109" s="13" t="s">
        <v>1098</v>
      </c>
      <c r="J109" s="18" t="str">
        <f>HYPERLINK("CorLog\GHA\BEX\20150716 GHA BEX RDC review of NLBR -60330; Telephone &amp; Data Systems (RDC-to-GHA).msg.msg", "RDC review of NLBR -60330; Telephone &amp; Data Systems")</f>
        <v>RDC review of NLBR -60330; Telephone &amp; Data Systems</v>
      </c>
      <c r="K109" s="22" t="s">
        <v>733</v>
      </c>
      <c r="L109" s="19"/>
      <c r="M109" s="20"/>
      <c r="N109" s="21" t="s">
        <v>1099</v>
      </c>
    </row>
    <row r="110" spans="1:14">
      <c r="A110" s="12" t="s">
        <v>718</v>
      </c>
      <c r="B110" s="13" t="s">
        <v>837</v>
      </c>
      <c r="C110" s="14" t="s">
        <v>1011</v>
      </c>
      <c r="D110" s="15">
        <v>42201.352777777778</v>
      </c>
      <c r="E110" s="16" t="s">
        <v>16</v>
      </c>
      <c r="F110" s="16" t="s">
        <v>18</v>
      </c>
      <c r="G110" s="17" t="s">
        <v>838</v>
      </c>
      <c r="H110" s="17" t="s">
        <v>829</v>
      </c>
      <c r="I110" s="13" t="s">
        <v>1100</v>
      </c>
      <c r="J110" s="18" t="str">
        <f>HYPERLINK("CorLog\ZMB\Choma RTO\20150716 ZMB Choma RTO RDC review of NLBR -12813 Upvc ceiling and cornice (RDC-to-ZMB).msg.msg", "RDC review of NLBR -12813 Upvc ceiling and cornice")</f>
        <v>RDC review of NLBR -12813 Upvc ceiling and cornice</v>
      </c>
      <c r="K110" s="22" t="s">
        <v>721</v>
      </c>
      <c r="L110" s="19"/>
      <c r="M110" s="20"/>
      <c r="N110" s="21" t="s">
        <v>1101</v>
      </c>
    </row>
    <row r="111" spans="1:14">
      <c r="A111" s="12" t="s">
        <v>1073</v>
      </c>
      <c r="B111" s="13"/>
      <c r="C111" s="14"/>
      <c r="D111" s="15">
        <v>42201</v>
      </c>
      <c r="E111" s="16" t="s">
        <v>25</v>
      </c>
      <c r="F111" s="16" t="s">
        <v>18</v>
      </c>
      <c r="G111" s="17" t="s">
        <v>885</v>
      </c>
      <c r="H111" s="17" t="s">
        <v>731</v>
      </c>
      <c r="I111" s="13" t="s">
        <v>1102</v>
      </c>
      <c r="J111" s="18" t="str">
        <f>HYPERLINK("CorLog\ZMB\Kabompo RTO\20150716 ZMB Kabompo RTO DC-41 No 1 Zambia RTO Kabompo Commuter Building (USD 53,596) (WHQ-to-ZMB).docx", "DC-41 No 1 Zambia RTO Kabompo Commuter Building (USD 53,596)")</f>
        <v>DC-41 No 1 Zambia RTO Kabompo Commuter Building (USD 53,596)</v>
      </c>
      <c r="K111" s="18"/>
      <c r="L111" s="19"/>
      <c r="M111" s="20"/>
      <c r="N111" s="21" t="s">
        <v>1103</v>
      </c>
    </row>
    <row r="112" spans="1:14">
      <c r="A112" s="12" t="s">
        <v>827</v>
      </c>
      <c r="B112" s="13" t="s">
        <v>750</v>
      </c>
      <c r="C112" s="14" t="s">
        <v>1104</v>
      </c>
      <c r="D112" s="15">
        <v>42200.770752314813</v>
      </c>
      <c r="E112" s="16" t="s">
        <v>21</v>
      </c>
      <c r="F112" s="16" t="s">
        <v>16</v>
      </c>
      <c r="G112" s="17" t="s">
        <v>738</v>
      </c>
      <c r="H112" s="17" t="s">
        <v>1105</v>
      </c>
      <c r="I112" s="13" t="s">
        <v>1106</v>
      </c>
      <c r="J112" s="18" t="str">
        <f>HYPERLINK("CorLog\GHA\BEX 2\20150715 GHA BEX 2 Soil testing (Ghana Highway Authority ) - Alternate Proposals (GHA-to-RDC).msg.msg", "Soil testing (Ghana Highway Authority ) - Alternate Proposals")</f>
        <v>Soil testing (Ghana Highway Authority ) - Alternate Proposals</v>
      </c>
      <c r="K112" s="22" t="s">
        <v>1107</v>
      </c>
      <c r="L112" s="19"/>
      <c r="M112" s="20"/>
      <c r="N112" s="21" t="s">
        <v>1108</v>
      </c>
    </row>
    <row r="113" spans="1:14">
      <c r="A113" s="12" t="s">
        <v>718</v>
      </c>
      <c r="B113" s="13" t="s">
        <v>837</v>
      </c>
      <c r="C113" s="14" t="s">
        <v>1109</v>
      </c>
      <c r="D113" s="15">
        <v>42200.768055555556</v>
      </c>
      <c r="E113" s="16" t="s">
        <v>16</v>
      </c>
      <c r="F113" s="16" t="s">
        <v>18</v>
      </c>
      <c r="G113" s="17" t="s">
        <v>838</v>
      </c>
      <c r="H113" s="17" t="s">
        <v>947</v>
      </c>
      <c r="I113" s="13" t="s">
        <v>1110</v>
      </c>
      <c r="J113" s="18" t="str">
        <f>HYPERLINK("CorLog\ZMB\Choma RTO\20150715 ZMB Choma RTO Minor discrepancy in the civil and mechanical plans (ANSWER) (RDC-to-ZMB).msg.msg", "Minor discrepancy in the civil and mechanical plans (ANSWER)")</f>
        <v>Minor discrepancy in the civil and mechanical plans (ANSWER)</v>
      </c>
      <c r="K113" s="22" t="s">
        <v>747</v>
      </c>
      <c r="L113" s="19"/>
      <c r="M113" s="20"/>
      <c r="N113" s="21" t="s">
        <v>1111</v>
      </c>
    </row>
    <row r="114" spans="1:14">
      <c r="A114" s="12" t="s">
        <v>718</v>
      </c>
      <c r="B114" s="13" t="s">
        <v>895</v>
      </c>
      <c r="C114" s="14"/>
      <c r="D114" s="15">
        <v>42200.765972222223</v>
      </c>
      <c r="E114" s="16" t="s">
        <v>16</v>
      </c>
      <c r="F114" s="16" t="s">
        <v>18</v>
      </c>
      <c r="G114" s="17" t="s">
        <v>1112</v>
      </c>
      <c r="H114" s="17" t="s">
        <v>1113</v>
      </c>
      <c r="I114" s="13" t="s">
        <v>1114</v>
      </c>
      <c r="J114" s="18" t="str">
        <f>HYPERLINK("CorLog\ZMB\BEX\20150715 ZMB BEX Gate option for West Wall Fence (RDC-to-ZMB).msg.msg", "Gate option for West Wall Fence")</f>
        <v>Gate option for West Wall Fence</v>
      </c>
      <c r="K114" s="22"/>
      <c r="L114" s="19"/>
      <c r="M114" s="20"/>
      <c r="N114" s="21" t="s">
        <v>1115</v>
      </c>
    </row>
    <row r="115" spans="1:14">
      <c r="A115" s="12" t="s">
        <v>1116</v>
      </c>
      <c r="B115" s="13" t="s">
        <v>718</v>
      </c>
      <c r="C115" s="14" t="s">
        <v>1117</v>
      </c>
      <c r="D115" s="15">
        <v>42200.711180555554</v>
      </c>
      <c r="E115" s="16" t="s">
        <v>22</v>
      </c>
      <c r="F115" s="16" t="s">
        <v>16</v>
      </c>
      <c r="G115" s="17" t="s">
        <v>1118</v>
      </c>
      <c r="H115" s="17" t="s">
        <v>1000</v>
      </c>
      <c r="I115" s="13" t="s">
        <v>1119</v>
      </c>
      <c r="J115" s="18" t="str">
        <f>HYPERLINK("CorLog\COD\Lodja RTO\20150715 COD Lodja RTO Difficulty of getting materials (COD-to-RDC).msg.msg", "Difficulty of getting materials")</f>
        <v>Difficulty of getting materials</v>
      </c>
      <c r="K115" s="22"/>
      <c r="L115" s="19"/>
      <c r="M115" s="20"/>
      <c r="N115" s="21" t="s">
        <v>1120</v>
      </c>
    </row>
    <row r="116" spans="1:14">
      <c r="A116" s="12" t="s">
        <v>737</v>
      </c>
      <c r="B116" s="13" t="s">
        <v>916</v>
      </c>
      <c r="C116" s="14" t="s">
        <v>1121</v>
      </c>
      <c r="D116" s="15">
        <v>42200.637118055558</v>
      </c>
      <c r="E116" s="16" t="s">
        <v>21</v>
      </c>
      <c r="F116" s="16" t="s">
        <v>16</v>
      </c>
      <c r="G116" s="17" t="s">
        <v>807</v>
      </c>
      <c r="H116" s="17" t="s">
        <v>1122</v>
      </c>
      <c r="I116" s="13" t="s">
        <v>1123</v>
      </c>
      <c r="J116" s="18" t="str">
        <f>HYPERLINK("CorLog\GHA\Branch\20150715 GHA Branch Cracks Walls of Service Dept Bldg (Investigation) DCP Tests (GHA-to-RDC).msg.msg", "Cracks Walls of Service Dept Bldg (Investigation) DCP Tests")</f>
        <v>Cracks Walls of Service Dept Bldg (Investigation) DCP Tests</v>
      </c>
      <c r="K116" s="22" t="s">
        <v>1124</v>
      </c>
      <c r="L116" s="19"/>
      <c r="M116" s="20"/>
      <c r="N116" s="21" t="s">
        <v>1125</v>
      </c>
    </row>
    <row r="117" spans="1:14">
      <c r="A117" s="12" t="s">
        <v>718</v>
      </c>
      <c r="B117" s="13" t="s">
        <v>895</v>
      </c>
      <c r="C117" s="14" t="s">
        <v>1126</v>
      </c>
      <c r="D117" s="15">
        <v>42200.59375</v>
      </c>
      <c r="E117" s="16" t="s">
        <v>16</v>
      </c>
      <c r="F117" s="16" t="s">
        <v>18</v>
      </c>
      <c r="G117" s="17" t="s">
        <v>1112</v>
      </c>
      <c r="H117" s="17" t="s">
        <v>858</v>
      </c>
      <c r="I117" s="13" t="s">
        <v>1127</v>
      </c>
      <c r="J117" s="18" t="str">
        <f>HYPERLINK("CorLog\ZMB\BEX\20150715 ZMB BEX AO-8 Final for June, 2015 for Review - ZMB0018 (RDC-to-ZMB).msg.msg", "AO-8 Final for June, 2015 for Review - ZMB0018")</f>
        <v>AO-8 Final for June, 2015 for Review - ZMB0018</v>
      </c>
      <c r="K117" s="22" t="s">
        <v>721</v>
      </c>
      <c r="L117" s="19"/>
      <c r="M117" s="20"/>
      <c r="N117" s="21" t="s">
        <v>1128</v>
      </c>
    </row>
    <row r="118" spans="1:14">
      <c r="A118" s="12" t="s">
        <v>718</v>
      </c>
      <c r="B118" s="13" t="s">
        <v>895</v>
      </c>
      <c r="C118" s="14" t="s">
        <v>1126</v>
      </c>
      <c r="D118" s="15">
        <v>42200.59097222222</v>
      </c>
      <c r="E118" s="16" t="s">
        <v>16</v>
      </c>
      <c r="F118" s="16" t="s">
        <v>18</v>
      </c>
      <c r="G118" s="17" t="s">
        <v>885</v>
      </c>
      <c r="H118" s="17" t="s">
        <v>858</v>
      </c>
      <c r="I118" s="13" t="s">
        <v>1129</v>
      </c>
      <c r="J118" s="18" t="str">
        <f>HYPERLINK("CorLog\ZMB\Kabompo RTO\20150715 ZMB Kabompo RTO Final AO-8 for June, 2015 - ZMB0019 (RDC-to-ZMB).msg.msg", "Final AO-8 for June, 2015 - ZMB0019")</f>
        <v>Final AO-8 for June, 2015 - ZMB0019</v>
      </c>
      <c r="K118" s="22" t="s">
        <v>721</v>
      </c>
      <c r="L118" s="19"/>
      <c r="M118" s="20"/>
      <c r="N118" s="21" t="s">
        <v>1130</v>
      </c>
    </row>
    <row r="119" spans="1:14">
      <c r="A119" s="12" t="s">
        <v>916</v>
      </c>
      <c r="B119" s="13" t="s">
        <v>718</v>
      </c>
      <c r="C119" s="14"/>
      <c r="D119" s="15">
        <v>42200.477534722224</v>
      </c>
      <c r="E119" s="16" t="s">
        <v>16</v>
      </c>
      <c r="F119" s="16" t="s">
        <v>16</v>
      </c>
      <c r="G119" s="17" t="s">
        <v>1118</v>
      </c>
      <c r="H119" s="17" t="s">
        <v>1131</v>
      </c>
      <c r="I119" s="13" t="s">
        <v>1132</v>
      </c>
      <c r="J119" s="18" t="str">
        <f>HYPERLINK("CorLog\COD\Lodja RTO\20150715 COD Lodja RTO RDC review of DC-31 Submittal (RDC-to-RDC).msg", "RDC review of DC-31 Submittal")</f>
        <v>RDC review of DC-31 Submittal</v>
      </c>
      <c r="K119" s="22"/>
      <c r="L119" s="19"/>
      <c r="M119" s="20"/>
      <c r="N119" s="21" t="s">
        <v>1133</v>
      </c>
    </row>
    <row r="120" spans="1:14">
      <c r="A120" s="12"/>
      <c r="B120" s="13"/>
      <c r="C120" s="14"/>
      <c r="D120" s="15">
        <v>42200.463912037034</v>
      </c>
      <c r="E120" s="16" t="s">
        <v>19</v>
      </c>
      <c r="F120" s="16" t="s">
        <v>17</v>
      </c>
      <c r="G120" s="17" t="s">
        <v>1134</v>
      </c>
      <c r="H120" s="17" t="s">
        <v>1135</v>
      </c>
      <c r="I120" s="13" t="s">
        <v>1136</v>
      </c>
      <c r="J120" s="18" t="str">
        <f>HYPERLINK("CorLog\AGO\Lubango RTO\20150715 AGO Lubango RTO (Nyaneka) Property DC-44 (AGO-to-WDC).docx", "(Nyaneka) Property DC-44")</f>
        <v>(Nyaneka) Property DC-44</v>
      </c>
      <c r="K120" s="18" t="str">
        <f>HYPERLINK("CorLog\AGO\Lubango RTO\20150715 AGO Lubango RTO (Nyaneka) Property DC-44 (AGO-to-WDC).zip", "Zipped (2)")</f>
        <v>Zipped (2)</v>
      </c>
      <c r="L120" s="19"/>
      <c r="M120" s="20"/>
      <c r="N120" s="21" t="s">
        <v>1137</v>
      </c>
    </row>
    <row r="121" spans="1:14">
      <c r="A121" s="12" t="s">
        <v>998</v>
      </c>
      <c r="B121" s="13" t="s">
        <v>1138</v>
      </c>
      <c r="C121" s="14"/>
      <c r="D121" s="15">
        <v>42199.736157407409</v>
      </c>
      <c r="E121" s="16" t="s">
        <v>17</v>
      </c>
      <c r="F121" s="16" t="s">
        <v>35</v>
      </c>
      <c r="G121" s="17" t="s">
        <v>1139</v>
      </c>
      <c r="H121" s="17" t="s">
        <v>1140</v>
      </c>
      <c r="I121" s="13" t="s">
        <v>1141</v>
      </c>
      <c r="J121" s="18" t="str">
        <f>HYPERLINK("CorLog\ETH\Branch\20150714 ETH Branch Rental Option Notes 2015-07-14 docx (WDC-to-ETH).msg", "Rental Option Notes 2015-07-14 docx")</f>
        <v>Rental Option Notes 2015-07-14 docx</v>
      </c>
      <c r="K121" s="22" t="s">
        <v>721</v>
      </c>
      <c r="L121" s="19"/>
      <c r="M121" s="20"/>
      <c r="N121" s="21" t="s">
        <v>1142</v>
      </c>
    </row>
    <row r="122" spans="1:14">
      <c r="A122" s="12" t="s">
        <v>750</v>
      </c>
      <c r="B122" s="13" t="s">
        <v>718</v>
      </c>
      <c r="C122" s="14"/>
      <c r="D122" s="15">
        <v>42199.677314814813</v>
      </c>
      <c r="E122" s="16" t="s">
        <v>16</v>
      </c>
      <c r="F122" s="16" t="s">
        <v>16</v>
      </c>
      <c r="G122" s="17" t="s">
        <v>1143</v>
      </c>
      <c r="H122" s="17" t="s">
        <v>1085</v>
      </c>
      <c r="I122" s="13" t="s">
        <v>1144</v>
      </c>
      <c r="J122" s="18" t="str">
        <f>HYPERLINK("CorLog\Congo\Branch\20150714 Congo Branch Fire Report for ZAF-BC; Life Safety (RDC-to-RDC).msg.msg", "Fire Report for ZAF-BC; Life Safety")</f>
        <v>Fire Report for ZAF-BC; Life Safety</v>
      </c>
      <c r="K122" s="22" t="s">
        <v>721</v>
      </c>
      <c r="L122" s="19"/>
      <c r="M122" s="20"/>
      <c r="N122" s="21" t="s">
        <v>1145</v>
      </c>
    </row>
    <row r="123" spans="1:14">
      <c r="A123" s="12" t="s">
        <v>718</v>
      </c>
      <c r="B123" s="13" t="s">
        <v>1146</v>
      </c>
      <c r="C123" s="14" t="s">
        <v>1147</v>
      </c>
      <c r="D123" s="15">
        <v>42199.576388888891</v>
      </c>
      <c r="E123" s="16" t="s">
        <v>16</v>
      </c>
      <c r="F123" s="16" t="s">
        <v>18</v>
      </c>
      <c r="G123" s="17" t="s">
        <v>946</v>
      </c>
      <c r="H123" s="17" t="s">
        <v>858</v>
      </c>
      <c r="I123" s="13" t="s">
        <v>1148</v>
      </c>
      <c r="J123" s="18" t="str">
        <f>HYPERLINK("CorLog\ZMB\Mongu RTO\20150714 ZMB Mongu RTO RDC review of AO-8 June 2015 (RDC-to-ZMB).msg.msg", "RDC review of AO-8 June 2015")</f>
        <v>RDC review of AO-8 June 2015</v>
      </c>
      <c r="K123" s="22" t="s">
        <v>721</v>
      </c>
      <c r="L123" s="19"/>
      <c r="M123" s="20"/>
      <c r="N123" s="21" t="s">
        <v>1149</v>
      </c>
    </row>
    <row r="124" spans="1:14">
      <c r="A124" s="12" t="s">
        <v>750</v>
      </c>
      <c r="B124" s="13" t="s">
        <v>1150</v>
      </c>
      <c r="C124" s="14" t="s">
        <v>1151</v>
      </c>
      <c r="D124" s="15">
        <v>42199.549571759257</v>
      </c>
      <c r="E124" s="16" t="s">
        <v>16</v>
      </c>
      <c r="F124" s="16" t="s">
        <v>15</v>
      </c>
      <c r="G124" s="17" t="s">
        <v>1152</v>
      </c>
      <c r="H124" s="17" t="s">
        <v>1153</v>
      </c>
      <c r="I124" s="13" t="s">
        <v>1154</v>
      </c>
      <c r="J124" s="18" t="str">
        <f>HYPERLINK("CorLog\ZAF\BEX\20150714 ZAF BEX Perimeter aprons ideas around buildings (RDC-to-ZAF).msg.msg", "Perimeter aprons ideas around buildings")</f>
        <v>Perimeter aprons ideas around buildings</v>
      </c>
      <c r="K124" s="22" t="s">
        <v>747</v>
      </c>
      <c r="L124" s="19"/>
      <c r="M124" s="20"/>
      <c r="N124" s="21" t="s">
        <v>1155</v>
      </c>
    </row>
    <row r="125" spans="1:14">
      <c r="A125" s="12" t="s">
        <v>718</v>
      </c>
      <c r="B125" s="13" t="s">
        <v>827</v>
      </c>
      <c r="C125" s="14" t="s">
        <v>1156</v>
      </c>
      <c r="D125" s="15">
        <v>42199.459027777775</v>
      </c>
      <c r="E125" s="16" t="s">
        <v>16</v>
      </c>
      <c r="F125" s="16" t="s">
        <v>21</v>
      </c>
      <c r="G125" s="17" t="s">
        <v>738</v>
      </c>
      <c r="H125" s="17" t="s">
        <v>1157</v>
      </c>
      <c r="I125" s="13" t="s">
        <v>1158</v>
      </c>
      <c r="J125" s="18" t="str">
        <f>HYPERLINK("CorLog\GHA\BEX 2\20150714 GHA BEX 2 DC-41 Early Procurement Kitchen Equipment list (RDC-to-GHA).msg.msg", "DC-41 Early Procurement Kitchen Equipment list")</f>
        <v>DC-41 Early Procurement Kitchen Equipment list</v>
      </c>
      <c r="K125" s="22" t="s">
        <v>747</v>
      </c>
      <c r="L125" s="19"/>
      <c r="M125" s="20"/>
      <c r="N125" s="21" t="s">
        <v>1159</v>
      </c>
    </row>
    <row r="126" spans="1:14">
      <c r="A126" s="12" t="s">
        <v>870</v>
      </c>
      <c r="B126" s="13" t="s">
        <v>1160</v>
      </c>
      <c r="C126" s="14" t="s">
        <v>1161</v>
      </c>
      <c r="D126" s="15">
        <v>42199.371736111112</v>
      </c>
      <c r="E126" s="16" t="s">
        <v>15</v>
      </c>
      <c r="F126" s="16" t="s">
        <v>20</v>
      </c>
      <c r="G126" s="17" t="s">
        <v>719</v>
      </c>
      <c r="H126" s="17" t="s">
        <v>871</v>
      </c>
      <c r="I126" s="13" t="s">
        <v>1162</v>
      </c>
      <c r="J126" s="18" t="str">
        <f>HYPERLINK("CorLog\Reference\20150714 Reference South Africa PPB Supplier Arrangements (ZAF-to-MOZ).msg.msg", "South Africa PPB Supplier Arrangements")</f>
        <v>South Africa PPB Supplier Arrangements</v>
      </c>
      <c r="K126" s="22" t="s">
        <v>721</v>
      </c>
      <c r="L126" s="19"/>
      <c r="M126" s="20"/>
      <c r="N126" s="21" t="s">
        <v>1163</v>
      </c>
    </row>
    <row r="127" spans="1:14">
      <c r="A127" s="12" t="s">
        <v>1073</v>
      </c>
      <c r="B127" s="13"/>
      <c r="C127" s="14"/>
      <c r="D127" s="15">
        <v>42199</v>
      </c>
      <c r="E127" s="16" t="s">
        <v>25</v>
      </c>
      <c r="F127" s="16" t="s">
        <v>30</v>
      </c>
      <c r="G127" s="17" t="s">
        <v>17</v>
      </c>
      <c r="H127" s="17" t="s">
        <v>1164</v>
      </c>
      <c r="I127" s="13" t="s">
        <v>1165</v>
      </c>
      <c r="J127" s="18" t="str">
        <f>HYPERLINK("CorLog\WDC\20150714 WDC Theocratic Facility Drawings (WHQ-to-ALL).docx", "Theocratic Facility Drawings")</f>
        <v>Theocratic Facility Drawings</v>
      </c>
      <c r="K127" s="18"/>
      <c r="L127" s="19"/>
      <c r="M127" s="20"/>
      <c r="N127" s="21" t="s">
        <v>1166</v>
      </c>
    </row>
    <row r="128" spans="1:14">
      <c r="A128" s="12" t="s">
        <v>1073</v>
      </c>
      <c r="B128" s="13"/>
      <c r="C128" s="14"/>
      <c r="D128" s="15">
        <v>42199</v>
      </c>
      <c r="E128" s="16" t="s">
        <v>25</v>
      </c>
      <c r="F128" s="16" t="s">
        <v>30</v>
      </c>
      <c r="G128" s="17" t="s">
        <v>17</v>
      </c>
      <c r="H128" s="17" t="s">
        <v>803</v>
      </c>
      <c r="I128" s="13" t="s">
        <v>1165</v>
      </c>
      <c r="J128" s="18" t="str">
        <f>HYPERLINK("CorLog\WDC\20150714 WDC Theocratic Facility Drawings (WHQ-to-ALL).docx", "Theocratic Facility Drawings")</f>
        <v>Theocratic Facility Drawings</v>
      </c>
      <c r="K128" s="22"/>
      <c r="L128" s="19"/>
      <c r="M128" s="20"/>
      <c r="N128" s="21" t="s">
        <v>1166</v>
      </c>
    </row>
    <row r="129" spans="1:14">
      <c r="A129" s="12" t="s">
        <v>718</v>
      </c>
      <c r="B129" s="13" t="s">
        <v>1167</v>
      </c>
      <c r="C129" s="14" t="s">
        <v>1168</v>
      </c>
      <c r="D129" s="15">
        <v>42198.884027777778</v>
      </c>
      <c r="E129" s="16" t="s">
        <v>16</v>
      </c>
      <c r="F129" s="16" t="s">
        <v>22</v>
      </c>
      <c r="G129" s="17" t="s">
        <v>1169</v>
      </c>
      <c r="H129" s="17" t="s">
        <v>1031</v>
      </c>
      <c r="I129" s="13" t="s">
        <v>1170</v>
      </c>
      <c r="J129" s="18" t="str">
        <f>HYPERLINK("CorLog\COD\Kikwit RTO\20150713 COD Kikwit RTO Borehole pump selection info, quote (RDC-to-COD).msg.msg", "Borehole pump selection info, quote")</f>
        <v>Borehole pump selection info, quote</v>
      </c>
      <c r="K129" s="22" t="s">
        <v>733</v>
      </c>
      <c r="L129" s="19"/>
      <c r="M129" s="20"/>
      <c r="N129" s="21" t="s">
        <v>1171</v>
      </c>
    </row>
    <row r="130" spans="1:14">
      <c r="A130" s="12" t="s">
        <v>718</v>
      </c>
      <c r="B130" s="13" t="s">
        <v>1172</v>
      </c>
      <c r="C130" s="14" t="s">
        <v>1173</v>
      </c>
      <c r="D130" s="15">
        <v>42198.632638888892</v>
      </c>
      <c r="E130" s="16" t="s">
        <v>16</v>
      </c>
      <c r="F130" s="16" t="s">
        <v>17</v>
      </c>
      <c r="G130" s="17" t="s">
        <v>17</v>
      </c>
      <c r="H130" s="17" t="s">
        <v>1000</v>
      </c>
      <c r="I130" s="13" t="s">
        <v>1174</v>
      </c>
      <c r="J130" s="18" t="str">
        <f>HYPERLINK("CorLog\WDC\20150713 WDC WDC Status of World Projects by RPC ZAF-RDC (M ALLAN) (RDC-to-WDC).msg.msg", "WDC Status of World Projects by RPC ZAF-RDC (M ALLAN)")</f>
        <v>WDC Status of World Projects by RPC ZAF-RDC (M ALLAN)</v>
      </c>
      <c r="K130" s="22" t="s">
        <v>721</v>
      </c>
      <c r="L130" s="19"/>
      <c r="M130" s="20"/>
      <c r="N130" s="21" t="s">
        <v>1175</v>
      </c>
    </row>
    <row r="131" spans="1:14">
      <c r="A131" s="12" t="s">
        <v>718</v>
      </c>
      <c r="B131" s="13" t="s">
        <v>1176</v>
      </c>
      <c r="C131" s="14" t="s">
        <v>1177</v>
      </c>
      <c r="D131" s="15">
        <v>42198.54583333333</v>
      </c>
      <c r="E131" s="16" t="s">
        <v>16</v>
      </c>
      <c r="F131" s="16" t="s">
        <v>16</v>
      </c>
      <c r="G131" s="17" t="s">
        <v>946</v>
      </c>
      <c r="H131" s="17" t="s">
        <v>1178</v>
      </c>
      <c r="I131" s="13" t="s">
        <v>1179</v>
      </c>
      <c r="J131" s="18" t="str">
        <f>HYPERLINK("CorLog\ZMB\Mongu RTO\20150713 ZMB Mongu RTO Swap generators (RDC-to-RDC).msg.msg", "Swap generators")</f>
        <v>Swap generators</v>
      </c>
      <c r="K131" s="22"/>
      <c r="L131" s="19"/>
      <c r="M131" s="20"/>
      <c r="N131" s="21" t="s">
        <v>1180</v>
      </c>
    </row>
    <row r="132" spans="1:14">
      <c r="A132" s="12" t="s">
        <v>718</v>
      </c>
      <c r="B132" s="13" t="s">
        <v>1181</v>
      </c>
      <c r="C132" s="14"/>
      <c r="D132" s="15">
        <v>42198.480555555558</v>
      </c>
      <c r="E132" s="16" t="s">
        <v>16</v>
      </c>
      <c r="F132" s="16" t="s">
        <v>16</v>
      </c>
      <c r="G132" s="17" t="s">
        <v>1070</v>
      </c>
      <c r="H132" s="17" t="s">
        <v>829</v>
      </c>
      <c r="I132" s="13" t="s">
        <v>1182</v>
      </c>
      <c r="J132" s="18" t="str">
        <f>HYPERLINK("CorLog\ZMB\Katete RTO\20150713 ZMB Katete RTO 2015-07-13-Zambia NLBR-6253- Katete RTO- Cabinetry Guidelines (RDC-to-RDC).msg.msg", "2015-07-13-Zambia NLBR-6253- Katete RTO- Cabinetry Guidelines")</f>
        <v>2015-07-13-Zambia NLBR-6253- Katete RTO- Cabinetry Guidelines</v>
      </c>
      <c r="K132" s="22" t="s">
        <v>721</v>
      </c>
      <c r="L132" s="19"/>
      <c r="M132" s="20"/>
      <c r="N132" s="21" t="s">
        <v>1183</v>
      </c>
    </row>
    <row r="133" spans="1:14">
      <c r="A133" s="12" t="s">
        <v>718</v>
      </c>
      <c r="B133" s="13" t="s">
        <v>837</v>
      </c>
      <c r="C133" s="14" t="s">
        <v>1147</v>
      </c>
      <c r="D133" s="15">
        <v>42198.478472222225</v>
      </c>
      <c r="E133" s="16" t="s">
        <v>16</v>
      </c>
      <c r="F133" s="16" t="s">
        <v>18</v>
      </c>
      <c r="G133" s="17" t="s">
        <v>838</v>
      </c>
      <c r="H133" s="17" t="s">
        <v>1184</v>
      </c>
      <c r="I133" s="13" t="s">
        <v>1185</v>
      </c>
      <c r="J133" s="18" t="str">
        <f>HYPERLINK("CorLog\ZMB\Choma RTO\20150713 ZMB Choma RTO RDC review of June DC-43 (RDC-to-ZMB).msg.msg", "RDC review of June DC-43")</f>
        <v>RDC review of June DC-43</v>
      </c>
      <c r="K133" s="22" t="s">
        <v>721</v>
      </c>
      <c r="L133" s="19"/>
      <c r="M133" s="20"/>
      <c r="N133" s="21" t="s">
        <v>1186</v>
      </c>
    </row>
    <row r="134" spans="1:14">
      <c r="A134" s="12" t="s">
        <v>1187</v>
      </c>
      <c r="B134" s="13" t="s">
        <v>750</v>
      </c>
      <c r="C134" s="14" t="s">
        <v>718</v>
      </c>
      <c r="D134" s="15">
        <v>42198.385613425926</v>
      </c>
      <c r="E134" s="16" t="s">
        <v>15</v>
      </c>
      <c r="F134" s="16" t="s">
        <v>16</v>
      </c>
      <c r="G134" s="17" t="s">
        <v>738</v>
      </c>
      <c r="H134" s="17" t="s">
        <v>903</v>
      </c>
      <c r="I134" s="13" t="s">
        <v>1188</v>
      </c>
      <c r="J134" s="18" t="str">
        <f>HYPERLINK("CorLog\GHA\BEX 2\20150713 GHA BEX 2 Stormwater Channel - Status (ZAF-to-RDC).msg", "Stormwater Channel - Status")</f>
        <v>Stormwater Channel - Status</v>
      </c>
      <c r="K134" s="22" t="s">
        <v>747</v>
      </c>
      <c r="L134" s="19"/>
      <c r="M134" s="20"/>
      <c r="N134" s="21" t="s">
        <v>1189</v>
      </c>
    </row>
    <row r="135" spans="1:14">
      <c r="A135" s="12" t="s">
        <v>1073</v>
      </c>
      <c r="B135" s="13"/>
      <c r="C135" s="14"/>
      <c r="D135" s="15">
        <v>42198</v>
      </c>
      <c r="E135" s="16" t="s">
        <v>25</v>
      </c>
      <c r="F135" s="16" t="s">
        <v>16</v>
      </c>
      <c r="G135" s="17" t="s">
        <v>719</v>
      </c>
      <c r="H135" s="17" t="s">
        <v>1190</v>
      </c>
      <c r="I135" s="13" t="s">
        <v>1191</v>
      </c>
      <c r="J135" s="18" t="str">
        <f>HYPERLINK("CorLog\Reference\20150713 Reference Standardized Drawing Collaboration Using Bluebeam Products (WHQ-to-RDC).docx", "Standardized Drawing Collaboration Using Bluebeam Products")</f>
        <v>Standardized Drawing Collaboration Using Bluebeam Products</v>
      </c>
      <c r="K135" s="18"/>
      <c r="L135" s="19"/>
      <c r="M135" s="20"/>
      <c r="N135" s="21" t="s">
        <v>1192</v>
      </c>
    </row>
    <row r="136" spans="1:14">
      <c r="A136" s="12" t="s">
        <v>874</v>
      </c>
      <c r="B136" s="13"/>
      <c r="C136" s="14"/>
      <c r="D136" s="15">
        <v>42198</v>
      </c>
      <c r="E136" s="16" t="s">
        <v>25</v>
      </c>
      <c r="F136" s="16" t="s">
        <v>30</v>
      </c>
      <c r="G136" s="17" t="s">
        <v>719</v>
      </c>
      <c r="H136" s="17" t="s">
        <v>759</v>
      </c>
      <c r="I136" s="13" t="s">
        <v>1193</v>
      </c>
      <c r="J136" s="18" t="str">
        <f>HYPERLINK("CorLog\Reference\20150713 Reference Branch Engineering Departments (WHQ-to-ALL).doc", "Branch Engineering Departments")</f>
        <v>Branch Engineering Departments</v>
      </c>
      <c r="K136" s="18"/>
      <c r="L136" s="19"/>
      <c r="M136" s="20"/>
      <c r="N136" s="21" t="s">
        <v>1194</v>
      </c>
    </row>
    <row r="137" spans="1:14">
      <c r="A137" s="12" t="s">
        <v>1073</v>
      </c>
      <c r="B137" s="13"/>
      <c r="C137" s="14"/>
      <c r="D137" s="15">
        <v>42198</v>
      </c>
      <c r="E137" s="16" t="s">
        <v>25</v>
      </c>
      <c r="F137" s="16" t="s">
        <v>16</v>
      </c>
      <c r="G137" s="17" t="s">
        <v>719</v>
      </c>
      <c r="H137" s="17" t="s">
        <v>1190</v>
      </c>
      <c r="I137" s="13" t="s">
        <v>1191</v>
      </c>
      <c r="J137" s="18" t="str">
        <f>HYPERLINK("CorLog\Reference\20150713 Reference Standardized Drawing Collaboration Using Bluebeam Products (WHQ-to-RDC).docx", "Standardized Drawing Collaboration Using Bluebeam Products")</f>
        <v>Standardized Drawing Collaboration Using Bluebeam Products</v>
      </c>
      <c r="K137" s="18"/>
      <c r="L137" s="19"/>
      <c r="M137" s="20"/>
      <c r="N137" s="21" t="s">
        <v>1192</v>
      </c>
    </row>
    <row r="138" spans="1:14">
      <c r="A138" s="12" t="s">
        <v>750</v>
      </c>
      <c r="B138" s="13" t="s">
        <v>998</v>
      </c>
      <c r="C138" s="14"/>
      <c r="D138" s="15">
        <v>42195.764699074076</v>
      </c>
      <c r="E138" s="16" t="s">
        <v>16</v>
      </c>
      <c r="F138" s="16" t="s">
        <v>17</v>
      </c>
      <c r="G138" s="17" t="s">
        <v>738</v>
      </c>
      <c r="H138" s="17" t="s">
        <v>1195</v>
      </c>
      <c r="I138" s="13" t="s">
        <v>1196</v>
      </c>
      <c r="J138" s="18" t="str">
        <f>HYPERLINK("CorLog\GHA\BEX 2\20150710 GHA BEX 2 CDP BC Version MA to Jeff Watts (RDC-to-WDC).msg.msg", "CDP BC Version MA to Jeff Watts")</f>
        <v>CDP BC Version MA to Jeff Watts</v>
      </c>
      <c r="K138" s="22" t="s">
        <v>721</v>
      </c>
      <c r="L138" s="19"/>
      <c r="M138" s="20"/>
      <c r="N138" s="21" t="s">
        <v>1197</v>
      </c>
    </row>
    <row r="139" spans="1:14">
      <c r="A139" s="12" t="s">
        <v>717</v>
      </c>
      <c r="B139" s="13" t="s">
        <v>1198</v>
      </c>
      <c r="C139" s="14" t="s">
        <v>1199</v>
      </c>
      <c r="D139" s="15">
        <v>42195.288773148146</v>
      </c>
      <c r="E139" s="16" t="s">
        <v>16</v>
      </c>
      <c r="F139" s="16" t="s">
        <v>22</v>
      </c>
      <c r="G139" s="17" t="s">
        <v>1169</v>
      </c>
      <c r="H139" s="17" t="s">
        <v>1200</v>
      </c>
      <c r="I139" s="13" t="s">
        <v>1201</v>
      </c>
      <c r="J139" s="18" t="str">
        <f>HYPERLINK("CorLog\COD\Kikwit RTO\20150710 COD Kikwit RTO DCP Test -2Under residential Bldg footing 7 July 2015 (RDC-to-COD).msg.msg", "DCP Test -2Under residential Bldg footing 7 July 2015")</f>
        <v>DCP Test -2Under residential Bldg footing 7 July 2015</v>
      </c>
      <c r="K139" s="22"/>
      <c r="L139" s="19"/>
      <c r="M139" s="20"/>
      <c r="N139" s="21" t="s">
        <v>1202</v>
      </c>
    </row>
    <row r="140" spans="1:14">
      <c r="A140" s="12" t="s">
        <v>717</v>
      </c>
      <c r="B140" s="13" t="s">
        <v>1198</v>
      </c>
      <c r="C140" s="14" t="s">
        <v>1203</v>
      </c>
      <c r="D140" s="15">
        <v>42195.259270833332</v>
      </c>
      <c r="E140" s="16" t="s">
        <v>16</v>
      </c>
      <c r="F140" s="16" t="s">
        <v>22</v>
      </c>
      <c r="G140" s="17" t="s">
        <v>1169</v>
      </c>
      <c r="H140" s="17" t="s">
        <v>1200</v>
      </c>
      <c r="I140" s="13" t="s">
        <v>1204</v>
      </c>
      <c r="J140" s="18" t="str">
        <f>HYPERLINK("CorLog\COD\Kikwit RTO\20150710 COD Kikwit RTO DCP Test -3Under residential Bldg footing 8 July 2015 (RDC-to-COD).msg.msg", "DCP Test -3Under residential Bldg footing 8 July 2015")</f>
        <v>DCP Test -3Under residential Bldg footing 8 July 2015</v>
      </c>
      <c r="K140" s="22"/>
      <c r="L140" s="19"/>
      <c r="M140" s="20"/>
      <c r="N140" s="21" t="s">
        <v>1205</v>
      </c>
    </row>
    <row r="141" spans="1:14">
      <c r="A141" s="12" t="s">
        <v>1206</v>
      </c>
      <c r="B141" s="13" t="s">
        <v>750</v>
      </c>
      <c r="C141" s="14" t="s">
        <v>1207</v>
      </c>
      <c r="D141" s="15">
        <v>42194.499930555554</v>
      </c>
      <c r="E141" s="16" t="s">
        <v>17</v>
      </c>
      <c r="F141" s="16" t="s">
        <v>16</v>
      </c>
      <c r="G141" s="17" t="s">
        <v>738</v>
      </c>
      <c r="H141" s="17" t="s">
        <v>1195</v>
      </c>
      <c r="I141" s="13" t="s">
        <v>1208</v>
      </c>
      <c r="J141" s="18" t="str">
        <f>HYPERLINK("CorLog\GHA\BEX 2\20150709 GHA BEX 2 CDP dated July 9, 2015--for Publishing Committee Review (WDC-to-RDC).msg", "CDP dated July 9, 2015--for Publishing Committee Review")</f>
        <v>CDP dated July 9, 2015--for Publishing Committee Review</v>
      </c>
      <c r="K141" s="22" t="s">
        <v>733</v>
      </c>
      <c r="L141" s="19"/>
      <c r="M141" s="20"/>
      <c r="N141" s="21" t="s">
        <v>1209</v>
      </c>
    </row>
    <row r="142" spans="1:14">
      <c r="A142" s="12" t="s">
        <v>718</v>
      </c>
      <c r="B142" s="13" t="s">
        <v>837</v>
      </c>
      <c r="C142" s="14" t="s">
        <v>1076</v>
      </c>
      <c r="D142" s="15">
        <v>42194.475694444445</v>
      </c>
      <c r="E142" s="16" t="s">
        <v>16</v>
      </c>
      <c r="F142" s="16" t="s">
        <v>18</v>
      </c>
      <c r="G142" s="17" t="s">
        <v>838</v>
      </c>
      <c r="H142" s="17" t="s">
        <v>854</v>
      </c>
      <c r="I142" s="13" t="s">
        <v>1210</v>
      </c>
      <c r="J142" s="18" t="str">
        <f>HYPERLINK("CorLog\ZMB\Choma RTO\20150709 ZMB Choma RTO Location of cold joints in the footing (ANSWER) (RDC-to-ZMB).msg", "Location of cold joints in the footing (ANSWER)")</f>
        <v>Location of cold joints in the footing (ANSWER)</v>
      </c>
      <c r="K142" s="22" t="s">
        <v>1211</v>
      </c>
      <c r="L142" s="19"/>
      <c r="M142" s="20"/>
      <c r="N142" s="21" t="s">
        <v>1212</v>
      </c>
    </row>
    <row r="143" spans="1:14">
      <c r="A143" s="12" t="s">
        <v>806</v>
      </c>
      <c r="B143" s="13" t="s">
        <v>1213</v>
      </c>
      <c r="C143" s="14" t="s">
        <v>1214</v>
      </c>
      <c r="D143" s="15">
        <v>42194.475439814814</v>
      </c>
      <c r="E143" s="16" t="s">
        <v>15</v>
      </c>
      <c r="F143" s="16" t="s">
        <v>952</v>
      </c>
      <c r="G143" s="17" t="s">
        <v>738</v>
      </c>
      <c r="H143" s="17" t="s">
        <v>1215</v>
      </c>
      <c r="I143" s="13" t="s">
        <v>954</v>
      </c>
      <c r="J143" s="18" t="str">
        <f>HYPERLINK("CorLog\GHA\BEX 2\20150709 GHA BEX 2 WSP INVOICE 18930 - WATCH TOWER BIBLE AND TRACT SOCIETY - GHANA BRANCH EXPANSION (ZAF-to-WSP).msg.msg", "WSP INVOICE 18930 - WATCH TOWER BIBLE AND TRACT SOCIETY - GHANA BRANCH EXPANSION")</f>
        <v>WSP INVOICE 18930 - WATCH TOWER BIBLE AND TRACT SOCIETY - GHANA BRANCH EXPANSION</v>
      </c>
      <c r="K143" s="22" t="s">
        <v>1033</v>
      </c>
      <c r="L143" s="19"/>
      <c r="M143" s="20"/>
      <c r="N143" s="21" t="s">
        <v>1216</v>
      </c>
    </row>
    <row r="144" spans="1:14">
      <c r="A144" s="12" t="s">
        <v>1217</v>
      </c>
      <c r="B144" s="13" t="s">
        <v>998</v>
      </c>
      <c r="C144" s="14" t="s">
        <v>1218</v>
      </c>
      <c r="D144" s="15">
        <v>42194.41101851852</v>
      </c>
      <c r="E144" s="16" t="s">
        <v>16</v>
      </c>
      <c r="F144" s="16" t="s">
        <v>17</v>
      </c>
      <c r="G144" s="17" t="s">
        <v>738</v>
      </c>
      <c r="H144" s="17" t="s">
        <v>1195</v>
      </c>
      <c r="I144" s="13" t="s">
        <v>1219</v>
      </c>
      <c r="J144" s="18" t="str">
        <f>HYPERLINK("CorLog\GHA\BEX 2\20150709 GHA BEX 2 CDP VAT 12 5% vs 17 5% (RDC-to-WDC).msg.msg", "CDP VAT 12 5% vs 17 5%")</f>
        <v>CDP VAT 12 5% vs 17 5%</v>
      </c>
      <c r="K144" s="22" t="s">
        <v>733</v>
      </c>
      <c r="L144" s="19"/>
      <c r="M144" s="20"/>
      <c r="N144" s="21" t="s">
        <v>1220</v>
      </c>
    </row>
    <row r="145" spans="1:14">
      <c r="A145" s="12" t="s">
        <v>728</v>
      </c>
      <c r="B145" s="13" t="s">
        <v>718</v>
      </c>
      <c r="C145" s="14"/>
      <c r="D145" s="15">
        <v>42194.408784722225</v>
      </c>
      <c r="E145" s="16" t="s">
        <v>16</v>
      </c>
      <c r="F145" s="16" t="s">
        <v>16</v>
      </c>
      <c r="G145" s="17" t="s">
        <v>719</v>
      </c>
      <c r="H145" s="17" t="s">
        <v>1221</v>
      </c>
      <c r="I145" s="13" t="s">
        <v>1222</v>
      </c>
      <c r="J145" s="18" t="str">
        <f>HYPERLINK("CorLog\Reference\20150709 Reference NLBR import sheet redone already (RDC-to-RDC).msg", "NLBR import sheet redone already")</f>
        <v>NLBR import sheet redone already</v>
      </c>
      <c r="K145" s="22" t="s">
        <v>1211</v>
      </c>
      <c r="L145" s="19"/>
      <c r="M145" s="20"/>
      <c r="N145" s="21" t="s">
        <v>1223</v>
      </c>
    </row>
    <row r="146" spans="1:14">
      <c r="A146" s="12" t="s">
        <v>1224</v>
      </c>
      <c r="B146" s="13" t="s">
        <v>1225</v>
      </c>
      <c r="C146" s="14" t="s">
        <v>1226</v>
      </c>
      <c r="D146" s="15">
        <v>42194.394178240742</v>
      </c>
      <c r="E146" s="16" t="s">
        <v>18</v>
      </c>
      <c r="F146" s="16" t="s">
        <v>25</v>
      </c>
      <c r="G146" s="17" t="s">
        <v>780</v>
      </c>
      <c r="H146" s="17" t="s">
        <v>1227</v>
      </c>
      <c r="I146" s="13" t="s">
        <v>1228</v>
      </c>
      <c r="J146" s="18" t="str">
        <f>HYPERLINK("CorLog\ZMB\LDC\20150709 ZMB LDC Lusaka Assembly Hall video equipment (ZMB-to-WHQ).msg.msg", "Lusaka Assembly Hall video equipment")</f>
        <v>Lusaka Assembly Hall video equipment</v>
      </c>
      <c r="K146" s="22" t="s">
        <v>733</v>
      </c>
      <c r="L146" s="19"/>
      <c r="M146" s="20"/>
      <c r="N146" s="21" t="s">
        <v>1229</v>
      </c>
    </row>
    <row r="147" spans="1:14">
      <c r="A147" s="12" t="s">
        <v>1073</v>
      </c>
      <c r="B147" s="13"/>
      <c r="C147" s="14"/>
      <c r="D147" s="15">
        <v>42194</v>
      </c>
      <c r="E147" s="16" t="s">
        <v>25</v>
      </c>
      <c r="F147" s="16" t="s">
        <v>30</v>
      </c>
      <c r="G147" s="17" t="s">
        <v>719</v>
      </c>
      <c r="H147" s="17" t="s">
        <v>1230</v>
      </c>
      <c r="I147" s="13" t="s">
        <v>1231</v>
      </c>
      <c r="J147" s="18" t="str">
        <f>HYPERLINK("CorLog\Reference\20150709 Reference Construction Budget for Active Telecom Computer Components (WHQ-to-ALL).docx", "Construction Budget for Active Telecom Computer Components")</f>
        <v>Construction Budget for Active Telecom Computer Components</v>
      </c>
      <c r="K147" s="18"/>
      <c r="L147" s="19"/>
      <c r="M147" s="20"/>
      <c r="N147" s="21" t="s">
        <v>1232</v>
      </c>
    </row>
    <row r="148" spans="1:14">
      <c r="A148" s="12" t="s">
        <v>1233</v>
      </c>
      <c r="B148" s="13"/>
      <c r="C148" s="14"/>
      <c r="D148" s="15">
        <v>42194</v>
      </c>
      <c r="E148" s="16" t="s">
        <v>25</v>
      </c>
      <c r="F148" s="16" t="s">
        <v>30</v>
      </c>
      <c r="G148" s="17" t="s">
        <v>719</v>
      </c>
      <c r="H148" s="17" t="s">
        <v>1234</v>
      </c>
      <c r="I148" s="13" t="s">
        <v>1235</v>
      </c>
      <c r="J148" s="18" t="str">
        <f>HYPERLINK("CorLog\Reference\20150709 Reference Admin Project Tracking Financial Administrator Feature (WHQ-to-ALL).docx", "Admin Project Tracking Financial Administrator Feature")</f>
        <v>Admin Project Tracking Financial Administrator Feature</v>
      </c>
      <c r="K148" s="22"/>
      <c r="L148" s="19"/>
      <c r="M148" s="20"/>
      <c r="N148" s="21" t="s">
        <v>1236</v>
      </c>
    </row>
    <row r="149" spans="1:14">
      <c r="A149" s="12" t="s">
        <v>1176</v>
      </c>
      <c r="B149" s="13" t="s">
        <v>1237</v>
      </c>
      <c r="C149" s="14" t="s">
        <v>1238</v>
      </c>
      <c r="D149" s="15">
        <v>42193.800219907411</v>
      </c>
      <c r="E149" s="16" t="s">
        <v>16</v>
      </c>
      <c r="F149" s="16" t="s">
        <v>15</v>
      </c>
      <c r="G149" s="17" t="s">
        <v>979</v>
      </c>
      <c r="H149" s="17" t="s">
        <v>871</v>
      </c>
      <c r="I149" s="13" t="s">
        <v>1239</v>
      </c>
      <c r="J149" s="18" t="str">
        <f>HYPERLINK("CorLog\RTO\Projects\20150708 RTO Projects Consolidation of Equipment for RTOs from Europe to Africa (RDC-to-ZAF).msg.msg", "Consolidation of Equipment for RTOs from Europe to Africa")</f>
        <v>Consolidation of Equipment for RTOs from Europe to Africa</v>
      </c>
      <c r="K149" s="22"/>
      <c r="L149" s="19"/>
      <c r="M149" s="20"/>
      <c r="N149" s="21" t="s">
        <v>1240</v>
      </c>
    </row>
    <row r="150" spans="1:14">
      <c r="A150" s="12" t="s">
        <v>718</v>
      </c>
      <c r="B150" s="13" t="s">
        <v>964</v>
      </c>
      <c r="C150" s="14" t="s">
        <v>777</v>
      </c>
      <c r="D150" s="15">
        <v>42193.7190162037</v>
      </c>
      <c r="E150" s="16" t="s">
        <v>16</v>
      </c>
      <c r="F150" s="16" t="s">
        <v>16</v>
      </c>
      <c r="G150" s="17" t="s">
        <v>780</v>
      </c>
      <c r="H150" s="17" t="s">
        <v>1241</v>
      </c>
      <c r="I150" s="13" t="s">
        <v>1242</v>
      </c>
      <c r="J150" s="18" t="str">
        <f>HYPERLINK("CorLog\ZMB\LDC\20150708 ZMB LDC RDC review of video equipment questionnaire for Lusaka Assembly Hall - 2015 07 08 (RDC-to-RDC).msg", "RDC review of video equipment questionnaire for Lusaka Assembly Hall - 2015 07 08")</f>
        <v>RDC review of video equipment questionnaire for Lusaka Assembly Hall - 2015 07 08</v>
      </c>
      <c r="K150" s="22" t="s">
        <v>1243</v>
      </c>
      <c r="L150" s="19"/>
      <c r="M150" s="20"/>
      <c r="N150" s="21" t="s">
        <v>1244</v>
      </c>
    </row>
    <row r="151" spans="1:14">
      <c r="A151" s="12" t="s">
        <v>916</v>
      </c>
      <c r="B151" s="13" t="s">
        <v>1069</v>
      </c>
      <c r="C151" s="14" t="s">
        <v>1245</v>
      </c>
      <c r="D151" s="15">
        <v>42193.68440972222</v>
      </c>
      <c r="E151" s="16" t="s">
        <v>16</v>
      </c>
      <c r="F151" s="16" t="s">
        <v>18</v>
      </c>
      <c r="G151" s="17" t="s">
        <v>1070</v>
      </c>
      <c r="H151" s="17" t="s">
        <v>1246</v>
      </c>
      <c r="I151" s="13" t="s">
        <v>1247</v>
      </c>
      <c r="J151" s="18" t="str">
        <f>HYPERLINK("CorLog\ZMB\Katete RTO\20150708 ZMB Katete RTO Details of Block at windows and returns (RDC-to-ZMB).msg", "Details of Block at windows and returns")</f>
        <v>Details of Block at windows and returns</v>
      </c>
      <c r="K151" s="22"/>
      <c r="L151" s="19"/>
      <c r="M151" s="20"/>
      <c r="N151" s="21" t="s">
        <v>1248</v>
      </c>
    </row>
    <row r="152" spans="1:14">
      <c r="A152" s="12" t="s">
        <v>718</v>
      </c>
      <c r="B152" s="13" t="s">
        <v>1069</v>
      </c>
      <c r="C152" s="14" t="s">
        <v>1076</v>
      </c>
      <c r="D152" s="15">
        <v>42193.401388888888</v>
      </c>
      <c r="E152" s="16" t="s">
        <v>16</v>
      </c>
      <c r="F152" s="16" t="s">
        <v>18</v>
      </c>
      <c r="G152" s="17" t="s">
        <v>1070</v>
      </c>
      <c r="H152" s="17" t="s">
        <v>829</v>
      </c>
      <c r="I152" s="13" t="s">
        <v>1249</v>
      </c>
      <c r="J152" s="18" t="str">
        <f>HYPERLINK("CorLog\ZMB\Katete RTO\20150708 ZMB Katete RTO RDC review of NLBR 12219; Whisper Room; 20150609 (RDC-to-ZMB).msg", "RDC review of NLBR 12219; Whisper Room; 20150609")</f>
        <v>RDC review of NLBR 12219; Whisper Room; 20150609</v>
      </c>
      <c r="K152" s="22"/>
      <c r="L152" s="19"/>
      <c r="M152" s="20"/>
      <c r="N152" s="21" t="s">
        <v>1250</v>
      </c>
    </row>
    <row r="153" spans="1:14">
      <c r="A153" s="12" t="s">
        <v>750</v>
      </c>
      <c r="B153" s="13" t="s">
        <v>1251</v>
      </c>
      <c r="C153" s="14" t="s">
        <v>1252</v>
      </c>
      <c r="D153" s="15">
        <v>42193.373425925929</v>
      </c>
      <c r="E153" s="16" t="s">
        <v>16</v>
      </c>
      <c r="F153" s="16" t="s">
        <v>15</v>
      </c>
      <c r="G153" s="17" t="s">
        <v>719</v>
      </c>
      <c r="H153" s="17" t="s">
        <v>1253</v>
      </c>
      <c r="I153" s="13" t="s">
        <v>1254</v>
      </c>
      <c r="J153" s="18" t="str">
        <f>HYPERLINK("CorLog\Reference\20150708 Reference RTO AV Workspaces - Lessons Learned by RAVC (MINUTES) (RDC-to-ZAF).msg.msg", "RTO AV Workspaces - Lessons Learned by RAVC (MINUTES)")</f>
        <v>RTO AV Workspaces - Lessons Learned by RAVC (MINUTES)</v>
      </c>
      <c r="K153" s="22"/>
      <c r="L153" s="19"/>
      <c r="M153" s="20"/>
      <c r="N153" s="21" t="s">
        <v>1255</v>
      </c>
    </row>
    <row r="154" spans="1:14">
      <c r="A154" s="12" t="s">
        <v>750</v>
      </c>
      <c r="B154" s="13" t="s">
        <v>771</v>
      </c>
      <c r="C154" s="14" t="s">
        <v>742</v>
      </c>
      <c r="D154" s="15">
        <v>42192.816643518519</v>
      </c>
      <c r="E154" s="16" t="s">
        <v>16</v>
      </c>
      <c r="F154" s="16" t="s">
        <v>17</v>
      </c>
      <c r="G154" s="17" t="s">
        <v>913</v>
      </c>
      <c r="H154" s="17" t="s">
        <v>1085</v>
      </c>
      <c r="I154" s="13" t="s">
        <v>1256</v>
      </c>
      <c r="J154" s="18" t="str">
        <f>HYPERLINK("CorLog\COD\Branch\20150707 COD Branch 13A Res Fire Structural Report and 'the way forward' (MINUTES) (RDC-to-WDC).msg", "13A Res Fire Structural Report and 'the way forward' (MINUTES)")</f>
        <v>13A Res Fire Structural Report and 'the way forward' (MINUTES)</v>
      </c>
      <c r="K154" s="22" t="s">
        <v>747</v>
      </c>
      <c r="L154" s="19"/>
      <c r="M154" s="20"/>
      <c r="N154" s="21" t="s">
        <v>1257</v>
      </c>
    </row>
    <row r="155" spans="1:14">
      <c r="A155" s="12" t="s">
        <v>1258</v>
      </c>
      <c r="B155" s="13" t="s">
        <v>750</v>
      </c>
      <c r="C155" s="14" t="s">
        <v>1259</v>
      </c>
      <c r="D155" s="15">
        <v>42192.777662037035</v>
      </c>
      <c r="E155" s="16" t="s">
        <v>16</v>
      </c>
      <c r="F155" s="16" t="s">
        <v>16</v>
      </c>
      <c r="G155" s="17" t="s">
        <v>719</v>
      </c>
      <c r="H155" s="17" t="s">
        <v>1260</v>
      </c>
      <c r="I155" s="13" t="s">
        <v>1261</v>
      </c>
      <c r="J155" s="18" t="str">
        <f>HYPERLINK("CorLog\Reference\20150707 Reference N-drive 'closing down' (RDC-to-RDC).msg.msg", "N-drive 'closing down'")</f>
        <v>N-drive 'closing down'</v>
      </c>
      <c r="K155" s="22"/>
      <c r="L155" s="19"/>
      <c r="M155" s="20"/>
      <c r="N155" s="21" t="s">
        <v>1262</v>
      </c>
    </row>
    <row r="156" spans="1:14">
      <c r="A156" s="12" t="s">
        <v>718</v>
      </c>
      <c r="B156" s="13" t="s">
        <v>1146</v>
      </c>
      <c r="C156" s="14" t="s">
        <v>1263</v>
      </c>
      <c r="D156" s="15">
        <v>42192.697916666664</v>
      </c>
      <c r="E156" s="16" t="s">
        <v>16</v>
      </c>
      <c r="F156" s="16" t="s">
        <v>18</v>
      </c>
      <c r="G156" s="17" t="s">
        <v>979</v>
      </c>
      <c r="H156" s="17" t="s">
        <v>1264</v>
      </c>
      <c r="I156" s="13" t="s">
        <v>1265</v>
      </c>
      <c r="J156" s="18" t="str">
        <f>HYPERLINK("CorLog\RTO\Projects\20150707 RTO Projects Samsung AC units- Products discontinued (RDC-to-ZMB).msg.msg", "Samsung AC units- Products discontinued")</f>
        <v>Samsung AC units- Products discontinued</v>
      </c>
      <c r="K156" s="22" t="s">
        <v>747</v>
      </c>
      <c r="L156" s="19"/>
      <c r="M156" s="20"/>
      <c r="N156" s="21" t="s">
        <v>1266</v>
      </c>
    </row>
    <row r="157" spans="1:14">
      <c r="A157" s="12" t="s">
        <v>718</v>
      </c>
      <c r="B157" s="13" t="s">
        <v>1267</v>
      </c>
      <c r="C157" s="14" t="s">
        <v>1168</v>
      </c>
      <c r="D157" s="15">
        <v>42192.693749999999</v>
      </c>
      <c r="E157" s="16" t="s">
        <v>16</v>
      </c>
      <c r="F157" s="16" t="s">
        <v>23</v>
      </c>
      <c r="G157" s="17" t="s">
        <v>785</v>
      </c>
      <c r="H157" s="17" t="s">
        <v>1268</v>
      </c>
      <c r="I157" s="13" t="s">
        <v>1269</v>
      </c>
      <c r="J157" s="18" t="str">
        <f>HYPERLINK("CorLog\COD\Lubumbashi RTO\20150707 COD Lubumbashi RTO COD-7646 Lines; 290 300 320 610 - Products discontinued - (ZAF Req; 473245) (RDC-to-ZWE).msg", "COD-7646 Lines; 290 300 320 610 - Products discontinued - (ZAF Req; 473245)")</f>
        <v>COD-7646 Lines; 290 300 320 610 - Products discontinued - (ZAF Req; 473245)</v>
      </c>
      <c r="K157" s="22" t="s">
        <v>1270</v>
      </c>
      <c r="L157" s="19"/>
      <c r="M157" s="20"/>
      <c r="N157" s="21" t="s">
        <v>1271</v>
      </c>
    </row>
    <row r="158" spans="1:14">
      <c r="A158" s="12" t="s">
        <v>750</v>
      </c>
      <c r="B158" s="13" t="s">
        <v>1052</v>
      </c>
      <c r="C158" s="14" t="s">
        <v>1272</v>
      </c>
      <c r="D158" s="15">
        <v>42192.679178240738</v>
      </c>
      <c r="E158" s="16" t="s">
        <v>16</v>
      </c>
      <c r="F158" s="16" t="s">
        <v>17</v>
      </c>
      <c r="G158" s="17" t="s">
        <v>738</v>
      </c>
      <c r="H158" s="17" t="s">
        <v>1195</v>
      </c>
      <c r="I158" s="13" t="s">
        <v>1273</v>
      </c>
      <c r="J158" s="18" t="str">
        <f>HYPERLINK("CorLog\GHA\BEX 2\20150707 GHA BEX 2 CDP for WDC Review (RDC-to-WDC).msg", "CDP for WDC Review")</f>
        <v>CDP for WDC Review</v>
      </c>
      <c r="K158" s="22" t="s">
        <v>1274</v>
      </c>
      <c r="L158" s="19"/>
      <c r="M158" s="20"/>
      <c r="N158" s="21" t="s">
        <v>1275</v>
      </c>
    </row>
    <row r="159" spans="1:14">
      <c r="A159" s="12" t="s">
        <v>718</v>
      </c>
      <c r="B159" s="13" t="s">
        <v>837</v>
      </c>
      <c r="C159" s="14" t="s">
        <v>1276</v>
      </c>
      <c r="D159" s="15">
        <v>42192.606944444444</v>
      </c>
      <c r="E159" s="16" t="s">
        <v>16</v>
      </c>
      <c r="F159" s="16" t="s">
        <v>18</v>
      </c>
      <c r="G159" s="17" t="s">
        <v>838</v>
      </c>
      <c r="H159" s="17" t="s">
        <v>1277</v>
      </c>
      <c r="I159" s="13" t="s">
        <v>1278</v>
      </c>
      <c r="J159" s="18" t="str">
        <f>HYPERLINK("CorLog\ZMB\Choma RTO\20150707 ZMB Choma RTO Septic tank dividing wall location off by 200mm (AGREED) (RDC-to-ZMB).msg", "Septic tank dividing wall location off by 200mm (AGREED)")</f>
        <v>Septic tank dividing wall location off by 200mm (AGREED)</v>
      </c>
      <c r="K159" s="22" t="s">
        <v>1211</v>
      </c>
      <c r="L159" s="19"/>
      <c r="M159" s="20"/>
      <c r="N159" s="21" t="s">
        <v>1279</v>
      </c>
    </row>
    <row r="160" spans="1:14">
      <c r="A160" s="12" t="s">
        <v>718</v>
      </c>
      <c r="B160" s="13" t="s">
        <v>837</v>
      </c>
      <c r="C160" s="14" t="s">
        <v>1011</v>
      </c>
      <c r="D160" s="15">
        <v>42192.594444444447</v>
      </c>
      <c r="E160" s="16" t="s">
        <v>16</v>
      </c>
      <c r="F160" s="16" t="s">
        <v>18</v>
      </c>
      <c r="G160" s="17" t="s">
        <v>838</v>
      </c>
      <c r="H160" s="17" t="s">
        <v>1280</v>
      </c>
      <c r="I160" s="13" t="s">
        <v>1281</v>
      </c>
      <c r="J160" s="18" t="str">
        <f>HYPERLINK("CorLog\ZMB\Choma RTO\20150707 ZMB Choma RTO RDC review of NLBR -12480 Grundfos borehole pump package revised (RDC-to-ZMB).msg", "RDC review of NLBR -12480 Grundfos borehole pump package revised")</f>
        <v>RDC review of NLBR -12480 Grundfos borehole pump package revised</v>
      </c>
      <c r="K160" s="22" t="s">
        <v>1270</v>
      </c>
      <c r="L160" s="19"/>
      <c r="M160" s="20"/>
      <c r="N160" s="21" t="s">
        <v>1282</v>
      </c>
    </row>
    <row r="161" spans="1:14">
      <c r="A161" s="12" t="s">
        <v>964</v>
      </c>
      <c r="B161" s="13" t="s">
        <v>1283</v>
      </c>
      <c r="C161" s="14" t="s">
        <v>1284</v>
      </c>
      <c r="D161" s="15">
        <v>42192.585127314815</v>
      </c>
      <c r="E161" s="16" t="s">
        <v>16</v>
      </c>
      <c r="F161" s="16" t="s">
        <v>349</v>
      </c>
      <c r="G161" s="17" t="s">
        <v>807</v>
      </c>
      <c r="H161" s="17" t="s">
        <v>1285</v>
      </c>
      <c r="I161" s="13" t="s">
        <v>1286</v>
      </c>
      <c r="J161" s="18" t="str">
        <f>HYPERLINK("CorLog\GHA\Branch\20150707 GHA Branch Information request for damaged AVR (RDC-to-ITA).msg.msg", "Information request for damaged AVR")</f>
        <v>Information request for damaged AVR</v>
      </c>
      <c r="K161" s="22" t="s">
        <v>1287</v>
      </c>
      <c r="L161" s="19"/>
      <c r="M161" s="20"/>
      <c r="N161" s="21" t="s">
        <v>1288</v>
      </c>
    </row>
    <row r="162" spans="1:14">
      <c r="A162" s="12" t="s">
        <v>750</v>
      </c>
      <c r="B162" s="13" t="s">
        <v>1217</v>
      </c>
      <c r="C162" s="14" t="s">
        <v>1289</v>
      </c>
      <c r="D162" s="15">
        <v>42192.573576388888</v>
      </c>
      <c r="E162" s="16" t="s">
        <v>16</v>
      </c>
      <c r="F162" s="16" t="s">
        <v>16</v>
      </c>
      <c r="G162" s="17" t="s">
        <v>738</v>
      </c>
      <c r="H162" s="17" t="s">
        <v>1290</v>
      </c>
      <c r="I162" s="13" t="s">
        <v>1291</v>
      </c>
      <c r="J162" s="18" t="str">
        <f>HYPERLINK("CorLog\GHA\BEX 2\20150707 GHA BEX 2 Draft SALTO Costs; WDC and BC COST PLAN SCREENSHOTS; COST PLAN (RDC-to-RDC).msg", "Draft SALTO Costs; WDC and BC COST PLAN SCREENSHOTS; COST PLAN")</f>
        <v>Draft SALTO Costs; WDC and BC COST PLAN SCREENSHOTS; COST PLAN</v>
      </c>
      <c r="K162" s="22"/>
      <c r="L162" s="19"/>
      <c r="M162" s="20"/>
      <c r="N162" s="21" t="s">
        <v>1292</v>
      </c>
    </row>
    <row r="163" spans="1:14">
      <c r="A163" s="12" t="s">
        <v>1293</v>
      </c>
      <c r="B163" s="13" t="s">
        <v>750</v>
      </c>
      <c r="C163" s="14"/>
      <c r="D163" s="15">
        <v>42192.570034722223</v>
      </c>
      <c r="E163" s="16" t="s">
        <v>15</v>
      </c>
      <c r="F163" s="16" t="s">
        <v>16</v>
      </c>
      <c r="G163" s="17" t="s">
        <v>1294</v>
      </c>
      <c r="H163" s="17" t="s">
        <v>914</v>
      </c>
      <c r="I163" s="13" t="s">
        <v>1295</v>
      </c>
      <c r="J163" s="18" t="str">
        <f>HYPERLINK("CorLog\NGA\Branch\20150707 NGA Branch Nigeria Fire Assessments (ZAF-to-RDC).msg", "Nigeria Fire Assessments")</f>
        <v>Nigeria Fire Assessments</v>
      </c>
      <c r="K163" s="22" t="s">
        <v>1274</v>
      </c>
      <c r="L163" s="19"/>
      <c r="M163" s="20"/>
      <c r="N163" s="21" t="s">
        <v>1296</v>
      </c>
    </row>
    <row r="164" spans="1:14">
      <c r="A164" s="12" t="s">
        <v>718</v>
      </c>
      <c r="B164" s="13" t="s">
        <v>1297</v>
      </c>
      <c r="C164" s="14" t="s">
        <v>1298</v>
      </c>
      <c r="D164" s="15">
        <v>42192.546527777777</v>
      </c>
      <c r="E164" s="16" t="s">
        <v>16</v>
      </c>
      <c r="F164" s="16" t="s">
        <v>18</v>
      </c>
      <c r="G164" s="17" t="s">
        <v>1070</v>
      </c>
      <c r="H164" s="17" t="s">
        <v>1031</v>
      </c>
      <c r="I164" s="13" t="s">
        <v>1299</v>
      </c>
      <c r="J164" s="18" t="str">
        <f>HYPERLINK("CorLog\ZMB\Katete RTO\20150707 ZMB Katete RTO Borehole Pump electrical questions (RDC-to-ZMB).msg", "Borehole Pump electrical questions")</f>
        <v>Borehole Pump electrical questions</v>
      </c>
      <c r="K164" s="22" t="s">
        <v>1270</v>
      </c>
      <c r="L164" s="19"/>
      <c r="M164" s="20"/>
      <c r="N164" s="21" t="s">
        <v>1300</v>
      </c>
    </row>
    <row r="165" spans="1:14">
      <c r="A165" s="12" t="s">
        <v>718</v>
      </c>
      <c r="B165" s="13" t="s">
        <v>827</v>
      </c>
      <c r="C165" s="14" t="s">
        <v>1301</v>
      </c>
      <c r="D165" s="15">
        <v>42192.545138888891</v>
      </c>
      <c r="E165" s="16" t="s">
        <v>16</v>
      </c>
      <c r="F165" s="16" t="s">
        <v>21</v>
      </c>
      <c r="G165" s="17" t="s">
        <v>790</v>
      </c>
      <c r="H165" s="17" t="s">
        <v>829</v>
      </c>
      <c r="I165" s="13" t="s">
        <v>1302</v>
      </c>
      <c r="J165" s="18" t="str">
        <f>HYPERLINK("CorLog\GHA\BEX\20150707 GHA BEX RDC review of NLBR -60180; Electrical Materials (RDC-to-GHA).msg", "RDC review of NLBR -60180; Electrical Materials")</f>
        <v>RDC review of NLBR -60180; Electrical Materials</v>
      </c>
      <c r="K165" s="22" t="s">
        <v>1211</v>
      </c>
      <c r="L165" s="19"/>
      <c r="M165" s="20"/>
      <c r="N165" s="21" t="s">
        <v>1303</v>
      </c>
    </row>
    <row r="166" spans="1:14">
      <c r="A166" s="12" t="s">
        <v>718</v>
      </c>
      <c r="B166" s="13" t="s">
        <v>1258</v>
      </c>
      <c r="C166" s="14" t="s">
        <v>1304</v>
      </c>
      <c r="D166" s="15">
        <v>42192.543055555558</v>
      </c>
      <c r="E166" s="16" t="s">
        <v>16</v>
      </c>
      <c r="F166" s="16" t="s">
        <v>16</v>
      </c>
      <c r="G166" s="17" t="s">
        <v>719</v>
      </c>
      <c r="H166" s="17" t="s">
        <v>1305</v>
      </c>
      <c r="I166" s="13" t="s">
        <v>1306</v>
      </c>
      <c r="J166" s="18" t="str">
        <f>HYPERLINK("CorLog\Reference\20150707 Reference Any cloud-oriented collaborative solutions need WHQ Computer dept direction (RDC-to-RDC).msg", "Any cloud-oriented collaborative solutions need WHQ Computer dept direction")</f>
        <v>Any cloud-oriented collaborative solutions need WHQ Computer dept direction</v>
      </c>
      <c r="K166" s="22" t="s">
        <v>1211</v>
      </c>
      <c r="L166" s="19"/>
      <c r="M166" s="20"/>
      <c r="N166" s="21" t="s">
        <v>1307</v>
      </c>
    </row>
    <row r="167" spans="1:14">
      <c r="A167" s="12"/>
      <c r="B167" s="13"/>
      <c r="C167" s="14"/>
      <c r="D167" s="15">
        <v>42192.541990740741</v>
      </c>
      <c r="E167" s="16" t="s">
        <v>18</v>
      </c>
      <c r="F167" s="16" t="s">
        <v>16</v>
      </c>
      <c r="G167" s="17" t="s">
        <v>946</v>
      </c>
      <c r="H167" s="17" t="s">
        <v>781</v>
      </c>
      <c r="I167" s="13" t="s">
        <v>1308</v>
      </c>
      <c r="J167" s="18" t="str">
        <f>HYPERLINK("CorLog\ZMB\Mongu RTO\20150707 ZMB Mongu RTO Transfer of Jared and Marisa Fruciano (ZMB-to-RDC).docx", "Transfer of Jared and Marisa Fruciano")</f>
        <v>Transfer of Jared and Marisa Fruciano</v>
      </c>
      <c r="K167" s="18" t="str">
        <f>HYPERLINK("CorLog\ZMB\Mongu RTO\20150707 ZMB Mongu RTO Transfer of Jared and Marisa Fruciano (ZMB-to-RDC).zip", "Zipped (4)")</f>
        <v>Zipped (4)</v>
      </c>
      <c r="L167" s="19"/>
      <c r="M167" s="20"/>
      <c r="N167" s="21" t="s">
        <v>1309</v>
      </c>
    </row>
    <row r="168" spans="1:14">
      <c r="A168" s="12" t="s">
        <v>1310</v>
      </c>
      <c r="B168" s="13" t="s">
        <v>750</v>
      </c>
      <c r="C168" s="14"/>
      <c r="D168" s="15">
        <v>42192.443923611114</v>
      </c>
      <c r="E168" s="16" t="s">
        <v>16</v>
      </c>
      <c r="F168" s="16" t="s">
        <v>16</v>
      </c>
      <c r="G168" s="17" t="s">
        <v>738</v>
      </c>
      <c r="H168" s="17" t="s">
        <v>1311</v>
      </c>
      <c r="I168" s="13" t="s">
        <v>1312</v>
      </c>
      <c r="J168" s="18" t="str">
        <f>HYPERLINK("CorLog\GHA\BEX 2\20150707 GHA BEX 2 WSP Account 3 Invoice (RDC-to-RDC).msg", "WSP Account 3 Invoice")</f>
        <v>WSP Account 3 Invoice</v>
      </c>
      <c r="K168" s="22" t="s">
        <v>747</v>
      </c>
      <c r="L168" s="19"/>
      <c r="M168" s="20"/>
      <c r="N168" s="21" t="s">
        <v>1313</v>
      </c>
    </row>
    <row r="169" spans="1:14">
      <c r="A169" s="12"/>
      <c r="B169" s="13"/>
      <c r="C169" s="14"/>
      <c r="D169" s="15">
        <v>42192.394756944443</v>
      </c>
      <c r="E169" s="16" t="s">
        <v>19</v>
      </c>
      <c r="F169" s="16" t="s">
        <v>15</v>
      </c>
      <c r="G169" s="17" t="s">
        <v>1314</v>
      </c>
      <c r="H169" s="17" t="s">
        <v>867</v>
      </c>
      <c r="I169" s="13" t="s">
        <v>1315</v>
      </c>
      <c r="J169" s="18" t="str">
        <f>HYPERLINK("CorLog\AGO\LDC\20150707 AGO LDC Angola 2016 Kingdom Hall and Assembly Hall Budget (AGO-to-ZAF).docx", "Angola 2016 Kingdom Hall and Assembly Hall Budget")</f>
        <v>Angola 2016 Kingdom Hall and Assembly Hall Budget</v>
      </c>
      <c r="K169" s="18" t="str">
        <f>HYPERLINK("CorLog\AGO\LDC\20150707 AGO LDC Angola 2016 Kingdom Hall and Assembly Hall Budget (AGO-to-ZAF).zip", "Zipped (1)")</f>
        <v>Zipped (1)</v>
      </c>
      <c r="L169" s="19"/>
      <c r="M169" s="20"/>
      <c r="N169" s="21" t="s">
        <v>1316</v>
      </c>
    </row>
    <row r="170" spans="1:14">
      <c r="A170" s="12" t="s">
        <v>1160</v>
      </c>
      <c r="B170" s="13" t="s">
        <v>717</v>
      </c>
      <c r="C170" s="14" t="s">
        <v>750</v>
      </c>
      <c r="D170" s="15">
        <v>42192.365046296298</v>
      </c>
      <c r="E170" s="16" t="s">
        <v>20</v>
      </c>
      <c r="F170" s="16" t="s">
        <v>16</v>
      </c>
      <c r="G170" s="17" t="s">
        <v>719</v>
      </c>
      <c r="H170" s="17" t="s">
        <v>1317</v>
      </c>
      <c r="I170" s="13" t="s">
        <v>1318</v>
      </c>
      <c r="J170" s="18" t="str">
        <f>HYPERLINK("CorLog\Reference\20150707 Reference KHCG Ov Training (MOZ-to-RDC).msg.msg", "KHCG Ov Training")</f>
        <v>KHCG Ov Training</v>
      </c>
      <c r="K170" s="22" t="s">
        <v>721</v>
      </c>
      <c r="L170" s="19"/>
      <c r="M170" s="20"/>
      <c r="N170" s="21" t="s">
        <v>1319</v>
      </c>
    </row>
    <row r="171" spans="1:14">
      <c r="A171" s="12"/>
      <c r="B171" s="13"/>
      <c r="C171" s="14"/>
      <c r="D171" s="15">
        <v>42191.824571759258</v>
      </c>
      <c r="E171" s="16" t="s">
        <v>14</v>
      </c>
      <c r="F171" s="16" t="s">
        <v>15</v>
      </c>
      <c r="G171" s="17" t="s">
        <v>1320</v>
      </c>
      <c r="H171" s="17" t="s">
        <v>867</v>
      </c>
      <c r="I171" s="13" t="s">
        <v>1321</v>
      </c>
      <c r="J171" s="18" t="str">
        <f>HYPERLINK("CorLog\MDG\LDC\20150706 MDG LDC Kingdom Hall and Assembly Hall Construction Program Recommended Spending Limit for 2016 (MDG-to-ZAF).docx", "Kingdom Hall and Assembly Hall Construction Program Recommended Spending Limit for 2016")</f>
        <v>Kingdom Hall and Assembly Hall Construction Program Recommended Spending Limit for 2016</v>
      </c>
      <c r="K171" s="18" t="str">
        <f>HYPERLINK("CorLog\MDG\LDC\20150706 MDG LDC Kingdom Hall and Assembly Hall Construction Program Recommended Spending Limit for 2016 (MDG-to-ZAF).zip", "Zipped (1)")</f>
        <v>Zipped (1)</v>
      </c>
      <c r="L171" s="19"/>
      <c r="M171" s="20"/>
      <c r="N171" s="21" t="s">
        <v>1322</v>
      </c>
    </row>
    <row r="172" spans="1:14">
      <c r="A172" s="12" t="s">
        <v>718</v>
      </c>
      <c r="B172" s="13" t="s">
        <v>895</v>
      </c>
      <c r="C172" s="14"/>
      <c r="D172" s="15">
        <v>42191.716666666667</v>
      </c>
      <c r="E172" s="16" t="s">
        <v>16</v>
      </c>
      <c r="F172" s="16" t="s">
        <v>18</v>
      </c>
      <c r="G172" s="17" t="s">
        <v>1112</v>
      </c>
      <c r="H172" s="17" t="s">
        <v>858</v>
      </c>
      <c r="I172" s="13" t="s">
        <v>1323</v>
      </c>
      <c r="J172" s="18" t="str">
        <f>HYPERLINK("CorLog\ZMB\BEX\20150706 ZMB BEX RDC review of AO-8 Final for May, 2015 (RDC-to-ZMB).msg", "RDC review of AO-8 Final for May, 2015")</f>
        <v>RDC review of AO-8 Final for May, 2015</v>
      </c>
      <c r="K172" s="22"/>
      <c r="L172" s="19"/>
      <c r="M172" s="20"/>
      <c r="N172" s="21" t="s">
        <v>1324</v>
      </c>
    </row>
    <row r="173" spans="1:14">
      <c r="A173" s="12" t="s">
        <v>718</v>
      </c>
      <c r="B173" s="13" t="s">
        <v>1069</v>
      </c>
      <c r="C173" s="14" t="s">
        <v>1325</v>
      </c>
      <c r="D173" s="15">
        <v>42191.707638888889</v>
      </c>
      <c r="E173" s="16" t="s">
        <v>16</v>
      </c>
      <c r="F173" s="16" t="s">
        <v>18</v>
      </c>
      <c r="G173" s="17" t="s">
        <v>1070</v>
      </c>
      <c r="H173" s="17" t="s">
        <v>1184</v>
      </c>
      <c r="I173" s="13" t="s">
        <v>1326</v>
      </c>
      <c r="J173" s="18" t="str">
        <f>HYPERLINK("CorLog\ZMB\Katete RTO\20150706 ZMB Katete RTO RDC review of Draft DC-43; 201506 (RDC-to-ZMB).msg", "RDC review of Draft DC-43; 201506")</f>
        <v>RDC review of Draft DC-43; 201506</v>
      </c>
      <c r="K173" s="22"/>
      <c r="L173" s="19"/>
      <c r="M173" s="20"/>
      <c r="N173" s="21" t="s">
        <v>1327</v>
      </c>
    </row>
    <row r="174" spans="1:14">
      <c r="A174" s="12" t="s">
        <v>1293</v>
      </c>
      <c r="B174" s="13" t="s">
        <v>750</v>
      </c>
      <c r="C174" s="14"/>
      <c r="D174" s="15">
        <v>42191.679375</v>
      </c>
      <c r="E174" s="16" t="s">
        <v>24</v>
      </c>
      <c r="F174" s="16" t="s">
        <v>16</v>
      </c>
      <c r="G174" s="17" t="s">
        <v>913</v>
      </c>
      <c r="H174" s="17" t="s">
        <v>1085</v>
      </c>
      <c r="I174" s="13" t="s">
        <v>1328</v>
      </c>
      <c r="J174" s="18" t="str">
        <f>HYPERLINK("CorLog\COD\Branch\20150706 COD Branch Edited Congo Fire Report (USA-to-RDC).msg", "Edited Congo Fire Report")</f>
        <v>Edited Congo Fire Report</v>
      </c>
      <c r="K174" s="22" t="s">
        <v>721</v>
      </c>
      <c r="L174" s="19"/>
      <c r="M174" s="20"/>
      <c r="N174" s="21" t="s">
        <v>1329</v>
      </c>
    </row>
    <row r="175" spans="1:14">
      <c r="A175" s="12" t="s">
        <v>718</v>
      </c>
      <c r="B175" s="13" t="s">
        <v>842</v>
      </c>
      <c r="C175" s="14" t="s">
        <v>1330</v>
      </c>
      <c r="D175" s="15">
        <v>42191.672222222223</v>
      </c>
      <c r="E175" s="16" t="s">
        <v>16</v>
      </c>
      <c r="F175" s="16" t="s">
        <v>21</v>
      </c>
      <c r="G175" s="17" t="s">
        <v>758</v>
      </c>
      <c r="H175" s="17" t="s">
        <v>1331</v>
      </c>
      <c r="I175" s="13" t="s">
        <v>1332</v>
      </c>
      <c r="J175" s="18" t="str">
        <f>HYPERLINK("CorLog\GHA\Viepe RTO\20150706 GHA Viepe RTO RDC review of NLBR -59657; Plumbing (RDC-to-GHA).msg", "RDC review of NLBR -59657; Plumbing")</f>
        <v>RDC review of NLBR -59657; Plumbing</v>
      </c>
      <c r="K175" s="22" t="s">
        <v>1274</v>
      </c>
      <c r="L175" s="19"/>
      <c r="M175" s="20"/>
      <c r="N175" s="21" t="s">
        <v>1333</v>
      </c>
    </row>
    <row r="176" spans="1:14">
      <c r="A176" s="12" t="s">
        <v>718</v>
      </c>
      <c r="B176" s="13" t="s">
        <v>842</v>
      </c>
      <c r="C176" s="14" t="s">
        <v>1334</v>
      </c>
      <c r="D176" s="15">
        <v>42191.654861111114</v>
      </c>
      <c r="E176" s="16" t="s">
        <v>16</v>
      </c>
      <c r="F176" s="16" t="s">
        <v>21</v>
      </c>
      <c r="G176" s="17" t="s">
        <v>758</v>
      </c>
      <c r="H176" s="17" t="s">
        <v>1331</v>
      </c>
      <c r="I176" s="13" t="s">
        <v>1335</v>
      </c>
      <c r="J176" s="18" t="str">
        <f>HYPERLINK("CorLog\GHA\Viepe RTO\20150706 GHA Viepe RTO RDC review of NLBR -60157 Plumbing Materials (RDC-to-GHA).msg", "RDC review of NLBR -60157 Plumbing Materials")</f>
        <v>RDC review of NLBR -60157 Plumbing Materials</v>
      </c>
      <c r="K176" s="22" t="s">
        <v>1211</v>
      </c>
      <c r="L176" s="19"/>
      <c r="M176" s="20"/>
      <c r="N176" s="21" t="s">
        <v>1336</v>
      </c>
    </row>
    <row r="177" spans="1:14">
      <c r="A177" s="12" t="s">
        <v>718</v>
      </c>
      <c r="B177" s="13" t="s">
        <v>883</v>
      </c>
      <c r="C177" s="14" t="s">
        <v>1337</v>
      </c>
      <c r="D177" s="15">
        <v>42191.652083333334</v>
      </c>
      <c r="E177" s="16" t="s">
        <v>16</v>
      </c>
      <c r="F177" s="16" t="s">
        <v>18</v>
      </c>
      <c r="G177" s="17" t="s">
        <v>885</v>
      </c>
      <c r="H177" s="17" t="s">
        <v>886</v>
      </c>
      <c r="I177" s="13" t="s">
        <v>1338</v>
      </c>
      <c r="J177" s="18" t="str">
        <f>HYPERLINK("CorLog\ZMB\Kabompo RTO\20150706 ZMB Kabompo RTO Office Building- How to bond the exterior metal pole the internet providers installed (RDC-to-ZMB).msg", "Office Building- How to bond the exterior metal pole the internet providers installed")</f>
        <v>Office Building- How to bond the exterior metal pole the internet providers installed</v>
      </c>
      <c r="K177" s="22" t="s">
        <v>1211</v>
      </c>
      <c r="L177" s="19"/>
      <c r="M177" s="20"/>
      <c r="N177" s="21" t="s">
        <v>1339</v>
      </c>
    </row>
    <row r="178" spans="1:14">
      <c r="A178" s="12" t="s">
        <v>1340</v>
      </c>
      <c r="B178" s="13"/>
      <c r="C178" s="14"/>
      <c r="D178" s="15">
        <v>42191</v>
      </c>
      <c r="E178" s="16" t="s">
        <v>15</v>
      </c>
      <c r="F178" s="16" t="s">
        <v>14</v>
      </c>
      <c r="G178" s="17" t="s">
        <v>1320</v>
      </c>
      <c r="H178" s="17" t="s">
        <v>1241</v>
      </c>
      <c r="I178" s="13" t="s">
        <v>1341</v>
      </c>
      <c r="J178" s="18" t="str">
        <f>HYPERLINK("CorLog\MDG\LDC\20150706 MDG LDC Video Equipment for Assembly Halls and Expandable Kingdom Halls in Madagascar (ZAF-to-MDG).docx", "Video Equipment for Assembly Halls and Expandable Kingdom Halls in Madagascar")</f>
        <v>Video Equipment for Assembly Halls and Expandable Kingdom Halls in Madagascar</v>
      </c>
      <c r="K178" s="18"/>
      <c r="L178" s="19"/>
      <c r="M178" s="20"/>
      <c r="N178" s="21" t="s">
        <v>1342</v>
      </c>
    </row>
    <row r="179" spans="1:14">
      <c r="A179" s="12" t="s">
        <v>1343</v>
      </c>
      <c r="B179" s="13"/>
      <c r="C179" s="14"/>
      <c r="D179" s="15">
        <v>42191</v>
      </c>
      <c r="E179" s="16" t="s">
        <v>32</v>
      </c>
      <c r="F179" s="16" t="s">
        <v>15</v>
      </c>
      <c r="G179" s="17" t="s">
        <v>1344</v>
      </c>
      <c r="H179" s="17" t="s">
        <v>725</v>
      </c>
      <c r="I179" s="13" t="s">
        <v>1345</v>
      </c>
      <c r="J179" s="18" t="str">
        <f>HYPERLINK("CorLog\CMR\Branch\20150706 CMR Branch Branch Relocation Project - Exemption (CMR-to-ZAF).docx", "Branch Relocation Project - Exemption")</f>
        <v>Branch Relocation Project - Exemption</v>
      </c>
      <c r="K179" s="22"/>
      <c r="L179" s="19"/>
      <c r="M179" s="20"/>
      <c r="N179" s="21" t="s">
        <v>1346</v>
      </c>
    </row>
    <row r="180" spans="1:14">
      <c r="A180" s="12"/>
      <c r="B180" s="13"/>
      <c r="C180" s="14"/>
      <c r="D180" s="15">
        <v>42190.278032407405</v>
      </c>
      <c r="E180" s="16" t="s">
        <v>14</v>
      </c>
      <c r="F180" s="16" t="s">
        <v>15</v>
      </c>
      <c r="G180" s="17" t="s">
        <v>1320</v>
      </c>
      <c r="H180" s="17" t="s">
        <v>867</v>
      </c>
      <c r="I180" s="13" t="s">
        <v>1321</v>
      </c>
      <c r="J180" s="18" t="str">
        <f>HYPERLINK("CorLog\MDG\LDC\20150705 MDG LDC Kingdom Hall and Assembly Hall Construction Program Recommended Spending Limit for 2016 (MDG-to-ZAF).docx", "Kingdom Hall and Assembly Hall Construction Program Recommended Spending Limit for 2016")</f>
        <v>Kingdom Hall and Assembly Hall Construction Program Recommended Spending Limit for 2016</v>
      </c>
      <c r="K180" s="18" t="str">
        <f>HYPERLINK("CorLog\MDG\LDC\20150705 MDG LDC Kingdom Hall and Assembly Hall Construction Program Recommended Spending Limit for 2016 (MDG-to-ZAF).zip", "Zipped")</f>
        <v>Zipped</v>
      </c>
      <c r="L180" s="19"/>
      <c r="M180" s="20"/>
      <c r="N180" s="21" t="s">
        <v>1322</v>
      </c>
    </row>
    <row r="181" spans="1:14">
      <c r="A181" s="12" t="s">
        <v>1043</v>
      </c>
      <c r="B181" s="13"/>
      <c r="C181" s="14"/>
      <c r="D181" s="15">
        <v>42190</v>
      </c>
      <c r="E181" s="16" t="s">
        <v>25</v>
      </c>
      <c r="F181" s="16" t="s">
        <v>17</v>
      </c>
      <c r="G181" s="17" t="s">
        <v>790</v>
      </c>
      <c r="H181" s="17" t="s">
        <v>1347</v>
      </c>
      <c r="I181" s="13" t="s">
        <v>1348</v>
      </c>
      <c r="J181" s="18" t="str">
        <f>HYPERLINK("CorLog\GHA\BEX\20150705 GHA BEX Use of Category 6a Cabling for New Installations (WHQ-to-WDC).docx", "Use of Category 6a Cabling for New Installations")</f>
        <v>Use of Category 6a Cabling for New Installations</v>
      </c>
      <c r="K181" s="22"/>
      <c r="L181" s="19"/>
      <c r="M181" s="20"/>
      <c r="N181" s="21" t="s">
        <v>1349</v>
      </c>
    </row>
    <row r="182" spans="1:14">
      <c r="A182" s="12" t="s">
        <v>750</v>
      </c>
      <c r="B182" s="13" t="s">
        <v>718</v>
      </c>
      <c r="C182" s="14" t="s">
        <v>1350</v>
      </c>
      <c r="D182" s="15">
        <v>42188.646273148152</v>
      </c>
      <c r="E182" s="16" t="s">
        <v>16</v>
      </c>
      <c r="F182" s="16" t="s">
        <v>16</v>
      </c>
      <c r="G182" s="17" t="s">
        <v>738</v>
      </c>
      <c r="H182" s="17" t="s">
        <v>1195</v>
      </c>
      <c r="I182" s="13" t="s">
        <v>1351</v>
      </c>
      <c r="J182" s="18" t="str">
        <f>HYPERLINK("CorLog\GHA\BEX 2\20150703 GHA BEX 2 Wash rooms Visitors; Extend Auditorium--'EXTRA-OVER ITEM' (RDC-to-RDC).msg", "Wash rooms Visitors; Extend Auditorium--'EXTRA-OVER ITEM'")</f>
        <v>Wash rooms Visitors; Extend Auditorium--'EXTRA-OVER ITEM'</v>
      </c>
      <c r="K182" s="22" t="s">
        <v>721</v>
      </c>
      <c r="L182" s="19"/>
      <c r="M182" s="20"/>
      <c r="N182" s="21" t="s">
        <v>1352</v>
      </c>
    </row>
    <row r="183" spans="1:14">
      <c r="A183" s="12" t="s">
        <v>750</v>
      </c>
      <c r="B183" s="13" t="s">
        <v>771</v>
      </c>
      <c r="C183" s="14" t="s">
        <v>1353</v>
      </c>
      <c r="D183" s="15">
        <v>42188.576342592591</v>
      </c>
      <c r="E183" s="16" t="s">
        <v>16</v>
      </c>
      <c r="F183" s="16" t="s">
        <v>17</v>
      </c>
      <c r="G183" s="17" t="s">
        <v>738</v>
      </c>
      <c r="H183" s="17" t="s">
        <v>1354</v>
      </c>
      <c r="I183" s="13" t="s">
        <v>1355</v>
      </c>
      <c r="J183" s="18" t="str">
        <f>HYPERLINK("CorLog\GHA\BEX 2\20150703 GHA BEX 2 Service Building Estimate for Smaller Option (MINUTES; XLS) (RDC-to-WDC).msg", "Service Building Estimate for Smaller Option (MINUTES; XLS)")</f>
        <v>Service Building Estimate for Smaller Option (MINUTES; XLS)</v>
      </c>
      <c r="K183" s="22" t="s">
        <v>733</v>
      </c>
      <c r="L183" s="19"/>
      <c r="M183" s="20"/>
      <c r="N183" s="21" t="s">
        <v>1356</v>
      </c>
    </row>
    <row r="184" spans="1:14">
      <c r="A184" s="12" t="s">
        <v>1357</v>
      </c>
      <c r="B184" s="13" t="s">
        <v>1160</v>
      </c>
      <c r="C184" s="14" t="s">
        <v>1358</v>
      </c>
      <c r="D184" s="15">
        <v>42188.562083333331</v>
      </c>
      <c r="E184" s="16" t="s">
        <v>17</v>
      </c>
      <c r="F184" s="16" t="s">
        <v>20</v>
      </c>
      <c r="G184" s="17" t="s">
        <v>719</v>
      </c>
      <c r="H184" s="17" t="s">
        <v>1359</v>
      </c>
      <c r="I184" s="13" t="s">
        <v>1360</v>
      </c>
      <c r="J184" s="18" t="str">
        <f>HYPERLINK("CorLog\Reference\20150703 Reference Annual Budget v AHMP (WDC-to-MOZ).msg.msg", "Annual Budget v AHMP")</f>
        <v>Annual Budget v AHMP</v>
      </c>
      <c r="K184" s="22"/>
      <c r="L184" s="19"/>
      <c r="M184" s="20"/>
      <c r="N184" s="21" t="s">
        <v>1361</v>
      </c>
    </row>
    <row r="185" spans="1:14">
      <c r="A185" s="12" t="s">
        <v>827</v>
      </c>
      <c r="B185" s="13" t="s">
        <v>822</v>
      </c>
      <c r="C185" s="14" t="s">
        <v>1362</v>
      </c>
      <c r="D185" s="15">
        <v>42188.465624999997</v>
      </c>
      <c r="E185" s="16" t="s">
        <v>21</v>
      </c>
      <c r="F185" s="16" t="s">
        <v>21</v>
      </c>
      <c r="G185" s="17" t="s">
        <v>790</v>
      </c>
      <c r="H185" s="17" t="s">
        <v>1363</v>
      </c>
      <c r="I185" s="13" t="s">
        <v>1364</v>
      </c>
      <c r="J185" s="18" t="str">
        <f>HYPERLINK("CorLog\GHA\BEX\20150703 GHA BEX Location for RTO Coordinators office and Storage (GHA-to-GHA).msg", "Location for RTO Coordinators office and Storage")</f>
        <v>Location for RTO Coordinators office and Storage</v>
      </c>
      <c r="K185" s="22" t="s">
        <v>1211</v>
      </c>
      <c r="L185" s="19"/>
      <c r="M185" s="20"/>
      <c r="N185" s="21" t="s">
        <v>1365</v>
      </c>
    </row>
    <row r="186" spans="1:14">
      <c r="A186" s="12" t="s">
        <v>1181</v>
      </c>
      <c r="B186" s="13" t="s">
        <v>718</v>
      </c>
      <c r="C186" s="14" t="s">
        <v>1366</v>
      </c>
      <c r="D186" s="15">
        <v>42188.456921296296</v>
      </c>
      <c r="E186" s="16" t="s">
        <v>16</v>
      </c>
      <c r="F186" s="16" t="s">
        <v>16</v>
      </c>
      <c r="G186" s="17" t="s">
        <v>979</v>
      </c>
      <c r="H186" s="17" t="s">
        <v>1367</v>
      </c>
      <c r="I186" s="13" t="s">
        <v>1368</v>
      </c>
      <c r="J186" s="18" t="str">
        <f>HYPERLINK("CorLog\RTO\Projects\20150703 RTO Projects Spec for hand wash drying (RDC-to-RDC).msg", "Spec for hand wash drying")</f>
        <v>Spec for hand wash drying</v>
      </c>
      <c r="K186" s="22" t="s">
        <v>1369</v>
      </c>
      <c r="L186" s="19"/>
      <c r="M186" s="20"/>
      <c r="N186" s="21" t="s">
        <v>1370</v>
      </c>
    </row>
    <row r="187" spans="1:14">
      <c r="A187" s="12" t="s">
        <v>916</v>
      </c>
      <c r="B187" s="13" t="s">
        <v>717</v>
      </c>
      <c r="C187" s="14" t="s">
        <v>1371</v>
      </c>
      <c r="D187" s="15">
        <v>42188.4453587963</v>
      </c>
      <c r="E187" s="16" t="s">
        <v>16</v>
      </c>
      <c r="F187" s="16" t="s">
        <v>16</v>
      </c>
      <c r="G187" s="17" t="s">
        <v>1169</v>
      </c>
      <c r="H187" s="17" t="s">
        <v>1200</v>
      </c>
      <c r="I187" s="13" t="s">
        <v>1372</v>
      </c>
      <c r="J187" s="18" t="str">
        <f>HYPERLINK("CorLog\COD\Kikwit RTO\20150703 COD Kikwit RTO DCP Test -1 Under residential Bldg footing 29 June 2015 (RDC-to-RDC).msg", "DCP Test -1 Under residential Bldg footing 29 June 2015")</f>
        <v>DCP Test -1 Under residential Bldg footing 29 June 2015</v>
      </c>
      <c r="K187" s="22" t="s">
        <v>1211</v>
      </c>
      <c r="L187" s="19"/>
      <c r="M187" s="20"/>
      <c r="N187" s="21" t="s">
        <v>1373</v>
      </c>
    </row>
    <row r="188" spans="1:14">
      <c r="A188" s="12" t="s">
        <v>750</v>
      </c>
      <c r="B188" s="13" t="s">
        <v>1374</v>
      </c>
      <c r="C188" s="14" t="s">
        <v>1375</v>
      </c>
      <c r="D188" s="15">
        <v>42188.368958333333</v>
      </c>
      <c r="E188" s="16" t="s">
        <v>16</v>
      </c>
      <c r="F188" s="16" t="s">
        <v>21</v>
      </c>
      <c r="G188" s="17" t="s">
        <v>738</v>
      </c>
      <c r="H188" s="17" t="s">
        <v>1195</v>
      </c>
      <c r="I188" s="13" t="s">
        <v>1376</v>
      </c>
      <c r="J188" s="18" t="str">
        <f>HYPERLINK("CorLog\GHA\BEX 2\20150703 GHA BEX 2 Branch Comments on CDP Document (RDC-to-GHA).msg", "Branch Comments on CDP Document")</f>
        <v>Branch Comments on CDP Document</v>
      </c>
      <c r="K188" s="22"/>
      <c r="L188" s="19"/>
      <c r="M188" s="20"/>
      <c r="N188" s="21" t="s">
        <v>1377</v>
      </c>
    </row>
    <row r="189" spans="1:14">
      <c r="A189" s="12" t="s">
        <v>717</v>
      </c>
      <c r="B189" s="13" t="s">
        <v>1378</v>
      </c>
      <c r="C189" s="14" t="s">
        <v>1379</v>
      </c>
      <c r="D189" s="15">
        <v>42188.24114583333</v>
      </c>
      <c r="E189" s="16" t="s">
        <v>16</v>
      </c>
      <c r="F189" s="16" t="s">
        <v>22</v>
      </c>
      <c r="G189" s="17" t="s">
        <v>785</v>
      </c>
      <c r="H189" s="17" t="s">
        <v>854</v>
      </c>
      <c r="I189" s="13" t="s">
        <v>1380</v>
      </c>
      <c r="J189" s="18" t="str">
        <f>HYPERLINK("CorLog\COD\Lubumbashi RTO\20150703 COD Lubumbashi RTO Office Building - Footing Remedial Work (RDC-to-COD).msg", "Office Building - Footing Remedial Work")</f>
        <v>Office Building - Footing Remedial Work</v>
      </c>
      <c r="K189" s="22" t="s">
        <v>1211</v>
      </c>
      <c r="L189" s="19"/>
      <c r="M189" s="20"/>
      <c r="N189" s="21" t="s">
        <v>1381</v>
      </c>
    </row>
    <row r="190" spans="1:14">
      <c r="A190" s="12"/>
      <c r="B190" s="13"/>
      <c r="C190" s="14"/>
      <c r="D190" s="15">
        <v>42187.848576388889</v>
      </c>
      <c r="E190" s="16" t="s">
        <v>25</v>
      </c>
      <c r="F190" s="16" t="s">
        <v>30</v>
      </c>
      <c r="G190" s="17" t="s">
        <v>719</v>
      </c>
      <c r="H190" s="17" t="s">
        <v>1382</v>
      </c>
      <c r="I190" s="13" t="s">
        <v>1383</v>
      </c>
      <c r="J190" s="18" t="str">
        <f>HYPERLINK("CorLog\Reference\20150702 Reference Clarification of Assembly Hall Operation Responsibilities (WHQ-to-ALL).doc", "Clarification of Assembly Hall Operation Responsibilities")</f>
        <v>Clarification of Assembly Hall Operation Responsibilities</v>
      </c>
      <c r="K190" s="18"/>
      <c r="L190" s="19"/>
      <c r="M190" s="20"/>
      <c r="N190" s="21" t="s">
        <v>1384</v>
      </c>
    </row>
    <row r="191" spans="1:14">
      <c r="A191" s="12" t="s">
        <v>827</v>
      </c>
      <c r="B191" s="13" t="s">
        <v>718</v>
      </c>
      <c r="C191" s="14" t="s">
        <v>1385</v>
      </c>
      <c r="D191" s="15">
        <v>42187.706504629627</v>
      </c>
      <c r="E191" s="16" t="s">
        <v>21</v>
      </c>
      <c r="F191" s="16" t="s">
        <v>16</v>
      </c>
      <c r="G191" s="17" t="s">
        <v>738</v>
      </c>
      <c r="H191" s="17" t="s">
        <v>867</v>
      </c>
      <c r="I191" s="13" t="s">
        <v>1386</v>
      </c>
      <c r="J191" s="18" t="str">
        <f>HYPERLINK("CorLog\GHA\BEX 2\20150702 GHA BEX 2 Phase II- Account 1-16700 Cost to transfer (GHA-to-RDC).msg", "Phase II- Account 1-16700 Cost to transfer")</f>
        <v>Phase II- Account 1-16700 Cost to transfer</v>
      </c>
      <c r="K191" s="22" t="s">
        <v>1211</v>
      </c>
      <c r="L191" s="19"/>
      <c r="M191" s="20"/>
      <c r="N191" s="21" t="s">
        <v>1387</v>
      </c>
    </row>
    <row r="192" spans="1:14">
      <c r="A192" s="12" t="s">
        <v>827</v>
      </c>
      <c r="B192" s="13" t="s">
        <v>718</v>
      </c>
      <c r="C192" s="14" t="s">
        <v>1385</v>
      </c>
      <c r="D192" s="15">
        <v>42187.706469907411</v>
      </c>
      <c r="E192" s="16" t="s">
        <v>21</v>
      </c>
      <c r="F192" s="16" t="s">
        <v>16</v>
      </c>
      <c r="G192" s="17" t="s">
        <v>790</v>
      </c>
      <c r="H192" s="17" t="s">
        <v>867</v>
      </c>
      <c r="I192" s="13" t="s">
        <v>1388</v>
      </c>
      <c r="J192" s="18" t="str">
        <f>HYPERLINK("CorLog\GHA\BEX\20150702 GHA BEX Phase II- Account 1-16700; costs for BEX 1 and 2 (GHA-to-RDC).msg", "Phase II- Account 1-16700; costs for BEX 1 and 2")</f>
        <v>Phase II- Account 1-16700; costs for BEX 1 and 2</v>
      </c>
      <c r="K192" s="22" t="s">
        <v>721</v>
      </c>
      <c r="L192" s="19"/>
      <c r="M192" s="20"/>
      <c r="N192" s="21" t="s">
        <v>1387</v>
      </c>
    </row>
    <row r="193" spans="1:14">
      <c r="A193" s="12"/>
      <c r="B193" s="13"/>
      <c r="C193" s="14"/>
      <c r="D193" s="15">
        <v>42187.675219907411</v>
      </c>
      <c r="E193" s="16" t="s">
        <v>21</v>
      </c>
      <c r="F193" s="16" t="s">
        <v>17</v>
      </c>
      <c r="G193" s="17" t="s">
        <v>790</v>
      </c>
      <c r="H193" s="17" t="s">
        <v>1347</v>
      </c>
      <c r="I193" s="13" t="s">
        <v>1348</v>
      </c>
      <c r="J193" s="18" t="str">
        <f>HYPERLINK("CorLog\GHA\BEX\20150702 GHA BEX Use of Category 6a Cabling for New Installations (GHA-to-WDC).docx", "Use of Category 6a Cabling for New Installations")</f>
        <v>Use of Category 6a Cabling for New Installations</v>
      </c>
      <c r="K193" s="18"/>
      <c r="L193" s="19"/>
      <c r="M193" s="20"/>
      <c r="N193" s="21" t="s">
        <v>1349</v>
      </c>
    </row>
    <row r="194" spans="1:14">
      <c r="A194" s="12" t="s">
        <v>1052</v>
      </c>
      <c r="B194" s="13" t="s">
        <v>1206</v>
      </c>
      <c r="C194" s="14"/>
      <c r="D194" s="15">
        <v>42187.531643518516</v>
      </c>
      <c r="E194" s="16" t="s">
        <v>17</v>
      </c>
      <c r="F194" s="16" t="s">
        <v>16</v>
      </c>
      <c r="G194" s="17" t="s">
        <v>17</v>
      </c>
      <c r="H194" s="17" t="s">
        <v>1389</v>
      </c>
      <c r="I194" s="13" t="s">
        <v>1390</v>
      </c>
      <c r="J194" s="18" t="str">
        <f>HYPERLINK("CorLog\WDC\20150702 WDC (ON WDC RDC MEETING) WDC RDC Meeting - July 2, 2015 (WDC-to-RDC).msg.msg", "(ON WDC RDC MEETING) WDC RDC Meeting - July 2, 2015")</f>
        <v>(ON WDC RDC MEETING) WDC RDC Meeting - July 2, 2015</v>
      </c>
      <c r="K194" s="22" t="s">
        <v>721</v>
      </c>
      <c r="L194" s="19"/>
      <c r="M194" s="20"/>
      <c r="N194" s="21" t="s">
        <v>1391</v>
      </c>
    </row>
    <row r="195" spans="1:14">
      <c r="A195" s="12"/>
      <c r="B195" s="13"/>
      <c r="C195" s="14"/>
      <c r="D195" s="15">
        <v>42187.531342592592</v>
      </c>
      <c r="E195" s="16" t="s">
        <v>17</v>
      </c>
      <c r="F195" s="16" t="s">
        <v>16</v>
      </c>
      <c r="G195" s="17" t="s">
        <v>17</v>
      </c>
      <c r="H195" s="17" t="s">
        <v>1392</v>
      </c>
      <c r="I195" s="13" t="s">
        <v>1393</v>
      </c>
      <c r="J195" s="18" t="str">
        <f>HYPERLINK("CorLog\WDC\20150702 WDC RDC Minutes 015 (WDC-to-RDC).pdf", "RDC Minutes 015")</f>
        <v>RDC Minutes 015</v>
      </c>
      <c r="K195" s="22"/>
      <c r="L195" s="19"/>
      <c r="M195" s="20"/>
      <c r="N195" s="21"/>
    </row>
    <row r="196" spans="1:14">
      <c r="A196" s="12" t="s">
        <v>718</v>
      </c>
      <c r="B196" s="13" t="s">
        <v>837</v>
      </c>
      <c r="C196" s="14" t="s">
        <v>1109</v>
      </c>
      <c r="D196" s="15">
        <v>42187.48646990741</v>
      </c>
      <c r="E196" s="16" t="s">
        <v>16</v>
      </c>
      <c r="F196" s="16" t="s">
        <v>18</v>
      </c>
      <c r="G196" s="17" t="s">
        <v>838</v>
      </c>
      <c r="H196" s="17" t="s">
        <v>803</v>
      </c>
      <c r="I196" s="13" t="s">
        <v>1394</v>
      </c>
      <c r="J196" s="18" t="str">
        <f>HYPERLINK("CorLog\ZMB\Choma RTO\20150702 ZMB Choma RTO FS MF-A-201-S1, Entrance Canopy removed (RDC-to-ZMB).msg", "FS MF-A-201-S1, Entrance Canopy removed")</f>
        <v>FS MF-A-201-S1, Entrance Canopy removed</v>
      </c>
      <c r="K196" s="22" t="s">
        <v>733</v>
      </c>
      <c r="L196" s="19"/>
      <c r="M196" s="20"/>
      <c r="N196" s="21" t="s">
        <v>1395</v>
      </c>
    </row>
    <row r="197" spans="1:14">
      <c r="A197" s="12" t="s">
        <v>718</v>
      </c>
      <c r="B197" s="13" t="s">
        <v>837</v>
      </c>
      <c r="C197" s="14" t="s">
        <v>1396</v>
      </c>
      <c r="D197" s="15">
        <v>42187.455555555556</v>
      </c>
      <c r="E197" s="16" t="s">
        <v>16</v>
      </c>
      <c r="F197" s="16" t="s">
        <v>18</v>
      </c>
      <c r="G197" s="17" t="s">
        <v>838</v>
      </c>
      <c r="H197" s="17" t="s">
        <v>1184</v>
      </c>
      <c r="I197" s="13" t="s">
        <v>1397</v>
      </c>
      <c r="J197" s="18" t="str">
        <f>HYPERLINK("CorLog\ZMB\Choma RTO\20150702 ZMB Choma RTO RDC review of DC-43 for May (RDC-to-ZMB).msg", "RDC review of DC-43 for May")</f>
        <v>RDC review of DC-43 for May</v>
      </c>
      <c r="K197" s="22" t="s">
        <v>1211</v>
      </c>
      <c r="L197" s="19"/>
      <c r="M197" s="20"/>
      <c r="N197" s="21" t="s">
        <v>1398</v>
      </c>
    </row>
    <row r="198" spans="1:14">
      <c r="A198" s="12" t="s">
        <v>718</v>
      </c>
      <c r="B198" s="13" t="s">
        <v>1069</v>
      </c>
      <c r="C198" s="14" t="s">
        <v>1399</v>
      </c>
      <c r="D198" s="15">
        <v>42187.45</v>
      </c>
      <c r="E198" s="16" t="s">
        <v>16</v>
      </c>
      <c r="F198" s="16" t="s">
        <v>18</v>
      </c>
      <c r="G198" s="17" t="s">
        <v>1070</v>
      </c>
      <c r="H198" s="17" t="s">
        <v>1400</v>
      </c>
      <c r="I198" s="13" t="s">
        <v>1401</v>
      </c>
      <c r="J198" s="18" t="str">
        <f>HYPERLINK("CorLog\ZMB\Katete RTO\20150702 ZMB Katete RTO RDC review of NLBR 520-12577; Mech Order 12; Misc; 20150701 (RDC-to-ZMB).msg", "RDC review of NLBR 520-12577; Mech Order 12; Misc; 20150701")</f>
        <v>RDC review of NLBR 520-12577; Mech Order 12; Misc; 20150701</v>
      </c>
      <c r="K198" s="22" t="s">
        <v>1211</v>
      </c>
      <c r="L198" s="19"/>
      <c r="M198" s="20"/>
      <c r="N198" s="21" t="s">
        <v>1402</v>
      </c>
    </row>
    <row r="199" spans="1:14">
      <c r="A199" s="12" t="s">
        <v>1403</v>
      </c>
      <c r="B199" s="13"/>
      <c r="C199" s="14"/>
      <c r="D199" s="15">
        <v>42187</v>
      </c>
      <c r="E199" s="16" t="s">
        <v>25</v>
      </c>
      <c r="F199" s="16" t="s">
        <v>15</v>
      </c>
      <c r="G199" s="17" t="s">
        <v>719</v>
      </c>
      <c r="H199" s="17" t="s">
        <v>871</v>
      </c>
      <c r="I199" s="13" t="s">
        <v>1404</v>
      </c>
      <c r="J199" s="18" t="str">
        <f>HYPERLINK("CorLog\Reference\20150702 Reference Global Purchasing Department—RDC Contacts in Primary Purchasing Branches (WHQ-to-ZAF).doc", "Global Purchasing Department—RDC Contacts in Primary Purchasing Branches")</f>
        <v>Global Purchasing Department—RDC Contacts in Primary Purchasing Branches</v>
      </c>
      <c r="K199" s="18"/>
      <c r="L199" s="19"/>
      <c r="M199" s="20"/>
      <c r="N199" s="21" t="s">
        <v>1405</v>
      </c>
    </row>
    <row r="200" spans="1:14">
      <c r="A200" s="12" t="s">
        <v>998</v>
      </c>
      <c r="B200" s="13" t="s">
        <v>717</v>
      </c>
      <c r="C200" s="14"/>
      <c r="D200" s="15">
        <v>42186.904780092591</v>
      </c>
      <c r="E200" s="16" t="s">
        <v>17</v>
      </c>
      <c r="F200" s="16" t="s">
        <v>16</v>
      </c>
      <c r="G200" s="17" t="s">
        <v>926</v>
      </c>
      <c r="H200" s="17" t="s">
        <v>1000</v>
      </c>
      <c r="I200" s="13" t="s">
        <v>1406</v>
      </c>
      <c r="J200" s="18" t="str">
        <f>HYPERLINK("CorLog\ZWE\Branch\20150701 ZWE Branch ZIM Shona ZSL RTO Notes 2015-06-30 docx (WDC-to-RDC).msg.msg", "ZIM Shona ZSL RTO Notes 2015-06-30 docx")</f>
        <v>ZIM Shona ZSL RTO Notes 2015-06-30 docx</v>
      </c>
      <c r="K200" s="22" t="s">
        <v>721</v>
      </c>
      <c r="L200" s="19"/>
      <c r="M200" s="20"/>
      <c r="N200" s="21" t="s">
        <v>1407</v>
      </c>
    </row>
    <row r="201" spans="1:14">
      <c r="A201" s="12" t="s">
        <v>718</v>
      </c>
      <c r="B201" s="13" t="s">
        <v>737</v>
      </c>
      <c r="C201" s="14" t="s">
        <v>1408</v>
      </c>
      <c r="D201" s="15">
        <v>42186.842094907406</v>
      </c>
      <c r="E201" s="16" t="s">
        <v>16</v>
      </c>
      <c r="F201" s="16" t="s">
        <v>21</v>
      </c>
      <c r="G201" s="17" t="s">
        <v>790</v>
      </c>
      <c r="H201" s="17" t="s">
        <v>829</v>
      </c>
      <c r="I201" s="13" t="s">
        <v>1409</v>
      </c>
      <c r="J201" s="18" t="str">
        <f>HYPERLINK("CorLog\GHA\BEX\20150701 GHA BEX DOM Master Key Matrix--prepare NLBR (RDC-to-GHA).msg", "DOM Master Key Matrix--prepare NLBR")</f>
        <v>DOM Master Key Matrix--prepare NLBR</v>
      </c>
      <c r="K201" s="22" t="s">
        <v>721</v>
      </c>
      <c r="L201" s="19"/>
      <c r="M201" s="20"/>
      <c r="N201" s="21" t="s">
        <v>1410</v>
      </c>
    </row>
    <row r="202" spans="1:14">
      <c r="A202" s="12" t="s">
        <v>718</v>
      </c>
      <c r="B202" s="13" t="s">
        <v>750</v>
      </c>
      <c r="C202" s="14"/>
      <c r="D202" s="15">
        <v>42186.487500000003</v>
      </c>
      <c r="E202" s="16" t="s">
        <v>16</v>
      </c>
      <c r="F202" s="16" t="s">
        <v>16</v>
      </c>
      <c r="G202" s="17" t="s">
        <v>738</v>
      </c>
      <c r="H202" s="17" t="s">
        <v>1411</v>
      </c>
      <c r="I202" s="13" t="s">
        <v>1412</v>
      </c>
      <c r="J202" s="18" t="str">
        <f>HYPERLINK("CorLog\GHA\BEX 2\20150701 GHA BEX 2 Early Procurement Kitchen Equipment--Mtg Minutes (RDC-to-RDC).msg.msg", "Early Procurement Kitchen Equipment--Mtg Minutes")</f>
        <v>Early Procurement Kitchen Equipment--Mtg Minutes</v>
      </c>
      <c r="K202" s="22" t="s">
        <v>1413</v>
      </c>
      <c r="L202" s="19"/>
      <c r="M202" s="20"/>
      <c r="N202" s="21" t="s">
        <v>1414</v>
      </c>
    </row>
    <row r="203" spans="1:14">
      <c r="A203" s="12" t="s">
        <v>750</v>
      </c>
      <c r="B203" s="13" t="s">
        <v>964</v>
      </c>
      <c r="C203" s="14"/>
      <c r="D203" s="15">
        <v>42186.460219907407</v>
      </c>
      <c r="E203" s="16" t="s">
        <v>16</v>
      </c>
      <c r="F203" s="16" t="s">
        <v>16</v>
      </c>
      <c r="G203" s="17" t="s">
        <v>738</v>
      </c>
      <c r="H203" s="17" t="s">
        <v>1415</v>
      </c>
      <c r="I203" s="13" t="s">
        <v>1416</v>
      </c>
      <c r="J203" s="18" t="str">
        <f>HYPERLINK("CorLog\GHA\BEX 2\20150701 GHA BEX 2 CDP Cost Plan--PV Payback (RDC-to-RDC).msg", "CDP Cost Plan--PV Payback")</f>
        <v>CDP Cost Plan--PV Payback</v>
      </c>
      <c r="K203" s="22"/>
      <c r="L203" s="19"/>
      <c r="M203" s="20"/>
      <c r="N203" s="21" t="s">
        <v>1417</v>
      </c>
    </row>
    <row r="204" spans="1:14">
      <c r="A204" s="12" t="s">
        <v>718</v>
      </c>
      <c r="B204" s="13" t="s">
        <v>1418</v>
      </c>
      <c r="C204" s="14" t="s">
        <v>1419</v>
      </c>
      <c r="D204" s="15">
        <v>42186.440972222219</v>
      </c>
      <c r="E204" s="16" t="s">
        <v>16</v>
      </c>
      <c r="F204" s="16" t="s">
        <v>16</v>
      </c>
      <c r="G204" s="17" t="s">
        <v>979</v>
      </c>
      <c r="H204" s="17" t="s">
        <v>1420</v>
      </c>
      <c r="I204" s="13" t="s">
        <v>1421</v>
      </c>
      <c r="J204" s="18" t="str">
        <f>HYPERLINK("CorLog\RTO\Projects\20150701 RTO Projects Meeting Minutes Jun 30, 2015 - Spacing of equipment in Utility Building, esp AVR (RDC-to-RDC).msg.msg", "Meeting Minutes Jun 30, 2015 - Spacing of equipment in Utility Building, esp AVR")</f>
        <v>Meeting Minutes Jun 30, 2015 - Spacing of equipment in Utility Building, esp AVR</v>
      </c>
      <c r="K204" s="22" t="s">
        <v>721</v>
      </c>
      <c r="L204" s="19" t="s">
        <v>1422</v>
      </c>
      <c r="M204" s="20"/>
      <c r="N204" s="21" t="s">
        <v>1423</v>
      </c>
    </row>
    <row r="205" spans="1:14">
      <c r="A205" s="12" t="s">
        <v>1424</v>
      </c>
      <c r="B205" s="13" t="s">
        <v>1425</v>
      </c>
      <c r="C205" s="14" t="s">
        <v>718</v>
      </c>
      <c r="D205" s="15">
        <v>42186.435567129629</v>
      </c>
      <c r="E205" s="16" t="s">
        <v>26</v>
      </c>
      <c r="F205" s="16" t="s">
        <v>15</v>
      </c>
      <c r="G205" s="17" t="s">
        <v>790</v>
      </c>
      <c r="H205" s="17" t="s">
        <v>1426</v>
      </c>
      <c r="I205" s="13" t="s">
        <v>1427</v>
      </c>
      <c r="J205" s="18" t="str">
        <f>HYPERLINK("CorLog\GHA\BEX\20150701 GHA BEX Master Key Schedule - Existing and Phase I (GBR-to-ZAF).msg", "Master Key Schedule - Existing and Phase I")</f>
        <v>Master Key Schedule - Existing and Phase I</v>
      </c>
      <c r="K205" s="22"/>
      <c r="L205" s="19"/>
      <c r="M205" s="20"/>
      <c r="N205" s="21" t="s">
        <v>1428</v>
      </c>
    </row>
    <row r="206" spans="1:14">
      <c r="A206" s="12" t="s">
        <v>718</v>
      </c>
      <c r="B206" s="13" t="s">
        <v>842</v>
      </c>
      <c r="C206" s="14" t="s">
        <v>1237</v>
      </c>
      <c r="D206" s="15">
        <v>42186.361805555556</v>
      </c>
      <c r="E206" s="16" t="s">
        <v>16</v>
      </c>
      <c r="F206" s="16" t="s">
        <v>21</v>
      </c>
      <c r="G206" s="17" t="s">
        <v>758</v>
      </c>
      <c r="H206" s="17" t="s">
        <v>1178</v>
      </c>
      <c r="I206" s="13" t="s">
        <v>1429</v>
      </c>
      <c r="J206" s="18" t="str">
        <f>HYPERLINK("CorLog\GHA\Viepe RTO\20150701 GHA Viepe RTO Generator Model Question (RDC-to-GHA).msg", "Generator Model Question")</f>
        <v>Generator Model Question</v>
      </c>
      <c r="K206" s="22" t="s">
        <v>1274</v>
      </c>
      <c r="L206" s="19"/>
      <c r="M206" s="20"/>
      <c r="N206" s="21" t="s">
        <v>1430</v>
      </c>
    </row>
    <row r="207" spans="1:14">
      <c r="A207" s="12" t="s">
        <v>1431</v>
      </c>
      <c r="B207" s="13"/>
      <c r="C207" s="14"/>
      <c r="D207" s="15">
        <v>42186</v>
      </c>
      <c r="E207" s="16" t="s">
        <v>15</v>
      </c>
      <c r="F207" s="16" t="s">
        <v>22</v>
      </c>
      <c r="G207" s="17" t="s">
        <v>1432</v>
      </c>
      <c r="H207" s="17" t="s">
        <v>1000</v>
      </c>
      <c r="I207" s="13" t="s">
        <v>1433</v>
      </c>
      <c r="J207" s="18" t="str">
        <f>HYPERLINK("CorLog\COD\LDC\20150701 COD LDC Queries on Various Construction Projects (ZAF-to-COD).docx", "Queries on Various Construction Projects")</f>
        <v>Queries on Various Construction Projects</v>
      </c>
      <c r="K207" s="18"/>
      <c r="L207" s="19" t="s">
        <v>1434</v>
      </c>
      <c r="M207" s="20"/>
      <c r="N207" s="21" t="s">
        <v>1435</v>
      </c>
    </row>
    <row r="208" spans="1:14">
      <c r="A208" s="12" t="s">
        <v>1436</v>
      </c>
      <c r="B208" s="13" t="s">
        <v>718</v>
      </c>
      <c r="C208" s="14" t="s">
        <v>1437</v>
      </c>
      <c r="D208" s="15">
        <v>42185.691261574073</v>
      </c>
      <c r="E208" s="16" t="s">
        <v>22</v>
      </c>
      <c r="F208" s="16" t="s">
        <v>16</v>
      </c>
      <c r="G208" s="17" t="s">
        <v>913</v>
      </c>
      <c r="H208" s="17" t="s">
        <v>1438</v>
      </c>
      <c r="I208" s="13" t="s">
        <v>1439</v>
      </c>
      <c r="J208" s="18" t="str">
        <f>HYPERLINK("CorLog\COD\Branch\20150630 COD Branch DC-41 and Project Approval request for review (COD-to-RDC).msg", "DC-41 and Project Approval request for review")</f>
        <v>DC-41 and Project Approval request for review</v>
      </c>
      <c r="K208" s="22" t="s">
        <v>1243</v>
      </c>
      <c r="L208" s="19" t="s">
        <v>1440</v>
      </c>
      <c r="M208" s="20"/>
      <c r="N208" s="21" t="s">
        <v>1441</v>
      </c>
    </row>
    <row r="209" spans="1:14">
      <c r="A209" s="12" t="s">
        <v>827</v>
      </c>
      <c r="B209" s="13" t="s">
        <v>1442</v>
      </c>
      <c r="C209" s="14" t="s">
        <v>1443</v>
      </c>
      <c r="D209" s="15">
        <v>42185.687372685185</v>
      </c>
      <c r="E209" s="16" t="s">
        <v>21</v>
      </c>
      <c r="F209" s="16" t="s">
        <v>21</v>
      </c>
      <c r="G209" s="17" t="s">
        <v>790</v>
      </c>
      <c r="H209" s="17" t="s">
        <v>1444</v>
      </c>
      <c r="I209" s="13" t="s">
        <v>1445</v>
      </c>
      <c r="J209" s="18" t="str">
        <f>HYPERLINK("CorLog\GHA\BEX\20150630 GHA BEX Meeting Minutes - Network Upgrade (GHA-to-GHA).msg", "Meeting Minutes - Network Upgrade")</f>
        <v>Meeting Minutes - Network Upgrade</v>
      </c>
      <c r="K209" s="22" t="s">
        <v>1211</v>
      </c>
      <c r="L209" s="19"/>
      <c r="M209" s="20"/>
      <c r="N209" s="21" t="s">
        <v>1446</v>
      </c>
    </row>
    <row r="210" spans="1:14">
      <c r="A210" s="12" t="s">
        <v>1447</v>
      </c>
      <c r="B210" s="13" t="s">
        <v>723</v>
      </c>
      <c r="C210" s="14" t="s">
        <v>1448</v>
      </c>
      <c r="D210" s="15">
        <v>42185.668958333335</v>
      </c>
      <c r="E210" s="16" t="s">
        <v>16</v>
      </c>
      <c r="F210" s="16" t="s">
        <v>16</v>
      </c>
      <c r="G210" s="17" t="s">
        <v>738</v>
      </c>
      <c r="H210" s="17" t="s">
        <v>1354</v>
      </c>
      <c r="I210" s="13" t="s">
        <v>1449</v>
      </c>
      <c r="J210" s="18" t="str">
        <f>HYPERLINK("CorLog\GHA\BEX 2\20150630 GHA BEX 2 GHA Service Building - estimation for smaller option (RDC-to-RDC).msg", "GHA Service Building - estimation for smaller option")</f>
        <v>GHA Service Building - estimation for smaller option</v>
      </c>
      <c r="K210" s="22" t="s">
        <v>721</v>
      </c>
      <c r="L210" s="19"/>
      <c r="M210" s="20"/>
      <c r="N210" s="21" t="s">
        <v>1450</v>
      </c>
    </row>
    <row r="211" spans="1:14">
      <c r="A211" s="12" t="s">
        <v>750</v>
      </c>
      <c r="B211" s="13" t="s">
        <v>1451</v>
      </c>
      <c r="C211" s="14" t="s">
        <v>718</v>
      </c>
      <c r="D211" s="15">
        <v>42185.490497685183</v>
      </c>
      <c r="E211" s="16" t="s">
        <v>16</v>
      </c>
      <c r="F211" s="16" t="s">
        <v>952</v>
      </c>
      <c r="G211" s="17" t="s">
        <v>790</v>
      </c>
      <c r="H211" s="17" t="s">
        <v>903</v>
      </c>
      <c r="I211" s="13" t="s">
        <v>1452</v>
      </c>
      <c r="J211" s="18" t="str">
        <f>HYPERLINK("CorLog\GHA\BEX\20150630 GHA BEX Temporary Remedial Works at Creek Entrance - North (RDC-to-WSP).msg", "Temporary Remedial Works at Creek Entrance - North")</f>
        <v>Temporary Remedial Works at Creek Entrance - North</v>
      </c>
      <c r="K211" s="22" t="s">
        <v>721</v>
      </c>
      <c r="L211" s="19"/>
      <c r="M211" s="20"/>
      <c r="N211" s="21" t="s">
        <v>1453</v>
      </c>
    </row>
    <row r="212" spans="1:14">
      <c r="A212" s="12" t="s">
        <v>717</v>
      </c>
      <c r="B212" s="13" t="s">
        <v>749</v>
      </c>
      <c r="C212" s="14"/>
      <c r="D212" s="15">
        <v>42185.339016203703</v>
      </c>
      <c r="E212" s="16" t="s">
        <v>16</v>
      </c>
      <c r="F212" s="16" t="s">
        <v>16</v>
      </c>
      <c r="G212" s="17" t="s">
        <v>802</v>
      </c>
      <c r="H212" s="17" t="s">
        <v>803</v>
      </c>
      <c r="I212" s="13" t="s">
        <v>804</v>
      </c>
      <c r="J212" s="18" t="str">
        <f>HYPERLINK("CorLog\ZWE\Bulawayo RTO\20150630 ZWE Bulawayo RTO Floor PLANS (RDC-to-RDC).msg", "Floor PLANS")</f>
        <v>Floor PLANS</v>
      </c>
      <c r="K212" s="22" t="s">
        <v>747</v>
      </c>
      <c r="L212" s="19"/>
      <c r="M212" s="20"/>
      <c r="N212" s="21" t="s">
        <v>805</v>
      </c>
    </row>
    <row r="213" spans="1:14">
      <c r="A213" s="12" t="s">
        <v>717</v>
      </c>
      <c r="B213" s="13" t="s">
        <v>771</v>
      </c>
      <c r="C213" s="14" t="s">
        <v>799</v>
      </c>
      <c r="D213" s="15">
        <v>42185.26090277778</v>
      </c>
      <c r="E213" s="16" t="s">
        <v>16</v>
      </c>
      <c r="F213" s="16" t="s">
        <v>17</v>
      </c>
      <c r="G213" s="17" t="s">
        <v>773</v>
      </c>
      <c r="H213" s="17" t="s">
        <v>774</v>
      </c>
      <c r="I213" s="13" t="s">
        <v>800</v>
      </c>
      <c r="J213" s="18" t="str">
        <f>HYPERLINK("CorLog\ZWE\Bulayawo RTO\20150630 ZWE Bulayawo RTO CPP Comments from Zeny (RDC-to-WDC).msg", "CPP Comments from Zeny")</f>
        <v>CPP Comments from Zeny</v>
      </c>
      <c r="K213" s="22" t="s">
        <v>721</v>
      </c>
      <c r="L213" s="19"/>
      <c r="M213" s="20"/>
      <c r="N213" s="21" t="s">
        <v>801</v>
      </c>
    </row>
    <row r="214" spans="1:14">
      <c r="A214" s="12" t="s">
        <v>1454</v>
      </c>
      <c r="B214" s="13"/>
      <c r="C214" s="14"/>
      <c r="D214" s="15">
        <v>42185</v>
      </c>
      <c r="E214" s="16" t="s">
        <v>15</v>
      </c>
      <c r="F214" s="16" t="s">
        <v>21</v>
      </c>
      <c r="G214" s="17" t="s">
        <v>1455</v>
      </c>
      <c r="H214" s="17" t="s">
        <v>791</v>
      </c>
      <c r="I214" s="13" t="s">
        <v>1456</v>
      </c>
      <c r="J214" s="18" t="str">
        <f>HYPERLINK("CorLog\Ghana\BEX\20150630 Ghana BEX Mechanical Commissioning Visit (ZAF-to-GHA).docx", "Mechanical Commissioning Visit")</f>
        <v>Mechanical Commissioning Visit</v>
      </c>
      <c r="K214" s="18"/>
      <c r="L214" s="19"/>
      <c r="M214" s="20"/>
      <c r="N214" s="21" t="s">
        <v>1457</v>
      </c>
    </row>
    <row r="215" spans="1:14">
      <c r="A215" s="12" t="s">
        <v>750</v>
      </c>
      <c r="B215" s="13" t="s">
        <v>742</v>
      </c>
      <c r="C215" s="14" t="s">
        <v>1350</v>
      </c>
      <c r="D215" s="15">
        <v>42184.610567129632</v>
      </c>
      <c r="E215" s="16" t="s">
        <v>16</v>
      </c>
      <c r="F215" s="16" t="s">
        <v>16</v>
      </c>
      <c r="G215" s="17" t="s">
        <v>913</v>
      </c>
      <c r="H215" s="17" t="s">
        <v>914</v>
      </c>
      <c r="I215" s="13" t="s">
        <v>1458</v>
      </c>
      <c r="J215" s="18" t="str">
        <f>HYPERLINK("CorLog\COD\Branch\20150629 COD Branch 13A Res FIRE Investigation Report (INITIAL MEETING - MINUTES) FINAL FIRE PDF (RDC-to-RDC).msg", "13A Res FIRE Investigation Report (INITIAL MEETING - MINUTES) FINAL FIRE PDF")</f>
        <v>13A Res FIRE Investigation Report (INITIAL MEETING - MINUTES) FINAL FIRE PDF</v>
      </c>
      <c r="K215" s="22"/>
      <c r="L215" s="19"/>
      <c r="M215" s="20"/>
      <c r="N215" s="21" t="s">
        <v>1459</v>
      </c>
    </row>
    <row r="216" spans="1:14">
      <c r="A216" s="12" t="s">
        <v>750</v>
      </c>
      <c r="B216" s="13" t="s">
        <v>1293</v>
      </c>
      <c r="C216" s="14" t="s">
        <v>1460</v>
      </c>
      <c r="D216" s="15">
        <v>42184.489363425928</v>
      </c>
      <c r="E216" s="16" t="s">
        <v>16</v>
      </c>
      <c r="F216" s="16" t="s">
        <v>24</v>
      </c>
      <c r="G216" s="17" t="s">
        <v>913</v>
      </c>
      <c r="H216" s="17" t="s">
        <v>914</v>
      </c>
      <c r="I216" s="13" t="s">
        <v>1461</v>
      </c>
      <c r="J216" s="18" t="str">
        <f>HYPERLINK("CorLog\COD\Branch\20150629 COD Branch 13A Res FIRE Investigation Report (INITIAL MEETING MINUTES) (RDC-to-USA).msg", "13A Res FIRE Investigation Report (INITIAL MEETING MINUTES)")</f>
        <v>13A Res FIRE Investigation Report (INITIAL MEETING MINUTES)</v>
      </c>
      <c r="K216" s="22"/>
      <c r="L216" s="19"/>
      <c r="M216" s="20"/>
      <c r="N216" s="21" t="s">
        <v>1462</v>
      </c>
    </row>
    <row r="217" spans="1:14">
      <c r="A217" s="12" t="s">
        <v>718</v>
      </c>
      <c r="B217" s="13" t="s">
        <v>837</v>
      </c>
      <c r="C217" s="14" t="s">
        <v>1463</v>
      </c>
      <c r="D217" s="15">
        <v>42184.445833333331</v>
      </c>
      <c r="E217" s="16" t="s">
        <v>16</v>
      </c>
      <c r="F217" s="16" t="s">
        <v>18</v>
      </c>
      <c r="G217" s="17" t="s">
        <v>838</v>
      </c>
      <c r="H217" s="17" t="s">
        <v>829</v>
      </c>
      <c r="I217" s="13" t="s">
        <v>1464</v>
      </c>
      <c r="J217" s="18" t="str">
        <f>HYPERLINK("CorLog\ZMB\Choma RTO\20150629 ZMB Choma RTO RDC review of NLBR REQ-12466 Electrolux Fridge and Freezers (RDC-to-ZMB).msg", "RDC review of NLBR REQ-12466 Electrolux Fridge and Freezers")</f>
        <v>RDC review of NLBR REQ-12466 Electrolux Fridge and Freezers</v>
      </c>
      <c r="K217" s="22" t="s">
        <v>1211</v>
      </c>
      <c r="L217" s="19"/>
      <c r="M217" s="20"/>
      <c r="N217" s="21" t="s">
        <v>1465</v>
      </c>
    </row>
    <row r="218" spans="1:14">
      <c r="A218" s="12" t="s">
        <v>794</v>
      </c>
      <c r="B218" s="13" t="s">
        <v>795</v>
      </c>
      <c r="C218" s="14" t="s">
        <v>742</v>
      </c>
      <c r="D218" s="15">
        <v>42184.371608796297</v>
      </c>
      <c r="E218" s="16" t="s">
        <v>15</v>
      </c>
      <c r="F218" s="16" t="s">
        <v>16</v>
      </c>
      <c r="G218" s="17" t="s">
        <v>744</v>
      </c>
      <c r="H218" s="17" t="s">
        <v>796</v>
      </c>
      <c r="I218" s="13" t="s">
        <v>797</v>
      </c>
      <c r="J218" s="18" t="str">
        <f>HYPERLINK("CorLog\AGO\Viana AH\20150629 AGO Viana AH WWTF Becon report (ZAF-to-RDC).msg", "WWTF Becon report")</f>
        <v>WWTF Becon report</v>
      </c>
      <c r="K218" s="22" t="s">
        <v>733</v>
      </c>
      <c r="L218" s="19"/>
      <c r="M218" s="20"/>
      <c r="N218" s="21" t="s">
        <v>798</v>
      </c>
    </row>
    <row r="219" spans="1:14">
      <c r="A219" s="12" t="s">
        <v>718</v>
      </c>
      <c r="B219" s="13" t="s">
        <v>1442</v>
      </c>
      <c r="C219" s="14" t="s">
        <v>1466</v>
      </c>
      <c r="D219" s="15">
        <v>42181.691203703704</v>
      </c>
      <c r="E219" s="16" t="s">
        <v>16</v>
      </c>
      <c r="F219" s="16" t="s">
        <v>21</v>
      </c>
      <c r="G219" s="17" t="s">
        <v>790</v>
      </c>
      <c r="H219" s="17" t="s">
        <v>1467</v>
      </c>
      <c r="I219" s="13" t="s">
        <v>1468</v>
      </c>
      <c r="J219" s="18" t="str">
        <f>HYPERLINK("CorLog\GHA\BEX\20150626 GHA BEX Additional expenses - WHQ Migration (RDC-to-GHA).msg", "Additional expenses - WHQ Migration")</f>
        <v>Additional expenses - WHQ Migration</v>
      </c>
      <c r="K219" s="22"/>
      <c r="L219" s="19"/>
      <c r="M219" s="20"/>
      <c r="N219" s="21" t="s">
        <v>1469</v>
      </c>
    </row>
    <row r="220" spans="1:14">
      <c r="A220" s="12" t="s">
        <v>718</v>
      </c>
      <c r="B220" s="13" t="s">
        <v>1052</v>
      </c>
      <c r="C220" s="14"/>
      <c r="D220" s="15">
        <v>42181.343449074076</v>
      </c>
      <c r="E220" s="16" t="s">
        <v>16</v>
      </c>
      <c r="F220" s="16" t="s">
        <v>17</v>
      </c>
      <c r="G220" s="17" t="s">
        <v>1470</v>
      </c>
      <c r="H220" s="17" t="s">
        <v>1000</v>
      </c>
      <c r="I220" s="13" t="s">
        <v>1471</v>
      </c>
      <c r="J220" s="18" t="str">
        <f>HYPERLINK("CorLog\GHA\RTO Projects\20150626 GHA RTO Projects Fante and Ahanta Translation Teams - March 10, 2015 (RDC-to-WDC).msg", "Fante and Ahanta Translation Teams - March 10, 2015")</f>
        <v>Fante and Ahanta Translation Teams - March 10, 2015</v>
      </c>
      <c r="K220" s="22"/>
      <c r="L220" s="19"/>
      <c r="M220" s="20"/>
      <c r="N220" s="21" t="s">
        <v>1472</v>
      </c>
    </row>
    <row r="221" spans="1:14">
      <c r="A221" s="12" t="s">
        <v>778</v>
      </c>
      <c r="B221" s="13" t="s">
        <v>718</v>
      </c>
      <c r="C221" s="14" t="s">
        <v>1473</v>
      </c>
      <c r="D221" s="15">
        <v>42180.860995370371</v>
      </c>
      <c r="E221" s="16" t="s">
        <v>17</v>
      </c>
      <c r="F221" s="16" t="s">
        <v>16</v>
      </c>
      <c r="G221" s="17" t="s">
        <v>719</v>
      </c>
      <c r="H221" s="17" t="s">
        <v>781</v>
      </c>
      <c r="I221" s="13" t="s">
        <v>1474</v>
      </c>
      <c r="J221" s="18" t="str">
        <f>HYPERLINK("CorLog\Reference\20150625 Reference Amount of BCS, BCL, BCV on a construction project (WDC-to-RDC).msg.msg", "Amount of BCS, BCL, BCV on a construction project")</f>
        <v>Amount of BCS, BCL, BCV on a construction project</v>
      </c>
      <c r="K221" s="22" t="s">
        <v>721</v>
      </c>
      <c r="L221" s="19"/>
      <c r="M221" s="20"/>
      <c r="N221" s="21" t="s">
        <v>1475</v>
      </c>
    </row>
    <row r="222" spans="1:14">
      <c r="A222" s="12" t="s">
        <v>718</v>
      </c>
      <c r="B222" s="13" t="s">
        <v>878</v>
      </c>
      <c r="C222" s="14" t="s">
        <v>1476</v>
      </c>
      <c r="D222" s="15">
        <v>42180.76458333333</v>
      </c>
      <c r="E222" s="16" t="s">
        <v>16</v>
      </c>
      <c r="F222" s="16" t="s">
        <v>21</v>
      </c>
      <c r="G222" s="17" t="s">
        <v>880</v>
      </c>
      <c r="H222" s="17" t="s">
        <v>1477</v>
      </c>
      <c r="I222" s="13" t="s">
        <v>1478</v>
      </c>
      <c r="J222" s="18" t="str">
        <f>HYPERLINK("CorLog\GHA\Kumasi RTO\20150625 GHA Kumasi RTO Water Quality Analysis (REPLY) (RDC-to-GHA).msg", "Water Quality Analysis (REPLY)")</f>
        <v>Water Quality Analysis (REPLY)</v>
      </c>
      <c r="K222" s="22" t="s">
        <v>1243</v>
      </c>
      <c r="L222" s="19"/>
      <c r="M222" s="20"/>
      <c r="N222" s="21" t="s">
        <v>1479</v>
      </c>
    </row>
    <row r="223" spans="1:14">
      <c r="A223" s="12" t="s">
        <v>718</v>
      </c>
      <c r="B223" s="13" t="s">
        <v>737</v>
      </c>
      <c r="C223" s="14" t="s">
        <v>1480</v>
      </c>
      <c r="D223" s="15">
        <v>42180.735324074078</v>
      </c>
      <c r="E223" s="16" t="s">
        <v>16</v>
      </c>
      <c r="F223" s="16" t="s">
        <v>21</v>
      </c>
      <c r="G223" s="17" t="s">
        <v>807</v>
      </c>
      <c r="H223" s="17" t="s">
        <v>829</v>
      </c>
      <c r="I223" s="13" t="s">
        <v>1481</v>
      </c>
      <c r="J223" s="18" t="str">
        <f>HYPERLINK("CorLog\GHA\Branch\20150625 GHA Branch GHA-4512 Air Conditioner ($18,978 58) (RDC-to-GHA).msg", "GHA-4512 Air Conditioner ($18,978 58)")</f>
        <v>GHA-4512 Air Conditioner ($18,978 58)</v>
      </c>
      <c r="K223" s="22" t="s">
        <v>1482</v>
      </c>
      <c r="L223" s="19"/>
      <c r="M223" s="20"/>
      <c r="N223" s="21" t="s">
        <v>1483</v>
      </c>
    </row>
    <row r="224" spans="1:14">
      <c r="A224" s="12" t="s">
        <v>718</v>
      </c>
      <c r="B224" s="13" t="s">
        <v>1484</v>
      </c>
      <c r="C224" s="14" t="s">
        <v>1485</v>
      </c>
      <c r="D224" s="15">
        <v>42180.676388888889</v>
      </c>
      <c r="E224" s="16" t="s">
        <v>16</v>
      </c>
      <c r="F224" s="16" t="s">
        <v>18</v>
      </c>
      <c r="G224" s="17" t="s">
        <v>1070</v>
      </c>
      <c r="H224" s="17" t="s">
        <v>947</v>
      </c>
      <c r="I224" s="13" t="s">
        <v>1486</v>
      </c>
      <c r="J224" s="18" t="str">
        <f>HYPERLINK("CorLog\ZMB\Katete RTO\20150625 ZMB Katete RTO Reroute Grease Trap piping (APPROVED) (RDC-to-ZMB).msg", "Reroute Grease Trap piping (APPROVED)")</f>
        <v>Reroute Grease Trap piping (APPROVED)</v>
      </c>
      <c r="K224" s="22" t="s">
        <v>1211</v>
      </c>
      <c r="L224" s="19"/>
      <c r="M224" s="20"/>
      <c r="N224" s="21" t="s">
        <v>1487</v>
      </c>
    </row>
    <row r="225" spans="1:14">
      <c r="A225" s="12" t="s">
        <v>718</v>
      </c>
      <c r="B225" s="13" t="s">
        <v>1484</v>
      </c>
      <c r="C225" s="14" t="s">
        <v>1488</v>
      </c>
      <c r="D225" s="15">
        <v>42180.672222222223</v>
      </c>
      <c r="E225" s="16" t="s">
        <v>16</v>
      </c>
      <c r="F225" s="16" t="s">
        <v>18</v>
      </c>
      <c r="G225" s="17" t="s">
        <v>1070</v>
      </c>
      <c r="H225" s="17" t="s">
        <v>1489</v>
      </c>
      <c r="I225" s="13" t="s">
        <v>1490</v>
      </c>
      <c r="J225" s="18" t="str">
        <f>HYPERLINK("CorLog\ZMB\Katete RTO\20150625 ZMB Katete RTO Insulation on AV ventilation piping (RDC-to-ZMB).msg", "Insulation on AV ventilation piping")</f>
        <v>Insulation on AV ventilation piping</v>
      </c>
      <c r="K225" s="22"/>
      <c r="L225" s="19"/>
      <c r="M225" s="20"/>
      <c r="N225" s="21" t="s">
        <v>1491</v>
      </c>
    </row>
    <row r="226" spans="1:14">
      <c r="A226" s="12" t="s">
        <v>756</v>
      </c>
      <c r="B226" s="13" t="s">
        <v>718</v>
      </c>
      <c r="C226" s="14" t="s">
        <v>717</v>
      </c>
      <c r="D226" s="15">
        <v>42180.606342592589</v>
      </c>
      <c r="E226" s="16" t="s">
        <v>16</v>
      </c>
      <c r="F226" s="16" t="s">
        <v>16</v>
      </c>
      <c r="G226" s="17" t="s">
        <v>913</v>
      </c>
      <c r="H226" s="17" t="s">
        <v>914</v>
      </c>
      <c r="I226" s="13" t="s">
        <v>1492</v>
      </c>
      <c r="J226" s="18" t="str">
        <f>HYPERLINK("CorLog\COD\Branch\20150625 COD Branch Residence 13A Fire - Temporary Accommodations (RDC-to-RDC).msg", "Residence 13A Fire - Temporary Accommodations")</f>
        <v>Residence 13A Fire - Temporary Accommodations</v>
      </c>
      <c r="K226" s="22" t="s">
        <v>1493</v>
      </c>
      <c r="L226" s="19"/>
      <c r="M226" s="20"/>
      <c r="N226" s="21" t="s">
        <v>1494</v>
      </c>
    </row>
    <row r="227" spans="1:14">
      <c r="A227" s="12"/>
      <c r="B227" s="13"/>
      <c r="C227" s="14"/>
      <c r="D227" s="15">
        <v>42180.600358796299</v>
      </c>
      <c r="E227" s="16" t="s">
        <v>17</v>
      </c>
      <c r="F227" s="16" t="s">
        <v>23</v>
      </c>
      <c r="G227" s="17" t="s">
        <v>926</v>
      </c>
      <c r="H227" s="17" t="s">
        <v>1000</v>
      </c>
      <c r="I227" s="13" t="s">
        <v>1495</v>
      </c>
      <c r="J227" s="18" t="str">
        <f>HYPERLINK("CorLog\ZWE\Branch\20150625 ZWE Branch Possibility of Moving Translation Out of Bethel (WDC-to-ZWE).docx", "Possibility of Moving Translation Out of Bethel")</f>
        <v>Possibility of Moving Translation Out of Bethel</v>
      </c>
      <c r="K227" s="22"/>
      <c r="L227" s="19"/>
      <c r="M227" s="20"/>
      <c r="N227" s="21" t="s">
        <v>1496</v>
      </c>
    </row>
    <row r="228" spans="1:14">
      <c r="A228" s="12" t="s">
        <v>827</v>
      </c>
      <c r="B228" s="13" t="s">
        <v>718</v>
      </c>
      <c r="C228" s="14" t="s">
        <v>1497</v>
      </c>
      <c r="D228" s="15">
        <v>42180.57403935185</v>
      </c>
      <c r="E228" s="16" t="s">
        <v>21</v>
      </c>
      <c r="F228" s="16" t="s">
        <v>16</v>
      </c>
      <c r="G228" s="17" t="s">
        <v>790</v>
      </c>
      <c r="H228" s="17" t="s">
        <v>1367</v>
      </c>
      <c r="I228" s="13" t="s">
        <v>1498</v>
      </c>
      <c r="J228" s="18" t="str">
        <f>HYPERLINK("CorLog\GHA\BEX\20150625 GHA BEX Grade of Tiles from HK (GHA-to-RDC).msg", "Grade of Tiles from HK")</f>
        <v>Grade of Tiles from HK</v>
      </c>
      <c r="K228" s="22" t="s">
        <v>1499</v>
      </c>
      <c r="L228" s="19"/>
      <c r="M228" s="20"/>
      <c r="N228" s="21" t="s">
        <v>1500</v>
      </c>
    </row>
    <row r="229" spans="1:14">
      <c r="A229" s="12" t="s">
        <v>718</v>
      </c>
      <c r="B229" s="13" t="s">
        <v>827</v>
      </c>
      <c r="C229" s="14" t="s">
        <v>1501</v>
      </c>
      <c r="D229" s="15">
        <v>42180.386805555558</v>
      </c>
      <c r="E229" s="16" t="s">
        <v>16</v>
      </c>
      <c r="F229" s="16" t="s">
        <v>21</v>
      </c>
      <c r="G229" s="17" t="s">
        <v>790</v>
      </c>
      <c r="H229" s="17" t="s">
        <v>781</v>
      </c>
      <c r="I229" s="13" t="s">
        <v>1502</v>
      </c>
      <c r="J229" s="18" t="str">
        <f>HYPERLINK("CorLog\GHA\BEX\20150625 GHA BEX Paul &amp; Hazel Tucker-Peake (RDC-to-GHA).msg", "Paul &amp; Hazel Tucker-Peake")</f>
        <v>Paul &amp; Hazel Tucker-Peake</v>
      </c>
      <c r="K229" s="22" t="s">
        <v>1211</v>
      </c>
      <c r="L229" s="19"/>
      <c r="M229" s="20"/>
      <c r="N229" s="21" t="s">
        <v>1503</v>
      </c>
    </row>
    <row r="230" spans="1:14">
      <c r="A230" s="12" t="s">
        <v>1043</v>
      </c>
      <c r="B230" s="13"/>
      <c r="C230" s="14"/>
      <c r="D230" s="15">
        <v>42180</v>
      </c>
      <c r="E230" s="16" t="s">
        <v>25</v>
      </c>
      <c r="F230" s="16" t="s">
        <v>23</v>
      </c>
      <c r="G230" s="17" t="s">
        <v>926</v>
      </c>
      <c r="H230" s="17" t="s">
        <v>1504</v>
      </c>
      <c r="I230" s="13" t="s">
        <v>1505</v>
      </c>
      <c r="J230" s="18" t="str">
        <f>HYPERLINK("CorLog\ZWE\Branch\20150625 ZWE Branch Branch Renovation 2012-2013 Project—Project Change Order (AO-7) No 3 (WHQ-to-ZWE).docx", "Branch Renovation 2012-2013 Project—Project Change Order (AO-7) No 3")</f>
        <v>Branch Renovation 2012-2013 Project—Project Change Order (AO-7) No 3</v>
      </c>
      <c r="K230" s="18" t="str">
        <f>HYPERLINK("CorLog\ZWE\Branch\20150625 ZWE Branch Branch Renovation 2012-2013 Project—Project Change Order (AO-7) No 3 (WHQ-to-ZWE).zip", "Zipped (1)")</f>
        <v>Zipped (1)</v>
      </c>
      <c r="L230" s="19"/>
      <c r="M230" s="20"/>
      <c r="N230" s="21" t="s">
        <v>1506</v>
      </c>
    </row>
    <row r="231" spans="1:14">
      <c r="A231" s="12" t="s">
        <v>718</v>
      </c>
      <c r="B231" s="13" t="s">
        <v>1297</v>
      </c>
      <c r="C231" s="14" t="s">
        <v>1069</v>
      </c>
      <c r="D231" s="15">
        <v>42179.725694444445</v>
      </c>
      <c r="E231" s="16" t="s">
        <v>16</v>
      </c>
      <c r="F231" s="16" t="s">
        <v>18</v>
      </c>
      <c r="G231" s="17" t="s">
        <v>1070</v>
      </c>
      <c r="H231" s="17" t="s">
        <v>1347</v>
      </c>
      <c r="I231" s="13" t="s">
        <v>1507</v>
      </c>
      <c r="J231" s="18" t="str">
        <f>HYPERLINK("CorLog\ZMB\Katete RTO\20150624 ZMB Katete RTO Fiber cable for future RTOs (RDC-to-ZMB).msg", "Fiber cable for future RTOs")</f>
        <v>Fiber cable for future RTOs</v>
      </c>
      <c r="K231" s="22" t="s">
        <v>1211</v>
      </c>
      <c r="L231" s="19"/>
      <c r="M231" s="20"/>
      <c r="N231" s="21" t="s">
        <v>1508</v>
      </c>
    </row>
    <row r="232" spans="1:14">
      <c r="A232" s="12" t="s">
        <v>718</v>
      </c>
      <c r="B232" s="13" t="s">
        <v>1167</v>
      </c>
      <c r="C232" s="14" t="s">
        <v>1168</v>
      </c>
      <c r="D232" s="15">
        <v>42179.716666666667</v>
      </c>
      <c r="E232" s="16" t="s">
        <v>16</v>
      </c>
      <c r="F232" s="16" t="s">
        <v>22</v>
      </c>
      <c r="G232" s="17" t="s">
        <v>1169</v>
      </c>
      <c r="H232" s="17" t="s">
        <v>803</v>
      </c>
      <c r="I232" s="13" t="s">
        <v>1509</v>
      </c>
      <c r="J232" s="18" t="str">
        <f>HYPERLINK("CorLog\COD\Kikwit RTO\20150624 COD Kikwit RTO Revised drawing KR-S-504-S1 Holding Tanks Longitudinal Section (RDC-to-COD).msg", "Revised drawing KR-S-504-S1 Holding Tanks Longitudinal Section")</f>
        <v>Revised drawing KR-S-504-S1 Holding Tanks Longitudinal Section</v>
      </c>
      <c r="K232" s="22" t="s">
        <v>1211</v>
      </c>
      <c r="L232" s="19"/>
      <c r="M232" s="20"/>
      <c r="N232" s="21" t="s">
        <v>1510</v>
      </c>
    </row>
    <row r="233" spans="1:14">
      <c r="A233" s="12" t="s">
        <v>724</v>
      </c>
      <c r="B233" s="13" t="s">
        <v>777</v>
      </c>
      <c r="C233" s="14" t="s">
        <v>1511</v>
      </c>
      <c r="D233" s="15">
        <v>42179.697476851848</v>
      </c>
      <c r="E233" s="16" t="s">
        <v>16</v>
      </c>
      <c r="F233" s="16" t="s">
        <v>18</v>
      </c>
      <c r="G233" s="17" t="s">
        <v>780</v>
      </c>
      <c r="H233" s="17" t="s">
        <v>1392</v>
      </c>
      <c r="I233" s="13" t="s">
        <v>1512</v>
      </c>
      <c r="J233" s="18" t="str">
        <f>HYPERLINK("CorLog\ZMB\LDC\20150624 ZMB LDC Setup of LDC structure (RDC-to-ZMB).msg.msg", "Setup of LDC structure")</f>
        <v>Setup of LDC structure</v>
      </c>
      <c r="K233" s="22" t="s">
        <v>721</v>
      </c>
      <c r="L233" s="19"/>
      <c r="M233" s="20"/>
      <c r="N233" s="21" t="s">
        <v>1513</v>
      </c>
    </row>
    <row r="234" spans="1:14">
      <c r="A234" s="12" t="s">
        <v>718</v>
      </c>
      <c r="B234" s="13" t="s">
        <v>1514</v>
      </c>
      <c r="C234" s="14" t="s">
        <v>1515</v>
      </c>
      <c r="D234" s="15">
        <v>42179.630555555559</v>
      </c>
      <c r="E234" s="16" t="s">
        <v>16</v>
      </c>
      <c r="F234" s="16" t="s">
        <v>21</v>
      </c>
      <c r="G234" s="17" t="s">
        <v>758</v>
      </c>
      <c r="H234" s="17" t="s">
        <v>829</v>
      </c>
      <c r="I234" s="13" t="s">
        <v>1516</v>
      </c>
      <c r="J234" s="18" t="str">
        <f>HYPERLINK("CorLog\GHA\Viepe RTO\20150624 GHA Viepe RTO RDC review of NLBR -59603; Carpet Tiles (RDC-to-GHA).msg", "RDC review of NLBR -59603; Carpet Tiles")</f>
        <v>RDC review of NLBR -59603; Carpet Tiles</v>
      </c>
      <c r="K234" s="22" t="s">
        <v>1211</v>
      </c>
      <c r="L234" s="19"/>
      <c r="M234" s="20"/>
      <c r="N234" s="21" t="s">
        <v>1517</v>
      </c>
    </row>
    <row r="235" spans="1:14">
      <c r="A235" s="12" t="s">
        <v>718</v>
      </c>
      <c r="B235" s="13" t="s">
        <v>1378</v>
      </c>
      <c r="C235" s="14" t="s">
        <v>1518</v>
      </c>
      <c r="D235" s="15">
        <v>42179.572916666664</v>
      </c>
      <c r="E235" s="16" t="s">
        <v>16</v>
      </c>
      <c r="F235" s="16" t="s">
        <v>22</v>
      </c>
      <c r="G235" s="17" t="s">
        <v>785</v>
      </c>
      <c r="H235" s="17" t="s">
        <v>1031</v>
      </c>
      <c r="I235" s="13" t="s">
        <v>1519</v>
      </c>
      <c r="J235" s="18" t="str">
        <f>HYPERLINK("CorLog\COD\Lubumbashi RTO\20150624 COD Lubumbashi RTO Need to run borehole pump for 7 days (RDC-to-COD).msg", "Need to run borehole pump for 7 days")</f>
        <v>Need to run borehole pump for 7 days</v>
      </c>
      <c r="K235" s="22"/>
      <c r="L235" s="19"/>
      <c r="M235" s="20"/>
      <c r="N235" s="21" t="s">
        <v>1520</v>
      </c>
    </row>
    <row r="236" spans="1:14">
      <c r="A236" s="12" t="s">
        <v>718</v>
      </c>
      <c r="B236" s="13" t="s">
        <v>1069</v>
      </c>
      <c r="C236" s="14" t="s">
        <v>1521</v>
      </c>
      <c r="D236" s="15">
        <v>42179.388194444444</v>
      </c>
      <c r="E236" s="16" t="s">
        <v>16</v>
      </c>
      <c r="F236" s="16" t="s">
        <v>18</v>
      </c>
      <c r="G236" s="17" t="s">
        <v>1070</v>
      </c>
      <c r="H236" s="17" t="s">
        <v>1031</v>
      </c>
      <c r="I236" s="13" t="s">
        <v>1522</v>
      </c>
      <c r="J236" s="18" t="str">
        <f>HYPERLINK("CorLog\ZMB\Katete RTO\20150624 ZMB Katete RTO RFI Borehole pump specs (RDC-to-ZMB).msg", "RFI Borehole pump specs")</f>
        <v>RFI Borehole pump specs</v>
      </c>
      <c r="K236" s="22" t="s">
        <v>1243</v>
      </c>
      <c r="L236" s="19"/>
      <c r="M236" s="20"/>
      <c r="N236" s="21" t="s">
        <v>1523</v>
      </c>
    </row>
    <row r="237" spans="1:14">
      <c r="A237" s="12"/>
      <c r="B237" s="13"/>
      <c r="C237" s="14"/>
      <c r="D237" s="15">
        <v>42179.381168981483</v>
      </c>
      <c r="E237" s="16" t="s">
        <v>21</v>
      </c>
      <c r="F237" s="16" t="s">
        <v>17</v>
      </c>
      <c r="G237" s="17" t="s">
        <v>880</v>
      </c>
      <c r="H237" s="17" t="s">
        <v>1524</v>
      </c>
      <c r="I237" s="13" t="s">
        <v>1525</v>
      </c>
      <c r="J237" s="18" t="str">
        <f>HYPERLINK("CorLog\GHA\Kumasi RTO\20150624 GHA Kumasi RTO Construction Committee for the Kumasi Twi RTO (GHA-to-WDC).docx", "Construction Committee for the Kumasi Twi RTO")</f>
        <v>Construction Committee for the Kumasi Twi RTO</v>
      </c>
      <c r="K237" s="18"/>
      <c r="L237" s="19"/>
      <c r="M237" s="20"/>
      <c r="N237" s="21" t="s">
        <v>1526</v>
      </c>
    </row>
    <row r="238" spans="1:14">
      <c r="A238" s="12" t="s">
        <v>1043</v>
      </c>
      <c r="B238" s="13"/>
      <c r="C238" s="14"/>
      <c r="D238" s="15">
        <v>42179</v>
      </c>
      <c r="E238" s="16" t="s">
        <v>25</v>
      </c>
      <c r="F238" s="16" t="s">
        <v>15</v>
      </c>
      <c r="G238" s="17" t="s">
        <v>913</v>
      </c>
      <c r="H238" s="17" t="s">
        <v>867</v>
      </c>
      <c r="I238" s="13" t="s">
        <v>1527</v>
      </c>
      <c r="J238" s="18" t="str">
        <f>HYPERLINK("CorLog\COD\Branch\20150624 COD Branch Bethel Labor Costs for Congo (Kinshasa) (WHQ-to-ZAF).docx", "Bethel Labor Costs for Congo (Kinshasa)")</f>
        <v>Bethel Labor Costs for Congo (Kinshasa)</v>
      </c>
      <c r="K238" s="18" t="str">
        <f>HYPERLINK("CorLog\COD\Branch\20150624 COD Branch Bethel Labor Costs for Congo (Kinshasa) (WHQ-to-ZAF).zip", "Zipped (1)")</f>
        <v>Zipped (1)</v>
      </c>
      <c r="L238" s="19"/>
      <c r="M238" s="20"/>
      <c r="N238" s="21" t="s">
        <v>1528</v>
      </c>
    </row>
    <row r="239" spans="1:14">
      <c r="A239" s="12"/>
      <c r="B239" s="13"/>
      <c r="C239" s="14"/>
      <c r="D239" s="15">
        <v>42178.637557870374</v>
      </c>
      <c r="E239" s="16" t="s">
        <v>16</v>
      </c>
      <c r="F239" s="16" t="s">
        <v>17</v>
      </c>
      <c r="G239" s="17" t="s">
        <v>880</v>
      </c>
      <c r="H239" s="17" t="s">
        <v>1524</v>
      </c>
      <c r="I239" s="13" t="s">
        <v>1525</v>
      </c>
      <c r="J239" s="18" t="str">
        <f>HYPERLINK("CorLog\GHA\Kumasi RTO\20150623 GHA Kumasi RTO Construction Committee for the Kumasi Twi RTO (RDC-to-WDC).docx", "Construction Committee for the Kumasi Twi RTO")</f>
        <v>Construction Committee for the Kumasi Twi RTO</v>
      </c>
      <c r="K239" s="22"/>
      <c r="L239" s="19"/>
      <c r="M239" s="20"/>
      <c r="N239" s="21" t="s">
        <v>1526</v>
      </c>
    </row>
    <row r="240" spans="1:14">
      <c r="A240" s="12" t="s">
        <v>1529</v>
      </c>
      <c r="B240" s="13" t="s">
        <v>1530</v>
      </c>
      <c r="C240" s="14"/>
      <c r="D240" s="15">
        <v>42178.499942129631</v>
      </c>
      <c r="E240" s="16" t="s">
        <v>18</v>
      </c>
      <c r="F240" s="16" t="s">
        <v>18</v>
      </c>
      <c r="G240" s="17" t="s">
        <v>946</v>
      </c>
      <c r="H240" s="17" t="s">
        <v>867</v>
      </c>
      <c r="I240" s="13" t="s">
        <v>1531</v>
      </c>
      <c r="J240" s="18" t="str">
        <f>HYPERLINK("CorLog\ZMB\Mongu RTO\20150623 ZMB Mongu RTO Projected Budget as of 15 06 23 (ZMB-to-ZMB).msg", "Projected Budget as of 15 06 23")</f>
        <v>Projected Budget as of 15 06 23</v>
      </c>
      <c r="K240" s="22" t="s">
        <v>721</v>
      </c>
      <c r="L240" s="19"/>
      <c r="M240" s="20"/>
      <c r="N240" s="21" t="s">
        <v>1532</v>
      </c>
    </row>
    <row r="241" spans="1:14">
      <c r="A241" s="12" t="s">
        <v>827</v>
      </c>
      <c r="B241" s="13" t="s">
        <v>718</v>
      </c>
      <c r="C241" s="14" t="s">
        <v>1533</v>
      </c>
      <c r="D241" s="15">
        <v>42178.418738425928</v>
      </c>
      <c r="E241" s="16" t="s">
        <v>21</v>
      </c>
      <c r="F241" s="16" t="s">
        <v>16</v>
      </c>
      <c r="G241" s="17" t="s">
        <v>790</v>
      </c>
      <c r="H241" s="17" t="s">
        <v>903</v>
      </c>
      <c r="I241" s="13" t="s">
        <v>904</v>
      </c>
      <c r="J241" s="18" t="str">
        <f>HYPERLINK("CorLog\GHA\BEX\20150623 GHA BEX SW Creek-Flood Damage &amp; Debris--WSP Proposal (GHA-to-RDC).msg", "SW Creek-Flood Damage &amp; Debris--WSP Proposal")</f>
        <v>SW Creek-Flood Damage &amp; Debris--WSP Proposal</v>
      </c>
      <c r="K241" s="22" t="s">
        <v>1243</v>
      </c>
      <c r="L241" s="19"/>
      <c r="M241" s="20"/>
      <c r="N241" s="21" t="s">
        <v>1534</v>
      </c>
    </row>
    <row r="242" spans="1:14">
      <c r="A242" s="12"/>
      <c r="B242" s="13"/>
      <c r="C242" s="14"/>
      <c r="D242" s="15">
        <v>42178.382800925923</v>
      </c>
      <c r="E242" s="16" t="s">
        <v>23</v>
      </c>
      <c r="F242" s="16" t="s">
        <v>17</v>
      </c>
      <c r="G242" s="17" t="s">
        <v>926</v>
      </c>
      <c r="H242" s="17" t="s">
        <v>1504</v>
      </c>
      <c r="I242" s="13" t="s">
        <v>1535</v>
      </c>
      <c r="J242" s="18" t="str">
        <f>HYPERLINK("CorLog\ZWE\Branch\20150623 ZWE Branch AO-7 Zimbabwe Branch Dining Room Renovation (ZWE-to-WDC).docx", "AO-7 Zimbabwe Branch Dining Room Renovation")</f>
        <v>AO-7 Zimbabwe Branch Dining Room Renovation</v>
      </c>
      <c r="K242" s="18" t="str">
        <f>HYPERLINK("CorLog\ZWE\Branch\20150623 ZWE Branch AO-7 Zimbabwe Branch Dining Room Renovation (ZWE-to-WDC).zip", "Zipped (1)")</f>
        <v>Zipped (1)</v>
      </c>
      <c r="L242" s="19"/>
      <c r="M242" s="20"/>
      <c r="N242" s="21" t="s">
        <v>1536</v>
      </c>
    </row>
    <row r="243" spans="1:14">
      <c r="A243" s="12" t="s">
        <v>1537</v>
      </c>
      <c r="B243" s="13"/>
      <c r="C243" s="14"/>
      <c r="D243" s="15">
        <v>42178</v>
      </c>
      <c r="E243" s="16" t="s">
        <v>25</v>
      </c>
      <c r="F243" s="16" t="s">
        <v>18</v>
      </c>
      <c r="G243" s="17" t="s">
        <v>780</v>
      </c>
      <c r="H243" s="17" t="s">
        <v>1538</v>
      </c>
      <c r="I243" s="13" t="s">
        <v>1539</v>
      </c>
      <c r="J243" s="18" t="str">
        <f>HYPERLINK("CorLog\ZMB\LDC\20150623 ZMB LDC Zambia Assembly Hall Overall Plan (WHQ-to-ZMB).docx", "Zambia Assembly Hall Overall Plan")</f>
        <v>Zambia Assembly Hall Overall Plan</v>
      </c>
      <c r="K243" s="18"/>
      <c r="L243" s="19"/>
      <c r="M243" s="20"/>
      <c r="N243" s="21" t="s">
        <v>1540</v>
      </c>
    </row>
    <row r="244" spans="1:14">
      <c r="A244" s="12" t="s">
        <v>1537</v>
      </c>
      <c r="B244" s="13"/>
      <c r="C244" s="14"/>
      <c r="D244" s="15">
        <v>42178</v>
      </c>
      <c r="E244" s="16" t="s">
        <v>25</v>
      </c>
      <c r="F244" s="16" t="s">
        <v>18</v>
      </c>
      <c r="G244" s="17" t="s">
        <v>780</v>
      </c>
      <c r="H244" s="17" t="s">
        <v>1541</v>
      </c>
      <c r="I244" s="13" t="s">
        <v>1542</v>
      </c>
      <c r="J244" s="18" t="str">
        <f>HYPERLINK("CorLog\ZMB\LDC\20150623 ZMB LDC Zambia Assembly Hall Overall Plan rejected (WHQ-to-ZMB).docx", "Zambia Assembly Hall Overall Plan rejected")</f>
        <v>Zambia Assembly Hall Overall Plan rejected</v>
      </c>
      <c r="K244" s="22"/>
      <c r="L244" s="19"/>
      <c r="M244" s="20"/>
      <c r="N244" s="21" t="s">
        <v>1540</v>
      </c>
    </row>
    <row r="245" spans="1:14">
      <c r="A245" s="12" t="s">
        <v>718</v>
      </c>
      <c r="B245" s="13" t="s">
        <v>737</v>
      </c>
      <c r="C245" s="14" t="s">
        <v>1543</v>
      </c>
      <c r="D245" s="15">
        <v>42177.716377314813</v>
      </c>
      <c r="E245" s="16" t="s">
        <v>16</v>
      </c>
      <c r="F245" s="16" t="s">
        <v>21</v>
      </c>
      <c r="G245" s="17" t="s">
        <v>807</v>
      </c>
      <c r="H245" s="17" t="s">
        <v>1544</v>
      </c>
      <c r="I245" s="13" t="s">
        <v>1545</v>
      </c>
      <c r="J245" s="18" t="str">
        <f>HYPERLINK("CorLog\GHA\Branch\20150622 GHA Branch SALTO - Keyless Access package guidance and order (RDC-to-GHA).msg", "SALTO - Keyless Access package guidance and order")</f>
        <v>SALTO - Keyless Access package guidance and order</v>
      </c>
      <c r="K245" s="22" t="s">
        <v>733</v>
      </c>
      <c r="L245" s="19"/>
      <c r="M245" s="20"/>
      <c r="N245" s="21" t="s">
        <v>1546</v>
      </c>
    </row>
    <row r="246" spans="1:14">
      <c r="A246" s="12" t="s">
        <v>718</v>
      </c>
      <c r="B246" s="13" t="s">
        <v>1547</v>
      </c>
      <c r="C246" s="14" t="s">
        <v>1548</v>
      </c>
      <c r="D246" s="15">
        <v>42177.706250000003</v>
      </c>
      <c r="E246" s="16" t="s">
        <v>16</v>
      </c>
      <c r="F246" s="16" t="s">
        <v>14</v>
      </c>
      <c r="G246" s="17" t="s">
        <v>1320</v>
      </c>
      <c r="H246" s="17" t="s">
        <v>1549</v>
      </c>
      <c r="I246" s="13" t="s">
        <v>1550</v>
      </c>
      <c r="J246" s="18" t="str">
        <f>HYPERLINK("CorLog\MDG\LDC\20150622 MDG LDC Possibility of under roofsheet insulation (RDC-to-MDG).msg", "Possibility of under roofsheet insulation")</f>
        <v>Possibility of under roofsheet insulation</v>
      </c>
      <c r="K246" s="22"/>
      <c r="L246" s="19"/>
      <c r="M246" s="20"/>
      <c r="N246" s="21" t="s">
        <v>1551</v>
      </c>
    </row>
    <row r="247" spans="1:14">
      <c r="A247" s="12" t="s">
        <v>718</v>
      </c>
      <c r="B247" s="13" t="s">
        <v>1552</v>
      </c>
      <c r="C247" s="14" t="s">
        <v>1553</v>
      </c>
      <c r="D247" s="15">
        <v>42177.702777777777</v>
      </c>
      <c r="E247" s="16" t="s">
        <v>16</v>
      </c>
      <c r="F247" s="16" t="s">
        <v>18</v>
      </c>
      <c r="G247" s="17" t="s">
        <v>780</v>
      </c>
      <c r="H247" s="17" t="s">
        <v>829</v>
      </c>
      <c r="I247" s="13" t="s">
        <v>1554</v>
      </c>
      <c r="J247" s="18" t="str">
        <f>HYPERLINK("CorLog\ZMB\LDC\20150622 ZMB LDC RDC review of NLBR 473372, Glasswool Factorylite Foil Faced One Side (RDC-to-ZMB).msg", "RDC review of NLBR 473372, Glasswool Factorylite Foil Faced One Side")</f>
        <v>RDC review of NLBR 473372, Glasswool Factorylite Foil Faced One Side</v>
      </c>
      <c r="K247" s="22" t="s">
        <v>1211</v>
      </c>
      <c r="L247" s="19"/>
      <c r="M247" s="20"/>
      <c r="N247" s="21" t="s">
        <v>1555</v>
      </c>
    </row>
    <row r="248" spans="1:14">
      <c r="A248" s="12" t="s">
        <v>916</v>
      </c>
      <c r="B248" s="13" t="s">
        <v>837</v>
      </c>
      <c r="C248" s="14" t="s">
        <v>1556</v>
      </c>
      <c r="D248" s="15">
        <v>42177.689513888887</v>
      </c>
      <c r="E248" s="16" t="s">
        <v>16</v>
      </c>
      <c r="F248" s="16" t="s">
        <v>18</v>
      </c>
      <c r="G248" s="17" t="s">
        <v>838</v>
      </c>
      <c r="H248" s="17" t="s">
        <v>1557</v>
      </c>
      <c r="I248" s="13" t="s">
        <v>1558</v>
      </c>
      <c r="J248" s="18" t="str">
        <f>HYPERLINK("CorLog\ZMB\Choma RTO\20150622 ZMB Choma RTO Preliminary DCP results for Septic Tank (RDC-to-ZMB).msg", "Preliminary DCP results for Septic Tank")</f>
        <v>Preliminary DCP results for Septic Tank</v>
      </c>
      <c r="K248" s="22" t="s">
        <v>1211</v>
      </c>
      <c r="L248" s="19"/>
      <c r="M248" s="20"/>
      <c r="N248" s="21" t="s">
        <v>1559</v>
      </c>
    </row>
    <row r="249" spans="1:14">
      <c r="A249" s="12" t="s">
        <v>1181</v>
      </c>
      <c r="B249" s="13" t="s">
        <v>1560</v>
      </c>
      <c r="C249" s="14" t="s">
        <v>1561</v>
      </c>
      <c r="D249" s="15">
        <v>42177.686863425923</v>
      </c>
      <c r="E249" s="16" t="s">
        <v>16</v>
      </c>
      <c r="F249" s="16" t="s">
        <v>15</v>
      </c>
      <c r="G249" s="17" t="s">
        <v>785</v>
      </c>
      <c r="H249" s="17" t="s">
        <v>1562</v>
      </c>
      <c r="I249" s="13" t="s">
        <v>1563</v>
      </c>
      <c r="J249" s="18" t="str">
        <f>HYPERLINK("CorLog\COD\Lubumbashi RTO\20150622 COD Lubumbashi RTO Info for GRS Quote (RDC-to-ZAF).msg", "Info for GRS Quote")</f>
        <v>Info for GRS Quote</v>
      </c>
      <c r="K249" s="22" t="s">
        <v>1243</v>
      </c>
      <c r="L249" s="19"/>
      <c r="M249" s="20"/>
      <c r="N249" s="21" t="s">
        <v>1564</v>
      </c>
    </row>
    <row r="250" spans="1:14">
      <c r="A250" s="12" t="s">
        <v>1181</v>
      </c>
      <c r="B250" s="13" t="s">
        <v>1560</v>
      </c>
      <c r="C250" s="14" t="s">
        <v>1561</v>
      </c>
      <c r="D250" s="15">
        <v>42177.685833333337</v>
      </c>
      <c r="E250" s="16" t="s">
        <v>16</v>
      </c>
      <c r="F250" s="16" t="s">
        <v>15</v>
      </c>
      <c r="G250" s="17" t="s">
        <v>785</v>
      </c>
      <c r="H250" s="17" t="s">
        <v>1565</v>
      </c>
      <c r="I250" s="13" t="s">
        <v>1566</v>
      </c>
      <c r="J250" s="18" t="str">
        <f>HYPERLINK("CorLog\COD\Lubumbashi RTO\20150622 COD Lubumbashi RTO Info for MiTek Quote (RDC-to-ZAF).msg", "Info for MiTek Quote")</f>
        <v>Info for MiTek Quote</v>
      </c>
      <c r="K250" s="22" t="s">
        <v>1243</v>
      </c>
      <c r="L250" s="19"/>
      <c r="M250" s="20"/>
      <c r="N250" s="21" t="s">
        <v>1564</v>
      </c>
    </row>
    <row r="251" spans="1:14">
      <c r="A251" s="12" t="s">
        <v>1181</v>
      </c>
      <c r="B251" s="13" t="s">
        <v>1560</v>
      </c>
      <c r="C251" s="14" t="s">
        <v>1567</v>
      </c>
      <c r="D251" s="15">
        <v>42177.684664351851</v>
      </c>
      <c r="E251" s="16" t="s">
        <v>16</v>
      </c>
      <c r="F251" s="16" t="s">
        <v>15</v>
      </c>
      <c r="G251" s="17" t="s">
        <v>1169</v>
      </c>
      <c r="H251" s="17" t="s">
        <v>1562</v>
      </c>
      <c r="I251" s="13" t="s">
        <v>1563</v>
      </c>
      <c r="J251" s="18" t="str">
        <f>HYPERLINK("CorLog\COD\Kikwit RTO\20150622 COD Kikwit RTO Info for GRS Quote (RDC-to-ZAF).msg", "Info for GRS Quote")</f>
        <v>Info for GRS Quote</v>
      </c>
      <c r="K251" s="22" t="s">
        <v>1243</v>
      </c>
      <c r="L251" s="19"/>
      <c r="M251" s="20"/>
      <c r="N251" s="21" t="s">
        <v>1564</v>
      </c>
    </row>
    <row r="252" spans="1:14">
      <c r="A252" s="12" t="s">
        <v>1181</v>
      </c>
      <c r="B252" s="13" t="s">
        <v>1560</v>
      </c>
      <c r="C252" s="14" t="s">
        <v>1567</v>
      </c>
      <c r="D252" s="15">
        <v>42177.68378472222</v>
      </c>
      <c r="E252" s="16" t="s">
        <v>16</v>
      </c>
      <c r="F252" s="16" t="s">
        <v>15</v>
      </c>
      <c r="G252" s="17" t="s">
        <v>1169</v>
      </c>
      <c r="H252" s="17" t="s">
        <v>1565</v>
      </c>
      <c r="I252" s="13" t="s">
        <v>1566</v>
      </c>
      <c r="J252" s="18" t="str">
        <f>HYPERLINK("CorLog\COD\Kikwit RTO\20150622 COD Kikwit RTO Info for MiTek Quote (RDC-to-ZAF).msg", "Info for MiTek Quote")</f>
        <v>Info for MiTek Quote</v>
      </c>
      <c r="K252" s="22" t="s">
        <v>1211</v>
      </c>
      <c r="L252" s="19"/>
      <c r="M252" s="20"/>
      <c r="N252" s="21" t="s">
        <v>1568</v>
      </c>
    </row>
    <row r="253" spans="1:14">
      <c r="A253" s="12" t="s">
        <v>1425</v>
      </c>
      <c r="B253" s="13" t="s">
        <v>1424</v>
      </c>
      <c r="C253" s="14" t="s">
        <v>718</v>
      </c>
      <c r="D253" s="15">
        <v>42177.617638888885</v>
      </c>
      <c r="E253" s="16" t="s">
        <v>15</v>
      </c>
      <c r="F253" s="16" t="s">
        <v>26</v>
      </c>
      <c r="G253" s="17" t="s">
        <v>790</v>
      </c>
      <c r="H253" s="17" t="s">
        <v>1426</v>
      </c>
      <c r="I253" s="13" t="s">
        <v>1427</v>
      </c>
      <c r="J253" s="18" t="str">
        <f>HYPERLINK("CorLog\GHA\BEX\20150622 GHA BEX Master Key Schedule - Existing and Phase I (ZAF-to-GBR).msg", "Master Key Schedule - Existing and Phase I")</f>
        <v>Master Key Schedule - Existing and Phase I</v>
      </c>
      <c r="K253" s="22" t="s">
        <v>1569</v>
      </c>
      <c r="L253" s="19"/>
      <c r="M253" s="20"/>
      <c r="N253" s="21" t="s">
        <v>1570</v>
      </c>
    </row>
    <row r="254" spans="1:14">
      <c r="A254" s="12"/>
      <c r="B254" s="13"/>
      <c r="C254" s="14"/>
      <c r="D254" s="15">
        <v>42177.587754629632</v>
      </c>
      <c r="E254" s="16" t="s">
        <v>17</v>
      </c>
      <c r="F254" s="16" t="s">
        <v>16</v>
      </c>
      <c r="G254" s="17" t="s">
        <v>719</v>
      </c>
      <c r="H254" s="17" t="s">
        <v>781</v>
      </c>
      <c r="I254" s="13" t="s">
        <v>1571</v>
      </c>
      <c r="J254" s="18" t="str">
        <f>HYPERLINK("CorLog\Reference\20150622 Reference WDC-RDC-LDC Department Structure (WHQ DRAFT) SC (WDC-to-RDC).pdf", "WDC-RDC-LDC Department Structure (WHQ DRAFT) SC")</f>
        <v>WDC-RDC-LDC Department Structure (WHQ DRAFT) SC</v>
      </c>
      <c r="K254" s="22"/>
      <c r="L254" s="19"/>
      <c r="M254" s="20"/>
      <c r="N254" s="21"/>
    </row>
    <row r="255" spans="1:14">
      <c r="A255" s="12" t="s">
        <v>718</v>
      </c>
      <c r="B255" s="13" t="s">
        <v>842</v>
      </c>
      <c r="C255" s="14" t="s">
        <v>1572</v>
      </c>
      <c r="D255" s="15">
        <v>42177.479166666664</v>
      </c>
      <c r="E255" s="16" t="s">
        <v>16</v>
      </c>
      <c r="F255" s="16" t="s">
        <v>21</v>
      </c>
      <c r="G255" s="17" t="s">
        <v>790</v>
      </c>
      <c r="H255" s="17" t="s">
        <v>858</v>
      </c>
      <c r="I255" s="13" t="s">
        <v>1573</v>
      </c>
      <c r="J255" s="18" t="str">
        <f>HYPERLINK("CorLog\GHA\BEX\20150622 GHA BEX RDC review of AO-8 review (May 2015) (RDC-to-GHA).msg", "RDC review of AO-8 review (May 2015)")</f>
        <v>RDC review of AO-8 review (May 2015)</v>
      </c>
      <c r="K255" s="22" t="s">
        <v>1211</v>
      </c>
      <c r="L255" s="19"/>
      <c r="M255" s="20"/>
      <c r="N255" s="21" t="s">
        <v>1574</v>
      </c>
    </row>
    <row r="256" spans="1:14">
      <c r="A256" s="12" t="s">
        <v>718</v>
      </c>
      <c r="B256" s="13" t="s">
        <v>842</v>
      </c>
      <c r="C256" s="14" t="s">
        <v>757</v>
      </c>
      <c r="D256" s="15">
        <v>42177.472916666666</v>
      </c>
      <c r="E256" s="16" t="s">
        <v>16</v>
      </c>
      <c r="F256" s="16" t="s">
        <v>21</v>
      </c>
      <c r="G256" s="17" t="s">
        <v>857</v>
      </c>
      <c r="H256" s="17" t="s">
        <v>858</v>
      </c>
      <c r="I256" s="13" t="s">
        <v>1573</v>
      </c>
      <c r="J256" s="18" t="str">
        <f>HYPERLINK("CorLog\GHA\Kikam RTO\20150622 GHA Kikam RTO RDC review of AO-8 review (May 2015) (RDC-to-GHA).msg", "RDC review of AO-8 review (May 2015)")</f>
        <v>RDC review of AO-8 review (May 2015)</v>
      </c>
      <c r="K256" s="22" t="s">
        <v>1211</v>
      </c>
      <c r="L256" s="19"/>
      <c r="M256" s="20"/>
      <c r="N256" s="21" t="s">
        <v>1575</v>
      </c>
    </row>
    <row r="257" spans="1:14">
      <c r="A257" s="12" t="s">
        <v>718</v>
      </c>
      <c r="B257" s="13" t="s">
        <v>837</v>
      </c>
      <c r="C257" s="14" t="s">
        <v>1576</v>
      </c>
      <c r="D257" s="15">
        <v>42177.406944444447</v>
      </c>
      <c r="E257" s="16" t="s">
        <v>16</v>
      </c>
      <c r="F257" s="16" t="s">
        <v>18</v>
      </c>
      <c r="G257" s="17" t="s">
        <v>838</v>
      </c>
      <c r="H257" s="17" t="s">
        <v>1031</v>
      </c>
      <c r="I257" s="13" t="s">
        <v>1577</v>
      </c>
      <c r="J257" s="18" t="str">
        <f>HYPERLINK("CorLog\ZMB\Choma RTO\20150622 ZMB Choma RTO Borehole pump specification request (RDC-to-ZMB).msg", "Borehole pump specification request")</f>
        <v>Borehole pump specification request</v>
      </c>
      <c r="K257" s="22" t="s">
        <v>1243</v>
      </c>
      <c r="L257" s="19"/>
      <c r="M257" s="20"/>
      <c r="N257" s="21" t="s">
        <v>1578</v>
      </c>
    </row>
    <row r="258" spans="1:14">
      <c r="A258" s="12" t="s">
        <v>718</v>
      </c>
      <c r="B258" s="13" t="s">
        <v>1069</v>
      </c>
      <c r="C258" s="14" t="s">
        <v>1399</v>
      </c>
      <c r="D258" s="15">
        <v>42177.386805555558</v>
      </c>
      <c r="E258" s="16" t="s">
        <v>16</v>
      </c>
      <c r="F258" s="16" t="s">
        <v>18</v>
      </c>
      <c r="G258" s="17" t="s">
        <v>1070</v>
      </c>
      <c r="H258" s="17" t="s">
        <v>829</v>
      </c>
      <c r="I258" s="13" t="s">
        <v>1579</v>
      </c>
      <c r="J258" s="18" t="str">
        <f>HYPERLINK("CorLog\ZMB\Katete RTO\20150622 ZMB Katete RTO RDC review of NLBR; REQ 520-12399; Electrical Order 6; 20150617 (RDC-to-ZMB).msg", "RDC review of NLBR; REQ 520-12399; Electrical Order 6; 20150617")</f>
        <v>RDC review of NLBR; REQ 520-12399; Electrical Order 6; 20150617</v>
      </c>
      <c r="K258" s="22" t="s">
        <v>1211</v>
      </c>
      <c r="L258" s="19"/>
      <c r="M258" s="20"/>
      <c r="N258" s="21" t="s">
        <v>1580</v>
      </c>
    </row>
    <row r="259" spans="1:14">
      <c r="A259" s="12"/>
      <c r="B259" s="13"/>
      <c r="C259" s="14"/>
      <c r="D259" s="15">
        <v>42177.342881944445</v>
      </c>
      <c r="E259" s="16" t="s">
        <v>21</v>
      </c>
      <c r="F259" s="16" t="s">
        <v>17</v>
      </c>
      <c r="G259" s="17" t="s">
        <v>880</v>
      </c>
      <c r="H259" s="17" t="s">
        <v>1524</v>
      </c>
      <c r="I259" s="13" t="s">
        <v>1525</v>
      </c>
      <c r="J259" s="18" t="str">
        <f>HYPERLINK("CorLog\GHA\Kumasi RTO\20150622 GHA Kumasi RTO Construction Committee for the Kumasi Twi RTO (GHA-to-WDC).docx", "Construction Committee for the Kumasi Twi RTO")</f>
        <v>Construction Committee for the Kumasi Twi RTO</v>
      </c>
      <c r="K259" s="18"/>
      <c r="L259" s="19"/>
      <c r="M259" s="20"/>
      <c r="N259" s="21" t="s">
        <v>1526</v>
      </c>
    </row>
    <row r="260" spans="1:14">
      <c r="A260" s="12" t="s">
        <v>789</v>
      </c>
      <c r="B260" s="13"/>
      <c r="C260" s="14"/>
      <c r="D260" s="15">
        <v>42177</v>
      </c>
      <c r="E260" s="16" t="s">
        <v>21</v>
      </c>
      <c r="F260" s="16" t="s">
        <v>15</v>
      </c>
      <c r="G260" s="17" t="s">
        <v>790</v>
      </c>
      <c r="H260" s="17" t="s">
        <v>791</v>
      </c>
      <c r="I260" s="13" t="s">
        <v>792</v>
      </c>
      <c r="J260" s="18" t="str">
        <f>HYPERLINK("CorLog\GHA\BEX\20150622 GHA BEX Commissioning Visits BEX 1 and Coordination Meeting BEX 2 (GHA-to-ZAF).docx", "Commissioning Visits BEX 1 and Coordination Meeting BEX 2")</f>
        <v>Commissioning Visits BEX 1 and Coordination Meeting BEX 2</v>
      </c>
      <c r="K260" s="22"/>
      <c r="L260" s="19"/>
      <c r="M260" s="20"/>
      <c r="N260" s="21" t="s">
        <v>793</v>
      </c>
    </row>
    <row r="261" spans="1:14">
      <c r="A261" s="12" t="s">
        <v>718</v>
      </c>
      <c r="B261" s="13" t="s">
        <v>916</v>
      </c>
      <c r="C261" s="14" t="s">
        <v>1581</v>
      </c>
      <c r="D261" s="15">
        <v>42174.590277777781</v>
      </c>
      <c r="E261" s="16" t="s">
        <v>16</v>
      </c>
      <c r="F261" s="16" t="s">
        <v>16</v>
      </c>
      <c r="G261" s="17" t="s">
        <v>1118</v>
      </c>
      <c r="H261" s="17" t="s">
        <v>1131</v>
      </c>
      <c r="I261" s="13" t="s">
        <v>1132</v>
      </c>
      <c r="J261" s="18" t="str">
        <f>HYPERLINK("CorLog\COD\Lodja RTO\20150619 COD Lodja RTO RDC review of DC-31 Submittal (RDC-to-RDC).msg.msg", "RDC review of DC-31 Submittal")</f>
        <v>RDC review of DC-31 Submittal</v>
      </c>
      <c r="K261" s="22" t="s">
        <v>721</v>
      </c>
      <c r="L261" s="19"/>
      <c r="M261" s="20"/>
      <c r="N261" s="21" t="s">
        <v>1582</v>
      </c>
    </row>
    <row r="262" spans="1:14">
      <c r="A262" s="12" t="s">
        <v>718</v>
      </c>
      <c r="B262" s="13" t="s">
        <v>842</v>
      </c>
      <c r="C262" s="14" t="s">
        <v>1583</v>
      </c>
      <c r="D262" s="15">
        <v>42174.45</v>
      </c>
      <c r="E262" s="16" t="s">
        <v>16</v>
      </c>
      <c r="F262" s="16" t="s">
        <v>21</v>
      </c>
      <c r="G262" s="17" t="s">
        <v>758</v>
      </c>
      <c r="H262" s="17" t="s">
        <v>829</v>
      </c>
      <c r="I262" s="13" t="s">
        <v>1584</v>
      </c>
      <c r="J262" s="18" t="str">
        <f>HYPERLINK("CorLog\GHA\VIEPE RTO\20150619 GHA VIEPE RTO RDC review of NLBR -59611; QC Materials (RDC-to-GHA).msg", "RDC review of NLBR -59611; QC Materials")</f>
        <v>RDC review of NLBR -59611; QC Materials</v>
      </c>
      <c r="K262" s="22"/>
      <c r="L262" s="19"/>
      <c r="M262" s="20"/>
      <c r="N262" s="21" t="s">
        <v>1585</v>
      </c>
    </row>
    <row r="263" spans="1:14">
      <c r="A263" s="12" t="s">
        <v>718</v>
      </c>
      <c r="B263" s="13" t="s">
        <v>757</v>
      </c>
      <c r="C263" s="14"/>
      <c r="D263" s="15">
        <v>42174.431250000001</v>
      </c>
      <c r="E263" s="16" t="s">
        <v>16</v>
      </c>
      <c r="F263" s="16" t="s">
        <v>21</v>
      </c>
      <c r="G263" s="17" t="s">
        <v>758</v>
      </c>
      <c r="H263" s="17" t="s">
        <v>1184</v>
      </c>
      <c r="I263" s="13" t="s">
        <v>1586</v>
      </c>
      <c r="J263" s="18" t="str">
        <f>HYPERLINK("CorLog\GHA\Viepe RTO\20150619 GHA Viepe RTO DC-43 May 2015 (RDC-to-GHA).msg", "DC-43 May 2015")</f>
        <v>DC-43 May 2015</v>
      </c>
      <c r="K263" s="22" t="s">
        <v>1211</v>
      </c>
      <c r="L263" s="19"/>
      <c r="M263" s="20"/>
      <c r="N263" s="21" t="s">
        <v>1587</v>
      </c>
    </row>
    <row r="264" spans="1:14">
      <c r="A264" s="12" t="s">
        <v>1073</v>
      </c>
      <c r="B264" s="13"/>
      <c r="C264" s="14"/>
      <c r="D264" s="15">
        <v>42174</v>
      </c>
      <c r="E264" s="16" t="s">
        <v>17</v>
      </c>
      <c r="F264" s="16" t="s">
        <v>21</v>
      </c>
      <c r="G264" s="17" t="s">
        <v>730</v>
      </c>
      <c r="H264" s="17" t="s">
        <v>1588</v>
      </c>
      <c r="I264" s="13" t="s">
        <v>1589</v>
      </c>
      <c r="J264" s="18" t="str">
        <f>HYPERLINK("CorLog\GHA\Baatsona SKE\20150619 GHA Baatsona SKE DC-41 No 2 Ghana School Facility Baatsona Renovation (USD 453,189) (WDC-to-GHA).docx", "DC-41 No 2 Ghana School Facility Baatsona Renovation (USD 453,189)")</f>
        <v>DC-41 No 2 Ghana School Facility Baatsona Renovation (USD 453,189)</v>
      </c>
      <c r="K264" s="18"/>
      <c r="L264" s="19"/>
      <c r="M264" s="20"/>
      <c r="N264" s="21" t="s">
        <v>1590</v>
      </c>
    </row>
    <row r="265" spans="1:14">
      <c r="A265" s="12" t="s">
        <v>771</v>
      </c>
      <c r="B265" s="13" t="s">
        <v>1591</v>
      </c>
      <c r="C265" s="14" t="s">
        <v>1592</v>
      </c>
      <c r="D265" s="15">
        <v>42173.819733796299</v>
      </c>
      <c r="E265" s="16" t="s">
        <v>17</v>
      </c>
      <c r="F265" s="16" t="s">
        <v>24</v>
      </c>
      <c r="G265" s="17" t="s">
        <v>30</v>
      </c>
      <c r="H265" s="17" t="s">
        <v>1347</v>
      </c>
      <c r="I265" s="13" t="s">
        <v>1593</v>
      </c>
      <c r="J265" s="18" t="str">
        <f>HYPERLINK("CorLog\ALL\20150618 ALL Pre-Fabricated TER Initiative (WDC-to-USA).msg.msg", "Pre-Fabricated TER Initiative")</f>
        <v>Pre-Fabricated TER Initiative</v>
      </c>
      <c r="K265" s="22" t="s">
        <v>721</v>
      </c>
      <c r="L265" s="19"/>
      <c r="M265" s="20"/>
      <c r="N265" s="21" t="s">
        <v>1594</v>
      </c>
    </row>
    <row r="266" spans="1:14">
      <c r="A266" s="12" t="s">
        <v>1595</v>
      </c>
      <c r="B266" s="13" t="s">
        <v>724</v>
      </c>
      <c r="C266" s="14" t="s">
        <v>1596</v>
      </c>
      <c r="D266" s="15">
        <v>42173.687256944446</v>
      </c>
      <c r="E266" s="16" t="s">
        <v>18</v>
      </c>
      <c r="F266" s="16" t="s">
        <v>16</v>
      </c>
      <c r="G266" s="17" t="s">
        <v>885</v>
      </c>
      <c r="H266" s="17" t="s">
        <v>781</v>
      </c>
      <c r="I266" s="13" t="s">
        <v>1597</v>
      </c>
      <c r="J266" s="18" t="str">
        <f>HYPERLINK("CorLog\ZMB\Kabompo RTO\20150618 ZMB Kabompo RTO J K Ritchie Zambia 06182015 (ZMB-to-RDC).msg", "J K Ritchie Zambia 06182015")</f>
        <v>J K Ritchie Zambia 06182015</v>
      </c>
      <c r="K266" s="22"/>
      <c r="L266" s="19"/>
      <c r="M266" s="20"/>
      <c r="N266" s="21" t="s">
        <v>1598</v>
      </c>
    </row>
    <row r="267" spans="1:14">
      <c r="A267" s="12"/>
      <c r="B267" s="13"/>
      <c r="C267" s="14"/>
      <c r="D267" s="15">
        <v>42173.657511574071</v>
      </c>
      <c r="E267" s="16" t="s">
        <v>18</v>
      </c>
      <c r="F267" s="16" t="s">
        <v>15</v>
      </c>
      <c r="G267" s="17" t="s">
        <v>1065</v>
      </c>
      <c r="H267" s="17" t="s">
        <v>1000</v>
      </c>
      <c r="I267" s="13" t="s">
        <v>1599</v>
      </c>
      <c r="J267" s="18" t="str">
        <f>HYPERLINK("CorLog\ZMB\RTO Projects\20150618 ZMB RTO Projects Adjusting Order of RTO Construction in Zambia (ZMB-to-ZAF).docx", "Adjusting Order of RTO Construction in Zambia")</f>
        <v>Adjusting Order of RTO Construction in Zambia</v>
      </c>
      <c r="K267" s="22"/>
      <c r="L267" s="19"/>
      <c r="M267" s="20"/>
      <c r="N267" s="21" t="s">
        <v>1600</v>
      </c>
    </row>
    <row r="268" spans="1:14">
      <c r="A268" s="12" t="s">
        <v>821</v>
      </c>
      <c r="B268" s="13" t="s">
        <v>1601</v>
      </c>
      <c r="C268" s="14" t="s">
        <v>1602</v>
      </c>
      <c r="D268" s="15">
        <v>42173.640196759261</v>
      </c>
      <c r="E268" s="16" t="s">
        <v>21</v>
      </c>
      <c r="F268" s="16" t="s">
        <v>21</v>
      </c>
      <c r="G268" s="17" t="s">
        <v>807</v>
      </c>
      <c r="H268" s="17" t="s">
        <v>1603</v>
      </c>
      <c r="I268" s="13" t="s">
        <v>1604</v>
      </c>
      <c r="J268" s="18" t="str">
        <f>HYPERLINK("CorLog\GHA\Branch\20150618 GHA Branch Draft letter to congs about Projectors 180615 (GHA-to-GHA).msg.msg", "Draft letter to congs about Projectors 180615")</f>
        <v>Draft letter to congs about Projectors 180615</v>
      </c>
      <c r="K268" s="22" t="s">
        <v>721</v>
      </c>
      <c r="L268" s="19"/>
      <c r="M268" s="20"/>
      <c r="N268" s="21" t="s">
        <v>1605</v>
      </c>
    </row>
    <row r="269" spans="1:14">
      <c r="A269" s="12"/>
      <c r="B269" s="13"/>
      <c r="C269" s="14"/>
      <c r="D269" s="15">
        <v>42173.622847222221</v>
      </c>
      <c r="E269" s="16" t="s">
        <v>29</v>
      </c>
      <c r="F269" s="16" t="s">
        <v>15</v>
      </c>
      <c r="G269" s="17" t="s">
        <v>979</v>
      </c>
      <c r="H269" s="17" t="s">
        <v>871</v>
      </c>
      <c r="I269" s="13" t="s">
        <v>1606</v>
      </c>
      <c r="J269" s="18" t="str">
        <f>HYPERLINK("CorLog\RTO\Projects\20150618 RTO Projects Consolidated Shipments for RTO Projects in Africa (DEU-to-ZAF).docx", "Consolidated Shipments for RTO Projects in Africa")</f>
        <v>Consolidated Shipments for RTO Projects in Africa</v>
      </c>
      <c r="K269" s="18"/>
      <c r="L269" s="19"/>
      <c r="M269" s="20"/>
      <c r="N269" s="21" t="s">
        <v>1607</v>
      </c>
    </row>
    <row r="270" spans="1:14">
      <c r="A270" s="12"/>
      <c r="B270" s="13"/>
      <c r="C270" s="14"/>
      <c r="D270" s="15">
        <v>42173.357349537036</v>
      </c>
      <c r="E270" s="16" t="s">
        <v>22</v>
      </c>
      <c r="F270" s="16" t="s">
        <v>17</v>
      </c>
      <c r="G270" s="17" t="s">
        <v>913</v>
      </c>
      <c r="H270" s="17" t="s">
        <v>914</v>
      </c>
      <c r="I270" s="13" t="s">
        <v>1608</v>
      </c>
      <c r="J270" s="18" t="str">
        <f>HYPERLINK("CorLog\COD\Branch\20150618 COD Branch Central Fire Detection and Alarm System (COD-to-WDC).docx", "Central Fire Detection and Alarm System")</f>
        <v>Central Fire Detection and Alarm System</v>
      </c>
      <c r="K270" s="18"/>
      <c r="L270" s="19"/>
      <c r="M270" s="20"/>
      <c r="N270" s="21" t="s">
        <v>1609</v>
      </c>
    </row>
    <row r="271" spans="1:14">
      <c r="A271" s="12" t="s">
        <v>724</v>
      </c>
      <c r="B271" s="13" t="s">
        <v>1610</v>
      </c>
      <c r="C271" s="14" t="s">
        <v>1611</v>
      </c>
      <c r="D271" s="15">
        <v>42172.623912037037</v>
      </c>
      <c r="E271" s="16" t="s">
        <v>16</v>
      </c>
      <c r="F271" s="16" t="s">
        <v>27</v>
      </c>
      <c r="G271" s="17" t="s">
        <v>28</v>
      </c>
      <c r="H271" s="17" t="s">
        <v>1612</v>
      </c>
      <c r="I271" s="13" t="s">
        <v>1613</v>
      </c>
      <c r="J271" s="18" t="str">
        <f>HYPERLINK("CorLog\LDC\20150617 LDC RTO maintenance costs remain under branch (RDC-to-KEN).msg", "RTO maintenance costs remain under branch")</f>
        <v>RTO maintenance costs remain under branch</v>
      </c>
      <c r="K271" s="22"/>
      <c r="L271" s="19"/>
      <c r="M271" s="20"/>
      <c r="N271" s="21" t="s">
        <v>1614</v>
      </c>
    </row>
    <row r="272" spans="1:14">
      <c r="A272" s="12" t="s">
        <v>750</v>
      </c>
      <c r="B272" s="13" t="s">
        <v>1258</v>
      </c>
      <c r="C272" s="14" t="s">
        <v>1615</v>
      </c>
      <c r="D272" s="15">
        <v>42172.600162037037</v>
      </c>
      <c r="E272" s="16" t="s">
        <v>16</v>
      </c>
      <c r="F272" s="16" t="s">
        <v>16</v>
      </c>
      <c r="G272" s="17" t="s">
        <v>738</v>
      </c>
      <c r="H272" s="17" t="s">
        <v>1195</v>
      </c>
      <c r="I272" s="13" t="s">
        <v>1616</v>
      </c>
      <c r="J272" s="18" t="str">
        <f>HYPERLINK("CorLog\GHA\BEX 2\20150617 GHA BEX 2 Wash rooms for Visitors; Extend Auditorium (RDC-to-RDC).msg", "Wash rooms for Visitors; Extend Auditorium")</f>
        <v>Wash rooms for Visitors; Extend Auditorium</v>
      </c>
      <c r="K272" s="22" t="s">
        <v>747</v>
      </c>
      <c r="L272" s="19"/>
      <c r="M272" s="20"/>
      <c r="N272" s="21" t="s">
        <v>1617</v>
      </c>
    </row>
    <row r="273" spans="1:14">
      <c r="A273" s="12" t="s">
        <v>1618</v>
      </c>
      <c r="B273" s="13"/>
      <c r="C273" s="14"/>
      <c r="D273" s="15">
        <v>42172</v>
      </c>
      <c r="E273" s="16" t="s">
        <v>25</v>
      </c>
      <c r="F273" s="16" t="s">
        <v>30</v>
      </c>
      <c r="G273" s="17" t="s">
        <v>719</v>
      </c>
      <c r="H273" s="17" t="s">
        <v>1619</v>
      </c>
      <c r="I273" s="13" t="s">
        <v>1620</v>
      </c>
      <c r="J273" s="18" t="str">
        <f>HYPERLINK("CorLog\Reference\20150617 Reference Standard Suppliers for Building Controls (WHQ-to-ALL).docx", "Standard Suppliers for Building Controls")</f>
        <v>Standard Suppliers for Building Controls</v>
      </c>
      <c r="K273" s="18"/>
      <c r="L273" s="19"/>
      <c r="M273" s="20"/>
      <c r="N273" s="21" t="s">
        <v>1621</v>
      </c>
    </row>
    <row r="274" spans="1:14">
      <c r="A274" s="12" t="s">
        <v>718</v>
      </c>
      <c r="B274" s="13" t="s">
        <v>878</v>
      </c>
      <c r="C274" s="14" t="s">
        <v>827</v>
      </c>
      <c r="D274" s="15">
        <v>42171.8125</v>
      </c>
      <c r="E274" s="16" t="s">
        <v>16</v>
      </c>
      <c r="F274" s="16" t="s">
        <v>21</v>
      </c>
      <c r="G274" s="17" t="s">
        <v>719</v>
      </c>
      <c r="H274" s="17" t="s">
        <v>1622</v>
      </c>
      <c r="I274" s="13" t="s">
        <v>1623</v>
      </c>
      <c r="J274" s="18" t="str">
        <f>HYPERLINK("CorLog\Reference\20150616 Reference Construction Temp Wooden Housing Options (RDC-to-GHA).msg", "Construction Temp Wooden Housing Options")</f>
        <v>Construction Temp Wooden Housing Options</v>
      </c>
      <c r="K274" s="22" t="s">
        <v>1493</v>
      </c>
      <c r="L274" s="19"/>
      <c r="M274" s="20"/>
      <c r="N274" s="21" t="s">
        <v>1624</v>
      </c>
    </row>
    <row r="275" spans="1:14">
      <c r="A275" s="12" t="s">
        <v>756</v>
      </c>
      <c r="B275" s="13" t="s">
        <v>718</v>
      </c>
      <c r="C275" s="14"/>
      <c r="D275" s="15">
        <v>42171.676018518519</v>
      </c>
      <c r="E275" s="16" t="s">
        <v>16</v>
      </c>
      <c r="F275" s="16" t="s">
        <v>16</v>
      </c>
      <c r="G275" s="17" t="s">
        <v>785</v>
      </c>
      <c r="H275" s="17" t="s">
        <v>786</v>
      </c>
      <c r="I275" s="13" t="s">
        <v>787</v>
      </c>
      <c r="J275" s="18" t="str">
        <f>HYPERLINK("CorLog\COD\Lubumbashi RTO\20150616 COD Lubumbashi RTO COD LSH Container set up (RDC-to-RDC).msg", "COD LSH Container set up")</f>
        <v>COD LSH Container set up</v>
      </c>
      <c r="K275" s="22" t="s">
        <v>721</v>
      </c>
      <c r="L275" s="19"/>
      <c r="M275" s="20"/>
      <c r="N275" s="21" t="s">
        <v>788</v>
      </c>
    </row>
    <row r="276" spans="1:14">
      <c r="A276" s="12" t="s">
        <v>718</v>
      </c>
      <c r="B276" s="13" t="s">
        <v>878</v>
      </c>
      <c r="C276" s="14"/>
      <c r="D276" s="15">
        <v>42171.652083333334</v>
      </c>
      <c r="E276" s="16" t="s">
        <v>16</v>
      </c>
      <c r="F276" s="16" t="s">
        <v>21</v>
      </c>
      <c r="G276" s="17" t="s">
        <v>880</v>
      </c>
      <c r="H276" s="17" t="s">
        <v>1622</v>
      </c>
      <c r="I276" s="13" t="s">
        <v>1625</v>
      </c>
      <c r="J276" s="18" t="str">
        <f>HYPERLINK("CorLog\GHA\Kumasi RTO\20150616 GHA Kumasi RTO CC Start up information (RDC-to-GHA).msg", "CC Start up information")</f>
        <v>CC Start up information</v>
      </c>
      <c r="K276" s="22" t="s">
        <v>1626</v>
      </c>
      <c r="L276" s="19"/>
      <c r="M276" s="20"/>
      <c r="N276" s="21" t="s">
        <v>1627</v>
      </c>
    </row>
    <row r="277" spans="1:14">
      <c r="A277" s="12" t="s">
        <v>756</v>
      </c>
      <c r="B277" s="13" t="s">
        <v>837</v>
      </c>
      <c r="C277" s="14" t="s">
        <v>718</v>
      </c>
      <c r="D277" s="15">
        <v>42171.453796296293</v>
      </c>
      <c r="E277" s="16" t="s">
        <v>16</v>
      </c>
      <c r="F277" s="16" t="s">
        <v>18</v>
      </c>
      <c r="G277" s="17" t="s">
        <v>838</v>
      </c>
      <c r="H277" s="17" t="s">
        <v>803</v>
      </c>
      <c r="I277" s="13" t="s">
        <v>1628</v>
      </c>
      <c r="J277" s="18" t="str">
        <f>HYPERLINK("CorLog\ZMB\Choma RTO\20150616 ZMB Choma RTO Re-Issue Drawing S-304 (RDC-to-ZMB).msg", "Re-Issue Drawing S-304")</f>
        <v>Re-Issue Drawing S-304</v>
      </c>
      <c r="K277" s="22" t="s">
        <v>1211</v>
      </c>
      <c r="L277" s="19"/>
      <c r="M277" s="20"/>
      <c r="N277" s="21" t="s">
        <v>1629</v>
      </c>
    </row>
    <row r="278" spans="1:14">
      <c r="A278" s="12" t="s">
        <v>1630</v>
      </c>
      <c r="B278" s="13"/>
      <c r="C278" s="14"/>
      <c r="D278" s="15">
        <v>42171</v>
      </c>
      <c r="E278" s="16" t="s">
        <v>935</v>
      </c>
      <c r="F278" s="16" t="s">
        <v>15</v>
      </c>
      <c r="G278" s="17" t="s">
        <v>719</v>
      </c>
      <c r="H278" s="17" t="s">
        <v>1631</v>
      </c>
      <c r="I278" s="13" t="s">
        <v>1632</v>
      </c>
      <c r="J278" s="18" t="str">
        <f>HYPERLINK("CorLog\Reference\20150616 Reference Electrolux - Web Gate Orders (GPD-to-ZAF).docx", "Electrolux - Web Gate Orders")</f>
        <v>Electrolux - Web Gate Orders</v>
      </c>
      <c r="K278" s="18" t="str">
        <f>HYPERLINK("CorLog\Reference\20150616 Reference Electrolux - Web Gate Orders (GPD-to-ZAF).zip", "Zipped")</f>
        <v>Zipped</v>
      </c>
      <c r="L278" s="19"/>
      <c r="M278" s="20"/>
      <c r="N278" s="21" t="s">
        <v>1633</v>
      </c>
    </row>
    <row r="279" spans="1:14">
      <c r="A279" s="12" t="s">
        <v>728</v>
      </c>
      <c r="B279" s="13" t="s">
        <v>777</v>
      </c>
      <c r="C279" s="14" t="s">
        <v>718</v>
      </c>
      <c r="D279" s="15">
        <v>42170.694594907407</v>
      </c>
      <c r="E279" s="16" t="s">
        <v>16</v>
      </c>
      <c r="F279" s="16" t="s">
        <v>18</v>
      </c>
      <c r="G279" s="17" t="s">
        <v>780</v>
      </c>
      <c r="H279" s="17" t="s">
        <v>1634</v>
      </c>
      <c r="I279" s="13" t="s">
        <v>1635</v>
      </c>
      <c r="J279" s="18" t="str">
        <f>HYPERLINK("CorLog\ZMB\LDC\20150615 ZMB LDC Project dimensions (RDC-to-ZMB).msg.msg", "Project dimensions")</f>
        <v>Project dimensions</v>
      </c>
      <c r="K279" s="22" t="s">
        <v>721</v>
      </c>
      <c r="L279" s="19"/>
      <c r="M279" s="20"/>
      <c r="N279" s="21" t="s">
        <v>1636</v>
      </c>
    </row>
    <row r="280" spans="1:14">
      <c r="A280" s="12" t="s">
        <v>718</v>
      </c>
      <c r="B280" s="13" t="s">
        <v>742</v>
      </c>
      <c r="C280" s="14"/>
      <c r="D280" s="15">
        <v>42170.668749999997</v>
      </c>
      <c r="E280" s="16" t="s">
        <v>16</v>
      </c>
      <c r="F280" s="16" t="s">
        <v>16</v>
      </c>
      <c r="G280" s="17" t="s">
        <v>823</v>
      </c>
      <c r="H280" s="17" t="s">
        <v>731</v>
      </c>
      <c r="I280" s="13" t="s">
        <v>1637</v>
      </c>
      <c r="J280" s="18" t="str">
        <f>HYPERLINK("CorLog\GHA\LDC\20150615 GHA LDC Saio Healthcare facility -- DC-41 proposal (RDC-to-RDC).msg", "Saio Healthcare facility -- DC-41 proposal")</f>
        <v>Saio Healthcare facility -- DC-41 proposal</v>
      </c>
      <c r="K280" s="22" t="s">
        <v>1482</v>
      </c>
      <c r="L280" s="19"/>
      <c r="M280" s="20"/>
      <c r="N280" s="21" t="s">
        <v>1638</v>
      </c>
    </row>
    <row r="281" spans="1:14">
      <c r="A281" s="12" t="s">
        <v>750</v>
      </c>
      <c r="B281" s="13" t="s">
        <v>1003</v>
      </c>
      <c r="C281" s="14" t="s">
        <v>1639</v>
      </c>
      <c r="D281" s="15">
        <v>42170.655104166668</v>
      </c>
      <c r="E281" s="16" t="s">
        <v>16</v>
      </c>
      <c r="F281" s="16" t="s">
        <v>22</v>
      </c>
      <c r="G281" s="17" t="s">
        <v>913</v>
      </c>
      <c r="H281" s="17" t="s">
        <v>914</v>
      </c>
      <c r="I281" s="13" t="s">
        <v>1640</v>
      </c>
      <c r="J281" s="18" t="str">
        <f>HYPERLINK("CorLog\COD\Branch\20150615 COD Branch 13A Res ALTERNATE ACCOM --Info from Congo (RDC-to-COD).msg.msg", "13A Res ALTERNATE ACCOM --Info from Congo")</f>
        <v>13A Res ALTERNATE ACCOM --Info from Congo</v>
      </c>
      <c r="K281" s="22"/>
      <c r="L281" s="19"/>
      <c r="M281" s="20"/>
      <c r="N281" s="21" t="s">
        <v>1641</v>
      </c>
    </row>
    <row r="282" spans="1:14">
      <c r="A282" s="12" t="s">
        <v>750</v>
      </c>
      <c r="B282" s="13" t="s">
        <v>717</v>
      </c>
      <c r="C282" s="14" t="s">
        <v>724</v>
      </c>
      <c r="D282" s="15">
        <v>42170.653055555558</v>
      </c>
      <c r="E282" s="16" t="s">
        <v>16</v>
      </c>
      <c r="F282" s="16" t="s">
        <v>16</v>
      </c>
      <c r="G282" s="17" t="s">
        <v>913</v>
      </c>
      <c r="H282" s="17" t="s">
        <v>914</v>
      </c>
      <c r="I282" s="13" t="s">
        <v>1642</v>
      </c>
      <c r="J282" s="18" t="str">
        <f>HYPERLINK("CorLog\COD\Branch\20150615 COD Branch Bldg 13A Options for Relocation--SC or SB (RDC-to-RDC).msg.msg", "Bldg 13A Options for Relocation--SC or SB")</f>
        <v>Bldg 13A Options for Relocation--SC or SB</v>
      </c>
      <c r="K282" s="22"/>
      <c r="L282" s="19"/>
      <c r="M282" s="20"/>
      <c r="N282" s="21" t="s">
        <v>1643</v>
      </c>
    </row>
    <row r="283" spans="1:14">
      <c r="A283" s="12" t="s">
        <v>1003</v>
      </c>
      <c r="B283" s="13" t="s">
        <v>717</v>
      </c>
      <c r="C283" s="14"/>
      <c r="D283" s="15">
        <v>42170.621736111112</v>
      </c>
      <c r="E283" s="16" t="s">
        <v>22</v>
      </c>
      <c r="F283" s="16" t="s">
        <v>16</v>
      </c>
      <c r="G283" s="17" t="s">
        <v>913</v>
      </c>
      <c r="H283" s="17" t="s">
        <v>914</v>
      </c>
      <c r="I283" s="13" t="s">
        <v>1644</v>
      </c>
      <c r="J283" s="18" t="str">
        <f>HYPERLINK("CorLog\COD\Branch\20150615 COD Branch Options for housing, rental (COD-to-RDC).msg", "Options for housing, rental")</f>
        <v>Options for housing, rental</v>
      </c>
      <c r="K283" s="22" t="s">
        <v>1243</v>
      </c>
      <c r="L283" s="19"/>
      <c r="M283" s="20"/>
      <c r="N283" s="21" t="s">
        <v>1645</v>
      </c>
    </row>
    <row r="284" spans="1:14">
      <c r="A284" s="12" t="s">
        <v>827</v>
      </c>
      <c r="B284" s="13" t="s">
        <v>742</v>
      </c>
      <c r="C284" s="14" t="s">
        <v>1646</v>
      </c>
      <c r="D284" s="15">
        <v>42170.556493055556</v>
      </c>
      <c r="E284" s="16" t="s">
        <v>21</v>
      </c>
      <c r="F284" s="16" t="s">
        <v>16</v>
      </c>
      <c r="G284" s="17" t="s">
        <v>790</v>
      </c>
      <c r="H284" s="17" t="s">
        <v>1647</v>
      </c>
      <c r="I284" s="13" t="s">
        <v>1648</v>
      </c>
      <c r="J284" s="18" t="str">
        <f>HYPERLINK("CorLog\GHA\BEX\20150615 GHA BEX New Power Line CTP Costs (GHA-to-RDC).msg", "New Power Line CTP Costs")</f>
        <v>New Power Line CTP Costs</v>
      </c>
      <c r="K284" s="22" t="s">
        <v>1211</v>
      </c>
      <c r="L284" s="19"/>
      <c r="M284" s="20"/>
      <c r="N284" s="21" t="s">
        <v>1649</v>
      </c>
    </row>
    <row r="285" spans="1:14">
      <c r="A285" s="12" t="s">
        <v>718</v>
      </c>
      <c r="B285" s="13" t="s">
        <v>827</v>
      </c>
      <c r="C285" s="14" t="s">
        <v>842</v>
      </c>
      <c r="D285" s="15">
        <v>42170.526562500003</v>
      </c>
      <c r="E285" s="16" t="s">
        <v>16</v>
      </c>
      <c r="F285" s="16" t="s">
        <v>21</v>
      </c>
      <c r="G285" s="17" t="s">
        <v>738</v>
      </c>
      <c r="H285" s="17" t="s">
        <v>1650</v>
      </c>
      <c r="I285" s="13" t="s">
        <v>1651</v>
      </c>
      <c r="J285" s="18" t="str">
        <f>HYPERLINK("CorLog\GHA\BEX 2\20150615 GHA BEX 2 Reconciling CDP with CCP - minor questions (RDC-to-GHA).msg", "Reconciling CDP with CCP - minor questions")</f>
        <v>Reconciling CDP with CCP - minor questions</v>
      </c>
      <c r="K285" s="22"/>
      <c r="L285" s="19"/>
      <c r="M285" s="20"/>
      <c r="N285" s="21" t="s">
        <v>1652</v>
      </c>
    </row>
    <row r="286" spans="1:14">
      <c r="A286" s="12" t="s">
        <v>718</v>
      </c>
      <c r="B286" s="13" t="s">
        <v>821</v>
      </c>
      <c r="C286" s="14" t="s">
        <v>1653</v>
      </c>
      <c r="D286" s="15">
        <v>42170.456250000003</v>
      </c>
      <c r="E286" s="16" t="s">
        <v>16</v>
      </c>
      <c r="F286" s="16" t="s">
        <v>21</v>
      </c>
      <c r="G286" s="17" t="s">
        <v>823</v>
      </c>
      <c r="H286" s="17" t="s">
        <v>781</v>
      </c>
      <c r="I286" s="13" t="s">
        <v>1654</v>
      </c>
      <c r="J286" s="18" t="str">
        <f>HYPERLINK("CorLog\GHA\LDC\20150615 GHA LDC Laptops and equipment for Field offices (RDC-to-GHA).msg.msg", "Laptops and equipment for Field offices")</f>
        <v>Laptops and equipment for Field offices</v>
      </c>
      <c r="K286" s="22"/>
      <c r="L286" s="19"/>
      <c r="M286" s="20"/>
      <c r="N286" s="21" t="s">
        <v>1655</v>
      </c>
    </row>
    <row r="287" spans="1:14">
      <c r="A287" s="12" t="s">
        <v>718</v>
      </c>
      <c r="B287" s="13" t="s">
        <v>750</v>
      </c>
      <c r="C287" s="14" t="s">
        <v>1656</v>
      </c>
      <c r="D287" s="15">
        <v>42169.843055555553</v>
      </c>
      <c r="E287" s="16" t="s">
        <v>16</v>
      </c>
      <c r="F287" s="16" t="s">
        <v>16</v>
      </c>
      <c r="G287" s="17" t="s">
        <v>790</v>
      </c>
      <c r="H287" s="17" t="s">
        <v>903</v>
      </c>
      <c r="I287" s="13" t="s">
        <v>1657</v>
      </c>
      <c r="J287" s="18" t="str">
        <f>HYPERLINK("CorLog\GHA\BEX\20150614 GHA BEX SW Creek - Flood Damage &amp; Debris (RDC-to-RDC).msg", "SW Creek - Flood Damage &amp; Debris")</f>
        <v>SW Creek - Flood Damage &amp; Debris</v>
      </c>
      <c r="K287" s="22"/>
      <c r="L287" s="19"/>
      <c r="M287" s="20"/>
      <c r="N287" s="21" t="s">
        <v>1658</v>
      </c>
    </row>
    <row r="288" spans="1:14">
      <c r="A288" s="12" t="s">
        <v>717</v>
      </c>
      <c r="B288" s="13" t="s">
        <v>1176</v>
      </c>
      <c r="C288" s="14" t="s">
        <v>1659</v>
      </c>
      <c r="D288" s="15">
        <v>42168.763009259259</v>
      </c>
      <c r="E288" s="16" t="s">
        <v>16</v>
      </c>
      <c r="F288" s="16" t="s">
        <v>16</v>
      </c>
      <c r="G288" s="17" t="s">
        <v>780</v>
      </c>
      <c r="H288" s="17" t="s">
        <v>1612</v>
      </c>
      <c r="I288" s="13" t="s">
        <v>1660</v>
      </c>
      <c r="J288" s="18" t="str">
        <f>HYPERLINK("CorLog\ZMB\LDC\20150613 ZMB LDC Operations Maintenance Desk (RDC-to-RDC).msg", "Operations Maintenance Desk")</f>
        <v>Operations Maintenance Desk</v>
      </c>
      <c r="K288" s="22"/>
      <c r="L288" s="19"/>
      <c r="M288" s="20"/>
      <c r="N288" s="21" t="s">
        <v>1661</v>
      </c>
    </row>
    <row r="289" spans="1:14">
      <c r="A289" s="12" t="s">
        <v>1073</v>
      </c>
      <c r="B289" s="13"/>
      <c r="C289" s="14"/>
      <c r="D289" s="15">
        <v>42168</v>
      </c>
      <c r="E289" s="16" t="s">
        <v>14</v>
      </c>
      <c r="F289" s="16" t="s">
        <v>17</v>
      </c>
      <c r="G289" s="17" t="s">
        <v>1662</v>
      </c>
      <c r="H289" s="17" t="s">
        <v>1015</v>
      </c>
      <c r="I289" s="13" t="s">
        <v>1663</v>
      </c>
      <c r="J289" s="18" t="str">
        <f>HYPERLINK("CorLog\MDG\Toliara RTO\20150613 MDG Toliara RTO Property in Toliara for the Vezo Language Remote Translation Office (MDG-to-WDC).docx", "Property in Toliara for the Vezo Language Remote Translation Office")</f>
        <v>Property in Toliara for the Vezo Language Remote Translation Office</v>
      </c>
      <c r="K289" s="18"/>
      <c r="L289" s="19"/>
      <c r="M289" s="20"/>
      <c r="N289" s="21" t="s">
        <v>1664</v>
      </c>
    </row>
    <row r="290" spans="1:14">
      <c r="A290" s="12" t="s">
        <v>777</v>
      </c>
      <c r="B290" s="13" t="s">
        <v>778</v>
      </c>
      <c r="C290" s="14" t="s">
        <v>779</v>
      </c>
      <c r="D290" s="15">
        <v>42167.865613425929</v>
      </c>
      <c r="E290" s="16" t="s">
        <v>18</v>
      </c>
      <c r="F290" s="16" t="s">
        <v>17</v>
      </c>
      <c r="G290" s="17" t="s">
        <v>780</v>
      </c>
      <c r="H290" s="17" t="s">
        <v>781</v>
      </c>
      <c r="I290" s="13" t="s">
        <v>782</v>
      </c>
      <c r="J290" s="18" t="str">
        <f>HYPERLINK("CorLog\ZMB\LDC\20150612 ZMB LDC Request for Construction Servants who want to get married (ZMB-to-WDC).msg", "Request for Construction Servants who want to get married")</f>
        <v>Request for Construction Servants who want to get married</v>
      </c>
      <c r="K290" s="22" t="s">
        <v>721</v>
      </c>
      <c r="L290" s="19" t="s">
        <v>783</v>
      </c>
      <c r="M290" s="20"/>
      <c r="N290" s="21" t="s">
        <v>784</v>
      </c>
    </row>
    <row r="291" spans="1:14">
      <c r="A291" s="12" t="s">
        <v>1052</v>
      </c>
      <c r="B291" s="13" t="s">
        <v>1665</v>
      </c>
      <c r="C291" s="14"/>
      <c r="D291" s="15">
        <v>42167.804097222222</v>
      </c>
      <c r="E291" s="16" t="s">
        <v>17</v>
      </c>
      <c r="F291" s="16" t="s">
        <v>17</v>
      </c>
      <c r="G291" s="17" t="s">
        <v>719</v>
      </c>
      <c r="H291" s="17" t="s">
        <v>1666</v>
      </c>
      <c r="I291" s="13" t="s">
        <v>1667</v>
      </c>
      <c r="J291" s="18" t="str">
        <f>HYPERLINK("CorLog\Reference\20150612 Reference Update Personnel forms (DC-51, DC-52, and DC-53) (WDC-to-WDC).msg.msg", "Update Personnel forms (DC-51, DC-52, and DC-53)")</f>
        <v>Update Personnel forms (DC-51, DC-52, and DC-53)</v>
      </c>
      <c r="K291" s="22" t="s">
        <v>959</v>
      </c>
      <c r="L291" s="19"/>
      <c r="M291" s="20"/>
      <c r="N291" s="21" t="s">
        <v>1668</v>
      </c>
    </row>
    <row r="292" spans="1:14">
      <c r="A292" s="12" t="s">
        <v>1052</v>
      </c>
      <c r="B292" s="13" t="s">
        <v>1665</v>
      </c>
      <c r="C292" s="14"/>
      <c r="D292" s="15">
        <v>42167.803912037038</v>
      </c>
      <c r="E292" s="16" t="s">
        <v>17</v>
      </c>
      <c r="F292" s="16" t="s">
        <v>17</v>
      </c>
      <c r="G292" s="17" t="s">
        <v>17</v>
      </c>
      <c r="H292" s="17" t="s">
        <v>1669</v>
      </c>
      <c r="I292" s="13" t="s">
        <v>1670</v>
      </c>
      <c r="J292" s="18" t="str">
        <f>HYPERLINK("CorLog\WDC\20150612 WDC (DRAFT) Worldwide Design Construction Department - Update Personnel forms (DC-51, DC-52, and DC-53) (WDC-to-WDC).msg", "(DRAFT) Worldwide Design Construction Department - Update Personnel forms (DC-51, DC-52, and DC-53)")</f>
        <v>(DRAFT) Worldwide Design Construction Department - Update Personnel forms (DC-51, DC-52, and DC-53)</v>
      </c>
      <c r="K292" s="22" t="s">
        <v>959</v>
      </c>
      <c r="L292" s="19"/>
      <c r="M292" s="20"/>
      <c r="N292" s="21" t="s">
        <v>1668</v>
      </c>
    </row>
    <row r="293" spans="1:14">
      <c r="A293" s="12" t="s">
        <v>821</v>
      </c>
      <c r="B293" s="13" t="s">
        <v>822</v>
      </c>
      <c r="C293" s="14" t="s">
        <v>718</v>
      </c>
      <c r="D293" s="15">
        <v>42167.690775462965</v>
      </c>
      <c r="E293" s="16" t="s">
        <v>21</v>
      </c>
      <c r="F293" s="16" t="s">
        <v>21</v>
      </c>
      <c r="G293" s="17" t="s">
        <v>823</v>
      </c>
      <c r="H293" s="17" t="s">
        <v>781</v>
      </c>
      <c r="I293" s="13" t="s">
        <v>1671</v>
      </c>
      <c r="J293" s="18" t="str">
        <f>HYPERLINK("CorLog\GHA\LDC\20150612 GHA LDC LDC oversight can be BC member (GHA-to-GHA).msg", "LDC oversight can be BC member")</f>
        <v>LDC oversight can be BC member</v>
      </c>
      <c r="K293" s="22"/>
      <c r="L293" s="19"/>
      <c r="M293" s="20"/>
      <c r="N293" s="21" t="s">
        <v>1672</v>
      </c>
    </row>
    <row r="294" spans="1:14">
      <c r="A294" s="12" t="s">
        <v>1258</v>
      </c>
      <c r="B294" s="13" t="s">
        <v>750</v>
      </c>
      <c r="C294" s="14" t="s">
        <v>1673</v>
      </c>
      <c r="D294" s="15">
        <v>42167.624548611115</v>
      </c>
      <c r="E294" s="16" t="s">
        <v>16</v>
      </c>
      <c r="F294" s="16" t="s">
        <v>16</v>
      </c>
      <c r="G294" s="17" t="s">
        <v>913</v>
      </c>
      <c r="H294" s="17" t="s">
        <v>914</v>
      </c>
      <c r="I294" s="13" t="s">
        <v>1674</v>
      </c>
      <c r="J294" s="18" t="str">
        <f>HYPERLINK("CorLog\COD\Branch\20150612 COD Branch 13A RES Fire Damage--DWGS; Firewalls in New 2-story Res (RDC-to-RDC).msg", "13A RES Fire Damage--DWGS; Firewalls in New 2-story Res")</f>
        <v>13A RES Fire Damage--DWGS; Firewalls in New 2-story Res</v>
      </c>
      <c r="K294" s="22" t="s">
        <v>733</v>
      </c>
      <c r="L294" s="19"/>
      <c r="M294" s="20"/>
      <c r="N294" s="21" t="s">
        <v>1675</v>
      </c>
    </row>
    <row r="295" spans="1:14">
      <c r="A295" s="12" t="s">
        <v>756</v>
      </c>
      <c r="B295" s="13" t="s">
        <v>1676</v>
      </c>
      <c r="C295" s="14" t="s">
        <v>1677</v>
      </c>
      <c r="D295" s="15">
        <v>42167.565949074073</v>
      </c>
      <c r="E295" s="16" t="s">
        <v>16</v>
      </c>
      <c r="F295" s="16" t="s">
        <v>21</v>
      </c>
      <c r="G295" s="17" t="s">
        <v>758</v>
      </c>
      <c r="H295" s="17" t="s">
        <v>1678</v>
      </c>
      <c r="I295" s="13" t="s">
        <v>1679</v>
      </c>
      <c r="J295" s="18" t="str">
        <f>HYPERLINK("CorLog\GHA\Viepe RTO\20150612 GHA Viepe RTO Residence Foundations - Concrete Cube Tests (RDC-to-GHA).msg", "Residence Foundations - Concrete Cube Tests")</f>
        <v>Residence Foundations - Concrete Cube Tests</v>
      </c>
      <c r="K295" s="22" t="s">
        <v>1270</v>
      </c>
      <c r="L295" s="19"/>
      <c r="M295" s="20"/>
      <c r="N295" s="21" t="s">
        <v>1680</v>
      </c>
    </row>
    <row r="296" spans="1:14">
      <c r="A296" s="12" t="s">
        <v>718</v>
      </c>
      <c r="B296" s="13" t="s">
        <v>1069</v>
      </c>
      <c r="C296" s="14" t="s">
        <v>1399</v>
      </c>
      <c r="D296" s="15">
        <v>42167.559027777781</v>
      </c>
      <c r="E296" s="16" t="s">
        <v>16</v>
      </c>
      <c r="F296" s="16" t="s">
        <v>18</v>
      </c>
      <c r="G296" s="17" t="s">
        <v>1070</v>
      </c>
      <c r="H296" s="17" t="s">
        <v>1681</v>
      </c>
      <c r="I296" s="13" t="s">
        <v>1682</v>
      </c>
      <c r="J296" s="18" t="str">
        <f>HYPERLINK("CorLog\ZMB\Katete RTO\20150612 ZMB Katete RTO RDC review of NLBR; REQ 520-12208; Signs; 20150605 (RDC-to-ZMB).msg", "RDC review of NLBR; REQ 520-12208; Signs; 20150605")</f>
        <v>RDC review of NLBR; REQ 520-12208; Signs; 20150605</v>
      </c>
      <c r="K296" s="22" t="s">
        <v>1211</v>
      </c>
      <c r="L296" s="19"/>
      <c r="M296" s="20"/>
      <c r="N296" s="21" t="s">
        <v>1683</v>
      </c>
    </row>
    <row r="297" spans="1:14">
      <c r="A297" s="12" t="s">
        <v>718</v>
      </c>
      <c r="B297" s="13" t="s">
        <v>827</v>
      </c>
      <c r="C297" s="14" t="s">
        <v>842</v>
      </c>
      <c r="D297" s="15">
        <v>42167.557638888888</v>
      </c>
      <c r="E297" s="16" t="s">
        <v>16</v>
      </c>
      <c r="F297" s="16" t="s">
        <v>21</v>
      </c>
      <c r="G297" s="17" t="s">
        <v>730</v>
      </c>
      <c r="H297" s="17" t="s">
        <v>867</v>
      </c>
      <c r="I297" s="13" t="s">
        <v>1684</v>
      </c>
      <c r="J297" s="18" t="str">
        <f>HYPERLINK("CorLog\GHA\Baatsona SKE\20150612 GHA Baatsona SKE Food costs (RDC-to-GHA).msg", "Food costs")</f>
        <v>Food costs</v>
      </c>
      <c r="K297" s="22"/>
      <c r="L297" s="19"/>
      <c r="M297" s="20"/>
      <c r="N297" s="21" t="s">
        <v>1685</v>
      </c>
    </row>
    <row r="298" spans="1:14">
      <c r="A298" s="12" t="s">
        <v>718</v>
      </c>
      <c r="B298" s="13" t="s">
        <v>1521</v>
      </c>
      <c r="C298" s="14" t="s">
        <v>1686</v>
      </c>
      <c r="D298" s="15">
        <v>42167.550694444442</v>
      </c>
      <c r="E298" s="16" t="s">
        <v>16</v>
      </c>
      <c r="F298" s="16" t="s">
        <v>18</v>
      </c>
      <c r="G298" s="17" t="s">
        <v>1070</v>
      </c>
      <c r="H298" s="17" t="s">
        <v>1687</v>
      </c>
      <c r="I298" s="13" t="s">
        <v>1688</v>
      </c>
      <c r="J298" s="18" t="str">
        <f>HYPERLINK("CorLog\ZMB\Katete RTO\20150612 ZMB Katete RTO Waterproofing around the shower floor drains (RDC-to-ZMB).msg", "Waterproofing around the shower floor drains")</f>
        <v>Waterproofing around the shower floor drains</v>
      </c>
      <c r="K298" s="22"/>
      <c r="L298" s="19"/>
      <c r="M298" s="20"/>
      <c r="N298" s="21" t="s">
        <v>1689</v>
      </c>
    </row>
    <row r="299" spans="1:14">
      <c r="A299" s="12" t="s">
        <v>718</v>
      </c>
      <c r="B299" s="13" t="s">
        <v>1337</v>
      </c>
      <c r="C299" s="14"/>
      <c r="D299" s="15">
        <v>42167.54583333333</v>
      </c>
      <c r="E299" s="16" t="s">
        <v>16</v>
      </c>
      <c r="F299" s="16" t="s">
        <v>18</v>
      </c>
      <c r="G299" s="17" t="s">
        <v>885</v>
      </c>
      <c r="H299" s="17" t="s">
        <v>858</v>
      </c>
      <c r="I299" s="13" t="s">
        <v>1690</v>
      </c>
      <c r="J299" s="18" t="str">
        <f>HYPERLINK("CorLog\ZMB\Kabompo RTO\20150612 ZMB Kabompo RTO RDC review of AO-8 May 20150609 (RDC-to-ZMB).msg", "RDC review of AO-8 May 20150609")</f>
        <v>RDC review of AO-8 May 20150609</v>
      </c>
      <c r="K299" s="22" t="s">
        <v>1243</v>
      </c>
      <c r="L299" s="19"/>
      <c r="M299" s="20"/>
      <c r="N299" s="21" t="s">
        <v>1691</v>
      </c>
    </row>
    <row r="300" spans="1:14">
      <c r="A300" s="12" t="s">
        <v>718</v>
      </c>
      <c r="B300" s="13" t="s">
        <v>1529</v>
      </c>
      <c r="C300" s="14" t="s">
        <v>1692</v>
      </c>
      <c r="D300" s="15">
        <v>42167.5</v>
      </c>
      <c r="E300" s="16" t="s">
        <v>16</v>
      </c>
      <c r="F300" s="16" t="s">
        <v>18</v>
      </c>
      <c r="G300" s="17" t="s">
        <v>946</v>
      </c>
      <c r="H300" s="17" t="s">
        <v>858</v>
      </c>
      <c r="I300" s="13" t="s">
        <v>1693</v>
      </c>
      <c r="J300" s="18" t="str">
        <f>HYPERLINK("CorLog\ZMB\Mongu RTO\20150612 ZMB Mongu RTO RDC review of May AO-8 Report (RDC-to-ZMB).msg", "RDC review of May AO-8 Report")</f>
        <v>RDC review of May AO-8 Report</v>
      </c>
      <c r="K300" s="22"/>
      <c r="L300" s="19"/>
      <c r="M300" s="20"/>
      <c r="N300" s="21" t="s">
        <v>1694</v>
      </c>
    </row>
    <row r="301" spans="1:14">
      <c r="A301" s="12" t="s">
        <v>717</v>
      </c>
      <c r="B301" s="13" t="s">
        <v>771</v>
      </c>
      <c r="C301" s="14" t="s">
        <v>772</v>
      </c>
      <c r="D301" s="15">
        <v>42167.351747685185</v>
      </c>
      <c r="E301" s="16" t="s">
        <v>16</v>
      </c>
      <c r="F301" s="16" t="s">
        <v>17</v>
      </c>
      <c r="G301" s="17" t="s">
        <v>773</v>
      </c>
      <c r="H301" s="17" t="s">
        <v>774</v>
      </c>
      <c r="I301" s="13" t="s">
        <v>775</v>
      </c>
      <c r="J301" s="18" t="str">
        <f>HYPERLINK("CorLog\ZWE\Bulayawo RTO\20150612 ZWE Bulayawo RTO CPP Explanation of high build cost (RDC-to-WDC).msg", "CPP Explanation of high build cost")</f>
        <v>CPP Explanation of high build cost</v>
      </c>
      <c r="K301" s="22"/>
      <c r="L301" s="19"/>
      <c r="M301" s="20"/>
      <c r="N301" s="21" t="s">
        <v>776</v>
      </c>
    </row>
    <row r="302" spans="1:14">
      <c r="A302" s="12" t="s">
        <v>718</v>
      </c>
      <c r="B302" s="13" t="s">
        <v>724</v>
      </c>
      <c r="C302" s="14"/>
      <c r="D302" s="15">
        <v>42167.013935185183</v>
      </c>
      <c r="E302" s="16" t="s">
        <v>16</v>
      </c>
      <c r="F302" s="16" t="s">
        <v>16</v>
      </c>
      <c r="G302" s="17" t="s">
        <v>885</v>
      </c>
      <c r="H302" s="17" t="s">
        <v>781</v>
      </c>
      <c r="I302" s="13" t="s">
        <v>1695</v>
      </c>
      <c r="J302" s="18" t="str">
        <f>HYPERLINK("CorLog\ZMB\Kabompo RTO\20150612 ZMB Kabompo RTO Jason and Kelly Ritchie Personnel Evaluation (CONCERNS) (RDC-to-RDC).msg", "Jason and Kelly Ritchie Personnel Evaluation (CONCERNS)")</f>
        <v>Jason and Kelly Ritchie Personnel Evaluation (CONCERNS)</v>
      </c>
      <c r="K302" s="22" t="s">
        <v>747</v>
      </c>
      <c r="L302" s="19"/>
      <c r="M302" s="20"/>
      <c r="N302" s="21" t="s">
        <v>1696</v>
      </c>
    </row>
    <row r="303" spans="1:14">
      <c r="A303" s="12" t="s">
        <v>717</v>
      </c>
      <c r="B303" s="13" t="s">
        <v>742</v>
      </c>
      <c r="C303" s="14" t="s">
        <v>1245</v>
      </c>
      <c r="D303" s="15">
        <v>42166.927766203706</v>
      </c>
      <c r="E303" s="16" t="s">
        <v>16</v>
      </c>
      <c r="F303" s="16" t="s">
        <v>16</v>
      </c>
      <c r="G303" s="17" t="s">
        <v>913</v>
      </c>
      <c r="H303" s="17" t="s">
        <v>914</v>
      </c>
      <c r="I303" s="13" t="s">
        <v>1697</v>
      </c>
      <c r="J303" s="18" t="str">
        <f>HYPERLINK("CorLog\COD\Branch\20150611 COD Branch Bldg 13A options update (RDC-to-RDC).msg", "Bldg 13A options update")</f>
        <v>Bldg 13A options update</v>
      </c>
      <c r="K303" s="22"/>
      <c r="L303" s="19"/>
      <c r="M303" s="20"/>
      <c r="N303" s="21" t="s">
        <v>1698</v>
      </c>
    </row>
    <row r="304" spans="1:14">
      <c r="A304" s="12" t="s">
        <v>771</v>
      </c>
      <c r="B304" s="13" t="s">
        <v>821</v>
      </c>
      <c r="C304" s="14" t="s">
        <v>1699</v>
      </c>
      <c r="D304" s="15">
        <v>42166.735613425924</v>
      </c>
      <c r="E304" s="16" t="s">
        <v>17</v>
      </c>
      <c r="F304" s="16" t="s">
        <v>21</v>
      </c>
      <c r="G304" s="17" t="s">
        <v>738</v>
      </c>
      <c r="H304" s="17" t="s">
        <v>867</v>
      </c>
      <c r="I304" s="13" t="s">
        <v>1700</v>
      </c>
      <c r="J304" s="18" t="str">
        <f>HYPERLINK("CorLog\GHA\BEX 2\20150611 GHA BEX 2 Write for Exemption on Taxes, Duty etc (WDC-to-GHA).msg", "Write for Exemption on Taxes, Duty etc")</f>
        <v>Write for Exemption on Taxes, Duty etc</v>
      </c>
      <c r="K304" s="22" t="s">
        <v>1243</v>
      </c>
      <c r="L304" s="19"/>
      <c r="M304" s="20"/>
      <c r="N304" s="21" t="s">
        <v>1701</v>
      </c>
    </row>
    <row r="305" spans="1:14">
      <c r="A305" s="12" t="s">
        <v>750</v>
      </c>
      <c r="B305" s="13" t="s">
        <v>821</v>
      </c>
      <c r="C305" s="14" t="s">
        <v>1702</v>
      </c>
      <c r="D305" s="15">
        <v>42166.718275462961</v>
      </c>
      <c r="E305" s="16" t="s">
        <v>16</v>
      </c>
      <c r="F305" s="16" t="s">
        <v>21</v>
      </c>
      <c r="G305" s="17" t="s">
        <v>738</v>
      </c>
      <c r="H305" s="17" t="s">
        <v>867</v>
      </c>
      <c r="I305" s="13" t="s">
        <v>1700</v>
      </c>
      <c r="J305" s="18" t="str">
        <f>HYPERLINK("CorLog\GHA\BEX 2\20150611 GHA BEX 2 Write for Exemption on Taxes, Duty etc (RDC-to-GHA).msg", "Write for Exemption on Taxes, Duty etc")</f>
        <v>Write for Exemption on Taxes, Duty etc</v>
      </c>
      <c r="K305" s="22"/>
      <c r="L305" s="19"/>
      <c r="M305" s="20"/>
      <c r="N305" s="21" t="s">
        <v>1703</v>
      </c>
    </row>
    <row r="306" spans="1:14">
      <c r="A306" s="12" t="s">
        <v>1704</v>
      </c>
      <c r="B306" s="13" t="s">
        <v>717</v>
      </c>
      <c r="C306" s="14" t="s">
        <v>1705</v>
      </c>
      <c r="D306" s="15">
        <v>42166.698958333334</v>
      </c>
      <c r="E306" s="16" t="s">
        <v>19</v>
      </c>
      <c r="F306" s="16" t="s">
        <v>16</v>
      </c>
      <c r="G306" s="17" t="s">
        <v>1706</v>
      </c>
      <c r="H306" s="17" t="s">
        <v>1707</v>
      </c>
      <c r="I306" s="13" t="s">
        <v>1708</v>
      </c>
      <c r="J306" s="18" t="str">
        <f>HYPERLINK("CorLog\AGO\Branch\20150611 AGO Branch Temporary Audio Video Department - Proposal (AGO-to-RDC).msg.msg", "Temporary Audio Video Department - Proposal")</f>
        <v>Temporary Audio Video Department - Proposal</v>
      </c>
      <c r="K306" s="22" t="s">
        <v>721</v>
      </c>
      <c r="L306" s="19"/>
      <c r="M306" s="20"/>
      <c r="N306" s="21" t="s">
        <v>1709</v>
      </c>
    </row>
    <row r="307" spans="1:14">
      <c r="A307" s="12" t="s">
        <v>756</v>
      </c>
      <c r="B307" s="13" t="s">
        <v>717</v>
      </c>
      <c r="C307" s="14" t="s">
        <v>1710</v>
      </c>
      <c r="D307" s="15">
        <v>42166.631342592591</v>
      </c>
      <c r="E307" s="16" t="s">
        <v>16</v>
      </c>
      <c r="F307" s="16" t="s">
        <v>16</v>
      </c>
      <c r="G307" s="17" t="s">
        <v>913</v>
      </c>
      <c r="H307" s="17" t="s">
        <v>914</v>
      </c>
      <c r="I307" s="13" t="s">
        <v>1711</v>
      </c>
      <c r="J307" s="18" t="str">
        <f>HYPERLINK("CorLog\COD\Branch\20150611 COD Branch Temp housing options (RDC-to-RDC).msg", "Temp housing options")</f>
        <v>Temp housing options</v>
      </c>
      <c r="K307" s="22" t="s">
        <v>1712</v>
      </c>
      <c r="L307" s="19"/>
      <c r="M307" s="20"/>
      <c r="N307" s="21" t="s">
        <v>1713</v>
      </c>
    </row>
    <row r="308" spans="1:14">
      <c r="A308" s="12"/>
      <c r="B308" s="13"/>
      <c r="C308" s="14"/>
      <c r="D308" s="15">
        <v>42166.425752314812</v>
      </c>
      <c r="E308" s="16" t="s">
        <v>18</v>
      </c>
      <c r="F308" s="16" t="s">
        <v>17</v>
      </c>
      <c r="G308" s="17" t="s">
        <v>780</v>
      </c>
      <c r="H308" s="17" t="s">
        <v>1714</v>
      </c>
      <c r="I308" s="13" t="s">
        <v>1539</v>
      </c>
      <c r="J308" s="18" t="str">
        <f>HYPERLINK("CorLog\ZMB\LDC\20150611 ZMB LDC Zambia Assembly Hall Overall Plan (ZMB-to-WDC).docx", "Zambia Assembly Hall Overall Plan")</f>
        <v>Zambia Assembly Hall Overall Plan</v>
      </c>
      <c r="K308" s="18" t="str">
        <f>HYPERLINK("CorLog\ZMB\LDC\20150611 ZMB LDC Zambia Assembly Hall Overall Plan (ZMB-to-WDC).zip", "Zipped (1)")</f>
        <v>Zipped (1)</v>
      </c>
      <c r="L308" s="19"/>
      <c r="M308" s="20"/>
      <c r="N308" s="21" t="s">
        <v>1715</v>
      </c>
    </row>
    <row r="309" spans="1:14">
      <c r="A309" s="12"/>
      <c r="B309" s="13"/>
      <c r="C309" s="14"/>
      <c r="D309" s="15">
        <v>42166.377604166664</v>
      </c>
      <c r="E309" s="16" t="s">
        <v>25</v>
      </c>
      <c r="F309" s="16" t="s">
        <v>29</v>
      </c>
      <c r="G309" s="17" t="s">
        <v>979</v>
      </c>
      <c r="H309" s="17" t="s">
        <v>1716</v>
      </c>
      <c r="I309" s="13" t="s">
        <v>1606</v>
      </c>
      <c r="J309" s="18" t="str">
        <f>HYPERLINK("CorLog\RTO\Projects\20150611 RTO Projects Consolidated Shipments for RTO Projects in Africa (WHQ-to-DEU).docx", "Consolidated Shipments for RTO Projects in Africa")</f>
        <v>Consolidated Shipments for RTO Projects in Africa</v>
      </c>
      <c r="K309" s="18"/>
      <c r="L309" s="19"/>
      <c r="M309" s="20"/>
      <c r="N309" s="21" t="s">
        <v>1607</v>
      </c>
    </row>
    <row r="310" spans="1:14">
      <c r="A310" s="12" t="s">
        <v>874</v>
      </c>
      <c r="B310" s="13"/>
      <c r="C310" s="14"/>
      <c r="D310" s="15">
        <v>42166</v>
      </c>
      <c r="E310" s="16" t="s">
        <v>25</v>
      </c>
      <c r="F310" s="16" t="s">
        <v>19</v>
      </c>
      <c r="G310" s="17" t="s">
        <v>744</v>
      </c>
      <c r="H310" s="17" t="s">
        <v>1031</v>
      </c>
      <c r="I310" s="13" t="s">
        <v>1717</v>
      </c>
      <c r="J310" s="18" t="str">
        <f>HYPERLINK("CorLog\AGO\Viana AH\20150611 AGO Viana AH Borehole Project at the Viana Assembly Hall (WHQ-to-AGO).doc", "Borehole Project at the Viana Assembly Hall")</f>
        <v>Borehole Project at the Viana Assembly Hall</v>
      </c>
      <c r="K310" s="18"/>
      <c r="L310" s="19"/>
      <c r="M310" s="20"/>
      <c r="N310" s="21" t="s">
        <v>1718</v>
      </c>
    </row>
    <row r="311" spans="1:14">
      <c r="A311" s="12" t="s">
        <v>771</v>
      </c>
      <c r="B311" s="13" t="s">
        <v>750</v>
      </c>
      <c r="C311" s="14" t="s">
        <v>1719</v>
      </c>
      <c r="D311" s="15">
        <v>42165.888298611113</v>
      </c>
      <c r="E311" s="16" t="s">
        <v>17</v>
      </c>
      <c r="F311" s="16" t="s">
        <v>16</v>
      </c>
      <c r="G311" s="17" t="s">
        <v>913</v>
      </c>
      <c r="H311" s="17" t="s">
        <v>914</v>
      </c>
      <c r="I311" s="13" t="s">
        <v>1720</v>
      </c>
      <c r="J311" s="18" t="str">
        <f>HYPERLINK("CorLog\COD\Branch\20150610 COD Branch 13A Fire Damage SHORT TERM Accommodation (WDC-to-RDC).msg", "13A Fire Damage SHORT TERM Accommodation")</f>
        <v>13A Fire Damage SHORT TERM Accommodation</v>
      </c>
      <c r="K311" s="22"/>
      <c r="L311" s="19"/>
      <c r="M311" s="20"/>
      <c r="N311" s="21" t="s">
        <v>1721</v>
      </c>
    </row>
    <row r="312" spans="1:14">
      <c r="A312" s="12" t="s">
        <v>750</v>
      </c>
      <c r="B312" s="13" t="s">
        <v>771</v>
      </c>
      <c r="C312" s="14" t="s">
        <v>1722</v>
      </c>
      <c r="D312" s="15">
        <v>42165.732835648145</v>
      </c>
      <c r="E312" s="16" t="s">
        <v>16</v>
      </c>
      <c r="F312" s="16" t="s">
        <v>17</v>
      </c>
      <c r="G312" s="17" t="s">
        <v>738</v>
      </c>
      <c r="H312" s="17" t="s">
        <v>1650</v>
      </c>
      <c r="I312" s="13" t="s">
        <v>1723</v>
      </c>
      <c r="J312" s="18" t="str">
        <f>HYPERLINK("CorLog\GHA\BEX 2\20150610 GHA BEX 2 Concept Cost Plan; Pull out COST of SW Channel (RDC-to-WDC).msg", "Concept Cost Plan; Pull out COST of SW Channel")</f>
        <v>Concept Cost Plan; Pull out COST of SW Channel</v>
      </c>
      <c r="K312" s="22"/>
      <c r="L312" s="19"/>
      <c r="M312" s="20"/>
      <c r="N312" s="21" t="s">
        <v>1724</v>
      </c>
    </row>
    <row r="313" spans="1:14">
      <c r="A313" s="12" t="s">
        <v>750</v>
      </c>
      <c r="B313" s="13" t="s">
        <v>771</v>
      </c>
      <c r="C313" s="14" t="s">
        <v>1725</v>
      </c>
      <c r="D313" s="15">
        <v>42165.713877314818</v>
      </c>
      <c r="E313" s="16" t="s">
        <v>16</v>
      </c>
      <c r="F313" s="16" t="s">
        <v>17</v>
      </c>
      <c r="G313" s="17" t="s">
        <v>738</v>
      </c>
      <c r="H313" s="17" t="s">
        <v>1650</v>
      </c>
      <c r="I313" s="13" t="s">
        <v>1726</v>
      </c>
      <c r="J313" s="18" t="str">
        <f>HYPERLINK("CorLog\GHA\BEX 2\20150610 GHA BEX 2 Concept Cost Plan; Review with ZSJ--MINUTES (RDC-to-WDC).msg", "Concept Cost Plan; Review with ZSJ--MINUTES")</f>
        <v>Concept Cost Plan; Review with ZSJ--MINUTES</v>
      </c>
      <c r="K313" s="22"/>
      <c r="L313" s="19"/>
      <c r="M313" s="20"/>
      <c r="N313" s="21" t="s">
        <v>1727</v>
      </c>
    </row>
    <row r="314" spans="1:14">
      <c r="A314" s="12"/>
      <c r="B314" s="13"/>
      <c r="C314" s="14"/>
      <c r="D314" s="15">
        <v>42165.70553240741</v>
      </c>
      <c r="E314" s="16" t="s">
        <v>17</v>
      </c>
      <c r="F314" s="16" t="s">
        <v>30</v>
      </c>
      <c r="G314" s="17" t="s">
        <v>719</v>
      </c>
      <c r="H314" s="17" t="s">
        <v>1728</v>
      </c>
      <c r="I314" s="13" t="s">
        <v>1729</v>
      </c>
      <c r="J314" s="18" t="str">
        <f>HYPERLINK("CorLog\Reference\20150610 Reference WDC Form and Acronym List (WDC-to-ALL).xls", "WDC Form and Acronym List")</f>
        <v>WDC Form and Acronym List</v>
      </c>
      <c r="K314" s="22"/>
      <c r="L314" s="19"/>
      <c r="M314" s="20"/>
      <c r="N314" s="21"/>
    </row>
    <row r="315" spans="1:14">
      <c r="A315" s="12" t="s">
        <v>749</v>
      </c>
      <c r="B315" s="13" t="s">
        <v>742</v>
      </c>
      <c r="C315" s="14" t="s">
        <v>1730</v>
      </c>
      <c r="D315" s="15">
        <v>42165.574756944443</v>
      </c>
      <c r="E315" s="16" t="s">
        <v>16</v>
      </c>
      <c r="F315" s="16" t="s">
        <v>16</v>
      </c>
      <c r="G315" s="17" t="s">
        <v>719</v>
      </c>
      <c r="H315" s="17" t="s">
        <v>1544</v>
      </c>
      <c r="I315" s="13" t="s">
        <v>1731</v>
      </c>
      <c r="J315" s="18" t="str">
        <f>HYPERLINK("CorLog\Reference\20150610 Reference SALTO - Keyless Access package guidance (RDC-to-RDC).msg", "SALTO - Keyless Access package guidance")</f>
        <v>SALTO - Keyless Access package guidance</v>
      </c>
      <c r="K315" s="22"/>
      <c r="L315" s="19"/>
      <c r="M315" s="20"/>
      <c r="N315" s="21" t="s">
        <v>1732</v>
      </c>
    </row>
    <row r="316" spans="1:14">
      <c r="A316" s="12" t="s">
        <v>756</v>
      </c>
      <c r="B316" s="13" t="s">
        <v>827</v>
      </c>
      <c r="C316" s="14" t="s">
        <v>1733</v>
      </c>
      <c r="D316" s="15">
        <v>42165.561261574076</v>
      </c>
      <c r="E316" s="16" t="s">
        <v>16</v>
      </c>
      <c r="F316" s="16" t="s">
        <v>21</v>
      </c>
      <c r="G316" s="17" t="s">
        <v>790</v>
      </c>
      <c r="H316" s="17" t="s">
        <v>854</v>
      </c>
      <c r="I316" s="13" t="s">
        <v>1734</v>
      </c>
      <c r="J316" s="18" t="str">
        <f>HYPERLINK("CorLog\GHA\BEX\20150610 GHA BEX Structural - Connection Slabs Porch to Main Bldg (RDC-to-GHA).msg", "Structural - Connection Slabs Porch to Main Bldg")</f>
        <v>Structural - Connection Slabs Porch to Main Bldg</v>
      </c>
      <c r="K316" s="22"/>
      <c r="L316" s="19"/>
      <c r="M316" s="20"/>
      <c r="N316" s="21" t="s">
        <v>1735</v>
      </c>
    </row>
    <row r="317" spans="1:14">
      <c r="A317" s="12" t="s">
        <v>718</v>
      </c>
      <c r="B317" s="13" t="s">
        <v>1736</v>
      </c>
      <c r="C317" s="14" t="s">
        <v>1737</v>
      </c>
      <c r="D317" s="15">
        <v>42165.413414351853</v>
      </c>
      <c r="E317" s="16" t="s">
        <v>16</v>
      </c>
      <c r="F317" s="16" t="s">
        <v>15</v>
      </c>
      <c r="G317" s="17" t="s">
        <v>785</v>
      </c>
      <c r="H317" s="17" t="s">
        <v>1426</v>
      </c>
      <c r="I317" s="13" t="s">
        <v>1738</v>
      </c>
      <c r="J317" s="18" t="str">
        <f>HYPERLINK("CorLog\COD\Lubumbashi RTO\20150610 COD Lubumbashi RTO Key Matrix to be produced locally, not ZAF or RDC (RDC-to-ZAF).msg", "Key Matrix to be produced locally, not ZAF or RDC")</f>
        <v>Key Matrix to be produced locally, not ZAF or RDC</v>
      </c>
      <c r="K317" s="22"/>
      <c r="L317" s="19"/>
      <c r="M317" s="20"/>
      <c r="N317" s="21" t="s">
        <v>1739</v>
      </c>
    </row>
    <row r="318" spans="1:14">
      <c r="A318" s="12" t="s">
        <v>1233</v>
      </c>
      <c r="B318" s="13"/>
      <c r="C318" s="14"/>
      <c r="D318" s="15">
        <v>42165</v>
      </c>
      <c r="E318" s="16" t="s">
        <v>25</v>
      </c>
      <c r="F318" s="16" t="s">
        <v>30</v>
      </c>
      <c r="G318" s="17" t="s">
        <v>719</v>
      </c>
      <c r="H318" s="17" t="s">
        <v>1740</v>
      </c>
      <c r="I318" s="13" t="s">
        <v>1741</v>
      </c>
      <c r="J318" s="18" t="str">
        <f>HYPERLINK("CorLog\Reference\20150610 Reference New Admin Feature for LDC Entities (WHQ-to-ALL).docx", "New Admin Feature for LDC Entities")</f>
        <v>New Admin Feature for LDC Entities</v>
      </c>
      <c r="K318" s="22"/>
      <c r="L318" s="19"/>
      <c r="M318" s="20"/>
      <c r="N318" s="21" t="s">
        <v>1742</v>
      </c>
    </row>
    <row r="319" spans="1:14">
      <c r="A319" s="12" t="s">
        <v>1073</v>
      </c>
      <c r="B319" s="13"/>
      <c r="C319" s="14"/>
      <c r="D319" s="15">
        <v>42165</v>
      </c>
      <c r="E319" s="16" t="s">
        <v>25</v>
      </c>
      <c r="F319" s="16" t="s">
        <v>21</v>
      </c>
      <c r="G319" s="17" t="s">
        <v>730</v>
      </c>
      <c r="H319" s="17" t="s">
        <v>1588</v>
      </c>
      <c r="I319" s="13" t="s">
        <v>1589</v>
      </c>
      <c r="J319" s="18" t="str">
        <f>HYPERLINK("CorLog\GHA\Baatsona SKE\20150610 GHA Baatsona SKE DC-41 No 2 Ghana School Facility Baatsona Renovation (USD 453,189) (WHQ-to-GHA).docx", "DC-41 No 2 Ghana School Facility Baatsona Renovation (USD 453,189)")</f>
        <v>DC-41 No 2 Ghana School Facility Baatsona Renovation (USD 453,189)</v>
      </c>
      <c r="K319" s="18"/>
      <c r="L319" s="19"/>
      <c r="M319" s="20"/>
      <c r="N319" s="21" t="s">
        <v>1590</v>
      </c>
    </row>
    <row r="320" spans="1:14">
      <c r="A320" s="12" t="s">
        <v>1073</v>
      </c>
      <c r="B320" s="13"/>
      <c r="C320" s="14"/>
      <c r="D320" s="15">
        <v>42165</v>
      </c>
      <c r="E320" s="16" t="s">
        <v>22</v>
      </c>
      <c r="F320" s="16" t="s">
        <v>17</v>
      </c>
      <c r="G320" s="17" t="s">
        <v>913</v>
      </c>
      <c r="H320" s="17" t="s">
        <v>1743</v>
      </c>
      <c r="I320" s="13" t="s">
        <v>1744</v>
      </c>
      <c r="J320" s="18" t="str">
        <f>HYPERLINK("CorLog\COD\Branch\20150610 COD Branch Congo Residence Fire Damage Assess - Travel Approval (COD-to-WDC).docx", "Congo Residence Fire Damage Assess - Travel Approval")</f>
        <v>Congo Residence Fire Damage Assess - Travel Approval</v>
      </c>
      <c r="K320" s="22"/>
      <c r="L320" s="19"/>
      <c r="M320" s="20"/>
      <c r="N320" s="21" t="s">
        <v>1745</v>
      </c>
    </row>
    <row r="321" spans="1:14">
      <c r="A321" s="12" t="s">
        <v>1454</v>
      </c>
      <c r="B321" s="13"/>
      <c r="C321" s="14"/>
      <c r="D321" s="15">
        <v>42165</v>
      </c>
      <c r="E321" s="16" t="s">
        <v>15</v>
      </c>
      <c r="F321" s="16" t="s">
        <v>17</v>
      </c>
      <c r="G321" s="17" t="s">
        <v>913</v>
      </c>
      <c r="H321" s="17" t="s">
        <v>1743</v>
      </c>
      <c r="I321" s="13" t="s">
        <v>1744</v>
      </c>
      <c r="J321" s="18" t="str">
        <f>HYPERLINK("CorLog\COD\Branch\20150610 COD Branch Congo Residence Fire Damage Assess - Travel Approval (ZAF-to-WDC).docx", "Congo Residence Fire Damage Assess - Travel Approval")</f>
        <v>Congo Residence Fire Damage Assess - Travel Approval</v>
      </c>
      <c r="K321" s="22"/>
      <c r="L321" s="19"/>
      <c r="M321" s="20"/>
      <c r="N321" s="21" t="s">
        <v>1745</v>
      </c>
    </row>
    <row r="322" spans="1:14">
      <c r="A322" s="12" t="s">
        <v>717</v>
      </c>
      <c r="B322" s="13" t="s">
        <v>718</v>
      </c>
      <c r="C322" s="14" t="s">
        <v>1746</v>
      </c>
      <c r="D322" s="15">
        <v>42164.694606481484</v>
      </c>
      <c r="E322" s="16" t="s">
        <v>16</v>
      </c>
      <c r="F322" s="16" t="s">
        <v>16</v>
      </c>
      <c r="G322" s="17" t="s">
        <v>913</v>
      </c>
      <c r="H322" s="17" t="s">
        <v>914</v>
      </c>
      <c r="I322" s="13" t="s">
        <v>1747</v>
      </c>
      <c r="J322" s="18" t="str">
        <f>HYPERLINK("CorLog\COD\Branch\20150609 COD Branch Residence 13A fire damage update (RDC-to-RDC).msg", "Residence 13A fire damage update")</f>
        <v>Residence 13A fire damage update</v>
      </c>
      <c r="K322" s="22"/>
      <c r="L322" s="19"/>
      <c r="M322" s="20"/>
      <c r="N322" s="21" t="s">
        <v>1748</v>
      </c>
    </row>
    <row r="323" spans="1:14">
      <c r="A323" s="12" t="s">
        <v>916</v>
      </c>
      <c r="B323" s="13" t="s">
        <v>1069</v>
      </c>
      <c r="C323" s="14" t="s">
        <v>1749</v>
      </c>
      <c r="D323" s="15">
        <v>42164.624490740738</v>
      </c>
      <c r="E323" s="16" t="s">
        <v>16</v>
      </c>
      <c r="F323" s="16" t="s">
        <v>18</v>
      </c>
      <c r="G323" s="17" t="s">
        <v>1070</v>
      </c>
      <c r="H323" s="17" t="s">
        <v>1153</v>
      </c>
      <c r="I323" s="13" t="s">
        <v>1750</v>
      </c>
      <c r="J323" s="18" t="str">
        <f>HYPERLINK("CorLog\ZMB\Katete RTO\20150609 ZMB Katete RTO Entrance gate Bridge deisgn (RDC-to-ZMB).msg", "Entrance gate Bridge deisgn")</f>
        <v>Entrance gate Bridge deisgn</v>
      </c>
      <c r="K323" s="22"/>
      <c r="L323" s="19"/>
      <c r="M323" s="20"/>
      <c r="N323" s="21" t="s">
        <v>1751</v>
      </c>
    </row>
    <row r="324" spans="1:14">
      <c r="A324" s="12"/>
      <c r="B324" s="13"/>
      <c r="C324" s="14"/>
      <c r="D324" s="15">
        <v>42164.436226851853</v>
      </c>
      <c r="E324" s="16" t="s">
        <v>18</v>
      </c>
      <c r="F324" s="16" t="s">
        <v>15</v>
      </c>
      <c r="G324" s="17" t="s">
        <v>1065</v>
      </c>
      <c r="H324" s="17" t="s">
        <v>1000</v>
      </c>
      <c r="I324" s="13" t="s">
        <v>1599</v>
      </c>
      <c r="J324" s="18" t="str">
        <f>HYPERLINK("CorLog\ZMB\RTO Projects\20150609 ZMB RTO Projects Adjusting Order of RTO Construction in Zambia (ZMB-to-ZAF).docx", "Adjusting Order of RTO Construction in Zambia")</f>
        <v>Adjusting Order of RTO Construction in Zambia</v>
      </c>
      <c r="K324" s="22"/>
      <c r="L324" s="19"/>
      <c r="M324" s="20"/>
      <c r="N324" s="21" t="s">
        <v>1600</v>
      </c>
    </row>
    <row r="325" spans="1:14">
      <c r="A325" s="12" t="s">
        <v>1073</v>
      </c>
      <c r="B325" s="13"/>
      <c r="C325" s="14"/>
      <c r="D325" s="15">
        <v>42164</v>
      </c>
      <c r="E325" s="16" t="s">
        <v>25</v>
      </c>
      <c r="F325" s="16" t="s">
        <v>23</v>
      </c>
      <c r="G325" s="17" t="s">
        <v>1752</v>
      </c>
      <c r="H325" s="17" t="s">
        <v>1000</v>
      </c>
      <c r="I325" s="13" t="s">
        <v>1753</v>
      </c>
      <c r="J325" s="18" t="str">
        <f>HYPERLINK("CorLog\ZMB\Chiredzi RTO\20150609 ZMB Chiredzi RTO Rented House for Full Time Commuters (WHQ-to-ZWE).docx", "Rented House for Full Time Commuters")</f>
        <v>Rented House for Full Time Commuters</v>
      </c>
      <c r="K325" s="22"/>
      <c r="L325" s="19"/>
      <c r="M325" s="20"/>
      <c r="N325" s="21" t="s">
        <v>1754</v>
      </c>
    </row>
    <row r="326" spans="1:14">
      <c r="A326" s="12" t="s">
        <v>718</v>
      </c>
      <c r="B326" s="13" t="s">
        <v>1069</v>
      </c>
      <c r="C326" s="14" t="s">
        <v>1399</v>
      </c>
      <c r="D326" s="15">
        <v>42163.806689814817</v>
      </c>
      <c r="E326" s="16" t="s">
        <v>16</v>
      </c>
      <c r="F326" s="16" t="s">
        <v>18</v>
      </c>
      <c r="G326" s="17" t="s">
        <v>1070</v>
      </c>
      <c r="H326" s="17" t="s">
        <v>829</v>
      </c>
      <c r="I326" s="13" t="s">
        <v>1755</v>
      </c>
      <c r="J326" s="18" t="str">
        <f>HYPERLINK("CorLog\ZMB\Katete RTO\20150608 ZMB Katete RTO RDC review of NLBR; REQ 520-12120; Specialty Items and Accesories; 20150529 (RDC-to-ZMB).msg", "RDC review of NLBR; REQ 520-12120; Specialty Items and Accesories; 20150529")</f>
        <v>RDC review of NLBR; REQ 520-12120; Specialty Items and Accesories; 20150529</v>
      </c>
      <c r="K326" s="22"/>
      <c r="L326" s="19"/>
      <c r="M326" s="20"/>
      <c r="N326" s="21" t="s">
        <v>1756</v>
      </c>
    </row>
    <row r="327" spans="1:14">
      <c r="A327" s="12" t="s">
        <v>718</v>
      </c>
      <c r="B327" s="13" t="s">
        <v>827</v>
      </c>
      <c r="C327" s="14" t="s">
        <v>1757</v>
      </c>
      <c r="D327" s="15">
        <v>42163.802256944444</v>
      </c>
      <c r="E327" s="16" t="s">
        <v>16</v>
      </c>
      <c r="F327" s="16" t="s">
        <v>21</v>
      </c>
      <c r="G327" s="17" t="s">
        <v>738</v>
      </c>
      <c r="H327" s="17" t="s">
        <v>1758</v>
      </c>
      <c r="I327" s="13" t="s">
        <v>1759</v>
      </c>
      <c r="J327" s="18" t="str">
        <f>HYPERLINK("CorLog\GHA\BEX 2\20150608 GHA BEX 2 Construction support for the home (RDC-to-GHA).msg", "Construction support for the home")</f>
        <v>Construction support for the home</v>
      </c>
      <c r="K327" s="22" t="s">
        <v>733</v>
      </c>
      <c r="L327" s="19"/>
      <c r="M327" s="20"/>
      <c r="N327" s="21" t="s">
        <v>1760</v>
      </c>
    </row>
    <row r="328" spans="1:14">
      <c r="A328" s="12" t="s">
        <v>750</v>
      </c>
      <c r="B328" s="13" t="s">
        <v>1761</v>
      </c>
      <c r="C328" s="14"/>
      <c r="D328" s="15">
        <v>42163.652824074074</v>
      </c>
      <c r="E328" s="16" t="s">
        <v>16</v>
      </c>
      <c r="F328" s="16" t="s">
        <v>16</v>
      </c>
      <c r="G328" s="17" t="s">
        <v>885</v>
      </c>
      <c r="H328" s="17" t="s">
        <v>1762</v>
      </c>
      <c r="I328" s="13" t="s">
        <v>1763</v>
      </c>
      <c r="J328" s="18" t="str">
        <f>HYPERLINK("CorLog\ZMB\Kabompo RTO\20150608 ZMB Kabompo RTO 'Lessons Learned' from Commissioning (RDC-to-RDC).msg", "'Lessons Learned' from Commissioning")</f>
        <v>'Lessons Learned' from Commissioning</v>
      </c>
      <c r="K328" s="22"/>
      <c r="L328" s="19"/>
      <c r="M328" s="20"/>
      <c r="N328" s="21" t="s">
        <v>1764</v>
      </c>
    </row>
    <row r="329" spans="1:14">
      <c r="A329" s="12" t="s">
        <v>1003</v>
      </c>
      <c r="B329" s="13" t="s">
        <v>718</v>
      </c>
      <c r="C329" s="14"/>
      <c r="D329" s="15">
        <v>42163.597361111111</v>
      </c>
      <c r="E329" s="16" t="s">
        <v>22</v>
      </c>
      <c r="F329" s="16" t="s">
        <v>16</v>
      </c>
      <c r="G329" s="17" t="s">
        <v>913</v>
      </c>
      <c r="H329" s="17" t="s">
        <v>1765</v>
      </c>
      <c r="I329" s="13" t="s">
        <v>1766</v>
      </c>
      <c r="J329" s="18" t="str">
        <f>HYPERLINK("CorLog\COD\Branch\20150608 COD Branch Pictures of damaged building by fire (COD-to-RDC).msg", "Pictures of damaged building by fire")</f>
        <v>Pictures of damaged building by fire</v>
      </c>
      <c r="K329" s="22"/>
      <c r="L329" s="19"/>
      <c r="M329" s="20"/>
      <c r="N329" s="21" t="s">
        <v>1767</v>
      </c>
    </row>
    <row r="330" spans="1:14">
      <c r="A330" s="12" t="s">
        <v>718</v>
      </c>
      <c r="B330" s="13" t="s">
        <v>742</v>
      </c>
      <c r="C330" s="14" t="s">
        <v>1768</v>
      </c>
      <c r="D330" s="15">
        <v>42163.52070601852</v>
      </c>
      <c r="E330" s="16" t="s">
        <v>16</v>
      </c>
      <c r="F330" s="16" t="s">
        <v>16</v>
      </c>
      <c r="G330" s="17" t="s">
        <v>913</v>
      </c>
      <c r="H330" s="17" t="s">
        <v>914</v>
      </c>
      <c r="I330" s="13" t="s">
        <v>1769</v>
      </c>
      <c r="J330" s="18" t="str">
        <f>HYPERLINK("CorLog\COD\branch\20150608 COD branch Mtg about Fire in Building 13A (RDC-to-RDC).msg", "Mtg about Fire in Building 13A")</f>
        <v>Mtg about Fire in Building 13A</v>
      </c>
      <c r="K330" s="22"/>
      <c r="L330" s="19"/>
      <c r="M330" s="20"/>
      <c r="N330" s="21" t="s">
        <v>1770</v>
      </c>
    </row>
    <row r="331" spans="1:14">
      <c r="A331" s="12" t="s">
        <v>750</v>
      </c>
      <c r="B331" s="13" t="s">
        <v>742</v>
      </c>
      <c r="C331" s="14" t="s">
        <v>718</v>
      </c>
      <c r="D331" s="15">
        <v>42163.44903935185</v>
      </c>
      <c r="E331" s="16" t="s">
        <v>16</v>
      </c>
      <c r="F331" s="16" t="s">
        <v>16</v>
      </c>
      <c r="G331" s="17" t="s">
        <v>738</v>
      </c>
      <c r="H331" s="17" t="s">
        <v>1195</v>
      </c>
      <c r="I331" s="13" t="s">
        <v>1771</v>
      </c>
      <c r="J331" s="18" t="str">
        <f>HYPERLINK("CorLog\GHA\BEX 2\20150608 GHA BEX 2 CDP Cost Plan (ZSJ and MA queries) (RDC-to-RDC).msg", "CDP Cost Plan (ZSJ and MA queries)")</f>
        <v>CDP Cost Plan (ZSJ and MA queries)</v>
      </c>
      <c r="K331" s="22"/>
      <c r="L331" s="19"/>
      <c r="M331" s="20"/>
      <c r="N331" s="21" t="s">
        <v>1772</v>
      </c>
    </row>
    <row r="332" spans="1:14">
      <c r="A332" s="12" t="s">
        <v>718</v>
      </c>
      <c r="B332" s="13" t="s">
        <v>1069</v>
      </c>
      <c r="C332" s="14" t="s">
        <v>1399</v>
      </c>
      <c r="D332" s="15">
        <v>42163.334907407407</v>
      </c>
      <c r="E332" s="16" t="s">
        <v>16</v>
      </c>
      <c r="F332" s="16" t="s">
        <v>18</v>
      </c>
      <c r="G332" s="17" t="s">
        <v>1070</v>
      </c>
      <c r="H332" s="17" t="s">
        <v>1400</v>
      </c>
      <c r="I332" s="13" t="s">
        <v>1773</v>
      </c>
      <c r="J332" s="18" t="str">
        <f>HYPERLINK("CorLog\ZMB\Katete RTO\20150608 ZMB Katete RTO RDC review of NLBR; REQ 520-12218; Mech Order 11; Extra ACs for TERs; 20150605 (RDC-to-ZMB).msg", "RDC review of NLBR; REQ 520-12218; Mech Order 11; Extra ACs for TERs; 20150605")</f>
        <v>RDC review of NLBR; REQ 520-12218; Mech Order 11; Extra ACs for TERs; 20150605</v>
      </c>
      <c r="K332" s="22"/>
      <c r="L332" s="19"/>
      <c r="M332" s="20"/>
      <c r="N332" s="21" t="s">
        <v>1774</v>
      </c>
    </row>
    <row r="333" spans="1:14">
      <c r="A333" s="12" t="s">
        <v>874</v>
      </c>
      <c r="B333" s="13"/>
      <c r="C333" s="14"/>
      <c r="D333" s="15">
        <v>42163</v>
      </c>
      <c r="E333" s="16" t="s">
        <v>25</v>
      </c>
      <c r="F333" s="16" t="s">
        <v>18</v>
      </c>
      <c r="G333" s="17" t="s">
        <v>1775</v>
      </c>
      <c r="H333" s="17" t="s">
        <v>1015</v>
      </c>
      <c r="I333" s="13" t="s">
        <v>1776</v>
      </c>
      <c r="J333" s="18" t="str">
        <f>HYPERLINK("CorLog\ZMB\Mpongwe RTO\20150608 ZMB Mpongwe RTO Property Option in Mpongwe for the Lamba Remote Translation Office (WHQ-to-ZMB).doc", "Property Option in Mpongwe for the Lamba Remote Translation Office")</f>
        <v>Property Option in Mpongwe for the Lamba Remote Translation Office</v>
      </c>
      <c r="K333" s="22"/>
      <c r="L333" s="19" t="s">
        <v>1777</v>
      </c>
      <c r="M333" s="20"/>
      <c r="N333" s="21" t="s">
        <v>1778</v>
      </c>
    </row>
    <row r="334" spans="1:14">
      <c r="A334" s="12" t="s">
        <v>874</v>
      </c>
      <c r="B334" s="13"/>
      <c r="C334" s="14"/>
      <c r="D334" s="15">
        <v>42163</v>
      </c>
      <c r="E334" s="16" t="s">
        <v>25</v>
      </c>
      <c r="F334" s="16" t="s">
        <v>18</v>
      </c>
      <c r="G334" s="17" t="s">
        <v>1775</v>
      </c>
      <c r="H334" s="17" t="s">
        <v>1015</v>
      </c>
      <c r="I334" s="13" t="s">
        <v>1776</v>
      </c>
      <c r="J334" s="18" t="str">
        <f>HYPERLINK("CorLog\ZMB\Mpongwe RTO\20150608 ZMB Mpongwe RTO Property Option in Mpongwe for the Lamba Remote Translation Office (WHQ-to-ZMB).doc", "Property Option in Mpongwe for the Lamba Remote Translation Office")</f>
        <v>Property Option in Mpongwe for the Lamba Remote Translation Office</v>
      </c>
      <c r="K334" s="18"/>
      <c r="L334" s="19"/>
      <c r="M334" s="20"/>
      <c r="N334" s="21" t="s">
        <v>1778</v>
      </c>
    </row>
    <row r="335" spans="1:14">
      <c r="A335" s="12" t="s">
        <v>756</v>
      </c>
      <c r="B335" s="13" t="s">
        <v>757</v>
      </c>
      <c r="C335" s="14" t="s">
        <v>718</v>
      </c>
      <c r="D335" s="15">
        <v>42162.790173611109</v>
      </c>
      <c r="E335" s="16" t="s">
        <v>16</v>
      </c>
      <c r="F335" s="16" t="s">
        <v>21</v>
      </c>
      <c r="G335" s="17" t="s">
        <v>758</v>
      </c>
      <c r="H335" s="17" t="s">
        <v>886</v>
      </c>
      <c r="I335" s="13" t="s">
        <v>1779</v>
      </c>
      <c r="J335" s="18" t="str">
        <f>HYPERLINK("CorLog\GHA\Viepe RTO\20150607 GHA Viepe RTO FS extra double data cable drops in offices (Req 57675) (RDC-to-GHA).msg", "FS extra double data cable drops in offices (Req 57675)")</f>
        <v>FS extra double data cable drops in offices (Req 57675)</v>
      </c>
      <c r="K335" s="22"/>
      <c r="L335" s="19"/>
      <c r="M335" s="20"/>
      <c r="N335" s="21" t="s">
        <v>1780</v>
      </c>
    </row>
    <row r="336" spans="1:14">
      <c r="A336" s="12" t="s">
        <v>756</v>
      </c>
      <c r="B336" s="13" t="s">
        <v>718</v>
      </c>
      <c r="C336" s="14"/>
      <c r="D336" s="15">
        <v>42162.785057870373</v>
      </c>
      <c r="E336" s="16" t="s">
        <v>16</v>
      </c>
      <c r="F336" s="16" t="s">
        <v>16</v>
      </c>
      <c r="G336" s="17" t="s">
        <v>767</v>
      </c>
      <c r="H336" s="17" t="s">
        <v>768</v>
      </c>
      <c r="I336" s="13" t="s">
        <v>769</v>
      </c>
      <c r="J336" s="18" t="str">
        <f>HYPERLINK("CorLog\SEN\Branch\20150607 SEN Branch OCE for POR &amp; FEV (RDC-to-RDC).msg", "OCE for POR &amp; FEV")</f>
        <v>OCE for POR &amp; FEV</v>
      </c>
      <c r="K336" s="22" t="s">
        <v>747</v>
      </c>
      <c r="L336" s="19"/>
      <c r="M336" s="20"/>
      <c r="N336" s="21" t="s">
        <v>770</v>
      </c>
    </row>
    <row r="337" spans="1:14">
      <c r="A337" s="12" t="s">
        <v>718</v>
      </c>
      <c r="B337" s="13" t="s">
        <v>717</v>
      </c>
      <c r="C337" s="14" t="s">
        <v>1781</v>
      </c>
      <c r="D337" s="15">
        <v>42160.674537037034</v>
      </c>
      <c r="E337" s="16" t="s">
        <v>16</v>
      </c>
      <c r="F337" s="16" t="s">
        <v>16</v>
      </c>
      <c r="G337" s="17" t="s">
        <v>719</v>
      </c>
      <c r="H337" s="17" t="s">
        <v>1634</v>
      </c>
      <c r="I337" s="13" t="s">
        <v>1782</v>
      </c>
      <c r="J337" s="18" t="str">
        <f>HYPERLINK("CorLog\Reference\20150605 Reference NLBR Import sheet to add duty adn tax to lines (RDC-to-RDC).msg", "NLBR Import sheet to add duty adn tax to lines")</f>
        <v>NLBR Import sheet to add duty adn tax to lines</v>
      </c>
      <c r="K337" s="22"/>
      <c r="L337" s="19"/>
      <c r="M337" s="20"/>
      <c r="N337" s="21" t="s">
        <v>1783</v>
      </c>
    </row>
    <row r="338" spans="1:14">
      <c r="A338" s="12" t="s">
        <v>1784</v>
      </c>
      <c r="B338" s="13" t="s">
        <v>1785</v>
      </c>
      <c r="C338" s="14" t="s">
        <v>1786</v>
      </c>
      <c r="D338" s="15">
        <v>42160.553912037038</v>
      </c>
      <c r="E338" s="16" t="s">
        <v>16</v>
      </c>
      <c r="F338" s="16" t="s">
        <v>20</v>
      </c>
      <c r="G338" s="17" t="s">
        <v>979</v>
      </c>
      <c r="H338" s="17" t="s">
        <v>1367</v>
      </c>
      <c r="I338" s="13" t="s">
        <v>1787</v>
      </c>
      <c r="J338" s="18" t="str">
        <f>HYPERLINK("CorLog\RTO\Projects\20150605 RTO Projects RTO Paint Epoxy Sikagard 63N 'QUANTITIES' (RDC-to-MOZ).msg", "RTO Paint Epoxy Sikagard 63N 'QUANTITIES'")</f>
        <v>RTO Paint Epoxy Sikagard 63N 'QUANTITIES'</v>
      </c>
      <c r="K338" s="22"/>
      <c r="L338" s="19"/>
      <c r="M338" s="20"/>
      <c r="N338" s="21" t="s">
        <v>1788</v>
      </c>
    </row>
    <row r="339" spans="1:14">
      <c r="A339" s="12" t="s">
        <v>821</v>
      </c>
      <c r="B339" s="13" t="s">
        <v>1789</v>
      </c>
      <c r="C339" s="14" t="s">
        <v>1790</v>
      </c>
      <c r="D339" s="15">
        <v>42160.502280092594</v>
      </c>
      <c r="E339" s="16" t="s">
        <v>21</v>
      </c>
      <c r="F339" s="16" t="s">
        <v>21</v>
      </c>
      <c r="G339" s="17" t="s">
        <v>1470</v>
      </c>
      <c r="H339" s="17" t="s">
        <v>1000</v>
      </c>
      <c r="I339" s="13" t="s">
        <v>1791</v>
      </c>
      <c r="J339" s="18" t="str">
        <f>HYPERLINK("CorLog\GHA\RTO Projects\20150605 GHA RTO Projects Notifying WHQ about RTOs, etc (GHA-to-GHA).msg", "Notifying WHQ about RTOs, etc")</f>
        <v>Notifying WHQ about RTOs, etc</v>
      </c>
      <c r="K339" s="22"/>
      <c r="L339" s="19"/>
      <c r="M339" s="20"/>
      <c r="N339" s="21" t="s">
        <v>1792</v>
      </c>
    </row>
    <row r="340" spans="1:14">
      <c r="A340" s="12" t="s">
        <v>827</v>
      </c>
      <c r="B340" s="13" t="s">
        <v>742</v>
      </c>
      <c r="C340" s="14" t="s">
        <v>1793</v>
      </c>
      <c r="D340" s="15">
        <v>42160.493125000001</v>
      </c>
      <c r="E340" s="16" t="s">
        <v>21</v>
      </c>
      <c r="F340" s="16" t="s">
        <v>16</v>
      </c>
      <c r="G340" s="17" t="s">
        <v>738</v>
      </c>
      <c r="H340" s="17" t="s">
        <v>759</v>
      </c>
      <c r="I340" s="13" t="s">
        <v>1794</v>
      </c>
      <c r="J340" s="18" t="str">
        <f>HYPERLINK("CorLog\GHA\BEX 2\20150605 GHA BEX 2 Dimensions of shed (old garage) (GHA-to-RDC).msg", "Dimensions of shed (old garage)")</f>
        <v>Dimensions of shed (old garage)</v>
      </c>
      <c r="K340" s="22" t="s">
        <v>721</v>
      </c>
      <c r="L340" s="19"/>
      <c r="M340" s="20"/>
      <c r="N340" s="21" t="s">
        <v>1795</v>
      </c>
    </row>
    <row r="341" spans="1:14">
      <c r="A341" s="12" t="s">
        <v>1796</v>
      </c>
      <c r="B341" s="13" t="s">
        <v>1797</v>
      </c>
      <c r="C341" s="14" t="s">
        <v>1798</v>
      </c>
      <c r="D341" s="15">
        <v>42160.492546296293</v>
      </c>
      <c r="E341" s="16" t="s">
        <v>15</v>
      </c>
      <c r="F341" s="16" t="s">
        <v>31</v>
      </c>
      <c r="G341" s="17" t="s">
        <v>719</v>
      </c>
      <c r="H341" s="17" t="s">
        <v>1678</v>
      </c>
      <c r="I341" s="13" t="s">
        <v>1799</v>
      </c>
      <c r="J341" s="18" t="str">
        <f>HYPERLINK("CorLog\Reference\20150605 Reference Concrete floor polishing (ZAF-to-NGA).msg", "Concrete floor polishing")</f>
        <v>Concrete floor polishing</v>
      </c>
      <c r="K341" s="22"/>
      <c r="L341" s="19"/>
      <c r="M341" s="20"/>
      <c r="N341" s="21" t="s">
        <v>1800</v>
      </c>
    </row>
    <row r="342" spans="1:14">
      <c r="A342" s="12" t="s">
        <v>750</v>
      </c>
      <c r="B342" s="13" t="s">
        <v>916</v>
      </c>
      <c r="C342" s="14" t="s">
        <v>718</v>
      </c>
      <c r="D342" s="15">
        <v>42160.450312499997</v>
      </c>
      <c r="E342" s="16" t="s">
        <v>16</v>
      </c>
      <c r="F342" s="16" t="s">
        <v>16</v>
      </c>
      <c r="G342" s="17" t="s">
        <v>838</v>
      </c>
      <c r="H342" s="17" t="s">
        <v>839</v>
      </c>
      <c r="I342" s="13" t="s">
        <v>1801</v>
      </c>
      <c r="J342" s="18" t="str">
        <f>HYPERLINK("CorLog\ZMB\Choma RTO\20150605 ZMB Choma RTO Requested Lab Results for Soil Samples; Res BLDG locations A-4 E-9 (RDC-to-RDC).msg", "Requested Lab Results for Soil Samples; Res BLDG locations A-4 E-9")</f>
        <v>Requested Lab Results for Soil Samples; Res BLDG locations A-4 E-9</v>
      </c>
      <c r="K342" s="22"/>
      <c r="L342" s="19"/>
      <c r="M342" s="20"/>
      <c r="N342" s="21" t="s">
        <v>1802</v>
      </c>
    </row>
    <row r="343" spans="1:14">
      <c r="A343" s="12" t="s">
        <v>750</v>
      </c>
      <c r="B343" s="13" t="s">
        <v>916</v>
      </c>
      <c r="C343" s="14" t="s">
        <v>1803</v>
      </c>
      <c r="D343" s="15">
        <v>42160.385752314818</v>
      </c>
      <c r="E343" s="16" t="s">
        <v>16</v>
      </c>
      <c r="F343" s="16" t="s">
        <v>16</v>
      </c>
      <c r="G343" s="17" t="s">
        <v>758</v>
      </c>
      <c r="H343" s="17" t="s">
        <v>759</v>
      </c>
      <c r="I343" s="13" t="s">
        <v>760</v>
      </c>
      <c r="J343" s="18" t="str">
        <f>HYPERLINK("CorLog\GHA\Viepe RTO\20150605 GHA Viepe RTO Timber Truss design by local engineer (RDC-to-RDC).msg", "Timber Truss design by local engineer")</f>
        <v>Timber Truss design by local engineer</v>
      </c>
      <c r="K343" s="22"/>
      <c r="L343" s="19"/>
      <c r="M343" s="20"/>
      <c r="N343" s="21" t="s">
        <v>1804</v>
      </c>
    </row>
    <row r="344" spans="1:14">
      <c r="A344" s="12" t="s">
        <v>756</v>
      </c>
      <c r="B344" s="13" t="s">
        <v>757</v>
      </c>
      <c r="C344" s="14" t="s">
        <v>718</v>
      </c>
      <c r="D344" s="15">
        <v>42160.383333333331</v>
      </c>
      <c r="E344" s="16" t="s">
        <v>16</v>
      </c>
      <c r="F344" s="16" t="s">
        <v>21</v>
      </c>
      <c r="G344" s="17" t="s">
        <v>758</v>
      </c>
      <c r="H344" s="17" t="s">
        <v>759</v>
      </c>
      <c r="I344" s="13" t="s">
        <v>760</v>
      </c>
      <c r="J344" s="18" t="str">
        <f>HYPERLINK("CorLog\GHA\Viepe RTO\20150605 GHA Viepe RTO Timber Truss design by local engineer (RDC-to-GHA).msg", "Timber Truss design by local engineer")</f>
        <v>Timber Truss design by local engineer</v>
      </c>
      <c r="K344" s="22" t="s">
        <v>721</v>
      </c>
      <c r="L344" s="19"/>
      <c r="M344" s="20"/>
      <c r="N344" s="21" t="s">
        <v>761</v>
      </c>
    </row>
    <row r="345" spans="1:14">
      <c r="A345" s="12" t="s">
        <v>757</v>
      </c>
      <c r="B345" s="13" t="s">
        <v>750</v>
      </c>
      <c r="C345" s="14" t="s">
        <v>1719</v>
      </c>
      <c r="D345" s="15">
        <v>42160.352060185185</v>
      </c>
      <c r="E345" s="16" t="s">
        <v>21</v>
      </c>
      <c r="F345" s="16" t="s">
        <v>16</v>
      </c>
      <c r="G345" s="17" t="s">
        <v>758</v>
      </c>
      <c r="H345" s="17" t="s">
        <v>1805</v>
      </c>
      <c r="I345" s="13" t="s">
        <v>1806</v>
      </c>
      <c r="J345" s="18" t="str">
        <f>HYPERLINK("CorLog\GHA\Viepe RTO\20150605 GHA Viepe RTO 2m AV Ext--Design Sketches by Ghana UPDATE (GHA-to-RDC).msg", "2m AV Ext--Design Sketches by Ghana UPDATE")</f>
        <v>2m AV Ext--Design Sketches by Ghana UPDATE</v>
      </c>
      <c r="K345" s="22"/>
      <c r="L345" s="19"/>
      <c r="M345" s="20"/>
      <c r="N345" s="21" t="s">
        <v>1807</v>
      </c>
    </row>
    <row r="346" spans="1:14">
      <c r="A346" s="12" t="s">
        <v>762</v>
      </c>
      <c r="B346" s="13"/>
      <c r="C346" s="14"/>
      <c r="D346" s="15">
        <v>42160</v>
      </c>
      <c r="E346" s="16" t="s">
        <v>16</v>
      </c>
      <c r="F346" s="16" t="s">
        <v>35</v>
      </c>
      <c r="G346" s="17" t="s">
        <v>763</v>
      </c>
      <c r="H346" s="17" t="s">
        <v>764</v>
      </c>
      <c r="I346" s="13" t="s">
        <v>765</v>
      </c>
      <c r="J346" s="18" t="str">
        <f>HYPERLINK("CorLog\ETH\LDC\20150605 ETH LDC Video Equipment for Assembly Halls (RDC-to-ETH).docx", "Video Equipment for Assembly Halls")</f>
        <v>Video Equipment for Assembly Halls</v>
      </c>
      <c r="K346" s="18" t="str">
        <f>HYPERLINK("CorLog\ETH\LDC\20150605 ETH LDC Video Equipment for Assembly Halls (RDC-to-ETH).zip", "Zipped (1)")</f>
        <v>Zipped (1)</v>
      </c>
      <c r="L346" s="19"/>
      <c r="M346" s="20"/>
      <c r="N346" s="21" t="s">
        <v>766</v>
      </c>
    </row>
    <row r="347" spans="1:14">
      <c r="A347" s="12" t="s">
        <v>874</v>
      </c>
      <c r="B347" s="13"/>
      <c r="C347" s="14"/>
      <c r="D347" s="15">
        <v>42160</v>
      </c>
      <c r="E347" s="16" t="s">
        <v>25</v>
      </c>
      <c r="F347" s="16" t="s">
        <v>14</v>
      </c>
      <c r="G347" s="17" t="s">
        <v>1662</v>
      </c>
      <c r="H347" s="17" t="s">
        <v>1808</v>
      </c>
      <c r="I347" s="13" t="s">
        <v>1663</v>
      </c>
      <c r="J347" s="18" t="str">
        <f>HYPERLINK("CorLog\MDG\Toliara RTO\20150605 MDG Toliara RTO Property in Toliara for the Vezo Language Remote Translation Office (WHQ-to-MDG).doc", "Property in Toliara for the Vezo Language Remote Translation Office")</f>
        <v>Property in Toliara for the Vezo Language Remote Translation Office</v>
      </c>
      <c r="K347" s="22"/>
      <c r="L347" s="19" t="s">
        <v>1809</v>
      </c>
      <c r="M347" s="20"/>
      <c r="N347" s="21" t="s">
        <v>1810</v>
      </c>
    </row>
    <row r="348" spans="1:14">
      <c r="A348" s="12"/>
      <c r="B348" s="13"/>
      <c r="C348" s="14"/>
      <c r="D348" s="15">
        <v>42159.93240740741</v>
      </c>
      <c r="E348" s="16" t="s">
        <v>17</v>
      </c>
      <c r="F348" s="16" t="s">
        <v>30</v>
      </c>
      <c r="G348" s="17" t="s">
        <v>17</v>
      </c>
      <c r="H348" s="17" t="s">
        <v>1392</v>
      </c>
      <c r="I348" s="13" t="s">
        <v>1811</v>
      </c>
      <c r="J348" s="18" t="str">
        <f>HYPERLINK("CorLog\WDC\20150604 WDC WDC RPC Meeting minutes June 4, 2015 (WDC-to-ALL).docx", "WDC RPC Meeting minutes June 4, 2015")</f>
        <v>WDC RPC Meeting minutes June 4, 2015</v>
      </c>
      <c r="K348" s="22"/>
      <c r="L348" s="19"/>
      <c r="M348" s="20"/>
      <c r="N348" s="21"/>
    </row>
    <row r="349" spans="1:14">
      <c r="A349" s="12" t="s">
        <v>718</v>
      </c>
      <c r="B349" s="13" t="s">
        <v>837</v>
      </c>
      <c r="C349" s="14"/>
      <c r="D349" s="15">
        <v>42159.805810185186</v>
      </c>
      <c r="E349" s="16" t="s">
        <v>16</v>
      </c>
      <c r="F349" s="16" t="s">
        <v>18</v>
      </c>
      <c r="G349" s="17" t="s">
        <v>838</v>
      </c>
      <c r="H349" s="17" t="s">
        <v>1812</v>
      </c>
      <c r="I349" s="13" t="s">
        <v>1813</v>
      </c>
      <c r="J349" s="18" t="str">
        <f>HYPERLINK("CorLog\ZMB\Choma RTO\20150604 ZMB Choma RTO RDC review of NLBR -12198 Metal Fence Palisade (RDC-to-ZMB).msg", "RDC review of NLBR -12198 Metal Fence Palisade")</f>
        <v>RDC review of NLBR -12198 Metal Fence Palisade</v>
      </c>
      <c r="K349" s="22"/>
      <c r="L349" s="19"/>
      <c r="M349" s="20"/>
      <c r="N349" s="21" t="s">
        <v>1814</v>
      </c>
    </row>
    <row r="350" spans="1:14">
      <c r="A350" s="12" t="s">
        <v>718</v>
      </c>
      <c r="B350" s="13" t="s">
        <v>1069</v>
      </c>
      <c r="C350" s="14" t="s">
        <v>1815</v>
      </c>
      <c r="D350" s="15">
        <v>42159.803831018522</v>
      </c>
      <c r="E350" s="16" t="s">
        <v>16</v>
      </c>
      <c r="F350" s="16" t="s">
        <v>18</v>
      </c>
      <c r="G350" s="17" t="s">
        <v>1070</v>
      </c>
      <c r="H350" s="17" t="s">
        <v>1184</v>
      </c>
      <c r="I350" s="13" t="s">
        <v>1816</v>
      </c>
      <c r="J350" s="18" t="str">
        <f>HYPERLINK("CorLog\ZMB\Katete RTO\20150604 ZMB Katete RTO DC-43; 201505 (RDC-to-ZMB).msg", "DC-43; 201505")</f>
        <v>DC-43; 201505</v>
      </c>
      <c r="K350" s="22"/>
      <c r="L350" s="19"/>
      <c r="M350" s="20"/>
      <c r="N350" s="21" t="s">
        <v>1817</v>
      </c>
    </row>
    <row r="351" spans="1:14">
      <c r="A351" s="12" t="s">
        <v>750</v>
      </c>
      <c r="B351" s="13" t="s">
        <v>1818</v>
      </c>
      <c r="C351" s="14" t="s">
        <v>1719</v>
      </c>
      <c r="D351" s="15">
        <v>42159.690266203703</v>
      </c>
      <c r="E351" s="16" t="s">
        <v>16</v>
      </c>
      <c r="F351" s="16" t="s">
        <v>16</v>
      </c>
      <c r="G351" s="17" t="s">
        <v>738</v>
      </c>
      <c r="H351" s="17" t="s">
        <v>1819</v>
      </c>
      <c r="I351" s="13" t="s">
        <v>1820</v>
      </c>
      <c r="J351" s="18" t="str">
        <f>HYPERLINK("CorLog\GHA\BEX 2\20150604 GHA BEX 2 Perimeter Wall Strip, Raodway (RDC-to-RDC).msg", "Perimeter Wall Strip, Raodway")</f>
        <v>Perimeter Wall Strip, Raodway</v>
      </c>
      <c r="K351" s="22"/>
      <c r="L351" s="19"/>
      <c r="M351" s="20"/>
      <c r="N351" s="21" t="s">
        <v>1821</v>
      </c>
    </row>
    <row r="352" spans="1:14">
      <c r="A352" s="12" t="s">
        <v>1187</v>
      </c>
      <c r="B352" s="13" t="s">
        <v>750</v>
      </c>
      <c r="C352" s="14" t="s">
        <v>1822</v>
      </c>
      <c r="D352" s="15">
        <v>42159.578020833331</v>
      </c>
      <c r="E352" s="16" t="s">
        <v>15</v>
      </c>
      <c r="F352" s="16" t="s">
        <v>16</v>
      </c>
      <c r="G352" s="17" t="s">
        <v>738</v>
      </c>
      <c r="H352" s="17" t="s">
        <v>1105</v>
      </c>
      <c r="I352" s="13" t="s">
        <v>1823</v>
      </c>
      <c r="J352" s="18" t="str">
        <f>HYPERLINK("CorLog\GHA\BEX 2\20150604 GHA BEX 2 Soil Test Results - Cut Material Pile (ZAF-to-RDC).msg", "Soil Test Results - Cut Material Pile")</f>
        <v>Soil Test Results - Cut Material Pile</v>
      </c>
      <c r="K352" s="22"/>
      <c r="L352" s="19"/>
      <c r="M352" s="20"/>
      <c r="N352" s="21" t="s">
        <v>1824</v>
      </c>
    </row>
    <row r="353" spans="1:14">
      <c r="A353" s="12" t="s">
        <v>821</v>
      </c>
      <c r="B353" s="13" t="s">
        <v>718</v>
      </c>
      <c r="C353" s="14" t="s">
        <v>1825</v>
      </c>
      <c r="D353" s="15">
        <v>42159.477013888885</v>
      </c>
      <c r="E353" s="16" t="s">
        <v>21</v>
      </c>
      <c r="F353" s="16" t="s">
        <v>16</v>
      </c>
      <c r="G353" s="17" t="s">
        <v>738</v>
      </c>
      <c r="H353" s="17" t="s">
        <v>903</v>
      </c>
      <c r="I353" s="13" t="s">
        <v>1826</v>
      </c>
      <c r="J353" s="18" t="str">
        <f>HYPERLINK("CorLog\GHA\BEX 2\20150604 GHA BEX 2 Water came over bridge, Bethel entrance road, Flooding Service center, Front creek entrance, Rear creek, Bethel entrance, Creek rear, Creek entrance (GHA-to-RDC).msg", "Water came over bridge, Bethel entrance road, Flooding Service center, Front creek entrance, Rear creek, Bethel entrance, Creek rear, Creek entrance")</f>
        <v>Water came over bridge, Bethel entrance road, Flooding Service center, Front creek entrance, Rear creek, Bethel entrance, Creek rear, Creek entrance</v>
      </c>
      <c r="K353" s="22"/>
      <c r="L353" s="19"/>
      <c r="M353" s="20"/>
      <c r="N353" s="21" t="s">
        <v>1827</v>
      </c>
    </row>
    <row r="354" spans="1:14">
      <c r="A354" s="12" t="s">
        <v>749</v>
      </c>
      <c r="B354" s="13" t="s">
        <v>750</v>
      </c>
      <c r="C354" s="14" t="s">
        <v>751</v>
      </c>
      <c r="D354" s="15">
        <v>42159.37835648148</v>
      </c>
      <c r="E354" s="16" t="s">
        <v>16</v>
      </c>
      <c r="F354" s="16" t="s">
        <v>16</v>
      </c>
      <c r="G354" s="17" t="s">
        <v>752</v>
      </c>
      <c r="H354" s="17" t="s">
        <v>753</v>
      </c>
      <c r="I354" s="13" t="s">
        <v>754</v>
      </c>
      <c r="J354" s="18" t="str">
        <f>HYPERLINK("CorLog\Refernce\20150604 Refernce MOZ BEX SALTO Price Comparision (RDC-to-RDC).msg", "MOZ BEX SALTO Price Comparision")</f>
        <v>MOZ BEX SALTO Price Comparision</v>
      </c>
      <c r="K354" s="22"/>
      <c r="L354" s="19"/>
      <c r="M354" s="20"/>
      <c r="N354" s="21" t="s">
        <v>755</v>
      </c>
    </row>
    <row r="355" spans="1:14">
      <c r="A355" s="12" t="s">
        <v>718</v>
      </c>
      <c r="B355" s="13" t="s">
        <v>1069</v>
      </c>
      <c r="C355" s="14" t="s">
        <v>1399</v>
      </c>
      <c r="D355" s="15">
        <v>42159.367488425924</v>
      </c>
      <c r="E355" s="16" t="s">
        <v>16</v>
      </c>
      <c r="F355" s="16" t="s">
        <v>18</v>
      </c>
      <c r="G355" s="17" t="s">
        <v>1070</v>
      </c>
      <c r="H355" s="17" t="s">
        <v>829</v>
      </c>
      <c r="I355" s="13" t="s">
        <v>1828</v>
      </c>
      <c r="J355" s="18" t="str">
        <f>HYPERLINK("CorLog\ZMB\Katete RTO\20150604 ZMB Katete RTO RDC review of NLBR; REQ 520-12180; Paint, Sealants and Blinds; 20150603 (RDC-to-ZMB).msg", "RDC review of NLBR; REQ 520-12180; Paint, Sealants and Blinds; 20150603")</f>
        <v>RDC review of NLBR; REQ 520-12180; Paint, Sealants and Blinds; 20150603</v>
      </c>
      <c r="K355" s="22"/>
      <c r="L355" s="19"/>
      <c r="M355" s="20"/>
      <c r="N355" s="21" t="s">
        <v>1829</v>
      </c>
    </row>
    <row r="356" spans="1:14">
      <c r="A356" s="12"/>
      <c r="B356" s="13"/>
      <c r="C356" s="14"/>
      <c r="D356" s="15">
        <v>42159.349189814813</v>
      </c>
      <c r="E356" s="16" t="s">
        <v>19</v>
      </c>
      <c r="F356" s="16" t="s">
        <v>15</v>
      </c>
      <c r="G356" s="17" t="s">
        <v>1314</v>
      </c>
      <c r="H356" s="17" t="s">
        <v>1241</v>
      </c>
      <c r="I356" s="13" t="s">
        <v>1830</v>
      </c>
      <c r="J356" s="18" t="str">
        <f>HYPERLINK("CorLog\AGO\LDC\20150604 AGO LDC Assembly Hall Video Equipment Questionnaire (AGO-to-ZAF).docx", "Assembly Hall Video Equipment Questionnaire")</f>
        <v>Assembly Hall Video Equipment Questionnaire</v>
      </c>
      <c r="K356" s="18" t="str">
        <f>HYPERLINK("CorLog\AGO\LDC\20150604 AGO LDC Assembly Hall Video Equipment Questionnaire (AGO-to-ZAF).zip", "Zipped (7)")</f>
        <v>Zipped (7)</v>
      </c>
      <c r="L356" s="19"/>
      <c r="M356" s="20"/>
      <c r="N356" s="21" t="s">
        <v>1831</v>
      </c>
    </row>
    <row r="357" spans="1:14">
      <c r="A357" s="12" t="s">
        <v>916</v>
      </c>
      <c r="B357" s="13" t="s">
        <v>837</v>
      </c>
      <c r="C357" s="14" t="s">
        <v>1245</v>
      </c>
      <c r="D357" s="15">
        <v>42159.33929398148</v>
      </c>
      <c r="E357" s="16" t="s">
        <v>16</v>
      </c>
      <c r="F357" s="16" t="s">
        <v>18</v>
      </c>
      <c r="G357" s="17" t="s">
        <v>838</v>
      </c>
      <c r="H357" s="17" t="s">
        <v>851</v>
      </c>
      <c r="I357" s="13" t="s">
        <v>1832</v>
      </c>
      <c r="J357" s="18" t="str">
        <f>HYPERLINK("CorLog\ZMB\Choma RTO\20150604 ZMB Choma RTO Utility BLDG DCP Final (RDC-to-ZMB).msg", "Utility BLDG DCP Final")</f>
        <v>Utility BLDG DCP Final</v>
      </c>
      <c r="K357" s="22"/>
      <c r="L357" s="19"/>
      <c r="M357" s="20"/>
      <c r="N357" s="21" t="s">
        <v>1833</v>
      </c>
    </row>
    <row r="358" spans="1:14">
      <c r="A358" s="12" t="s">
        <v>1834</v>
      </c>
      <c r="B358" s="13"/>
      <c r="C358" s="14"/>
      <c r="D358" s="15">
        <v>42159</v>
      </c>
      <c r="E358" s="16" t="s">
        <v>15</v>
      </c>
      <c r="F358" s="16" t="s">
        <v>17</v>
      </c>
      <c r="G358" s="17" t="s">
        <v>802</v>
      </c>
      <c r="H358" s="17" t="s">
        <v>774</v>
      </c>
      <c r="I358" s="13" t="s">
        <v>1835</v>
      </c>
      <c r="J358" s="18" t="str">
        <f>HYPERLINK("CorLog\ZWE\Bulawayo RTO\20150604 ZWE Bulawayo RTO (Ndebele) Remote Translation Office Conceptual Project Proposal (ZAF-to-WDC).docx", "(Ndebele) Remote Translation Office Conceptual Project Proposal")</f>
        <v>(Ndebele) Remote Translation Office Conceptual Project Proposal</v>
      </c>
      <c r="K358" s="18" t="str">
        <f>HYPERLINK("CorLog\ZWE\Bulawayo RTO\20150604 ZWE Bulawayo RTO (Ndebele) Remote Translation Office Conceptual Project Proposal (ZAF-to-WDC).zip", "Zipped (1)")</f>
        <v>Zipped (1)</v>
      </c>
      <c r="L358" s="19"/>
      <c r="M358" s="20"/>
      <c r="N358" s="21" t="s">
        <v>1836</v>
      </c>
    </row>
    <row r="359" spans="1:14">
      <c r="A359" s="12" t="s">
        <v>1837</v>
      </c>
      <c r="B359" s="13"/>
      <c r="C359" s="14"/>
      <c r="D359" s="15">
        <v>42159</v>
      </c>
      <c r="E359" s="16" t="s">
        <v>25</v>
      </c>
      <c r="F359" s="16" t="s">
        <v>32</v>
      </c>
      <c r="G359" s="17" t="s">
        <v>1344</v>
      </c>
      <c r="H359" s="17" t="s">
        <v>871</v>
      </c>
      <c r="I359" s="13" t="s">
        <v>1838</v>
      </c>
      <c r="J359" s="18" t="str">
        <f>HYPERLINK("CorLog\CMR\Branch\20150604 CMR Branch Purchasing Support for Branch Expansion (WHQ-to-CMR).docx", "Purchasing Support for Branch Expansion")</f>
        <v>Purchasing Support for Branch Expansion</v>
      </c>
      <c r="K359" s="22"/>
      <c r="L359" s="19"/>
      <c r="M359" s="20"/>
      <c r="N359" s="21" t="s">
        <v>1839</v>
      </c>
    </row>
    <row r="360" spans="1:14">
      <c r="A360" s="12" t="s">
        <v>1834</v>
      </c>
      <c r="B360" s="13"/>
      <c r="C360" s="14"/>
      <c r="D360" s="15">
        <v>42159</v>
      </c>
      <c r="E360" s="16" t="s">
        <v>15</v>
      </c>
      <c r="F360" s="16" t="s">
        <v>17</v>
      </c>
      <c r="G360" s="17" t="s">
        <v>802</v>
      </c>
      <c r="H360" s="17" t="s">
        <v>774</v>
      </c>
      <c r="I360" s="13" t="s">
        <v>1840</v>
      </c>
      <c r="J360" s="18" t="str">
        <f>HYPERLINK("CorLog\ZWE\Bulawayo RTO\20150604 ZWE Bulawayo RTO Conceptual Project Proposal (ZAF-to-WDC).docx", "Conceptual Project Proposal")</f>
        <v>Conceptual Project Proposal</v>
      </c>
      <c r="K360" s="18" t="str">
        <f>HYPERLINK("CorLog\ZWE\Bulawayo RTO\20150604 ZWE Bulawayo RTO Conceptual Project Proposal (ZAF-to-WDC).zip", "Zipped (1)")</f>
        <v>Zipped (1)</v>
      </c>
      <c r="L360" s="19"/>
      <c r="M360" s="20"/>
      <c r="N360" s="21" t="s">
        <v>1836</v>
      </c>
    </row>
    <row r="361" spans="1:14">
      <c r="A361" s="12" t="s">
        <v>718</v>
      </c>
      <c r="B361" s="13" t="s">
        <v>728</v>
      </c>
      <c r="C361" s="14" t="s">
        <v>1841</v>
      </c>
      <c r="D361" s="15">
        <v>42158.953784722224</v>
      </c>
      <c r="E361" s="16" t="s">
        <v>16</v>
      </c>
      <c r="F361" s="16" t="s">
        <v>20</v>
      </c>
      <c r="G361" s="17" t="s">
        <v>719</v>
      </c>
      <c r="H361" s="17" t="s">
        <v>1634</v>
      </c>
      <c r="I361" s="13" t="s">
        <v>1842</v>
      </c>
      <c r="J361" s="18" t="str">
        <f>HYPERLINK("CorLog\Reference\20150603 Reference Fixing NLBR imports into PT (RDC-to-MOZ).msg", "Fixing NLBR imports into PT")</f>
        <v>Fixing NLBR imports into PT</v>
      </c>
      <c r="K361" s="18"/>
      <c r="L361" s="19"/>
      <c r="M361" s="20"/>
      <c r="N361" s="21" t="s">
        <v>1843</v>
      </c>
    </row>
    <row r="362" spans="1:14">
      <c r="A362" s="12" t="s">
        <v>724</v>
      </c>
      <c r="B362" s="13" t="s">
        <v>718</v>
      </c>
      <c r="C362" s="14"/>
      <c r="D362" s="15">
        <v>42158.786157407405</v>
      </c>
      <c r="E362" s="16" t="s">
        <v>16</v>
      </c>
      <c r="F362" s="16" t="s">
        <v>16</v>
      </c>
      <c r="G362" s="17" t="s">
        <v>719</v>
      </c>
      <c r="H362" s="17" t="s">
        <v>1392</v>
      </c>
      <c r="I362" s="13" t="s">
        <v>1844</v>
      </c>
      <c r="J362" s="18" t="str">
        <f>HYPERLINK("CorLog\Reference\20150603 Reference Notes from Meeting with EPCs (RDC-to-RDC).msg", "Notes from Meeting with EPCs")</f>
        <v>Notes from Meeting with EPCs</v>
      </c>
      <c r="K362" s="18"/>
      <c r="L362" s="19"/>
      <c r="M362" s="20"/>
      <c r="N362" s="21" t="s">
        <v>1845</v>
      </c>
    </row>
    <row r="363" spans="1:14">
      <c r="A363" s="12" t="s">
        <v>827</v>
      </c>
      <c r="B363" s="13" t="s">
        <v>742</v>
      </c>
      <c r="C363" s="14" t="s">
        <v>1646</v>
      </c>
      <c r="D363" s="15">
        <v>42158.773622685185</v>
      </c>
      <c r="E363" s="16" t="s">
        <v>21</v>
      </c>
      <c r="F363" s="16" t="s">
        <v>16</v>
      </c>
      <c r="G363" s="17" t="s">
        <v>738</v>
      </c>
      <c r="H363" s="17" t="s">
        <v>1846</v>
      </c>
      <c r="I363" s="13" t="s">
        <v>1847</v>
      </c>
      <c r="J363" s="18" t="str">
        <f>HYPERLINK("CorLog\GHA\BEX 2\20150603 GHA BEX 2 CDP - Dimensions VMB and Shed (GHA-to-RDC).msg", "CDP - Dimensions VMB and Shed")</f>
        <v>CDP - Dimensions VMB and Shed</v>
      </c>
      <c r="K363" s="22"/>
      <c r="L363" s="19"/>
      <c r="M363" s="20"/>
      <c r="N363" s="21" t="s">
        <v>1848</v>
      </c>
    </row>
    <row r="364" spans="1:14">
      <c r="A364" s="12" t="s">
        <v>717</v>
      </c>
      <c r="B364" s="13" t="s">
        <v>742</v>
      </c>
      <c r="C364" s="14" t="s">
        <v>743</v>
      </c>
      <c r="D364" s="15">
        <v>42158.734282407408</v>
      </c>
      <c r="E364" s="16" t="s">
        <v>16</v>
      </c>
      <c r="F364" s="16" t="s">
        <v>16</v>
      </c>
      <c r="G364" s="17" t="s">
        <v>744</v>
      </c>
      <c r="H364" s="17" t="s">
        <v>745</v>
      </c>
      <c r="I364" s="13" t="s">
        <v>746</v>
      </c>
      <c r="J364" s="18" t="str">
        <f>HYPERLINK("CorLog\AGO\Viana AH\20150603 AGO Viana AH Angola Report from Becon about WWTF (RDC-to-RDC).msg", "Angola Report from Becon about WWTF")</f>
        <v>Angola Report from Becon about WWTF</v>
      </c>
      <c r="K364" s="22" t="s">
        <v>747</v>
      </c>
      <c r="L364" s="19"/>
      <c r="M364" s="20"/>
      <c r="N364" s="21" t="s">
        <v>748</v>
      </c>
    </row>
    <row r="365" spans="1:14">
      <c r="A365" s="12"/>
      <c r="B365" s="13"/>
      <c r="C365" s="14"/>
      <c r="D365" s="15">
        <v>42158.663368055553</v>
      </c>
      <c r="E365" s="16" t="s">
        <v>19</v>
      </c>
      <c r="F365" s="16" t="s">
        <v>15</v>
      </c>
      <c r="G365" s="17" t="s">
        <v>1849</v>
      </c>
      <c r="H365" s="17" t="s">
        <v>1850</v>
      </c>
      <c r="I365" s="13" t="s">
        <v>1851</v>
      </c>
      <c r="J365" s="18" t="str">
        <f>HYPERLINK("CorLog\AGO\Luanda South AH\20150603 AGO Luanda South AH Follow up to Luanda Sul AH Property (AGO-to-ZAF).docx", "Follow up to Luanda Sul AH Property")</f>
        <v>Follow up to Luanda Sul AH Property</v>
      </c>
      <c r="K365" s="18" t="str">
        <f>HYPERLINK("CorLog\AGO\Luanda South AH\20150603 AGO Luanda South AH Follow up to Luanda Sul AH Property (AGO-to-ZAF).zip", "Zipped (1)")</f>
        <v>Zipped (1)</v>
      </c>
      <c r="L365" s="19"/>
      <c r="M365" s="20"/>
      <c r="N365" s="21" t="s">
        <v>1852</v>
      </c>
    </row>
    <row r="366" spans="1:14">
      <c r="A366" s="12" t="s">
        <v>736</v>
      </c>
      <c r="B366" s="13" t="s">
        <v>737</v>
      </c>
      <c r="C366" s="14" t="s">
        <v>718</v>
      </c>
      <c r="D366" s="15">
        <v>42158.525509259256</v>
      </c>
      <c r="E366" s="16" t="s">
        <v>21</v>
      </c>
      <c r="F366" s="16" t="s">
        <v>21</v>
      </c>
      <c r="G366" s="17" t="s">
        <v>738</v>
      </c>
      <c r="H366" s="17" t="s">
        <v>739</v>
      </c>
      <c r="I366" s="13" t="s">
        <v>740</v>
      </c>
      <c r="J366" s="18" t="str">
        <f>HYPERLINK("CorLog\GHA\BEX 2\20150603 GHA BEX 2 Retro fitting doors and windows (GHA-to-GHA).msg", "Retro fitting doors and windows")</f>
        <v>Retro fitting doors and windows</v>
      </c>
      <c r="K366" s="22"/>
      <c r="L366" s="19"/>
      <c r="M366" s="20"/>
      <c r="N366" s="21" t="s">
        <v>741</v>
      </c>
    </row>
    <row r="367" spans="1:14">
      <c r="A367" s="12" t="s">
        <v>874</v>
      </c>
      <c r="B367" s="13"/>
      <c r="C367" s="14"/>
      <c r="D367" s="15">
        <v>42158</v>
      </c>
      <c r="E367" s="16" t="s">
        <v>25</v>
      </c>
      <c r="F367" s="16" t="s">
        <v>23</v>
      </c>
      <c r="G367" s="17" t="s">
        <v>926</v>
      </c>
      <c r="H367" s="17" t="s">
        <v>1000</v>
      </c>
      <c r="I367" s="13" t="s">
        <v>1853</v>
      </c>
      <c r="J367" s="18" t="str">
        <f>HYPERLINK("CorLog\ZWE\Branch\20150603 ZWE Branch Accommodation and Office Space (WHQ-to-ZWE).doc", "Accommodation and Office Space")</f>
        <v>Accommodation and Office Space</v>
      </c>
      <c r="K367" s="22"/>
      <c r="L367" s="19"/>
      <c r="M367" s="20"/>
      <c r="N367" s="21" t="s">
        <v>1854</v>
      </c>
    </row>
    <row r="368" spans="1:14">
      <c r="A368" s="12" t="s">
        <v>874</v>
      </c>
      <c r="B368" s="13"/>
      <c r="C368" s="14"/>
      <c r="D368" s="15">
        <v>42158</v>
      </c>
      <c r="E368" s="16" t="s">
        <v>25</v>
      </c>
      <c r="F368" s="16" t="s">
        <v>23</v>
      </c>
      <c r="G368" s="17" t="s">
        <v>926</v>
      </c>
      <c r="H368" s="17" t="s">
        <v>1000</v>
      </c>
      <c r="I368" s="13" t="s">
        <v>1855</v>
      </c>
      <c r="J368" s="18" t="str">
        <f>HYPERLINK("CorLog\ZWE\Branch\20150603 ZWE Branch Accommodation and Office Space; move Shona and ZSL (WHQ-to-ZWE).doc", "Accommodation and Office Space; move Shona and ZSL")</f>
        <v>Accommodation and Office Space; move Shona and ZSL</v>
      </c>
      <c r="K368" s="18"/>
      <c r="L368" s="19"/>
      <c r="M368" s="20"/>
      <c r="N368" s="21" t="s">
        <v>1854</v>
      </c>
    </row>
    <row r="369" spans="1:14">
      <c r="A369" s="12" t="s">
        <v>1856</v>
      </c>
      <c r="B369" s="13"/>
      <c r="C369" s="14"/>
      <c r="D369" s="15">
        <v>42158</v>
      </c>
      <c r="E369" s="16" t="s">
        <v>32</v>
      </c>
      <c r="F369" s="16" t="s">
        <v>15</v>
      </c>
      <c r="G369" s="17" t="s">
        <v>1857</v>
      </c>
      <c r="H369" s="17" t="s">
        <v>1858</v>
      </c>
      <c r="I369" s="13" t="s">
        <v>1859</v>
      </c>
      <c r="J369" s="18" t="str">
        <f>HYPERLINK("CorLog\CMR\LDC\20150603 CMR LDC Proposal of New Standard Plan for City Environment Kingdom Hall (CMR-to-ZAF).docx", "Proposal of New Standard Plan for City Environment Kingdom Hall")</f>
        <v>Proposal of New Standard Plan for City Environment Kingdom Hall</v>
      </c>
      <c r="K369" s="18" t="str">
        <f>HYPERLINK("CorLog\CMR\LDC\20150603 CMR LDC Proposal of New Standard Plan for City Environment Kingdom Hall (CMR-to-ZAF).zip", "Zipped (2)")</f>
        <v>Zipped (2)</v>
      </c>
      <c r="L369" s="19"/>
      <c r="M369" s="20"/>
      <c r="N369" s="21" t="s">
        <v>1860</v>
      </c>
    </row>
    <row r="370" spans="1:14">
      <c r="A370" s="12" t="s">
        <v>718</v>
      </c>
      <c r="B370" s="13" t="s">
        <v>837</v>
      </c>
      <c r="C370" s="14" t="s">
        <v>1011</v>
      </c>
      <c r="D370" s="15">
        <v>42157.936701388891</v>
      </c>
      <c r="E370" s="16" t="s">
        <v>16</v>
      </c>
      <c r="F370" s="16" t="s">
        <v>18</v>
      </c>
      <c r="G370" s="17" t="s">
        <v>838</v>
      </c>
      <c r="H370" s="17" t="s">
        <v>1861</v>
      </c>
      <c r="I370" s="13" t="s">
        <v>1862</v>
      </c>
      <c r="J370" s="18" t="str">
        <f>HYPERLINK("CorLog\ZMB\Choma RTO\20150602 ZMB Choma RTO RDC review of NLBR -10368 ZAF aluminum doors (RDC-to-ZMB).msg", "RDC review of NLBR -10368 ZAF aluminum doors")</f>
        <v>RDC review of NLBR -10368 ZAF aluminum doors</v>
      </c>
      <c r="K370" s="22"/>
      <c r="L370" s="19"/>
      <c r="M370" s="20"/>
      <c r="N370" s="21" t="s">
        <v>1863</v>
      </c>
    </row>
    <row r="371" spans="1:14">
      <c r="A371" s="12" t="s">
        <v>998</v>
      </c>
      <c r="B371" s="13" t="s">
        <v>718</v>
      </c>
      <c r="C371" s="14"/>
      <c r="D371" s="15">
        <v>42157.84516203704</v>
      </c>
      <c r="E371" s="16" t="s">
        <v>17</v>
      </c>
      <c r="F371" s="16" t="s">
        <v>16</v>
      </c>
      <c r="G371" s="17" t="s">
        <v>926</v>
      </c>
      <c r="H371" s="17" t="s">
        <v>1000</v>
      </c>
      <c r="I371" s="13" t="s">
        <v>1864</v>
      </c>
      <c r="J371" s="18" t="str">
        <f>HYPERLINK("CorLog\ZWE\Branch\20150602 ZWE Branch ZIM Space Needs Notes 2015-06-02 docx (WDC-to-RDC).msg", "ZIM Space Needs Notes 2015-06-02 docx")</f>
        <v>ZIM Space Needs Notes 2015-06-02 docx</v>
      </c>
      <c r="K371" s="18"/>
      <c r="L371" s="19"/>
      <c r="M371" s="20"/>
      <c r="N371" s="21" t="s">
        <v>1865</v>
      </c>
    </row>
    <row r="372" spans="1:14">
      <c r="A372" s="12" t="s">
        <v>728</v>
      </c>
      <c r="B372" s="13" t="s">
        <v>718</v>
      </c>
      <c r="C372" s="14" t="s">
        <v>729</v>
      </c>
      <c r="D372" s="15">
        <v>42157.706608796296</v>
      </c>
      <c r="E372" s="16" t="s">
        <v>20</v>
      </c>
      <c r="F372" s="16" t="s">
        <v>16</v>
      </c>
      <c r="G372" s="17" t="s">
        <v>730</v>
      </c>
      <c r="H372" s="17" t="s">
        <v>731</v>
      </c>
      <c r="I372" s="13" t="s">
        <v>732</v>
      </c>
      <c r="J372" s="18" t="str">
        <f>HYPERLINK("CorLog\GHA\Baatsona SKE\20150602 GHA Baatsona SKE GHA SKE DC-41-2 (MOZ-to-RDC).msg", "GHA SKE DC-41-2")</f>
        <v>GHA SKE DC-41-2</v>
      </c>
      <c r="K372" s="22" t="s">
        <v>733</v>
      </c>
      <c r="L372" s="19" t="s">
        <v>734</v>
      </c>
      <c r="M372" s="20"/>
      <c r="N372" s="21" t="s">
        <v>735</v>
      </c>
    </row>
    <row r="373" spans="1:14">
      <c r="A373" s="12" t="s">
        <v>1866</v>
      </c>
      <c r="B373" s="13" t="s">
        <v>718</v>
      </c>
      <c r="C373" s="14"/>
      <c r="D373" s="15">
        <v>42157.679884259262</v>
      </c>
      <c r="E373" s="16" t="s">
        <v>16</v>
      </c>
      <c r="F373" s="16" t="s">
        <v>16</v>
      </c>
      <c r="G373" s="17" t="s">
        <v>999</v>
      </c>
      <c r="H373" s="17" t="s">
        <v>1867</v>
      </c>
      <c r="I373" s="13" t="s">
        <v>1868</v>
      </c>
      <c r="J373" s="18" t="str">
        <f>HYPERLINK("CorLog\ZMB\Branch\20150602 ZMB Branch Zambia Choral Studio Design (RDC-to-RDC).msg.msg", "Zambia Choral Studio Design")</f>
        <v>Zambia Choral Studio Design</v>
      </c>
      <c r="K373" s="22" t="s">
        <v>721</v>
      </c>
      <c r="L373" s="19"/>
      <c r="M373" s="20"/>
      <c r="N373" s="21" t="s">
        <v>1869</v>
      </c>
    </row>
    <row r="374" spans="1:14">
      <c r="A374" s="12"/>
      <c r="B374" s="13"/>
      <c r="C374" s="14"/>
      <c r="D374" s="15">
        <v>42157.649525462963</v>
      </c>
      <c r="E374" s="16" t="s">
        <v>14</v>
      </c>
      <c r="F374" s="16" t="s">
        <v>15</v>
      </c>
      <c r="G374" s="17" t="s">
        <v>1662</v>
      </c>
      <c r="H374" s="17" t="s">
        <v>1015</v>
      </c>
      <c r="I374" s="13" t="s">
        <v>1870</v>
      </c>
      <c r="J374" s="18" t="str">
        <f>HYPERLINK("CorLog\MDG\Toliara RTO\20150602 MDG Toliara RTO Properties near Toliara for Vezo Lang (MDG-to-ZAF).docx", "Properties near Toliara for Vezo Lang")</f>
        <v>Properties near Toliara for Vezo Lang</v>
      </c>
      <c r="K374" s="18" t="str">
        <f>HYPERLINK("CorLog\MDG\Toliara RTO\20150602 MDG Toliara RTO Properties near Toliara for Vezo Lang (MDG-to-ZAF).zip", "Zipped (3)")</f>
        <v>Zipped (3)</v>
      </c>
      <c r="L374" s="19"/>
      <c r="M374" s="20"/>
      <c r="N374" s="21" t="s">
        <v>1871</v>
      </c>
    </row>
    <row r="375" spans="1:14">
      <c r="A375" s="12"/>
      <c r="B375" s="13"/>
      <c r="C375" s="14"/>
      <c r="D375" s="15">
        <v>42157.649525462963</v>
      </c>
      <c r="E375" s="16" t="s">
        <v>17</v>
      </c>
      <c r="F375" s="16" t="s">
        <v>15</v>
      </c>
      <c r="G375" s="17" t="s">
        <v>1662</v>
      </c>
      <c r="H375" s="17" t="s">
        <v>1015</v>
      </c>
      <c r="I375" s="13" t="s">
        <v>1872</v>
      </c>
      <c r="J375" s="18" t="str">
        <f>HYPERLINK("CorLog\MDG\Toliara RTO\20150602 MDG Toliara RTO Vezo RTO Properties near Toliara (WDC-to-ZAF).docx", "Vezo RTO Properties near Toliara")</f>
        <v>Vezo RTO Properties near Toliara</v>
      </c>
      <c r="K375" s="18" t="str">
        <f>HYPERLINK("CorLog\MDG\Toliara RTO\20150602 MDG Toliara RTO Vezo RTO Properties near Toliara (WDC-to-ZAF).zip", "Zipped (3)")</f>
        <v>Zipped (3)</v>
      </c>
      <c r="L375" s="19"/>
      <c r="M375" s="20"/>
      <c r="N375" s="21" t="s">
        <v>1871</v>
      </c>
    </row>
    <row r="376" spans="1:14">
      <c r="A376" s="12" t="s">
        <v>916</v>
      </c>
      <c r="B376" s="13" t="s">
        <v>718</v>
      </c>
      <c r="C376" s="14" t="s">
        <v>1873</v>
      </c>
      <c r="D376" s="15">
        <v>42157.560185185182</v>
      </c>
      <c r="E376" s="16" t="s">
        <v>16</v>
      </c>
      <c r="F376" s="16" t="s">
        <v>16</v>
      </c>
      <c r="G376" s="17" t="s">
        <v>1874</v>
      </c>
      <c r="H376" s="17" t="s">
        <v>1105</v>
      </c>
      <c r="I376" s="13" t="s">
        <v>1875</v>
      </c>
      <c r="J376" s="18" t="str">
        <f>HYPERLINK("CorLog\ZMB\Petauke RTO\20150602 ZMB Petauke RTO Initial soil test results (STRUCT Reply) (RDC-to-RDC).msg", "Initial soil test results (STRUCT Reply)")</f>
        <v>Initial soil test results (STRUCT Reply)</v>
      </c>
      <c r="K376" s="22"/>
      <c r="L376" s="19"/>
      <c r="M376" s="20"/>
      <c r="N376" s="21" t="s">
        <v>1876</v>
      </c>
    </row>
    <row r="377" spans="1:14">
      <c r="A377" s="12"/>
      <c r="B377" s="13"/>
      <c r="C377" s="14"/>
      <c r="D377" s="15">
        <v>42157.495856481481</v>
      </c>
      <c r="E377" s="16" t="s">
        <v>17</v>
      </c>
      <c r="F377" s="16" t="s">
        <v>16</v>
      </c>
      <c r="G377" s="17" t="s">
        <v>719</v>
      </c>
      <c r="H377" s="17" t="s">
        <v>1877</v>
      </c>
      <c r="I377" s="13" t="s">
        <v>1878</v>
      </c>
      <c r="J377" s="18" t="str">
        <f>HYPERLINK("CorLog\Reference\20150602 Reference LDCTC Schedule Template (WDC-to-RDC).pdf", "LDCTC Schedule Template")</f>
        <v>LDCTC Schedule Template</v>
      </c>
      <c r="K377" s="18"/>
      <c r="L377" s="19"/>
      <c r="M377" s="20"/>
      <c r="N377" s="21"/>
    </row>
    <row r="378" spans="1:14">
      <c r="A378" s="12" t="s">
        <v>1418</v>
      </c>
      <c r="B378" s="13" t="s">
        <v>1337</v>
      </c>
      <c r="C378" s="14" t="s">
        <v>1879</v>
      </c>
      <c r="D378" s="15">
        <v>42157.488553240742</v>
      </c>
      <c r="E378" s="16" t="s">
        <v>16</v>
      </c>
      <c r="F378" s="16" t="s">
        <v>18</v>
      </c>
      <c r="G378" s="17" t="s">
        <v>885</v>
      </c>
      <c r="H378" s="17" t="s">
        <v>886</v>
      </c>
      <c r="I378" s="13" t="s">
        <v>1880</v>
      </c>
      <c r="J378" s="18" t="str">
        <f>HYPERLINK("CorLog\ZMB\Kabompo RTO\20150602 ZMB Kabompo RTO Electrical Internal quality control sheet (RDC-to-ZMB).msg", "Electrical Internal quality control sheet")</f>
        <v>Electrical Internal quality control sheet</v>
      </c>
      <c r="K378" s="22"/>
      <c r="L378" s="19"/>
      <c r="M378" s="20"/>
      <c r="N378" s="21" t="s">
        <v>1881</v>
      </c>
    </row>
    <row r="379" spans="1:14">
      <c r="A379" s="12" t="s">
        <v>723</v>
      </c>
      <c r="B379" s="13" t="s">
        <v>724</v>
      </c>
      <c r="C379" s="14"/>
      <c r="D379" s="15">
        <v>42157.439664351848</v>
      </c>
      <c r="E379" s="16" t="s">
        <v>16</v>
      </c>
      <c r="F379" s="16" t="s">
        <v>16</v>
      </c>
      <c r="G379" s="17" t="s">
        <v>719</v>
      </c>
      <c r="H379" s="17" t="s">
        <v>725</v>
      </c>
      <c r="I379" s="13" t="s">
        <v>726</v>
      </c>
      <c r="J379" s="18" t="str">
        <f>HYPERLINK("CorLog\Reference\20150602 Reference Global Tax Group pdf (RDC-to-RDC).msg", "Global Tax Group pdf")</f>
        <v>Global Tax Group pdf</v>
      </c>
      <c r="K379" s="22" t="s">
        <v>721</v>
      </c>
      <c r="L379" s="19"/>
      <c r="M379" s="20"/>
      <c r="N379" s="21" t="s">
        <v>727</v>
      </c>
    </row>
    <row r="380" spans="1:14">
      <c r="A380" s="12" t="s">
        <v>717</v>
      </c>
      <c r="B380" s="13" t="s">
        <v>718</v>
      </c>
      <c r="C380" s="14"/>
      <c r="D380" s="15">
        <v>42157.378310185188</v>
      </c>
      <c r="E380" s="16" t="s">
        <v>16</v>
      </c>
      <c r="F380" s="16" t="s">
        <v>16</v>
      </c>
      <c r="G380" s="17" t="s">
        <v>719</v>
      </c>
      <c r="H380" s="17" t="s">
        <v>28</v>
      </c>
      <c r="I380" s="13" t="s">
        <v>720</v>
      </c>
      <c r="J380" s="18" t="str">
        <f>HYPERLINK("CorLog\Reference\20150602 Reference WDC RDC LDC department strucutre ideas (RDC-to-RDC).msg", "WDC RDC LDC department strucutre ideas")</f>
        <v>WDC RDC LDC department strucutre ideas</v>
      </c>
      <c r="K380" s="22" t="s">
        <v>721</v>
      </c>
      <c r="L380" s="19"/>
      <c r="M380" s="20"/>
      <c r="N380" s="21" t="s">
        <v>722</v>
      </c>
    </row>
    <row r="381" spans="1:14">
      <c r="A381" s="12" t="s">
        <v>874</v>
      </c>
      <c r="B381" s="13"/>
      <c r="C381" s="14"/>
      <c r="D381" s="15">
        <v>42157</v>
      </c>
      <c r="E381" s="16" t="s">
        <v>25</v>
      </c>
      <c r="F381" s="16" t="s">
        <v>32</v>
      </c>
      <c r="G381" s="17" t="s">
        <v>1344</v>
      </c>
      <c r="H381" s="17" t="s">
        <v>1195</v>
      </c>
      <c r="I381" s="13" t="s">
        <v>1882</v>
      </c>
      <c r="J381" s="18" t="str">
        <f>HYPERLINK("CorLog\CMR\Branch\20150602 CMR Branch Branch Expansion Concept Design Proposal (WHQ-to-CMR).doc", "Branch Expansion Concept Design Proposal")</f>
        <v>Branch Expansion Concept Design Proposal</v>
      </c>
      <c r="K381" s="18" t="str">
        <f>HYPERLINK("CorLog\CMR\Branch\20150602 CMR Branch Branch Expansion Concept Design Proposal (WHQ-to-CMR).zip", "Zipped (1)")</f>
        <v>Zipped (1)</v>
      </c>
      <c r="L381" s="19" t="s">
        <v>1883</v>
      </c>
      <c r="M381" s="20"/>
      <c r="N381" s="21" t="s">
        <v>1884</v>
      </c>
    </row>
    <row r="382" spans="1:14">
      <c r="A382" s="12" t="s">
        <v>1052</v>
      </c>
      <c r="B382" s="13" t="s">
        <v>1206</v>
      </c>
      <c r="C382" s="14"/>
      <c r="D382" s="15">
        <v>42156.853680555556</v>
      </c>
      <c r="E382" s="16" t="s">
        <v>17</v>
      </c>
      <c r="F382" s="16" t="s">
        <v>17</v>
      </c>
      <c r="G382" s="17" t="s">
        <v>17</v>
      </c>
      <c r="H382" s="17" t="s">
        <v>1389</v>
      </c>
      <c r="I382" s="13" t="s">
        <v>1885</v>
      </c>
      <c r="J382" s="18" t="str">
        <f>HYPERLINK("CorLog\WDC\20150601 WDC (ON WDC RDC MEETING) WDC RDC Meeting - June 4, 2015 (WDC-to-WDC).msg.msg", "(ON WDC RDC MEETING) WDC RDC Meeting - June 4, 2015")</f>
        <v>(ON WDC RDC MEETING) WDC RDC Meeting - June 4, 2015</v>
      </c>
      <c r="K382" s="22" t="s">
        <v>721</v>
      </c>
      <c r="L382" s="19"/>
      <c r="M382" s="20"/>
      <c r="N382" s="21" t="s">
        <v>1886</v>
      </c>
    </row>
    <row r="383" spans="1:14">
      <c r="A383" s="12" t="s">
        <v>1052</v>
      </c>
      <c r="B383" s="13" t="s">
        <v>1206</v>
      </c>
      <c r="C383" s="14"/>
      <c r="D383" s="15">
        <v>42156.853483796294</v>
      </c>
      <c r="E383" s="16" t="s">
        <v>17</v>
      </c>
      <c r="F383" s="16" t="s">
        <v>17</v>
      </c>
      <c r="G383" s="17" t="s">
        <v>17</v>
      </c>
      <c r="H383" s="17" t="s">
        <v>1389</v>
      </c>
      <c r="I383" s="13" t="s">
        <v>1885</v>
      </c>
      <c r="J383" s="18" t="str">
        <f>HYPERLINK("CorLog\WDC\20150601 WDC (ON WDC RDC MEETING) WDC RDC Meeting - June 4, 2015 (WDC-to-WDC).msg", "(ON WDC RDC MEETING) WDC RDC Meeting - June 4, 2015")</f>
        <v>(ON WDC RDC MEETING) WDC RDC Meeting - June 4, 2015</v>
      </c>
      <c r="K383" s="22" t="s">
        <v>721</v>
      </c>
      <c r="L383" s="19"/>
      <c r="M383" s="20"/>
      <c r="N383" s="21" t="s">
        <v>1886</v>
      </c>
    </row>
    <row r="384" spans="1:14">
      <c r="A384" s="12"/>
      <c r="B384" s="13"/>
      <c r="C384" s="14"/>
      <c r="D384" s="15">
        <v>42156.737245370372</v>
      </c>
      <c r="E384" s="16" t="s">
        <v>17</v>
      </c>
      <c r="F384" s="16" t="s">
        <v>15</v>
      </c>
      <c r="G384" s="17" t="s">
        <v>885</v>
      </c>
      <c r="H384" s="17" t="s">
        <v>731</v>
      </c>
      <c r="I384" s="13" t="s">
        <v>1887</v>
      </c>
      <c r="J384" s="18" t="str">
        <f>HYPERLINK("CorLog\ZMB\Kabompo RTO\20150601 ZMB Kabompo RTO Commuters Shower and Toilet Facilities; approval (WDC-to-ZAF).docx", "Commuters Shower and Toilet Facilities; approval")</f>
        <v>Commuters Shower and Toilet Facilities; approval</v>
      </c>
      <c r="K384" s="22"/>
      <c r="L384" s="19"/>
      <c r="M384" s="20"/>
      <c r="N384" s="21" t="s">
        <v>1888</v>
      </c>
    </row>
    <row r="385" spans="1:14">
      <c r="A385" s="12" t="s">
        <v>723</v>
      </c>
      <c r="B385" s="13" t="s">
        <v>718</v>
      </c>
      <c r="C385" s="14" t="s">
        <v>1889</v>
      </c>
      <c r="D385" s="15">
        <v>42156.658483796295</v>
      </c>
      <c r="E385" s="16" t="s">
        <v>16</v>
      </c>
      <c r="F385" s="16" t="s">
        <v>16</v>
      </c>
      <c r="G385" s="17" t="s">
        <v>767</v>
      </c>
      <c r="H385" s="17" t="s">
        <v>768</v>
      </c>
      <c r="I385" s="13" t="s">
        <v>1890</v>
      </c>
      <c r="J385" s="18" t="str">
        <f>HYPERLINK("CorLog\SEN\Branch\20150601 SEN Branch Senegal Branch FEV Cost OCE (RDC-to-RDC).msg", "Senegal Branch FEV Cost OCE")</f>
        <v>Senegal Branch FEV Cost OCE</v>
      </c>
      <c r="K385" s="18"/>
      <c r="L385" s="19"/>
      <c r="M385" s="20"/>
      <c r="N385" s="21" t="s">
        <v>1891</v>
      </c>
    </row>
    <row r="386" spans="1:14">
      <c r="A386" s="12" t="s">
        <v>1889</v>
      </c>
      <c r="B386" s="13" t="s">
        <v>1147</v>
      </c>
      <c r="C386" s="14" t="s">
        <v>1892</v>
      </c>
      <c r="D386" s="15">
        <v>42156.635868055557</v>
      </c>
      <c r="E386" s="16" t="s">
        <v>17</v>
      </c>
      <c r="F386" s="16" t="s">
        <v>16</v>
      </c>
      <c r="G386" s="17" t="s">
        <v>758</v>
      </c>
      <c r="H386" s="17" t="s">
        <v>867</v>
      </c>
      <c r="I386" s="13" t="s">
        <v>1893</v>
      </c>
      <c r="J386" s="18" t="str">
        <f>HYPERLINK("CorLog\GHA\Viepe RTO\20150601 GHA Viepe RTO Additional costs for 2 meter extension (WDC-to-RDC).msg", "Additional costs for 2 meter extension")</f>
        <v>Additional costs for 2 meter extension</v>
      </c>
      <c r="K386" s="22"/>
      <c r="L386" s="19"/>
      <c r="M386" s="20"/>
      <c r="N386" s="21" t="s">
        <v>1894</v>
      </c>
    </row>
    <row r="387" spans="1:14">
      <c r="A387" s="12" t="s">
        <v>1003</v>
      </c>
      <c r="B387" s="13" t="s">
        <v>718</v>
      </c>
      <c r="C387" s="14"/>
      <c r="D387" s="15">
        <v>42156.612881944442</v>
      </c>
      <c r="E387" s="16" t="s">
        <v>22</v>
      </c>
      <c r="F387" s="16" t="s">
        <v>16</v>
      </c>
      <c r="G387" s="17" t="s">
        <v>913</v>
      </c>
      <c r="H387" s="17" t="s">
        <v>1895</v>
      </c>
      <c r="I387" s="13" t="s">
        <v>1896</v>
      </c>
      <c r="J387" s="18" t="str">
        <f>HYPERLINK("CorLog\COD\Branch\20150601 COD Branch Saio Healthcare Appts--approval letters (COD-to-RDC).msg", "Saio Healthcare Appts--approval letters")</f>
        <v>Saio Healthcare Appts--approval letters</v>
      </c>
      <c r="K387" s="22"/>
      <c r="L387" s="19"/>
      <c r="M387" s="20"/>
      <c r="N387" s="21" t="s">
        <v>1897</v>
      </c>
    </row>
    <row r="388" spans="1:14">
      <c r="A388" s="12"/>
      <c r="B388" s="13"/>
      <c r="C388" s="14"/>
      <c r="D388" s="15">
        <v>42156.592314814814</v>
      </c>
      <c r="E388" s="16" t="s">
        <v>25</v>
      </c>
      <c r="F388" s="16" t="s">
        <v>30</v>
      </c>
      <c r="G388" s="17" t="s">
        <v>719</v>
      </c>
      <c r="H388" s="17" t="s">
        <v>992</v>
      </c>
      <c r="I388" s="13" t="s">
        <v>1898</v>
      </c>
      <c r="J388" s="18" t="str">
        <f>HYPERLINK("CorLog\Reference\20150601 Reference Instructions to branches on entering Site information into Admin (WHQ-to-ALL).doc", "Instructions to branches on entering Site information into Admin")</f>
        <v>Instructions to branches on entering Site information into Admin</v>
      </c>
      <c r="K388" s="22"/>
      <c r="L388" s="19"/>
      <c r="M388" s="20"/>
      <c r="N388" s="21" t="s">
        <v>1899</v>
      </c>
    </row>
    <row r="389" spans="1:14">
      <c r="A389" s="12" t="s">
        <v>821</v>
      </c>
      <c r="B389" s="13" t="s">
        <v>822</v>
      </c>
      <c r="C389" s="14" t="s">
        <v>1900</v>
      </c>
      <c r="D389" s="15">
        <v>42156.571840277778</v>
      </c>
      <c r="E389" s="16" t="s">
        <v>21</v>
      </c>
      <c r="F389" s="16" t="s">
        <v>21</v>
      </c>
      <c r="G389" s="17" t="s">
        <v>738</v>
      </c>
      <c r="H389" s="17" t="s">
        <v>781</v>
      </c>
      <c r="I389" s="13" t="s">
        <v>1901</v>
      </c>
      <c r="J389" s="18" t="str">
        <f>HYPERLINK("CorLog\GHA\BEX 2\20150601 GHA BEX 2 Rooming projections and rented annexes 010615 (GHA-to-GHA).msg", "Rooming projections and rented annexes 010615")</f>
        <v>Rooming projections and rented annexes 010615</v>
      </c>
      <c r="K389" s="22" t="s">
        <v>721</v>
      </c>
      <c r="L389" s="19"/>
      <c r="M389" s="20"/>
      <c r="N389" s="21" t="s">
        <v>1902</v>
      </c>
    </row>
    <row r="390" spans="1:14">
      <c r="A390" s="12" t="s">
        <v>827</v>
      </c>
      <c r="B390" s="13" t="s">
        <v>842</v>
      </c>
      <c r="C390" s="14" t="s">
        <v>718</v>
      </c>
      <c r="D390" s="15">
        <v>42156.554722222223</v>
      </c>
      <c r="E390" s="16" t="s">
        <v>21</v>
      </c>
      <c r="F390" s="16" t="s">
        <v>21</v>
      </c>
      <c r="G390" s="17" t="s">
        <v>790</v>
      </c>
      <c r="H390" s="17" t="s">
        <v>781</v>
      </c>
      <c r="I390" s="13" t="s">
        <v>1903</v>
      </c>
      <c r="J390" s="18" t="str">
        <f>HYPERLINK("CorLog\GHA\BEX\20150601 GHA BEX Overseers Time Away, June to August 2015 (GHA-to-GHA).msg", "Overseers Time Away, June to August 2015")</f>
        <v>Overseers Time Away, June to August 2015</v>
      </c>
      <c r="K390" s="22"/>
      <c r="L390" s="19"/>
      <c r="M390" s="20"/>
      <c r="N390" s="21" t="s">
        <v>1904</v>
      </c>
    </row>
    <row r="391" spans="1:14">
      <c r="A391" s="12" t="s">
        <v>717</v>
      </c>
      <c r="B391" s="13" t="s">
        <v>1905</v>
      </c>
      <c r="C391" s="14" t="s">
        <v>1906</v>
      </c>
      <c r="D391" s="15">
        <v>42156.365173611113</v>
      </c>
      <c r="E391" s="16" t="s">
        <v>16</v>
      </c>
      <c r="F391" s="16" t="s">
        <v>19</v>
      </c>
      <c r="G391" s="17" t="s">
        <v>744</v>
      </c>
      <c r="H391" s="17" t="s">
        <v>1907</v>
      </c>
      <c r="I391" s="13" t="s">
        <v>1908</v>
      </c>
      <c r="J391" s="18" t="str">
        <f>HYPERLINK("CorLog\AGO\Vianna AH\20150601 AGO Vianna AH DC-41 Borehole drilling (RDC-to-AGO).msg", "DC-41 Borehole drilling")</f>
        <v>DC-41 Borehole drilling</v>
      </c>
      <c r="K391" s="22"/>
      <c r="L391" s="19"/>
      <c r="M391" s="20"/>
      <c r="N391" s="21" t="s">
        <v>1909</v>
      </c>
    </row>
    <row r="392" spans="1:14">
      <c r="A392" s="12" t="s">
        <v>1910</v>
      </c>
      <c r="B392" s="13" t="s">
        <v>827</v>
      </c>
      <c r="C392" s="14" t="s">
        <v>1911</v>
      </c>
      <c r="D392" s="15">
        <v>42156.358738425923</v>
      </c>
      <c r="E392" s="16" t="s">
        <v>29</v>
      </c>
      <c r="F392" s="16" t="s">
        <v>21</v>
      </c>
      <c r="G392" s="17" t="s">
        <v>790</v>
      </c>
      <c r="H392" s="17" t="s">
        <v>781</v>
      </c>
      <c r="I392" s="13" t="s">
        <v>1912</v>
      </c>
      <c r="J392" s="18" t="str">
        <f>HYPERLINK("CorLog\GHA\BEX\20150601 GHA BEX Couple Iglesia Mielgo (BCV)--Request to leave assignment for 1 month (DEU-to-GHA).msg", "Couple Iglesia Mielgo (BCV)--Request to leave assignment for 1 month")</f>
        <v>Couple Iglesia Mielgo (BCV)--Request to leave assignment for 1 month</v>
      </c>
      <c r="K392" s="22"/>
      <c r="L392" s="19"/>
      <c r="M392" s="20"/>
      <c r="N392" s="21" t="s">
        <v>1913</v>
      </c>
    </row>
    <row r="393" spans="1:14">
      <c r="A393" s="12"/>
      <c r="B393" s="13"/>
      <c r="C393" s="14"/>
      <c r="D393" s="15">
        <v>42156.344421296293</v>
      </c>
      <c r="E393" s="16" t="s">
        <v>18</v>
      </c>
      <c r="F393" s="16" t="s">
        <v>15</v>
      </c>
      <c r="G393" s="17" t="s">
        <v>885</v>
      </c>
      <c r="H393" s="17" t="s">
        <v>1895</v>
      </c>
      <c r="I393" s="13" t="s">
        <v>1914</v>
      </c>
      <c r="J393" s="18" t="str">
        <f>HYPERLINK("CorLog\ZMB\Kabompo RTO\20150601 ZMB Kabompo RTO Commuters Shower and Toilet Facilities (ZMB-to-ZAF).docx", "Commuters Shower and Toilet Facilities")</f>
        <v>Commuters Shower and Toilet Facilities</v>
      </c>
      <c r="K393" s="22"/>
      <c r="L393" s="19"/>
      <c r="M393" s="20"/>
      <c r="N393" s="21" t="s">
        <v>1888</v>
      </c>
    </row>
    <row r="394" spans="1:14">
      <c r="A394" s="12" t="s">
        <v>874</v>
      </c>
      <c r="B394" s="13"/>
      <c r="C394" s="14"/>
      <c r="D394" s="15">
        <v>42156</v>
      </c>
      <c r="E394" s="16" t="s">
        <v>25</v>
      </c>
      <c r="F394" s="16" t="s">
        <v>30</v>
      </c>
      <c r="G394" s="17" t="s">
        <v>28</v>
      </c>
      <c r="H394" s="17" t="s">
        <v>867</v>
      </c>
      <c r="I394" s="13" t="s">
        <v>1321</v>
      </c>
      <c r="J394" s="18" t="str">
        <f>HYPERLINK("CorLog\LDC\20150601 LDC Kingdom Hall and Assembly Hall Construction Program Recommended Spending Limit for 2016 (WHQ-to-ALL).doc", "Kingdom Hall and Assembly Hall Construction Program Recommended Spending Limit for 2016")</f>
        <v>Kingdom Hall and Assembly Hall Construction Program Recommended Spending Limit for 2016</v>
      </c>
      <c r="K394" s="18" t="str">
        <f>HYPERLINK("CorLog\LDC\20150601 LDC Kingdom Hall and Assembly Hall Construction Program Recommended Spending Limit for 2016 (WHQ-to-ALL).zip", "Zipped (1)")</f>
        <v>Zipped (1)</v>
      </c>
      <c r="L394" s="19" t="s">
        <v>1915</v>
      </c>
      <c r="M394" s="20"/>
      <c r="N394" s="21" t="s">
        <v>1916</v>
      </c>
    </row>
    <row r="395" spans="1:14">
      <c r="A395" s="12" t="s">
        <v>1917</v>
      </c>
      <c r="B395" s="13"/>
      <c r="C395" s="14"/>
      <c r="D395" s="15">
        <v>42156</v>
      </c>
      <c r="E395" s="16" t="s">
        <v>15</v>
      </c>
      <c r="F395" s="16" t="s">
        <v>17</v>
      </c>
      <c r="G395" s="17" t="s">
        <v>1344</v>
      </c>
      <c r="H395" s="17" t="s">
        <v>1195</v>
      </c>
      <c r="I395" s="13" t="s">
        <v>1918</v>
      </c>
      <c r="J395" s="18" t="str">
        <f>HYPERLINK("CorLog\CMR\Branch\20150601 CMR Branch Cameroon Branch Relocation CDP (ZAF-to-WDC).docx", "Cameroon Branch Relocation CDP")</f>
        <v>Cameroon Branch Relocation CDP</v>
      </c>
      <c r="K395" s="18" t="str">
        <f>HYPERLINK("CorLog\CMR\Branch\20150601 CMR Branch Cameroon Branch Relocation CDP (ZAF-to-WDC).zip", "Zipped (1)")</f>
        <v>Zipped (1)</v>
      </c>
      <c r="L395" s="19" t="s">
        <v>1919</v>
      </c>
      <c r="M395" s="20"/>
      <c r="N395" s="21" t="s">
        <v>1920</v>
      </c>
    </row>
    <row r="396" spans="1:14">
      <c r="A396" s="12" t="s">
        <v>837</v>
      </c>
      <c r="B396" s="13" t="s">
        <v>718</v>
      </c>
      <c r="C396" s="14"/>
      <c r="D396" s="15">
        <v>42155.124386574076</v>
      </c>
      <c r="E396" s="16" t="s">
        <v>18</v>
      </c>
      <c r="F396" s="16" t="s">
        <v>16</v>
      </c>
      <c r="G396" s="17" t="s">
        <v>838</v>
      </c>
      <c r="H396" s="17" t="s">
        <v>1921</v>
      </c>
      <c r="I396" s="13" t="s">
        <v>1922</v>
      </c>
      <c r="J396" s="18" t="str">
        <f>HYPERLINK("CorLog\ZMB\Choma RTO\20150531 ZMB Choma RTO RDC review of NLBR 10368 Doors, windows, security bars (ZMB-to-RDC).msg", "RDC review of NLBR 10368 Doors, windows, security bars")</f>
        <v>RDC review of NLBR 10368 Doors, windows, security bars</v>
      </c>
      <c r="K396" s="22"/>
      <c r="L396" s="19"/>
      <c r="M396" s="20"/>
      <c r="N396" s="21" t="s">
        <v>1923</v>
      </c>
    </row>
    <row r="397" spans="1:14">
      <c r="A397" s="12" t="s">
        <v>718</v>
      </c>
      <c r="B397" s="13" t="s">
        <v>837</v>
      </c>
      <c r="C397" s="14" t="s">
        <v>1924</v>
      </c>
      <c r="D397" s="15">
        <v>42154.896550925929</v>
      </c>
      <c r="E397" s="16" t="s">
        <v>16</v>
      </c>
      <c r="F397" s="16" t="s">
        <v>18</v>
      </c>
      <c r="G397" s="17" t="s">
        <v>838</v>
      </c>
      <c r="H397" s="17" t="s">
        <v>829</v>
      </c>
      <c r="I397" s="13" t="s">
        <v>1925</v>
      </c>
      <c r="J397" s="18" t="str">
        <f>HYPERLINK("CorLog\ZMB\Choma RTO\20150530 ZMB Choma RTO RDC review of NLBR -11774, stakbox lids, utilty trailer copper pipe (RDC-to-ZMB).msg", "RDC review of NLBR -11774, stakbox lids, utilty trailer copper pipe")</f>
        <v>RDC review of NLBR -11774, stakbox lids, utilty trailer copper pipe</v>
      </c>
      <c r="K397" s="22"/>
      <c r="L397" s="19"/>
      <c r="M397" s="20"/>
      <c r="N397" s="21" t="s">
        <v>1926</v>
      </c>
    </row>
    <row r="398" spans="1:14">
      <c r="A398" s="12" t="s">
        <v>718</v>
      </c>
      <c r="B398" s="13" t="s">
        <v>717</v>
      </c>
      <c r="C398" s="14"/>
      <c r="D398" s="15">
        <v>42153.640138888892</v>
      </c>
      <c r="E398" s="16" t="s">
        <v>16</v>
      </c>
      <c r="F398" s="16" t="s">
        <v>16</v>
      </c>
      <c r="G398" s="17" t="s">
        <v>1927</v>
      </c>
      <c r="H398" s="17" t="s">
        <v>1928</v>
      </c>
      <c r="I398" s="13" t="s">
        <v>1929</v>
      </c>
      <c r="J398" s="18" t="str">
        <f>HYPERLINK("CorLog\COD\Kabinda RTO\20150529 COD Kabinda RTO Status update on property search; AV approval (RDC-to-RDC).msg", "Status update on property search; AV approval")</f>
        <v>Status update on property search; AV approval</v>
      </c>
      <c r="K398" s="22" t="s">
        <v>733</v>
      </c>
      <c r="L398" s="19"/>
      <c r="M398" s="20"/>
      <c r="N398" s="21" t="s">
        <v>1930</v>
      </c>
    </row>
    <row r="399" spans="1:14">
      <c r="A399" s="12" t="s">
        <v>1026</v>
      </c>
      <c r="B399" s="13" t="s">
        <v>742</v>
      </c>
      <c r="C399" s="14" t="s">
        <v>1931</v>
      </c>
      <c r="D399" s="15">
        <v>42153.423993055556</v>
      </c>
      <c r="E399" s="16" t="s">
        <v>18</v>
      </c>
      <c r="F399" s="16" t="s">
        <v>16</v>
      </c>
      <c r="G399" s="17" t="s">
        <v>1932</v>
      </c>
      <c r="H399" s="17" t="s">
        <v>759</v>
      </c>
      <c r="I399" s="13" t="s">
        <v>1933</v>
      </c>
      <c r="J399" s="18" t="str">
        <f>HYPERLINK("CorLog\ZMB\Mwinilunga RTO\20150529 ZMB Mwinilunga RTO Preliminary project documents for review (ZMB-to-RDC).msg", "Preliminary project documents for review")</f>
        <v>Preliminary project documents for review</v>
      </c>
      <c r="K399" s="22"/>
      <c r="L399" s="19" t="s">
        <v>1934</v>
      </c>
      <c r="M399" s="20"/>
      <c r="N399" s="21" t="s">
        <v>1935</v>
      </c>
    </row>
    <row r="400" spans="1:14">
      <c r="A400" s="12" t="s">
        <v>1160</v>
      </c>
      <c r="B400" s="13" t="s">
        <v>1936</v>
      </c>
      <c r="C400" s="14" t="s">
        <v>1937</v>
      </c>
      <c r="D400" s="15">
        <v>42153.420127314814</v>
      </c>
      <c r="E400" s="16" t="s">
        <v>20</v>
      </c>
      <c r="F400" s="16" t="s">
        <v>33</v>
      </c>
      <c r="G400" s="17" t="s">
        <v>1938</v>
      </c>
      <c r="H400" s="17" t="s">
        <v>731</v>
      </c>
      <c r="I400" s="13" t="s">
        <v>1939</v>
      </c>
      <c r="J400" s="18" t="str">
        <f>HYPERLINK("CorLog\CIV\Agboville RTO\20150529 CIV Agboville RTO DC-41 cancelled for now; resubmit later (MOZ-to-CIV).msg", "DC-41 cancelled for now; resubmit later")</f>
        <v>DC-41 cancelled for now; resubmit later</v>
      </c>
      <c r="K400" s="22"/>
      <c r="L400" s="19"/>
      <c r="M400" s="20"/>
      <c r="N400" s="21" t="s">
        <v>1940</v>
      </c>
    </row>
    <row r="401" spans="1:14">
      <c r="A401" s="12"/>
      <c r="B401" s="13"/>
      <c r="C401" s="14"/>
      <c r="D401" s="15">
        <v>42153.357581018521</v>
      </c>
      <c r="E401" s="16" t="s">
        <v>22</v>
      </c>
      <c r="F401" s="16" t="s">
        <v>17</v>
      </c>
      <c r="G401" s="17" t="s">
        <v>1941</v>
      </c>
      <c r="H401" s="17" t="s">
        <v>1942</v>
      </c>
      <c r="I401" s="13" t="s">
        <v>1943</v>
      </c>
      <c r="J401" s="18" t="str">
        <f>HYPERLINK("CorLog\COD\RTO Projects\20150529 COD RTO Projects International Servant - Problem Highlighted in Personal Vacation Travels (-to-WDC).docx", "International Servant - Problem Highlighted in Personal Vacation Travels")</f>
        <v>International Servant - Problem Highlighted in Personal Vacation Travels</v>
      </c>
      <c r="K401" s="22"/>
      <c r="L401" s="19"/>
      <c r="M401" s="20"/>
      <c r="N401" s="21" t="s">
        <v>1944</v>
      </c>
    </row>
    <row r="402" spans="1:14">
      <c r="A402" s="12" t="s">
        <v>874</v>
      </c>
      <c r="B402" s="13"/>
      <c r="C402" s="14"/>
      <c r="D402" s="15">
        <v>42153</v>
      </c>
      <c r="E402" s="16" t="s">
        <v>25</v>
      </c>
      <c r="F402" s="16" t="s">
        <v>19</v>
      </c>
      <c r="G402" s="17" t="s">
        <v>1314</v>
      </c>
      <c r="H402" s="17" t="s">
        <v>1945</v>
      </c>
      <c r="I402" s="13" t="s">
        <v>1946</v>
      </c>
      <c r="J402" s="18" t="str">
        <f>HYPERLINK("CorLog\AGO\LDC\20150529 AGO LDC Circuit Overseer Apartments, extra costs (WHQ-to-AGO).doc", "Circuit Overseer Apartments, extra costs")</f>
        <v>Circuit Overseer Apartments, extra costs</v>
      </c>
      <c r="K402" s="22"/>
      <c r="L402" s="19"/>
      <c r="M402" s="20"/>
      <c r="N402" s="21" t="s">
        <v>1947</v>
      </c>
    </row>
    <row r="403" spans="1:14">
      <c r="A403" s="12" t="s">
        <v>874</v>
      </c>
      <c r="B403" s="13"/>
      <c r="C403" s="14"/>
      <c r="D403" s="15">
        <v>42153</v>
      </c>
      <c r="E403" s="16" t="s">
        <v>25</v>
      </c>
      <c r="F403" s="16" t="s">
        <v>19</v>
      </c>
      <c r="G403" s="17" t="s">
        <v>1314</v>
      </c>
      <c r="H403" s="17" t="s">
        <v>1945</v>
      </c>
      <c r="I403" s="13" t="s">
        <v>1946</v>
      </c>
      <c r="J403" s="18" t="str">
        <f>HYPERLINK("CorLog\AGO\LDC\20150529 AGO LDC Circuit Overseer Apartments, extra costs (WHQ-to-AGO).doc", "Circuit Overseer Apartments, extra costs")</f>
        <v>Circuit Overseer Apartments, extra costs</v>
      </c>
      <c r="K403" s="22"/>
      <c r="L403" s="19"/>
      <c r="M403" s="20"/>
      <c r="N403" s="21" t="s">
        <v>1947</v>
      </c>
    </row>
    <row r="404" spans="1:14">
      <c r="A404" s="12" t="s">
        <v>1948</v>
      </c>
      <c r="B404" s="13"/>
      <c r="C404" s="14"/>
      <c r="D404" s="15">
        <v>42153</v>
      </c>
      <c r="E404" s="16" t="s">
        <v>25</v>
      </c>
      <c r="F404" s="16" t="s">
        <v>30</v>
      </c>
      <c r="G404" s="17" t="s">
        <v>719</v>
      </c>
      <c r="H404" s="17" t="s">
        <v>1230</v>
      </c>
      <c r="I404" s="13" t="s">
        <v>1231</v>
      </c>
      <c r="J404" s="18" t="str">
        <f>HYPERLINK("CorLog\Reference\20150529 Reference Construction Budget for Active Telecom Computer Components (WHQ-to-ALL).docx", "Construction Budget for Active Telecom Computer Components")</f>
        <v>Construction Budget for Active Telecom Computer Components</v>
      </c>
      <c r="K404" s="22"/>
      <c r="L404" s="19"/>
      <c r="M404" s="20"/>
      <c r="N404" s="21" t="s">
        <v>1949</v>
      </c>
    </row>
    <row r="405" spans="1:14">
      <c r="A405" s="12" t="s">
        <v>874</v>
      </c>
      <c r="B405" s="13"/>
      <c r="C405" s="14"/>
      <c r="D405" s="15">
        <v>42153</v>
      </c>
      <c r="E405" s="16" t="s">
        <v>25</v>
      </c>
      <c r="F405" s="16" t="s">
        <v>34</v>
      </c>
      <c r="G405" s="17" t="s">
        <v>1950</v>
      </c>
      <c r="H405" s="17" t="s">
        <v>1000</v>
      </c>
      <c r="I405" s="13" t="s">
        <v>1951</v>
      </c>
      <c r="J405" s="18" t="str">
        <f>HYPERLINK("CorLog\MWI\Branch\20150529 MWI Branch Branch Expansion Planning Options (WHQ-to-MWI).doc", "Branch Expansion Planning Options")</f>
        <v>Branch Expansion Planning Options</v>
      </c>
      <c r="K405" s="22"/>
      <c r="L405" s="19"/>
      <c r="M405" s="20"/>
      <c r="N405" s="21" t="s">
        <v>1952</v>
      </c>
    </row>
    <row r="406" spans="1:14">
      <c r="A406" s="12" t="s">
        <v>1948</v>
      </c>
      <c r="B406" s="13"/>
      <c r="C406" s="14"/>
      <c r="D406" s="15">
        <v>42153</v>
      </c>
      <c r="E406" s="16" t="s">
        <v>25</v>
      </c>
      <c r="F406" s="16" t="s">
        <v>30</v>
      </c>
      <c r="G406" s="17" t="s">
        <v>719</v>
      </c>
      <c r="H406" s="17" t="s">
        <v>1230</v>
      </c>
      <c r="I406" s="13" t="s">
        <v>1231</v>
      </c>
      <c r="J406" s="18" t="str">
        <f>HYPERLINK("CorLog\Reference\20150529 Reference Construction Budget for Active Telecom Computer Components (WHQ-to-ALL).docx", "Construction Budget for Active Telecom Computer Components")</f>
        <v>Construction Budget for Active Telecom Computer Components</v>
      </c>
      <c r="K406" s="22"/>
      <c r="L406" s="19" t="s">
        <v>1953</v>
      </c>
      <c r="M406" s="20"/>
      <c r="N406" s="21" t="s">
        <v>1949</v>
      </c>
    </row>
    <row r="407" spans="1:14">
      <c r="A407" s="12" t="s">
        <v>718</v>
      </c>
      <c r="B407" s="13" t="s">
        <v>827</v>
      </c>
      <c r="C407" s="14" t="s">
        <v>1954</v>
      </c>
      <c r="D407" s="15">
        <v>42152.935682870368</v>
      </c>
      <c r="E407" s="16" t="s">
        <v>16</v>
      </c>
      <c r="F407" s="16" t="s">
        <v>21</v>
      </c>
      <c r="G407" s="17" t="s">
        <v>790</v>
      </c>
      <c r="H407" s="17" t="s">
        <v>858</v>
      </c>
      <c r="I407" s="13" t="s">
        <v>1955</v>
      </c>
      <c r="J407" s="18" t="str">
        <f>HYPERLINK("CorLog\GHA\BEX\20150528 GHA BEX RDC review of April AO-8 for GHA BEX and Kikam RTO (RDC-to-GHA).msg", "RDC review of April AO-8 for GHA BEX and Kikam RTO")</f>
        <v>RDC review of April AO-8 for GHA BEX and Kikam RTO</v>
      </c>
      <c r="K407" s="22" t="s">
        <v>1033</v>
      </c>
      <c r="L407" s="19"/>
      <c r="M407" s="20"/>
      <c r="N407" s="21" t="s">
        <v>1956</v>
      </c>
    </row>
    <row r="408" spans="1:14">
      <c r="A408" s="12" t="s">
        <v>718</v>
      </c>
      <c r="B408" s="13" t="s">
        <v>837</v>
      </c>
      <c r="C408" s="14" t="s">
        <v>1957</v>
      </c>
      <c r="D408" s="15">
        <v>42152.935601851852</v>
      </c>
      <c r="E408" s="16" t="s">
        <v>16</v>
      </c>
      <c r="F408" s="16" t="s">
        <v>18</v>
      </c>
      <c r="G408" s="17" t="s">
        <v>838</v>
      </c>
      <c r="H408" s="17" t="s">
        <v>1184</v>
      </c>
      <c r="I408" s="13" t="s">
        <v>1958</v>
      </c>
      <c r="J408" s="18" t="str">
        <f>HYPERLINK("CorLog\ZMB\Choma RTO\20150528 ZMB Choma RTO RDC review of April 2015, DC-43 (RDC-to-ZMB).msg", "RDC review of April 2015, DC-43")</f>
        <v>RDC review of April 2015, DC-43</v>
      </c>
      <c r="K408" s="18"/>
      <c r="L408" s="19"/>
      <c r="M408" s="20"/>
      <c r="N408" s="21" t="s">
        <v>1959</v>
      </c>
    </row>
    <row r="409" spans="1:14">
      <c r="A409" s="12" t="s">
        <v>718</v>
      </c>
      <c r="B409" s="13" t="s">
        <v>777</v>
      </c>
      <c r="C409" s="14" t="s">
        <v>1960</v>
      </c>
      <c r="D409" s="15">
        <v>42152.909571759257</v>
      </c>
      <c r="E409" s="16" t="s">
        <v>16</v>
      </c>
      <c r="F409" s="16" t="s">
        <v>18</v>
      </c>
      <c r="G409" s="17" t="s">
        <v>780</v>
      </c>
      <c r="H409" s="17" t="s">
        <v>781</v>
      </c>
      <c r="I409" s="13" t="s">
        <v>1961</v>
      </c>
      <c r="J409" s="18" t="str">
        <f>HYPERLINK("CorLog\ZMB\LDC\20150528 ZMB LDC Q Construction Servants who get married (RDC-to-ZMB).msg", "Q Construction Servants who get married")</f>
        <v>Q Construction Servants who get married</v>
      </c>
      <c r="K409" s="22"/>
      <c r="L409" s="19"/>
      <c r="M409" s="20"/>
      <c r="N409" s="21" t="s">
        <v>1962</v>
      </c>
    </row>
    <row r="410" spans="1:14">
      <c r="A410" s="12" t="s">
        <v>718</v>
      </c>
      <c r="B410" s="13" t="s">
        <v>723</v>
      </c>
      <c r="C410" s="14" t="s">
        <v>1963</v>
      </c>
      <c r="D410" s="15">
        <v>42152.888981481483</v>
      </c>
      <c r="E410" s="16" t="s">
        <v>16</v>
      </c>
      <c r="F410" s="16" t="s">
        <v>16</v>
      </c>
      <c r="G410" s="17" t="s">
        <v>966</v>
      </c>
      <c r="H410" s="17" t="s">
        <v>1964</v>
      </c>
      <c r="I410" s="13" t="s">
        <v>1965</v>
      </c>
      <c r="J410" s="18" t="str">
        <f>HYPERLINK("CorLog\MDG\Branch\20150528 MDG Branch EST review of DC-41 Studio roof replacement (RDC-to-RDC).msg", "EST review of DC-41 Studio roof replacement")</f>
        <v>EST review of DC-41 Studio roof replacement</v>
      </c>
      <c r="K410" s="22" t="s">
        <v>721</v>
      </c>
      <c r="L410" s="19"/>
      <c r="M410" s="20"/>
      <c r="N410" s="21" t="s">
        <v>1966</v>
      </c>
    </row>
    <row r="411" spans="1:14">
      <c r="A411" s="12" t="s">
        <v>718</v>
      </c>
      <c r="B411" s="13" t="s">
        <v>1069</v>
      </c>
      <c r="C411" s="14" t="s">
        <v>1399</v>
      </c>
      <c r="D411" s="15">
        <v>42152.87060185185</v>
      </c>
      <c r="E411" s="16" t="s">
        <v>16</v>
      </c>
      <c r="F411" s="16" t="s">
        <v>18</v>
      </c>
      <c r="G411" s="17" t="s">
        <v>1070</v>
      </c>
      <c r="H411" s="17" t="s">
        <v>829</v>
      </c>
      <c r="I411" s="13" t="s">
        <v>1967</v>
      </c>
      <c r="J411" s="18" t="str">
        <f>HYPERLINK("CorLog\ZMB\Katete RTO\20150528 ZMB Katete RTO RDC review of NLBR 11984; Fall Protection Plates; 20150521 (RDC-to-ZMB).msg", "RDC review of NLBR 11984; Fall Protection Plates; 20150521")</f>
        <v>RDC review of NLBR 11984; Fall Protection Plates; 20150521</v>
      </c>
      <c r="K411" s="22"/>
      <c r="L411" s="19"/>
      <c r="M411" s="20"/>
      <c r="N411" s="21" t="s">
        <v>1968</v>
      </c>
    </row>
    <row r="412" spans="1:14">
      <c r="A412" s="12" t="s">
        <v>718</v>
      </c>
      <c r="B412" s="13" t="s">
        <v>1969</v>
      </c>
      <c r="C412" s="14" t="s">
        <v>1970</v>
      </c>
      <c r="D412" s="15">
        <v>42152.836643518516</v>
      </c>
      <c r="E412" s="16" t="s">
        <v>16</v>
      </c>
      <c r="F412" s="16" t="s">
        <v>22</v>
      </c>
      <c r="G412" s="17" t="s">
        <v>979</v>
      </c>
      <c r="H412" s="17" t="s">
        <v>1971</v>
      </c>
      <c r="I412" s="13" t="s">
        <v>1972</v>
      </c>
      <c r="J412" s="18" t="str">
        <f>HYPERLINK("CorLog\RTO\Projects\20150528 RTO Projects FS M-101-M1, M-102-M1--redundant AC in TER (RDC-to-COD).msg", "FS M-101-M1, M-102-M1--redundant AC in TER")</f>
        <v>FS M-101-M1, M-102-M1--redundant AC in TER</v>
      </c>
      <c r="K412" s="22"/>
      <c r="L412" s="19"/>
      <c r="M412" s="20"/>
      <c r="N412" s="21" t="s">
        <v>1973</v>
      </c>
    </row>
    <row r="413" spans="1:14">
      <c r="A413" s="12" t="s">
        <v>718</v>
      </c>
      <c r="B413" s="13" t="s">
        <v>837</v>
      </c>
      <c r="C413" s="14" t="s">
        <v>1276</v>
      </c>
      <c r="D413" s="15">
        <v>42152.811967592592</v>
      </c>
      <c r="E413" s="16" t="s">
        <v>16</v>
      </c>
      <c r="F413" s="16" t="s">
        <v>18</v>
      </c>
      <c r="G413" s="17" t="s">
        <v>838</v>
      </c>
      <c r="H413" s="17" t="s">
        <v>1974</v>
      </c>
      <c r="I413" s="13" t="s">
        <v>1975</v>
      </c>
      <c r="J413" s="18" t="str">
        <f>HYPERLINK("CorLog\ZMB\Choma RTO\20150528 ZMB Choma RTO RDC review of NLBR Draft Req -12024 (South Furniture) and -12021 (US Furniture) (RDC-to-ZMB).msg", "RDC review of NLBR Draft Req -12024 (South Furniture) and -12021 (US Furniture)")</f>
        <v>RDC review of NLBR Draft Req -12024 (South Furniture) and -12021 (US Furniture)</v>
      </c>
      <c r="K413" s="22"/>
      <c r="L413" s="19"/>
      <c r="M413" s="20"/>
      <c r="N413" s="21" t="s">
        <v>1976</v>
      </c>
    </row>
    <row r="414" spans="1:14">
      <c r="A414" s="12" t="s">
        <v>718</v>
      </c>
      <c r="B414" s="13" t="s">
        <v>1977</v>
      </c>
      <c r="C414" s="14" t="s">
        <v>1978</v>
      </c>
      <c r="D414" s="15">
        <v>42152.792569444442</v>
      </c>
      <c r="E414" s="16" t="s">
        <v>16</v>
      </c>
      <c r="F414" s="16" t="s">
        <v>19</v>
      </c>
      <c r="G414" s="17" t="s">
        <v>1134</v>
      </c>
      <c r="H414" s="17" t="s">
        <v>1015</v>
      </c>
      <c r="I414" s="13" t="s">
        <v>1979</v>
      </c>
      <c r="J414" s="18" t="str">
        <f>HYPERLINK("CorLog\AGO\Lubango RTO\20150528 AGO Lubango RTO Property DC-44 (RDC-to-AGO).msg", "Property DC-44")</f>
        <v>Property DC-44</v>
      </c>
      <c r="K414" s="22"/>
      <c r="L414" s="19"/>
      <c r="M414" s="20"/>
      <c r="N414" s="21" t="s">
        <v>1980</v>
      </c>
    </row>
    <row r="415" spans="1:14">
      <c r="A415" s="12" t="s">
        <v>718</v>
      </c>
      <c r="B415" s="13" t="s">
        <v>827</v>
      </c>
      <c r="C415" s="14" t="s">
        <v>1981</v>
      </c>
      <c r="D415" s="15">
        <v>42152.769768518519</v>
      </c>
      <c r="E415" s="16" t="s">
        <v>16</v>
      </c>
      <c r="F415" s="16" t="s">
        <v>21</v>
      </c>
      <c r="G415" s="17" t="s">
        <v>790</v>
      </c>
      <c r="H415" s="17" t="s">
        <v>829</v>
      </c>
      <c r="I415" s="13" t="s">
        <v>1982</v>
      </c>
      <c r="J415" s="18" t="str">
        <f>HYPERLINK("CorLog\GHA\BEX\20150528 GHA BEX RDC review of NLBR -58763 Webcams (RDC-to-GHA).msg", "RDC review of NLBR -58763 Webcams")</f>
        <v>RDC review of NLBR -58763 Webcams</v>
      </c>
      <c r="K415" s="22"/>
      <c r="L415" s="19"/>
      <c r="M415" s="20"/>
      <c r="N415" s="21" t="s">
        <v>1983</v>
      </c>
    </row>
    <row r="416" spans="1:14">
      <c r="A416" s="12" t="s">
        <v>756</v>
      </c>
      <c r="B416" s="13" t="s">
        <v>1026</v>
      </c>
      <c r="C416" s="14" t="s">
        <v>1931</v>
      </c>
      <c r="D416" s="15">
        <v>42152.728750000002</v>
      </c>
      <c r="E416" s="16" t="s">
        <v>16</v>
      </c>
      <c r="F416" s="16" t="s">
        <v>18</v>
      </c>
      <c r="G416" s="17" t="s">
        <v>1932</v>
      </c>
      <c r="H416" s="17" t="s">
        <v>759</v>
      </c>
      <c r="I416" s="13" t="s">
        <v>1933</v>
      </c>
      <c r="J416" s="18" t="str">
        <f>HYPERLINK("CorLog\ZMB\Mwinilunga RTO\20150528 ZMB Mwinilunga RTO Preliminary project documents for review (RDC-to-ZMB).msg", "Preliminary project documents for review")</f>
        <v>Preliminary project documents for review</v>
      </c>
      <c r="K416" s="22"/>
      <c r="L416" s="19"/>
      <c r="M416" s="20"/>
      <c r="N416" s="21" t="s">
        <v>1984</v>
      </c>
    </row>
    <row r="417" spans="1:14">
      <c r="A417" s="12" t="s">
        <v>750</v>
      </c>
      <c r="B417" s="13" t="s">
        <v>742</v>
      </c>
      <c r="C417" s="14" t="s">
        <v>1985</v>
      </c>
      <c r="D417" s="15">
        <v>42152.718738425923</v>
      </c>
      <c r="E417" s="16" t="s">
        <v>16</v>
      </c>
      <c r="F417" s="16" t="s">
        <v>16</v>
      </c>
      <c r="G417" s="17" t="s">
        <v>738</v>
      </c>
      <c r="H417" s="17" t="s">
        <v>1195</v>
      </c>
      <c r="I417" s="13" t="s">
        <v>1986</v>
      </c>
      <c r="J417" s="18" t="str">
        <f>HYPERLINK("CorLog\GHA\BEX 2\20150528 GHA BEX 2 GHA CDP Cost Plan (ZSJ and MA queries) (RDC-to-RDC).msg", "GHA CDP Cost Plan (ZSJ and MA queries)")</f>
        <v>GHA CDP Cost Plan (ZSJ and MA queries)</v>
      </c>
      <c r="K417" s="22"/>
      <c r="L417" s="19"/>
      <c r="M417" s="20"/>
      <c r="N417" s="21" t="s">
        <v>1987</v>
      </c>
    </row>
    <row r="418" spans="1:14">
      <c r="A418" s="12" t="s">
        <v>718</v>
      </c>
      <c r="B418" s="13" t="s">
        <v>827</v>
      </c>
      <c r="C418" s="14" t="s">
        <v>1988</v>
      </c>
      <c r="D418" s="15">
        <v>42152.489363425928</v>
      </c>
      <c r="E418" s="16" t="s">
        <v>16</v>
      </c>
      <c r="F418" s="16" t="s">
        <v>21</v>
      </c>
      <c r="G418" s="17" t="s">
        <v>790</v>
      </c>
      <c r="H418" s="17" t="s">
        <v>829</v>
      </c>
      <c r="I418" s="13" t="s">
        <v>1989</v>
      </c>
      <c r="J418" s="18" t="str">
        <f>HYPERLINK("CorLog\GHA\BEX\20150528 GHA BEX RDC review of NLBR -58854; Lenovo Laptop (RDC-to-GHA).msg", "RDC review of NLBR -58854; Lenovo Laptop")</f>
        <v>RDC review of NLBR -58854; Lenovo Laptop</v>
      </c>
      <c r="K418" s="18"/>
      <c r="L418" s="19"/>
      <c r="M418" s="20"/>
      <c r="N418" s="21" t="s">
        <v>1990</v>
      </c>
    </row>
    <row r="419" spans="1:14">
      <c r="A419" s="12" t="s">
        <v>718</v>
      </c>
      <c r="B419" s="13" t="s">
        <v>1069</v>
      </c>
      <c r="C419" s="14"/>
      <c r="D419" s="15">
        <v>42152.482800925929</v>
      </c>
      <c r="E419" s="16" t="s">
        <v>16</v>
      </c>
      <c r="F419" s="16" t="s">
        <v>18</v>
      </c>
      <c r="G419" s="17" t="s">
        <v>1070</v>
      </c>
      <c r="H419" s="17" t="s">
        <v>1562</v>
      </c>
      <c r="I419" s="13" t="s">
        <v>1991</v>
      </c>
      <c r="J419" s="18" t="str">
        <f>HYPERLINK("CorLog\ZMB\Katete RTO\20150528 ZMB Katete RTO RFI Fall Protection Plates--no paint on galvanised plates (RDC-to-ZMB).msg", "RFI Fall Protection Plates--no paint on galvanised plates")</f>
        <v>RFI Fall Protection Plates--no paint on galvanised plates</v>
      </c>
      <c r="K419" s="22"/>
      <c r="L419" s="19"/>
      <c r="M419" s="20"/>
      <c r="N419" s="21" t="s">
        <v>1992</v>
      </c>
    </row>
    <row r="420" spans="1:14">
      <c r="A420" s="12" t="s">
        <v>756</v>
      </c>
      <c r="B420" s="13" t="s">
        <v>750</v>
      </c>
      <c r="C420" s="14" t="s">
        <v>718</v>
      </c>
      <c r="D420" s="15">
        <v>42152.471261574072</v>
      </c>
      <c r="E420" s="16" t="s">
        <v>16</v>
      </c>
      <c r="F420" s="16" t="s">
        <v>16</v>
      </c>
      <c r="G420" s="17" t="s">
        <v>738</v>
      </c>
      <c r="H420" s="17" t="s">
        <v>1993</v>
      </c>
      <c r="I420" s="13" t="s">
        <v>1994</v>
      </c>
      <c r="J420" s="18" t="str">
        <f>HYPERLINK("CorLog\GHA\BEX 2\20150528 GHA BEX 2 Translation offices needed Phase 2 (RDC-to-RDC).msg", "Translation offices needed Phase 2")</f>
        <v>Translation offices needed Phase 2</v>
      </c>
      <c r="K420" s="22"/>
      <c r="L420" s="19"/>
      <c r="M420" s="20"/>
      <c r="N420" s="21" t="s">
        <v>1995</v>
      </c>
    </row>
    <row r="421" spans="1:14">
      <c r="A421" s="12" t="s">
        <v>718</v>
      </c>
      <c r="B421" s="13" t="s">
        <v>1069</v>
      </c>
      <c r="C421" s="14" t="s">
        <v>1996</v>
      </c>
      <c r="D421" s="15">
        <v>42152.471192129633</v>
      </c>
      <c r="E421" s="16" t="s">
        <v>16</v>
      </c>
      <c r="F421" s="16" t="s">
        <v>18</v>
      </c>
      <c r="G421" s="17" t="s">
        <v>1070</v>
      </c>
      <c r="H421" s="17" t="s">
        <v>1687</v>
      </c>
      <c r="I421" s="13" t="s">
        <v>1997</v>
      </c>
      <c r="J421" s="18" t="str">
        <f>HYPERLINK("CorLog\ZMB\Katete RTO\20150528 ZMB Katete RTO RFI uPVC Panels and Aluminum profile for Showers (RDC-to-ZMB).msg", "RFI uPVC Panels and Aluminum profile for Showers")</f>
        <v>RFI uPVC Panels and Aluminum profile for Showers</v>
      </c>
      <c r="K421" s="22"/>
      <c r="L421" s="19" t="s">
        <v>1998</v>
      </c>
      <c r="M421" s="20"/>
      <c r="N421" s="21" t="s">
        <v>1999</v>
      </c>
    </row>
    <row r="422" spans="1:14">
      <c r="A422" s="12" t="s">
        <v>1043</v>
      </c>
      <c r="B422" s="13"/>
      <c r="C422" s="14"/>
      <c r="D422" s="15">
        <v>42152</v>
      </c>
      <c r="E422" s="16"/>
      <c r="F422" s="16" t="s">
        <v>17</v>
      </c>
      <c r="G422" s="17" t="s">
        <v>1775</v>
      </c>
      <c r="H422" s="17" t="s">
        <v>1015</v>
      </c>
      <c r="I422" s="13" t="s">
        <v>2000</v>
      </c>
      <c r="J422" s="18" t="str">
        <f>HYPERLINK("CorLog\ZMB\Mpongwe RTO\20150528 ZMB Mpongwe RTO Property Options in Mpongwe for the Lamba RTO (-to-WDC).docx", "Property Options in Mpongwe for the Lamba RTO")</f>
        <v>Property Options in Mpongwe for the Lamba RTO</v>
      </c>
      <c r="K422" s="18" t="str">
        <f>HYPERLINK("CorLog\ZMB\Mpongwe RTO\20150528 ZMB Mpongwe RTO Property Options in Mpongwe for the Lamba RTO (-to-WDC).zip", "Zipped (1)")</f>
        <v>Zipped (1)</v>
      </c>
      <c r="L422" s="19"/>
      <c r="M422" s="20"/>
      <c r="N422" s="21" t="s">
        <v>2001</v>
      </c>
    </row>
    <row r="423" spans="1:14">
      <c r="A423" s="12" t="s">
        <v>1043</v>
      </c>
      <c r="B423" s="13"/>
      <c r="C423" s="14"/>
      <c r="D423" s="15">
        <v>42152</v>
      </c>
      <c r="E423" s="16" t="s">
        <v>18</v>
      </c>
      <c r="F423" s="16" t="s">
        <v>17</v>
      </c>
      <c r="G423" s="17" t="s">
        <v>1775</v>
      </c>
      <c r="H423" s="17" t="s">
        <v>1015</v>
      </c>
      <c r="I423" s="13" t="s">
        <v>2000</v>
      </c>
      <c r="J423" s="18" t="str">
        <f>HYPERLINK("CorLog\ZMB\Mpongwe RTO\20150528 ZMB Mpongwe RTO Property Options in Mpongwe for the Lamba RTO (ZMB-to-WDC).docx", "Property Options in Mpongwe for the Lamba RTO")</f>
        <v>Property Options in Mpongwe for the Lamba RTO</v>
      </c>
      <c r="K423" s="18" t="str">
        <f>HYPERLINK("CorLog\ZMB\Mpongwe RTO\20150528 ZMB Mpongwe RTO Property Options in Mpongwe for the Lamba RTO (ZMB-to-WDC).zip", "Zipped (1)")</f>
        <v>Zipped (1)</v>
      </c>
      <c r="L423" s="19"/>
      <c r="M423" s="20"/>
      <c r="N423" s="21" t="s">
        <v>2001</v>
      </c>
    </row>
    <row r="424" spans="1:14">
      <c r="A424" s="12" t="s">
        <v>728</v>
      </c>
      <c r="B424" s="13" t="s">
        <v>1977</v>
      </c>
      <c r="C424" s="14" t="s">
        <v>718</v>
      </c>
      <c r="D424" s="15">
        <v>42151.37641203704</v>
      </c>
      <c r="E424" s="16" t="s">
        <v>20</v>
      </c>
      <c r="F424" s="16" t="s">
        <v>19</v>
      </c>
      <c r="G424" s="17" t="s">
        <v>1134</v>
      </c>
      <c r="H424" s="17" t="s">
        <v>1634</v>
      </c>
      <c r="I424" s="13" t="s">
        <v>2002</v>
      </c>
      <c r="J424" s="18" t="str">
        <f>HYPERLINK("CorLog\AGO\Lubango RTO\20150527 AGO Lubango RTO AGO PT info for Lubango RTO project (MOZ-to-AGO).msg", "AGO PT info for Lubango RTO project")</f>
        <v>AGO PT info for Lubango RTO project</v>
      </c>
      <c r="K424" s="18"/>
      <c r="L424" s="19"/>
      <c r="M424" s="20"/>
      <c r="N424" s="21" t="s">
        <v>2003</v>
      </c>
    </row>
    <row r="425" spans="1:14">
      <c r="A425" s="12"/>
      <c r="B425" s="13"/>
      <c r="C425" s="14"/>
      <c r="D425" s="15">
        <v>42151.337916666664</v>
      </c>
      <c r="E425" s="16" t="s">
        <v>35</v>
      </c>
      <c r="F425" s="16" t="s">
        <v>15</v>
      </c>
      <c r="G425" s="17" t="s">
        <v>1139</v>
      </c>
      <c r="H425" s="17" t="s">
        <v>1178</v>
      </c>
      <c r="I425" s="13" t="s">
        <v>2004</v>
      </c>
      <c r="J425" s="18" t="str">
        <f>HYPERLINK("CorLog\ETH\Branch\20150527 ETH Branch Electrical Load at Our Bethel (ETH-to-ZAF).docx", "Electrical Load at Our Bethel")</f>
        <v>Electrical Load at Our Bethel</v>
      </c>
      <c r="K425" s="18" t="str">
        <f>HYPERLINK("CorLog\ETH\Branch\20150527 ETH Branch Electrical Load at Our Bethel (ETH-to-ZAF).zip", "Zipped (2)")</f>
        <v>Zipped (2)</v>
      </c>
      <c r="L425" s="19"/>
      <c r="M425" s="20"/>
      <c r="N425" s="21" t="s">
        <v>2005</v>
      </c>
    </row>
    <row r="426" spans="1:14">
      <c r="A426" s="12"/>
      <c r="B426" s="13"/>
      <c r="C426" s="14"/>
      <c r="D426" s="15">
        <v>42151.337685185186</v>
      </c>
      <c r="E426" s="16" t="s">
        <v>35</v>
      </c>
      <c r="F426" s="16" t="s">
        <v>15</v>
      </c>
      <c r="G426" s="17" t="s">
        <v>1139</v>
      </c>
      <c r="H426" s="17" t="s">
        <v>2006</v>
      </c>
      <c r="I426" s="13" t="s">
        <v>2007</v>
      </c>
      <c r="J426" s="18" t="str">
        <f>HYPERLINK("CorLog\ETH\Branch\20150527 ETH Branch Security, keys and locks (ETH-to-ZAF).docx", "Security, keys and locks")</f>
        <v>Security, keys and locks</v>
      </c>
      <c r="K426" s="18" t="str">
        <f>HYPERLINK("CorLog\ETH\Branch\20150527 ETH Branch Security, keys and locks (ETH-to-ZAF).zip", "Zipped (3)")</f>
        <v>Zipped (3)</v>
      </c>
      <c r="L426" s="19"/>
      <c r="M426" s="20"/>
      <c r="N426" s="21" t="s">
        <v>2008</v>
      </c>
    </row>
    <row r="427" spans="1:14">
      <c r="A427" s="12"/>
      <c r="B427" s="13"/>
      <c r="C427" s="14"/>
      <c r="D427" s="15">
        <v>42151.337685185186</v>
      </c>
      <c r="E427" s="16" t="s">
        <v>35</v>
      </c>
      <c r="F427" s="16" t="s">
        <v>15</v>
      </c>
      <c r="G427" s="17" t="s">
        <v>1139</v>
      </c>
      <c r="H427" s="17" t="s">
        <v>2009</v>
      </c>
      <c r="I427" s="13" t="s">
        <v>2007</v>
      </c>
      <c r="J427" s="18" t="str">
        <f>HYPERLINK("CorLog\ETH\Branch\20150527 ETH Branch Security, keys and locks (ETH-to-ZAF).docx", "Security, keys and locks")</f>
        <v>Security, keys and locks</v>
      </c>
      <c r="K427" s="18" t="str">
        <f>HYPERLINK("CorLog\ETH\Branch\20150527 ETH Branch Security, keys and locks (ETH-to-ZAF).zip", "Zipped (3)")</f>
        <v>Zipped (3)</v>
      </c>
      <c r="L427" s="19" t="s">
        <v>2010</v>
      </c>
      <c r="M427" s="20"/>
      <c r="N427" s="21" t="s">
        <v>2008</v>
      </c>
    </row>
    <row r="428" spans="1:14">
      <c r="A428" s="12"/>
      <c r="B428" s="13"/>
      <c r="C428" s="14"/>
      <c r="D428" s="15">
        <v>42151.337175925924</v>
      </c>
      <c r="E428" s="16" t="s">
        <v>35</v>
      </c>
      <c r="F428" s="16" t="s">
        <v>15</v>
      </c>
      <c r="G428" s="17" t="s">
        <v>1139</v>
      </c>
      <c r="H428" s="17" t="s">
        <v>1241</v>
      </c>
      <c r="I428" s="13" t="s">
        <v>765</v>
      </c>
      <c r="J428" s="18" t="str">
        <f>HYPERLINK("CorLog\ETH\Branch\20150527 ETH Branch Video Equipment for Assembly Halls (ETH-to-ZAF).docx", "Video Equipment for Assembly Halls")</f>
        <v>Video Equipment for Assembly Halls</v>
      </c>
      <c r="K428" s="18" t="str">
        <f>HYPERLINK("CorLog\ETH\Branch\20150527 ETH Branch Video Equipment for Assembly Halls (ETH-to-ZAF).zip", "Zipped (3)")</f>
        <v>Zipped (3)</v>
      </c>
      <c r="L428" s="19"/>
      <c r="M428" s="20"/>
      <c r="N428" s="21" t="s">
        <v>766</v>
      </c>
    </row>
    <row r="429" spans="1:14">
      <c r="A429" s="12"/>
      <c r="B429" s="13"/>
      <c r="C429" s="14"/>
      <c r="D429" s="15">
        <v>42151.279479166667</v>
      </c>
      <c r="E429" s="16" t="s">
        <v>18</v>
      </c>
      <c r="F429" s="16" t="s">
        <v>15</v>
      </c>
      <c r="G429" s="17" t="s">
        <v>1070</v>
      </c>
      <c r="H429" s="17" t="s">
        <v>1524</v>
      </c>
      <c r="I429" s="13" t="s">
        <v>2011</v>
      </c>
      <c r="J429" s="23" t="str">
        <f>HYPERLINK("CorLog\ZMB\Katete\20150527 ZMB Katete Katete Construction Committee Minutes -35 (ZMB-to-ZAF).docx", "Katete Construction Committee Minutes -35")</f>
        <v>Katete Construction Committee Minutes -35</v>
      </c>
      <c r="K429" s="23" t="str">
        <f>HYPERLINK("CorLog\ZMB\Katete\20150527 ZMB Katete Katete Construction Committee Minutes -35 (ZMB-to-ZAF).zip", "Zipped (1)")</f>
        <v>Zipped (1)</v>
      </c>
      <c r="L429" s="19"/>
      <c r="M429" s="20"/>
      <c r="N429" s="21" t="s">
        <v>2012</v>
      </c>
    </row>
    <row r="430" spans="1:14">
      <c r="A430" s="12"/>
      <c r="B430" s="13"/>
      <c r="C430" s="14"/>
      <c r="D430" s="15">
        <v>42151.254351851851</v>
      </c>
      <c r="E430" s="16" t="s">
        <v>35</v>
      </c>
      <c r="F430" s="16" t="s">
        <v>15</v>
      </c>
      <c r="G430" s="17" t="s">
        <v>1139</v>
      </c>
      <c r="H430" s="17" t="s">
        <v>2009</v>
      </c>
      <c r="I430" s="13" t="s">
        <v>2007</v>
      </c>
      <c r="J430" s="18" t="str">
        <f>HYPERLINK("CorLog\ETH\Branch\20150527 ETH Branch Security, keys and locks (ETH-to-ZAF).docx", "Security, keys and locks")</f>
        <v>Security, keys and locks</v>
      </c>
      <c r="K430" s="24" t="str">
        <f>HYPERLINK("CorLog\ETH\Branch\20150527 ETH Branch Security, keys and locks (ETH-to-ZAF).zip", "Zipped (3)")</f>
        <v>Zipped (3)</v>
      </c>
      <c r="L430" s="19"/>
      <c r="M430" s="20"/>
      <c r="N430" s="21" t="s">
        <v>2008</v>
      </c>
    </row>
    <row r="431" spans="1:14">
      <c r="A431" s="12" t="s">
        <v>718</v>
      </c>
      <c r="B431" s="13" t="s">
        <v>1357</v>
      </c>
      <c r="C431" s="14" t="s">
        <v>1304</v>
      </c>
      <c r="D431" s="15">
        <v>42150.78466435185</v>
      </c>
      <c r="E431" s="16" t="s">
        <v>16</v>
      </c>
      <c r="F431" s="16" t="s">
        <v>17</v>
      </c>
      <c r="G431" s="17" t="s">
        <v>719</v>
      </c>
      <c r="H431" s="17" t="s">
        <v>1728</v>
      </c>
      <c r="I431" s="13" t="s">
        <v>2013</v>
      </c>
      <c r="J431" s="18" t="str">
        <f>HYPERLINK("CorLog\Reference\20150526 Reference Draft update DC-3 LDC Guidelines (RDC-to-WDC).msg", "Draft update DC-3 LDC Guidelines")</f>
        <v>Draft update DC-3 LDC Guidelines</v>
      </c>
      <c r="K431" s="18"/>
      <c r="L431" s="19" t="s">
        <v>2014</v>
      </c>
      <c r="M431" s="20"/>
      <c r="N431" s="21" t="s">
        <v>2015</v>
      </c>
    </row>
    <row r="432" spans="1:14">
      <c r="A432" s="12" t="s">
        <v>718</v>
      </c>
      <c r="B432" s="13" t="s">
        <v>2016</v>
      </c>
      <c r="C432" s="14"/>
      <c r="D432" s="15">
        <v>42150.775740740741</v>
      </c>
      <c r="E432" s="16" t="s">
        <v>16</v>
      </c>
      <c r="F432" s="16" t="s">
        <v>16</v>
      </c>
      <c r="G432" s="17" t="s">
        <v>719</v>
      </c>
      <c r="H432" s="17" t="s">
        <v>2017</v>
      </c>
      <c r="I432" s="13" t="s">
        <v>2018</v>
      </c>
      <c r="J432" s="18" t="str">
        <f>HYPERLINK("CorLog\Reference\20150526 Reference Streaming of Circuit assembly programs to remote locations (RDC-to-RDC).msg", "Streaming of Circuit assembly programs to remote locations")</f>
        <v>Streaming of Circuit assembly programs to remote locations</v>
      </c>
      <c r="K432" s="18"/>
      <c r="L432" s="19"/>
      <c r="M432" s="20"/>
      <c r="N432" s="21" t="s">
        <v>2019</v>
      </c>
    </row>
    <row r="433" spans="1:14">
      <c r="A433" s="12" t="s">
        <v>2016</v>
      </c>
      <c r="B433" s="13" t="s">
        <v>2020</v>
      </c>
      <c r="C433" s="14" t="s">
        <v>2021</v>
      </c>
      <c r="D433" s="15">
        <v>42150.668587962966</v>
      </c>
      <c r="E433" s="16" t="s">
        <v>16</v>
      </c>
      <c r="F433" s="16" t="s">
        <v>24</v>
      </c>
      <c r="G433" s="17" t="s">
        <v>719</v>
      </c>
      <c r="H433" s="17" t="s">
        <v>2022</v>
      </c>
      <c r="I433" s="13" t="s">
        <v>2018</v>
      </c>
      <c r="J433" s="18" t="str">
        <f>HYPERLINK("CorLog\Reference\20150526 Reference Streaming of Circuit assembly programs to remote locations (RDC-to-USA).msg", "Streaming of Circuit assembly programs to remote locations")</f>
        <v>Streaming of Circuit assembly programs to remote locations</v>
      </c>
      <c r="K433" s="22"/>
      <c r="L433" s="19"/>
      <c r="M433" s="20"/>
      <c r="N433" s="21" t="s">
        <v>2023</v>
      </c>
    </row>
    <row r="434" spans="1:14">
      <c r="A434" s="12" t="s">
        <v>718</v>
      </c>
      <c r="B434" s="13" t="s">
        <v>742</v>
      </c>
      <c r="C434" s="14" t="s">
        <v>2024</v>
      </c>
      <c r="D434" s="15">
        <v>42150.639363425929</v>
      </c>
      <c r="E434" s="16" t="s">
        <v>16</v>
      </c>
      <c r="F434" s="16" t="s">
        <v>16</v>
      </c>
      <c r="G434" s="17" t="s">
        <v>1139</v>
      </c>
      <c r="H434" s="17" t="s">
        <v>2025</v>
      </c>
      <c r="I434" s="13" t="s">
        <v>2026</v>
      </c>
      <c r="J434" s="18" t="str">
        <f>HYPERLINK("CorLog\ETH\Branch\20150526 ETH Branch AO-6 -1 Fire Protection Upgrade (RDC-to-RDC).msg", "AO-6 -1 Fire Protection Upgrade")</f>
        <v>AO-6 -1 Fire Protection Upgrade</v>
      </c>
      <c r="K434" s="22" t="s">
        <v>747</v>
      </c>
      <c r="L434" s="19"/>
      <c r="M434" s="20"/>
      <c r="N434" s="21" t="s">
        <v>2027</v>
      </c>
    </row>
    <row r="435" spans="1:14">
      <c r="A435" s="12" t="s">
        <v>1160</v>
      </c>
      <c r="B435" s="13" t="s">
        <v>998</v>
      </c>
      <c r="C435" s="14" t="s">
        <v>2028</v>
      </c>
      <c r="D435" s="15">
        <v>42150.609074074076</v>
      </c>
      <c r="E435" s="16" t="s">
        <v>20</v>
      </c>
      <c r="F435" s="16" t="s">
        <v>17</v>
      </c>
      <c r="G435" s="17" t="s">
        <v>1938</v>
      </c>
      <c r="H435" s="17" t="s">
        <v>2029</v>
      </c>
      <c r="I435" s="13" t="s">
        <v>2030</v>
      </c>
      <c r="J435" s="18" t="str">
        <f>HYPERLINK("CorLog\CIV\Agboville RTO\20150526 CIV Agboville RTO (Abbey) Project Approval Request (DC-41) (MOZ-to-WDC).msg", "(Abbey) Project Approval Request (DC-41)")</f>
        <v>(Abbey) Project Approval Request (DC-41)</v>
      </c>
      <c r="K435" s="22"/>
      <c r="L435" s="19"/>
      <c r="M435" s="20"/>
      <c r="N435" s="21" t="s">
        <v>2031</v>
      </c>
    </row>
    <row r="436" spans="1:14">
      <c r="A436" s="12" t="s">
        <v>718</v>
      </c>
      <c r="B436" s="13" t="s">
        <v>1447</v>
      </c>
      <c r="C436" s="14" t="s">
        <v>750</v>
      </c>
      <c r="D436" s="15">
        <v>42150.413946759261</v>
      </c>
      <c r="E436" s="16" t="s">
        <v>16</v>
      </c>
      <c r="F436" s="16" t="s">
        <v>16</v>
      </c>
      <c r="G436" s="17" t="s">
        <v>790</v>
      </c>
      <c r="H436" s="17" t="s">
        <v>927</v>
      </c>
      <c r="I436" s="13" t="s">
        <v>2032</v>
      </c>
      <c r="J436" s="18" t="str">
        <f>HYPERLINK("CorLog\GHA\BEX 1\20150526 GHA BEX 1 Project Delay--Update (RDC-to-RDC).msg", "Project Delay--Update")</f>
        <v>Project Delay--Update</v>
      </c>
      <c r="K436" s="22"/>
      <c r="L436" s="19"/>
      <c r="M436" s="20"/>
      <c r="N436" s="21" t="s">
        <v>2033</v>
      </c>
    </row>
    <row r="437" spans="1:14">
      <c r="A437" s="12" t="s">
        <v>2034</v>
      </c>
      <c r="B437" s="13" t="s">
        <v>718</v>
      </c>
      <c r="C437" s="14"/>
      <c r="D437" s="15">
        <v>42150.395509259259</v>
      </c>
      <c r="E437" s="16" t="s">
        <v>23</v>
      </c>
      <c r="F437" s="16" t="s">
        <v>16</v>
      </c>
      <c r="G437" s="17" t="s">
        <v>885</v>
      </c>
      <c r="H437" s="17" t="s">
        <v>2035</v>
      </c>
      <c r="I437" s="13" t="s">
        <v>2036</v>
      </c>
      <c r="J437" s="18" t="str">
        <f>HYPERLINK("CorLog\ZMB\Kabompo RTO\20150526 ZMB Kabompo RTO Commissioning Visit Report (ZWE-to-RDC).msg", "Commissioning Visit Report")</f>
        <v>Commissioning Visit Report</v>
      </c>
      <c r="K437" s="22"/>
      <c r="L437" s="19"/>
      <c r="M437" s="20"/>
      <c r="N437" s="21" t="s">
        <v>2037</v>
      </c>
    </row>
    <row r="438" spans="1:14">
      <c r="A438" s="12" t="s">
        <v>901</v>
      </c>
      <c r="B438" s="13" t="s">
        <v>742</v>
      </c>
      <c r="C438" s="14" t="s">
        <v>2038</v>
      </c>
      <c r="D438" s="15">
        <v>42149.683356481481</v>
      </c>
      <c r="E438" s="16" t="s">
        <v>21</v>
      </c>
      <c r="F438" s="16" t="s">
        <v>16</v>
      </c>
      <c r="G438" s="17" t="s">
        <v>738</v>
      </c>
      <c r="H438" s="17" t="s">
        <v>2039</v>
      </c>
      <c r="I438" s="13" t="s">
        <v>2040</v>
      </c>
      <c r="J438" s="18" t="str">
        <f>HYPERLINK("CorLog\GHA\BEX 2\20150525 GHA BEX 2 Legal zoning permitting issues (GHA-to-RDC).msg", "Legal zoning permitting issues")</f>
        <v>Legal zoning permitting issues</v>
      </c>
      <c r="K438" s="22"/>
      <c r="L438" s="19"/>
      <c r="M438" s="20"/>
      <c r="N438" s="21" t="s">
        <v>2041</v>
      </c>
    </row>
    <row r="439" spans="1:14">
      <c r="A439" s="12" t="s">
        <v>756</v>
      </c>
      <c r="B439" s="13" t="s">
        <v>1026</v>
      </c>
      <c r="C439" s="14" t="s">
        <v>2042</v>
      </c>
      <c r="D439" s="15">
        <v>42149.643506944441</v>
      </c>
      <c r="E439" s="16" t="s">
        <v>16</v>
      </c>
      <c r="F439" s="16" t="s">
        <v>18</v>
      </c>
      <c r="G439" s="17" t="s">
        <v>1932</v>
      </c>
      <c r="H439" s="17" t="s">
        <v>759</v>
      </c>
      <c r="I439" s="13" t="s">
        <v>1933</v>
      </c>
      <c r="J439" s="18" t="str">
        <f>HYPERLINK("CorLog\ZMB\Mwinilunga RTO\20150525 ZMB Mwinilunga RTO Preliminary project documents for review (RDC-to-ZMB).msg", "Preliminary project documents for review")</f>
        <v>Preliminary project documents for review</v>
      </c>
      <c r="K439" s="22"/>
      <c r="L439" s="19"/>
      <c r="M439" s="20"/>
      <c r="N439" s="21" t="s">
        <v>2043</v>
      </c>
    </row>
    <row r="440" spans="1:14">
      <c r="A440" s="12" t="s">
        <v>837</v>
      </c>
      <c r="B440" s="13" t="s">
        <v>718</v>
      </c>
      <c r="C440" s="14"/>
      <c r="D440" s="15">
        <v>42149.632824074077</v>
      </c>
      <c r="E440" s="16" t="s">
        <v>18</v>
      </c>
      <c r="F440" s="16" t="s">
        <v>16</v>
      </c>
      <c r="G440" s="17" t="s">
        <v>838</v>
      </c>
      <c r="H440" s="17" t="s">
        <v>839</v>
      </c>
      <c r="I440" s="13" t="s">
        <v>2044</v>
      </c>
      <c r="J440" s="18" t="str">
        <f>HYPERLINK("CorLog\ZMB\Choma RTO\20150525 ZMB Choma RTO Blend Clean River Sand with 13mm Stone (OK) (ZMB-to-RDC).msg", "Blend Clean River Sand with 13mm Stone (OK)")</f>
        <v>Blend Clean River Sand with 13mm Stone (OK)</v>
      </c>
      <c r="K440" s="22" t="s">
        <v>733</v>
      </c>
      <c r="L440" s="19"/>
      <c r="M440" s="20"/>
      <c r="N440" s="21" t="s">
        <v>2045</v>
      </c>
    </row>
    <row r="441" spans="1:14">
      <c r="A441" s="12" t="s">
        <v>718</v>
      </c>
      <c r="B441" s="13" t="s">
        <v>827</v>
      </c>
      <c r="C441" s="14" t="s">
        <v>742</v>
      </c>
      <c r="D441" s="15">
        <v>42149.537164351852</v>
      </c>
      <c r="E441" s="16" t="s">
        <v>16</v>
      </c>
      <c r="F441" s="16" t="s">
        <v>21</v>
      </c>
      <c r="G441" s="17" t="s">
        <v>790</v>
      </c>
      <c r="H441" s="17" t="s">
        <v>1687</v>
      </c>
      <c r="I441" s="13" t="s">
        <v>2046</v>
      </c>
      <c r="J441" s="18" t="str">
        <f>HYPERLINK("CorLog\GHA\BEX\20150525 GHA BEX Q Door thresholds, skimming ceilings in corridors (UPDATES) (RDC-to-GHA).msg", "Q Door thresholds, skimming ceilings in corridors (UPDATES)")</f>
        <v>Q Door thresholds, skimming ceilings in corridors (UPDATES)</v>
      </c>
      <c r="K441" s="22" t="s">
        <v>721</v>
      </c>
      <c r="L441" s="19"/>
      <c r="M441" s="20"/>
      <c r="N441" s="21" t="s">
        <v>2047</v>
      </c>
    </row>
    <row r="442" spans="1:14">
      <c r="A442" s="12" t="s">
        <v>827</v>
      </c>
      <c r="B442" s="13" t="s">
        <v>718</v>
      </c>
      <c r="C442" s="14"/>
      <c r="D442" s="15">
        <v>42149.477511574078</v>
      </c>
      <c r="E442" s="16" t="s">
        <v>21</v>
      </c>
      <c r="F442" s="16" t="s">
        <v>16</v>
      </c>
      <c r="G442" s="17" t="s">
        <v>719</v>
      </c>
      <c r="H442" s="17" t="s">
        <v>1728</v>
      </c>
      <c r="I442" s="13" t="s">
        <v>2048</v>
      </c>
      <c r="J442" s="18" t="str">
        <f>HYPERLINK("CorLog\Reference\20150525 Reference Continue to Put your Heart Into the Work Brochure (GHA-to-RDC).msg", "Continue to Put your Heart Into the Work Brochure")</f>
        <v>Continue to Put your Heart Into the Work Brochure</v>
      </c>
      <c r="K442" s="22"/>
      <c r="L442" s="19"/>
      <c r="M442" s="20"/>
      <c r="N442" s="21" t="s">
        <v>2049</v>
      </c>
    </row>
    <row r="443" spans="1:14">
      <c r="A443" s="12" t="s">
        <v>2034</v>
      </c>
      <c r="B443" s="13" t="s">
        <v>718</v>
      </c>
      <c r="C443" s="14"/>
      <c r="D443" s="15">
        <v>42149.308715277781</v>
      </c>
      <c r="E443" s="16" t="s">
        <v>23</v>
      </c>
      <c r="F443" s="16" t="s">
        <v>16</v>
      </c>
      <c r="G443" s="17" t="s">
        <v>2050</v>
      </c>
      <c r="H443" s="17" t="s">
        <v>867</v>
      </c>
      <c r="I443" s="13" t="s">
        <v>2051</v>
      </c>
      <c r="J443" s="18" t="str">
        <f>HYPERLINK("CorLog\Info\20150525 Info Bethel Labor Costs for Ethiopia and Ghana (ZWE-to-RDC).msg", "Bethel Labor Costs for Ethiopia and Ghana")</f>
        <v>Bethel Labor Costs for Ethiopia and Ghana</v>
      </c>
      <c r="K443" s="22"/>
      <c r="L443" s="19"/>
      <c r="M443" s="20"/>
      <c r="N443" s="21" t="s">
        <v>2052</v>
      </c>
    </row>
    <row r="444" spans="1:14">
      <c r="A444" s="12" t="s">
        <v>2034</v>
      </c>
      <c r="B444" s="13" t="s">
        <v>718</v>
      </c>
      <c r="C444" s="14"/>
      <c r="D444" s="15">
        <v>42149.302395833336</v>
      </c>
      <c r="E444" s="16" t="s">
        <v>23</v>
      </c>
      <c r="F444" s="16" t="s">
        <v>16</v>
      </c>
      <c r="G444" s="17" t="s">
        <v>1134</v>
      </c>
      <c r="H444" s="17" t="s">
        <v>731</v>
      </c>
      <c r="I444" s="13" t="s">
        <v>2053</v>
      </c>
      <c r="J444" s="18" t="str">
        <f>HYPERLINK("CorLog\AGO\Lubango RTO\20150525 AGO Lubango RTO DC-41 No 1 (Nyaneka) (USD 839,525) (ZWE-to-RDC).msg", "DC-41 No 1 (Nyaneka) (USD 839,525)")</f>
        <v>DC-41 No 1 (Nyaneka) (USD 839,525)</v>
      </c>
      <c r="K444" s="22"/>
      <c r="L444" s="19"/>
      <c r="M444" s="20"/>
      <c r="N444" s="21" t="s">
        <v>2054</v>
      </c>
    </row>
    <row r="445" spans="1:14">
      <c r="A445" s="12" t="s">
        <v>718</v>
      </c>
      <c r="B445" s="13" t="s">
        <v>827</v>
      </c>
      <c r="C445" s="14" t="s">
        <v>1873</v>
      </c>
      <c r="D445" s="15">
        <v>42148.910474537035</v>
      </c>
      <c r="E445" s="16" t="s">
        <v>16</v>
      </c>
      <c r="F445" s="16" t="s">
        <v>21</v>
      </c>
      <c r="G445" s="17" t="s">
        <v>738</v>
      </c>
      <c r="H445" s="17" t="s">
        <v>867</v>
      </c>
      <c r="I445" s="13" t="s">
        <v>2055</v>
      </c>
      <c r="J445" s="18" t="str">
        <f>HYPERLINK("CorLog\GHA\BEX 2\20150524 GHA BEX 2 Swimming Pool Quotes--finalise (RDC-to-GHA).msg", "Swimming Pool Quotes--finalise")</f>
        <v>Swimming Pool Quotes--finalise</v>
      </c>
      <c r="K445" s="22" t="s">
        <v>1033</v>
      </c>
      <c r="L445" s="19"/>
      <c r="M445" s="20"/>
      <c r="N445" s="21" t="s">
        <v>2056</v>
      </c>
    </row>
    <row r="446" spans="1:14">
      <c r="A446" s="12" t="s">
        <v>795</v>
      </c>
      <c r="B446" s="13" t="s">
        <v>965</v>
      </c>
      <c r="C446" s="14" t="s">
        <v>1556</v>
      </c>
      <c r="D446" s="15">
        <v>42147.784236111111</v>
      </c>
      <c r="E446" s="16" t="s">
        <v>16</v>
      </c>
      <c r="F446" s="16" t="s">
        <v>16</v>
      </c>
      <c r="G446" s="17" t="s">
        <v>738</v>
      </c>
      <c r="H446" s="17" t="s">
        <v>2057</v>
      </c>
      <c r="I446" s="13" t="s">
        <v>2058</v>
      </c>
      <c r="J446" s="18" t="str">
        <f>HYPERLINK("CorLog\GHA\BEX 2\20150523 GHA BEX 2 WWTF, change of filter media - Trickling Filter zy879 (RDC-to-RDC).msg", "WWTF, change of filter media - Trickling Filter zy879")</f>
        <v>WWTF, change of filter media - Trickling Filter zy879</v>
      </c>
      <c r="K446" s="22" t="s">
        <v>733</v>
      </c>
      <c r="L446" s="19"/>
      <c r="M446" s="20"/>
      <c r="N446" s="21" t="s">
        <v>2059</v>
      </c>
    </row>
    <row r="447" spans="1:14">
      <c r="A447" s="12" t="s">
        <v>806</v>
      </c>
      <c r="B447" s="13" t="s">
        <v>729</v>
      </c>
      <c r="C447" s="14"/>
      <c r="D447" s="15">
        <v>42147.710231481484</v>
      </c>
      <c r="E447" s="16" t="s">
        <v>15</v>
      </c>
      <c r="F447" s="16" t="s">
        <v>15</v>
      </c>
      <c r="G447" s="17" t="s">
        <v>719</v>
      </c>
      <c r="H447" s="17" t="s">
        <v>2060</v>
      </c>
      <c r="I447" s="13" t="s">
        <v>2061</v>
      </c>
      <c r="J447" s="18" t="str">
        <f>HYPERLINK("CorLog\Reference\20150523 Reference Frequently Asked Questions for DC Forms (ZAF-to-ZAF).msg", "Frequently Asked Questions for DC Forms")</f>
        <v>Frequently Asked Questions for DC Forms</v>
      </c>
      <c r="K447" s="22"/>
      <c r="L447" s="19"/>
      <c r="M447" s="20"/>
      <c r="N447" s="21" t="s">
        <v>2062</v>
      </c>
    </row>
    <row r="448" spans="1:14">
      <c r="A448" s="12" t="s">
        <v>1073</v>
      </c>
      <c r="B448" s="13"/>
      <c r="C448" s="14"/>
      <c r="D448" s="15">
        <v>42147</v>
      </c>
      <c r="E448" s="16" t="s">
        <v>16</v>
      </c>
      <c r="F448" s="16" t="s">
        <v>17</v>
      </c>
      <c r="G448" s="17" t="s">
        <v>1065</v>
      </c>
      <c r="H448" s="17" t="s">
        <v>1942</v>
      </c>
      <c r="I448" s="13" t="s">
        <v>2063</v>
      </c>
      <c r="J448" s="18" t="str">
        <f>HYPERLINK("CorLog\ZMB\RTO Projects\20150523 ZMB RTO Projects Travel Request- Mwinilunga and Kasempa RTO Personnel (RDC-to-WDC).docx", "Travel Request- Mwinilunga and Kasempa RTO Personnel")</f>
        <v>Travel Request- Mwinilunga and Kasempa RTO Personnel</v>
      </c>
      <c r="K448" s="18"/>
      <c r="L448" s="19"/>
      <c r="M448" s="20"/>
      <c r="N448" s="21" t="s">
        <v>2064</v>
      </c>
    </row>
    <row r="449" spans="1:14">
      <c r="A449" s="12" t="s">
        <v>1073</v>
      </c>
      <c r="B449" s="13"/>
      <c r="C449" s="14"/>
      <c r="D449" s="15">
        <v>42147</v>
      </c>
      <c r="E449" s="16" t="s">
        <v>16</v>
      </c>
      <c r="F449" s="16" t="s">
        <v>17</v>
      </c>
      <c r="G449" s="17" t="s">
        <v>1065</v>
      </c>
      <c r="H449" s="17" t="s">
        <v>1942</v>
      </c>
      <c r="I449" s="13" t="s">
        <v>2063</v>
      </c>
      <c r="J449" s="18" t="str">
        <f>HYPERLINK("CorLog\ZMB\RTO Projects\20150523 ZMB RTO Projects Travel Request- Mwinilunga and Kasempa RTO Personnel (RDC-to-WDC).docx", "Travel Request- Mwinilunga and Kasempa RTO Personnel")</f>
        <v>Travel Request- Mwinilunga and Kasempa RTO Personnel</v>
      </c>
      <c r="K449" s="18"/>
      <c r="L449" s="19"/>
      <c r="M449" s="20"/>
      <c r="N449" s="21" t="s">
        <v>2064</v>
      </c>
    </row>
    <row r="450" spans="1:14">
      <c r="A450" s="12" t="s">
        <v>2065</v>
      </c>
      <c r="B450" s="13"/>
      <c r="C450" s="14"/>
      <c r="D450" s="15">
        <v>42147</v>
      </c>
      <c r="E450" s="16" t="s">
        <v>21</v>
      </c>
      <c r="F450" s="16" t="s">
        <v>17</v>
      </c>
      <c r="G450" s="17" t="s">
        <v>790</v>
      </c>
      <c r="H450" s="17" t="s">
        <v>781</v>
      </c>
      <c r="I450" s="13" t="s">
        <v>2066</v>
      </c>
      <c r="J450" s="18" t="str">
        <f>HYPERLINK("CorLog\GHA\BEX\20150523 GHA BEX Construction Servant Application Forms (A-32) - Paul &amp; Hazel Tucker-Peake (GHA-to-WDC).docx", "Construction Servant Application Forms (A-32) - Paul &amp; Hazel Tucker-Peake")</f>
        <v>Construction Servant Application Forms (A-32) - Paul &amp; Hazel Tucker-Peake</v>
      </c>
      <c r="K450" s="18"/>
      <c r="L450" s="19"/>
      <c r="M450" s="20"/>
      <c r="N450" s="21" t="s">
        <v>2067</v>
      </c>
    </row>
    <row r="451" spans="1:14">
      <c r="A451" s="12" t="s">
        <v>1310</v>
      </c>
      <c r="B451" s="13" t="s">
        <v>2068</v>
      </c>
      <c r="C451" s="14" t="s">
        <v>718</v>
      </c>
      <c r="D451" s="15">
        <v>42146.663576388892</v>
      </c>
      <c r="E451" s="16" t="s">
        <v>16</v>
      </c>
      <c r="F451" s="16" t="s">
        <v>15</v>
      </c>
      <c r="G451" s="17" t="s">
        <v>1065</v>
      </c>
      <c r="H451" s="17" t="s">
        <v>2069</v>
      </c>
      <c r="I451" s="13" t="s">
        <v>2070</v>
      </c>
      <c r="J451" s="18" t="str">
        <f>HYPERLINK("CorLog\ZMB\RTO Projects\20150522 ZMB RTO Projects ZMB MTO Visitors (RDC-to-ZAF).msg", "ZMB MTO Visitors")</f>
        <v>ZMB MTO Visitors</v>
      </c>
      <c r="K451" s="22" t="s">
        <v>721</v>
      </c>
      <c r="L451" s="19"/>
      <c r="M451" s="20"/>
      <c r="N451" s="21" t="s">
        <v>2071</v>
      </c>
    </row>
    <row r="452" spans="1:14">
      <c r="A452" s="12" t="s">
        <v>718</v>
      </c>
      <c r="B452" s="13" t="s">
        <v>742</v>
      </c>
      <c r="C452" s="14"/>
      <c r="D452" s="15">
        <v>42146.653761574074</v>
      </c>
      <c r="E452" s="16" t="s">
        <v>16</v>
      </c>
      <c r="F452" s="16" t="s">
        <v>16</v>
      </c>
      <c r="G452" s="17" t="s">
        <v>1932</v>
      </c>
      <c r="H452" s="17" t="s">
        <v>2072</v>
      </c>
      <c r="I452" s="13" t="s">
        <v>2073</v>
      </c>
      <c r="J452" s="18" t="str">
        <f>HYPERLINK("CorLog\ZMB\Mwinilunga RTO\20150522 ZMB Mwinilunga RTO Conceptual plan and PPD (RDC-to-RDC).msg", "Conceptual plan and PPD")</f>
        <v>Conceptual plan and PPD</v>
      </c>
      <c r="K452" s="22" t="s">
        <v>733</v>
      </c>
      <c r="L452" s="19"/>
      <c r="M452" s="20"/>
      <c r="N452" s="21" t="s">
        <v>2074</v>
      </c>
    </row>
    <row r="453" spans="1:14">
      <c r="A453" s="12" t="s">
        <v>718</v>
      </c>
      <c r="B453" s="13" t="s">
        <v>1337</v>
      </c>
      <c r="C453" s="14" t="s">
        <v>724</v>
      </c>
      <c r="D453" s="15">
        <v>42146.598379629628</v>
      </c>
      <c r="E453" s="16" t="s">
        <v>16</v>
      </c>
      <c r="F453" s="16" t="s">
        <v>18</v>
      </c>
      <c r="G453" s="17" t="s">
        <v>885</v>
      </c>
      <c r="H453" s="17" t="s">
        <v>829</v>
      </c>
      <c r="I453" s="13" t="s">
        <v>2075</v>
      </c>
      <c r="J453" s="23" t="str">
        <f>HYPERLINK("CorLog\ZMB\Kabompo RTO\20150522 ZMB Kabompo RTO RDC review of NLBR 11333 fall protection plates (RDC-to-ZMB).msg", "RDC review of NLBR 11333 fall protection plates")</f>
        <v>RDC review of NLBR 11333 fall protection plates</v>
      </c>
      <c r="K453" s="25" t="s">
        <v>1211</v>
      </c>
      <c r="L453" s="19"/>
      <c r="M453" s="20"/>
      <c r="N453" s="21" t="s">
        <v>2076</v>
      </c>
    </row>
    <row r="454" spans="1:14">
      <c r="A454" s="12" t="s">
        <v>718</v>
      </c>
      <c r="B454" s="13" t="s">
        <v>1529</v>
      </c>
      <c r="C454" s="14" t="s">
        <v>2077</v>
      </c>
      <c r="D454" s="15">
        <v>42146.596597222226</v>
      </c>
      <c r="E454" s="16" t="s">
        <v>16</v>
      </c>
      <c r="F454" s="16" t="s">
        <v>18</v>
      </c>
      <c r="G454" s="17" t="s">
        <v>946</v>
      </c>
      <c r="H454" s="17" t="s">
        <v>829</v>
      </c>
      <c r="I454" s="13" t="s">
        <v>2078</v>
      </c>
      <c r="J454" s="23" t="str">
        <f>HYPERLINK("CorLog\ZMB\Mongu RTO\20150522 ZMB Mongu RTO RDC review of NLBR 10997 Fall Protection zy0016 (RDC-to-ZMB).msg", "RDC review of NLBR 10997 Fall Protection zy0016")</f>
        <v>RDC review of NLBR 10997 Fall Protection zy0016</v>
      </c>
      <c r="K454" s="25" t="s">
        <v>1211</v>
      </c>
      <c r="L454" s="19"/>
      <c r="M454" s="20"/>
      <c r="N454" s="21" t="s">
        <v>2079</v>
      </c>
    </row>
    <row r="455" spans="1:14">
      <c r="A455" s="12" t="s">
        <v>718</v>
      </c>
      <c r="B455" s="13" t="s">
        <v>827</v>
      </c>
      <c r="C455" s="14" t="s">
        <v>2080</v>
      </c>
      <c r="D455" s="15">
        <v>42146.490081018521</v>
      </c>
      <c r="E455" s="16" t="s">
        <v>16</v>
      </c>
      <c r="F455" s="16" t="s">
        <v>21</v>
      </c>
      <c r="G455" s="17" t="s">
        <v>790</v>
      </c>
      <c r="H455" s="17" t="s">
        <v>829</v>
      </c>
      <c r="I455" s="13" t="s">
        <v>2081</v>
      </c>
      <c r="J455" s="23" t="str">
        <f>HYPERLINK("CorLog\GHA\BEX\20150522 GHA BEX RDC review of NLBR 57821 - FINISHING RES 5 2 (RDC-to-GHA).msg", "RDC review of NLBR 57821 - FINISHING RES 5 2")</f>
        <v>RDC review of NLBR 57821 - FINISHING RES 5 2</v>
      </c>
      <c r="K455" s="25" t="s">
        <v>1211</v>
      </c>
      <c r="L455" s="19"/>
      <c r="M455" s="20"/>
      <c r="N455" s="21" t="s">
        <v>2082</v>
      </c>
    </row>
    <row r="456" spans="1:14">
      <c r="A456" s="12" t="s">
        <v>718</v>
      </c>
      <c r="B456" s="13" t="s">
        <v>837</v>
      </c>
      <c r="C456" s="14" t="s">
        <v>1011</v>
      </c>
      <c r="D456" s="15">
        <v>42146.488043981481</v>
      </c>
      <c r="E456" s="16" t="s">
        <v>16</v>
      </c>
      <c r="F456" s="16" t="s">
        <v>18</v>
      </c>
      <c r="G456" s="17" t="s">
        <v>838</v>
      </c>
      <c r="H456" s="17" t="s">
        <v>2083</v>
      </c>
      <c r="I456" s="13" t="s">
        <v>2084</v>
      </c>
      <c r="J456" s="18" t="str">
        <f>HYPERLINK("CorLog\ZMB\Choma RTO\20150522 ZMB Choma RTO RDC review of NLBR -11879 Mitek, GRS Kliptite, galvanized roof structures (RDC-to-ZMB).msg", "RDC review of NLBR -11879 Mitek, GRS Kliptite, galvanized roof structures")</f>
        <v>RDC review of NLBR -11879 Mitek, GRS Kliptite, galvanized roof structures</v>
      </c>
      <c r="K456" s="25" t="s">
        <v>1243</v>
      </c>
      <c r="L456" s="19"/>
      <c r="M456" s="20"/>
      <c r="N456" s="21" t="s">
        <v>2085</v>
      </c>
    </row>
    <row r="457" spans="1:14">
      <c r="A457" s="12" t="s">
        <v>1069</v>
      </c>
      <c r="B457" s="13" t="s">
        <v>718</v>
      </c>
      <c r="C457" s="14"/>
      <c r="D457" s="15">
        <v>42146.462395833332</v>
      </c>
      <c r="E457" s="16" t="s">
        <v>18</v>
      </c>
      <c r="F457" s="16" t="s">
        <v>16</v>
      </c>
      <c r="G457" s="17" t="s">
        <v>1874</v>
      </c>
      <c r="H457" s="17" t="s">
        <v>961</v>
      </c>
      <c r="I457" s="13" t="s">
        <v>2086</v>
      </c>
      <c r="J457" s="23" t="str">
        <f>HYPERLINK("CorLog\ZMB\Petauke RTO\20150522 ZMB Petauke RTO Topo Survey (ZMB-to-RDC).msg", "Topo Survey")</f>
        <v>Topo Survey</v>
      </c>
      <c r="K457" s="25" t="s">
        <v>1243</v>
      </c>
      <c r="L457" s="19"/>
      <c r="M457" s="20"/>
      <c r="N457" s="21" t="s">
        <v>2087</v>
      </c>
    </row>
    <row r="458" spans="1:14">
      <c r="A458" s="12" t="s">
        <v>749</v>
      </c>
      <c r="B458" s="13" t="s">
        <v>1217</v>
      </c>
      <c r="C458" s="14" t="s">
        <v>2088</v>
      </c>
      <c r="D458" s="15">
        <v>42146.461030092592</v>
      </c>
      <c r="E458" s="16" t="s">
        <v>16</v>
      </c>
      <c r="F458" s="16" t="s">
        <v>16</v>
      </c>
      <c r="G458" s="17" t="s">
        <v>802</v>
      </c>
      <c r="H458" s="17" t="s">
        <v>1015</v>
      </c>
      <c r="I458" s="13" t="s">
        <v>2089</v>
      </c>
      <c r="J458" s="18" t="str">
        <f>HYPERLINK("CorLog\ZWE\Bulawayo RTO\20150522 ZWE Bulawayo RTO Land cost (RDC-to-RDC).msg", "Land cost")</f>
        <v>Land cost</v>
      </c>
      <c r="K458" s="22"/>
      <c r="L458" s="19"/>
      <c r="M458" s="20"/>
      <c r="N458" s="21" t="s">
        <v>2090</v>
      </c>
    </row>
    <row r="459" spans="1:14">
      <c r="A459" s="12" t="s">
        <v>750</v>
      </c>
      <c r="B459" s="13" t="s">
        <v>1761</v>
      </c>
      <c r="C459" s="14"/>
      <c r="D459" s="15">
        <v>42146.405902777777</v>
      </c>
      <c r="E459" s="16" t="s">
        <v>16</v>
      </c>
      <c r="F459" s="16" t="s">
        <v>16</v>
      </c>
      <c r="G459" s="17" t="s">
        <v>719</v>
      </c>
      <c r="H459" s="17" t="s">
        <v>2022</v>
      </c>
      <c r="I459" s="13" t="s">
        <v>2091</v>
      </c>
      <c r="J459" s="18" t="str">
        <f>HYPERLINK("CorLog\Reference\20150522 Reference E-mail signatures (from Dept Inbox) (RDC-to-RDC).msg", "E-mail signatures (from Dept Inbox)")</f>
        <v>E-mail signatures (from Dept Inbox)</v>
      </c>
      <c r="K459" s="22"/>
      <c r="L459" s="19"/>
      <c r="M459" s="20"/>
      <c r="N459" s="21" t="s">
        <v>2092</v>
      </c>
    </row>
    <row r="460" spans="1:14">
      <c r="A460" s="12" t="s">
        <v>718</v>
      </c>
      <c r="B460" s="13" t="s">
        <v>737</v>
      </c>
      <c r="C460" s="14" t="s">
        <v>2093</v>
      </c>
      <c r="D460" s="15">
        <v>42146.3753125</v>
      </c>
      <c r="E460" s="16" t="s">
        <v>16</v>
      </c>
      <c r="F460" s="16" t="s">
        <v>21</v>
      </c>
      <c r="G460" s="17" t="s">
        <v>807</v>
      </c>
      <c r="H460" s="17" t="s">
        <v>1612</v>
      </c>
      <c r="I460" s="13" t="s">
        <v>2094</v>
      </c>
      <c r="J460" s="18" t="str">
        <f>HYPERLINK("CorLog\GHA\Branch\20150522 GHA Branch Approval to buy local window accessories for Res 1 (RDC-to-GHA).msg", "Approval to buy local window accessories for Res 1")</f>
        <v>Approval to buy local window accessories for Res 1</v>
      </c>
      <c r="K460" s="22"/>
      <c r="L460" s="19"/>
      <c r="M460" s="20"/>
      <c r="N460" s="21" t="s">
        <v>2095</v>
      </c>
    </row>
    <row r="461" spans="1:14">
      <c r="A461" s="12" t="s">
        <v>2096</v>
      </c>
      <c r="B461" s="13"/>
      <c r="C461" s="14"/>
      <c r="D461" s="15">
        <v>42146</v>
      </c>
      <c r="E461" s="16" t="s">
        <v>25</v>
      </c>
      <c r="F461" s="16" t="s">
        <v>15</v>
      </c>
      <c r="G461" s="17" t="s">
        <v>719</v>
      </c>
      <c r="H461" s="17" t="s">
        <v>2097</v>
      </c>
      <c r="I461" s="13" t="s">
        <v>2098</v>
      </c>
      <c r="J461" s="23" t="str">
        <f>HYPERLINK("CorLog\Reference\20150522 Reference Update to Purchasing Support of Design Construction Workflow (WHQ-to-ZAF).docx", "Update to Purchasing Support of Design Construction Workflow")</f>
        <v>Update to Purchasing Support of Design Construction Workflow</v>
      </c>
      <c r="K461" s="23" t="str">
        <f>HYPERLINK("CorLog\Reference\20150522 Reference Update to Purchasing Support of Design Construction Workflow (WHQ-to-ZAF).zip", "Zipped (1)")</f>
        <v>Zipped (1)</v>
      </c>
      <c r="L461" s="19"/>
      <c r="M461" s="20"/>
      <c r="N461" s="21" t="s">
        <v>2099</v>
      </c>
    </row>
    <row r="462" spans="1:14">
      <c r="A462" s="12" t="s">
        <v>2100</v>
      </c>
      <c r="B462" s="13"/>
      <c r="C462" s="14"/>
      <c r="D462" s="15">
        <v>42146</v>
      </c>
      <c r="E462" s="16" t="s">
        <v>15</v>
      </c>
      <c r="F462" s="16" t="s">
        <v>17</v>
      </c>
      <c r="G462" s="17" t="s">
        <v>1065</v>
      </c>
      <c r="H462" s="17" t="s">
        <v>1942</v>
      </c>
      <c r="I462" s="13" t="s">
        <v>2063</v>
      </c>
      <c r="J462" s="23" t="str">
        <f>HYPERLINK("CorLog\ZMB\RTO Projects\20150522 ZMB RTO Projects Travel Request- Mwinilunga and Kasempa RTO Personnel (ZAF-to-WDC).docx", "Travel Request- Mwinilunga and Kasempa RTO Personnel")</f>
        <v>Travel Request- Mwinilunga and Kasempa RTO Personnel</v>
      </c>
      <c r="K462" s="23"/>
      <c r="L462" s="19"/>
      <c r="M462" s="20"/>
      <c r="N462" s="21" t="s">
        <v>2064</v>
      </c>
    </row>
    <row r="463" spans="1:14">
      <c r="A463" s="12" t="s">
        <v>2101</v>
      </c>
      <c r="B463" s="13"/>
      <c r="C463" s="14"/>
      <c r="D463" s="15">
        <v>42146</v>
      </c>
      <c r="E463" s="16" t="s">
        <v>15</v>
      </c>
      <c r="F463" s="16" t="s">
        <v>18</v>
      </c>
      <c r="G463" s="17" t="s">
        <v>999</v>
      </c>
      <c r="H463" s="17" t="s">
        <v>848</v>
      </c>
      <c r="I463" s="13" t="s">
        <v>2102</v>
      </c>
      <c r="J463" s="23" t="str">
        <f>HYPERLINK("CorLog\ZMB\Branch\20150522 ZMB Branch Dry Wet Cleaning Recommendations for Zambia Branch (ZAF-to-ZMB).docx", "Dry Wet Cleaning Recommendations for Zambia Branch")</f>
        <v>Dry Wet Cleaning Recommendations for Zambia Branch</v>
      </c>
      <c r="K463" s="23" t="str">
        <f>HYPERLINK("CorLog\ZMB\Branch\20150522 ZMB Branch Dry Wet Cleaning Recommendations for Zambia Branch (ZAF-to-ZMB).zip", "Zipped (1)")</f>
        <v>Zipped (1)</v>
      </c>
      <c r="L463" s="19"/>
      <c r="M463" s="20"/>
      <c r="N463" s="21" t="s">
        <v>2103</v>
      </c>
    </row>
    <row r="464" spans="1:14">
      <c r="A464" s="12" t="s">
        <v>718</v>
      </c>
      <c r="B464" s="13" t="s">
        <v>1069</v>
      </c>
      <c r="C464" s="14" t="s">
        <v>724</v>
      </c>
      <c r="D464" s="15">
        <v>42145.814513888887</v>
      </c>
      <c r="E464" s="16" t="s">
        <v>16</v>
      </c>
      <c r="F464" s="16" t="s">
        <v>18</v>
      </c>
      <c r="G464" s="17" t="s">
        <v>1070</v>
      </c>
      <c r="H464" s="17" t="s">
        <v>1974</v>
      </c>
      <c r="I464" s="13" t="s">
        <v>2104</v>
      </c>
      <c r="J464" s="23" t="str">
        <f>HYPERLINK("CorLog\ZMB\Katete RTO\20150521 ZMB Katete RTO RDC review of NLBR 11929 &amp; 520-11935; Furniture (RDC-to-ZMB).msg", "RDC review of NLBR 11929 &amp; 520-11935; Furniture")</f>
        <v>RDC review of NLBR 11929 &amp; 520-11935; Furniture</v>
      </c>
      <c r="K464" s="25" t="s">
        <v>1270</v>
      </c>
      <c r="L464" s="19"/>
      <c r="M464" s="20"/>
      <c r="N464" s="21" t="s">
        <v>2105</v>
      </c>
    </row>
    <row r="465" spans="1:14">
      <c r="A465" s="12" t="s">
        <v>718</v>
      </c>
      <c r="B465" s="13" t="s">
        <v>827</v>
      </c>
      <c r="C465" s="14" t="s">
        <v>842</v>
      </c>
      <c r="D465" s="15">
        <v>42145.770983796298</v>
      </c>
      <c r="E465" s="16" t="s">
        <v>16</v>
      </c>
      <c r="F465" s="16" t="s">
        <v>21</v>
      </c>
      <c r="G465" s="17" t="s">
        <v>790</v>
      </c>
      <c r="H465" s="17" t="s">
        <v>829</v>
      </c>
      <c r="I465" s="13" t="s">
        <v>2106</v>
      </c>
      <c r="J465" s="23" t="str">
        <f>HYPERLINK("CorLog\GHA\BEX\20150521 GHA BEX RDC review of NLBR 58680 Package no 50 (RDC-to-GHA).msg", "RDC review of NLBR 58680 Package no 50")</f>
        <v>RDC review of NLBR 58680 Package no 50</v>
      </c>
      <c r="K465" s="25" t="s">
        <v>1211</v>
      </c>
      <c r="L465" s="19"/>
      <c r="M465" s="20"/>
      <c r="N465" s="21" t="s">
        <v>2107</v>
      </c>
    </row>
    <row r="466" spans="1:14">
      <c r="A466" s="12" t="s">
        <v>718</v>
      </c>
      <c r="B466" s="13" t="s">
        <v>750</v>
      </c>
      <c r="C466" s="14" t="s">
        <v>742</v>
      </c>
      <c r="D466" s="15">
        <v>42145.715127314812</v>
      </c>
      <c r="E466" s="16" t="s">
        <v>16</v>
      </c>
      <c r="F466" s="16" t="s">
        <v>16</v>
      </c>
      <c r="G466" s="17" t="s">
        <v>738</v>
      </c>
      <c r="H466" s="17" t="s">
        <v>1105</v>
      </c>
      <c r="I466" s="13" t="s">
        <v>2108</v>
      </c>
      <c r="J466" s="23" t="str">
        <f>HYPERLINK("CorLog\GHA\BEX 2\20150521 GHA BEX 2 Soils Tests Report--Update (RDC-to-RDC).msg", "Soils Tests Report--Update")</f>
        <v>Soils Tests Report--Update</v>
      </c>
      <c r="K466" s="25" t="s">
        <v>1211</v>
      </c>
      <c r="L466" s="19"/>
      <c r="M466" s="20"/>
      <c r="N466" s="21" t="s">
        <v>2109</v>
      </c>
    </row>
    <row r="467" spans="1:14">
      <c r="A467" s="12" t="s">
        <v>795</v>
      </c>
      <c r="B467" s="13" t="s">
        <v>895</v>
      </c>
      <c r="C467" s="14" t="s">
        <v>2110</v>
      </c>
      <c r="D467" s="15">
        <v>42145.485520833332</v>
      </c>
      <c r="E467" s="16" t="s">
        <v>16</v>
      </c>
      <c r="F467" s="16" t="s">
        <v>18</v>
      </c>
      <c r="G467" s="17" t="s">
        <v>1112</v>
      </c>
      <c r="H467" s="17" t="s">
        <v>1178</v>
      </c>
      <c r="I467" s="13" t="s">
        <v>2111</v>
      </c>
      <c r="J467" s="23" t="str">
        <f>HYPERLINK("CorLog\ZMB\BEX\20150521 ZMB BEX Valves to be added to diesel installation (RDC-to-ZMB).msg", "Valves to be added to diesel installation")</f>
        <v>Valves to be added to diesel installation</v>
      </c>
      <c r="K467" s="25" t="s">
        <v>1211</v>
      </c>
      <c r="L467" s="19"/>
      <c r="M467" s="20"/>
      <c r="N467" s="21" t="s">
        <v>2112</v>
      </c>
    </row>
    <row r="468" spans="1:14">
      <c r="A468" s="12" t="s">
        <v>724</v>
      </c>
      <c r="B468" s="13" t="s">
        <v>1310</v>
      </c>
      <c r="C468" s="14" t="s">
        <v>718</v>
      </c>
      <c r="D468" s="15">
        <v>42145.454687500001</v>
      </c>
      <c r="E468" s="16" t="s">
        <v>16</v>
      </c>
      <c r="F468" s="16" t="s">
        <v>16</v>
      </c>
      <c r="G468" s="17" t="s">
        <v>1065</v>
      </c>
      <c r="H468" s="17" t="s">
        <v>781</v>
      </c>
      <c r="I468" s="13" t="s">
        <v>2113</v>
      </c>
      <c r="J468" s="18" t="str">
        <f>HYPERLINK("CorLog\ZMB\RTO Projects\20150521 ZMB RTO Projects Team arrival dates for training and MTOs (RDC-to-RDC).msg", "Team arrival dates for training and MTOs")</f>
        <v>Team arrival dates for training and MTOs</v>
      </c>
      <c r="K468" s="22"/>
      <c r="L468" s="19"/>
      <c r="M468" s="20"/>
      <c r="N468" s="21" t="s">
        <v>2114</v>
      </c>
    </row>
    <row r="469" spans="1:14">
      <c r="A469" s="12"/>
      <c r="B469" s="13"/>
      <c r="C469" s="14"/>
      <c r="D469" s="15">
        <v>42145.403414351851</v>
      </c>
      <c r="E469" s="16" t="s">
        <v>18</v>
      </c>
      <c r="F469" s="16" t="s">
        <v>17</v>
      </c>
      <c r="G469" s="17" t="s">
        <v>1775</v>
      </c>
      <c r="H469" s="17" t="s">
        <v>1015</v>
      </c>
      <c r="I469" s="13" t="s">
        <v>2000</v>
      </c>
      <c r="J469" s="23" t="str">
        <f>HYPERLINK("CorLog\ZMB\Mpongwe RTO\20150521 ZMB Mpongwe RTO Property Options in Mpongwe for the Lamba RTO (ZMB-to-WDC).docx", "Property Options in Mpongwe for the Lamba RTO")</f>
        <v>Property Options in Mpongwe for the Lamba RTO</v>
      </c>
      <c r="K469" s="23" t="str">
        <f>HYPERLINK("CorLog\ZMB\Mpongwe RTO\20150521 ZMB Mpongwe RTO Property Options in Mpongwe for the Lamba RTO (ZMB-to-WDC).zip", "Zipped (1)")</f>
        <v>Zipped (1)</v>
      </c>
      <c r="L469" s="19"/>
      <c r="M469" s="20"/>
      <c r="N469" s="21" t="s">
        <v>2001</v>
      </c>
    </row>
    <row r="470" spans="1:14">
      <c r="A470" s="12" t="s">
        <v>750</v>
      </c>
      <c r="B470" s="13" t="s">
        <v>1818</v>
      </c>
      <c r="C470" s="14" t="s">
        <v>2115</v>
      </c>
      <c r="D470" s="15">
        <v>42145.382175925923</v>
      </c>
      <c r="E470" s="16" t="s">
        <v>16</v>
      </c>
      <c r="F470" s="16" t="s">
        <v>16</v>
      </c>
      <c r="G470" s="17" t="s">
        <v>758</v>
      </c>
      <c r="H470" s="17" t="s">
        <v>1819</v>
      </c>
      <c r="I470" s="13" t="s">
        <v>2116</v>
      </c>
      <c r="J470" s="23" t="str">
        <f>HYPERLINK("CorLog\GHA\Viepe RTO\20150521 GHA Viepe RTO CIVIL Sketch by Ghana--2m ext to Office Bldg (BjS Review) (RDC-to-RDC).msg", "CIVIL Sketch by Ghana--2m ext to Office Bldg (BjS Review)")</f>
        <v>CIVIL Sketch by Ghana--2m ext to Office Bldg (BjS Review)</v>
      </c>
      <c r="K470" s="23"/>
      <c r="L470" s="19"/>
      <c r="M470" s="20"/>
      <c r="N470" s="21" t="s">
        <v>2117</v>
      </c>
    </row>
    <row r="471" spans="1:14">
      <c r="A471" s="12" t="s">
        <v>718</v>
      </c>
      <c r="B471" s="13" t="s">
        <v>837</v>
      </c>
      <c r="C471" s="14" t="s">
        <v>2118</v>
      </c>
      <c r="D471" s="15">
        <v>42145.374942129631</v>
      </c>
      <c r="E471" s="16" t="s">
        <v>16</v>
      </c>
      <c r="F471" s="16" t="s">
        <v>18</v>
      </c>
      <c r="G471" s="17" t="s">
        <v>838</v>
      </c>
      <c r="H471" s="17" t="s">
        <v>2119</v>
      </c>
      <c r="I471" s="13" t="s">
        <v>2120</v>
      </c>
      <c r="J471" s="23" t="str">
        <f>HYPERLINK("CorLog\ZMB\Choma RTO\20150521 ZMB Choma RTO 3m sliding gate, possibly 4m recommend 5m (APPROVED) (RDC-to-ZMB).msg", "3m sliding gate, possibly 4m recommend 5m (APPROVED)")</f>
        <v>3m sliding gate, possibly 4m recommend 5m (APPROVED)</v>
      </c>
      <c r="K471" s="25" t="s">
        <v>1270</v>
      </c>
      <c r="L471" s="19"/>
      <c r="M471" s="20"/>
      <c r="N471" s="21" t="s">
        <v>2121</v>
      </c>
    </row>
    <row r="472" spans="1:14">
      <c r="A472" s="12" t="s">
        <v>2034</v>
      </c>
      <c r="B472" s="13" t="s">
        <v>718</v>
      </c>
      <c r="C472" s="14"/>
      <c r="D472" s="15">
        <v>42145.356851851851</v>
      </c>
      <c r="E472" s="16" t="s">
        <v>23</v>
      </c>
      <c r="F472" s="16" t="s">
        <v>16</v>
      </c>
      <c r="G472" s="17" t="s">
        <v>1775</v>
      </c>
      <c r="H472" s="17" t="s">
        <v>2122</v>
      </c>
      <c r="I472" s="13" t="s">
        <v>2123</v>
      </c>
      <c r="J472" s="18" t="str">
        <f>HYPERLINK("CorLog\ZMB\Mpongwe RTO\20150521 ZMB Mpongwe RTO Using Modular Construction (ZWE-to-RDC).msg", "Using Modular Construction")</f>
        <v>Using Modular Construction</v>
      </c>
      <c r="K472" s="22" t="s">
        <v>721</v>
      </c>
      <c r="L472" s="19" t="s">
        <v>2124</v>
      </c>
      <c r="M472" s="20"/>
      <c r="N472" s="21" t="s">
        <v>2125</v>
      </c>
    </row>
    <row r="473" spans="1:14">
      <c r="A473" s="12" t="s">
        <v>895</v>
      </c>
      <c r="B473" s="13" t="s">
        <v>718</v>
      </c>
      <c r="C473" s="14" t="s">
        <v>2126</v>
      </c>
      <c r="D473" s="15">
        <v>42145.331886574073</v>
      </c>
      <c r="E473" s="16" t="s">
        <v>18</v>
      </c>
      <c r="F473" s="16" t="s">
        <v>16</v>
      </c>
      <c r="G473" s="17" t="s">
        <v>2127</v>
      </c>
      <c r="H473" s="17" t="s">
        <v>1131</v>
      </c>
      <c r="I473" s="13" t="s">
        <v>2128</v>
      </c>
      <c r="J473" s="18" t="str">
        <f>HYPERLINK("CorLog\ZMB\Nakonde RTO\20150521 ZMB Nakonde RTO DC-31 RDC recommandation (ZMB-to-RDC).msg", "DC-31 RDC recommandation")</f>
        <v>DC-31 RDC recommandation</v>
      </c>
      <c r="K473" s="22" t="s">
        <v>733</v>
      </c>
      <c r="L473" s="19"/>
      <c r="M473" s="20"/>
      <c r="N473" s="21" t="s">
        <v>2129</v>
      </c>
    </row>
    <row r="474" spans="1:14">
      <c r="A474" s="12" t="s">
        <v>1073</v>
      </c>
      <c r="B474" s="13"/>
      <c r="C474" s="14"/>
      <c r="D474" s="15">
        <v>42145</v>
      </c>
      <c r="E474" s="16" t="s">
        <v>17</v>
      </c>
      <c r="F474" s="16" t="s">
        <v>16</v>
      </c>
      <c r="G474" s="17" t="s">
        <v>25</v>
      </c>
      <c r="H474" s="17" t="s">
        <v>1544</v>
      </c>
      <c r="I474" s="13" t="s">
        <v>2130</v>
      </c>
      <c r="J474" s="18" t="str">
        <f>HYPERLINK("CorLog\WHQ\20150521 WHQ Door Access Control System Readers (WDC-to-RDC).doc", "Door Access Control System Readers")</f>
        <v>Door Access Control System Readers</v>
      </c>
      <c r="K474" s="22"/>
      <c r="L474" s="19" t="s">
        <v>2131</v>
      </c>
      <c r="M474" s="20"/>
      <c r="N474" s="21" t="s">
        <v>2132</v>
      </c>
    </row>
    <row r="475" spans="1:14">
      <c r="A475" s="12" t="s">
        <v>1073</v>
      </c>
      <c r="B475" s="13"/>
      <c r="C475" s="14"/>
      <c r="D475" s="15">
        <v>42145</v>
      </c>
      <c r="E475" s="16" t="s">
        <v>25</v>
      </c>
      <c r="F475" s="16" t="s">
        <v>17</v>
      </c>
      <c r="G475" s="17" t="s">
        <v>719</v>
      </c>
      <c r="H475" s="17" t="s">
        <v>1544</v>
      </c>
      <c r="I475" s="13" t="s">
        <v>2130</v>
      </c>
      <c r="J475" s="18" t="str">
        <f>HYPERLINK("CorLog\Reference\20150521 Reference Door Access Control System Readers (WHQ-to-WDC).doc", "Door Access Control System Readers")</f>
        <v>Door Access Control System Readers</v>
      </c>
      <c r="K475" s="18"/>
      <c r="L475" s="19"/>
      <c r="M475" s="20"/>
      <c r="N475" s="21" t="s">
        <v>2132</v>
      </c>
    </row>
    <row r="476" spans="1:14">
      <c r="A476" s="12" t="s">
        <v>874</v>
      </c>
      <c r="B476" s="13"/>
      <c r="C476" s="14"/>
      <c r="D476" s="15">
        <v>42145</v>
      </c>
      <c r="E476" s="16" t="s">
        <v>25</v>
      </c>
      <c r="F476" s="16" t="s">
        <v>18</v>
      </c>
      <c r="G476" s="17" t="s">
        <v>2133</v>
      </c>
      <c r="H476" s="17" t="s">
        <v>1808</v>
      </c>
      <c r="I476" s="13" t="s">
        <v>2134</v>
      </c>
      <c r="J476" s="23" t="str">
        <f>HYPERLINK("CorLog\ZMB\Kasama RTO\20150521 ZMB Kasama RTO Property Options in Kasama for the Cibemba Remote Translation Office (WHQ-to-ZMB).doc", "Property Options in Kasama for the Cibemba Remote Translation Office")</f>
        <v>Property Options in Kasama for the Cibemba Remote Translation Office</v>
      </c>
      <c r="K476" s="23"/>
      <c r="L476" s="19" t="s">
        <v>1809</v>
      </c>
      <c r="M476" s="20"/>
      <c r="N476" s="21" t="s">
        <v>2135</v>
      </c>
    </row>
    <row r="477" spans="1:14">
      <c r="A477" s="12" t="s">
        <v>718</v>
      </c>
      <c r="B477" s="13" t="s">
        <v>895</v>
      </c>
      <c r="C477" s="14"/>
      <c r="D477" s="15">
        <v>42144.828333333331</v>
      </c>
      <c r="E477" s="16" t="s">
        <v>16</v>
      </c>
      <c r="F477" s="16" t="s">
        <v>18</v>
      </c>
      <c r="G477" s="17" t="s">
        <v>1112</v>
      </c>
      <c r="H477" s="17" t="s">
        <v>2136</v>
      </c>
      <c r="I477" s="13" t="s">
        <v>2137</v>
      </c>
      <c r="J477" s="18" t="str">
        <f>HYPERLINK("CorLog\ZMB\BEX\20150520 ZMB BEX Electrical As-built drawings, E-601,E- 602, E-101, E-612, E-611 (RDC-to-ZMB).msg", "Electrical As-built drawings, E-601,E- 602, E-101, E-612, E-611")</f>
        <v>Electrical As-built drawings, E-601,E- 602, E-101, E-612, E-611</v>
      </c>
      <c r="K477" s="22"/>
      <c r="L477" s="19"/>
      <c r="M477" s="20"/>
      <c r="N477" s="21" t="s">
        <v>2138</v>
      </c>
    </row>
    <row r="478" spans="1:14">
      <c r="A478" s="12" t="s">
        <v>718</v>
      </c>
      <c r="B478" s="13" t="s">
        <v>1069</v>
      </c>
      <c r="C478" s="14" t="s">
        <v>2139</v>
      </c>
      <c r="D478" s="15">
        <v>42144.821377314816</v>
      </c>
      <c r="E478" s="16" t="s">
        <v>16</v>
      </c>
      <c r="F478" s="16" t="s">
        <v>18</v>
      </c>
      <c r="G478" s="17" t="s">
        <v>1070</v>
      </c>
      <c r="H478" s="17" t="s">
        <v>829</v>
      </c>
      <c r="I478" s="13" t="s">
        <v>2140</v>
      </c>
      <c r="J478" s="23" t="str">
        <f>HYPERLINK("CorLog\ZMB\Katete RTO\20150520 ZMB Katete RTO RDC review of NLBR; REQ 520-11793; Electrical Order -5; CAT6a and Light Pole (RDC-to-ZMB).msg", "RDC review of NLBR; REQ 520-11793; Electrical Order -5; CAT6a and Light Pole")</f>
        <v>RDC review of NLBR; REQ 520-11793; Electrical Order -5; CAT6a and Light Pole</v>
      </c>
      <c r="K478" s="25" t="s">
        <v>1369</v>
      </c>
      <c r="L478" s="19"/>
      <c r="M478" s="20"/>
      <c r="N478" s="21" t="s">
        <v>2141</v>
      </c>
    </row>
    <row r="479" spans="1:14">
      <c r="A479" s="12" t="s">
        <v>718</v>
      </c>
      <c r="B479" s="13" t="s">
        <v>1090</v>
      </c>
      <c r="C479" s="14" t="s">
        <v>2142</v>
      </c>
      <c r="D479" s="15">
        <v>42144.818958333337</v>
      </c>
      <c r="E479" s="16" t="s">
        <v>16</v>
      </c>
      <c r="F479" s="16" t="s">
        <v>36</v>
      </c>
      <c r="G479" s="17" t="s">
        <v>1091</v>
      </c>
      <c r="H479" s="17" t="s">
        <v>2143</v>
      </c>
      <c r="I479" s="13" t="s">
        <v>2144</v>
      </c>
      <c r="J479" s="23" t="str">
        <f>HYPERLINK("CorLog\SEN\LDC\20150520 SEN LDC MLI Bamako North-West KH, DC-24-E, DC-31-E - Hamdallaye ACI 2000 (RDC-to-SEN).msg", "MLI Bamako North-West KH, DC-24-E, DC-31-E - Hamdallaye ACI 2000")</f>
        <v>MLI Bamako North-West KH, DC-24-E, DC-31-E - Hamdallaye ACI 2000</v>
      </c>
      <c r="K479" s="25" t="s">
        <v>1211</v>
      </c>
      <c r="L479" s="19"/>
      <c r="M479" s="20"/>
      <c r="N479" s="21" t="s">
        <v>2145</v>
      </c>
    </row>
    <row r="480" spans="1:14">
      <c r="A480" s="12" t="s">
        <v>718</v>
      </c>
      <c r="B480" s="13" t="s">
        <v>1337</v>
      </c>
      <c r="C480" s="14"/>
      <c r="D480" s="15">
        <v>42144.811840277776</v>
      </c>
      <c r="E480" s="16" t="s">
        <v>16</v>
      </c>
      <c r="F480" s="16" t="s">
        <v>18</v>
      </c>
      <c r="G480" s="17" t="s">
        <v>885</v>
      </c>
      <c r="H480" s="17" t="s">
        <v>858</v>
      </c>
      <c r="I480" s="13" t="s">
        <v>2146</v>
      </c>
      <c r="J480" s="23" t="str">
        <f>HYPERLINK("CorLog\ZMB\Kabompo RTO\20150520 ZMB Kabompo RTO RDC review of AO-8 April 2015 (RDC-to-ZMB).msg", "RDC review of AO-8 April 2015")</f>
        <v>RDC review of AO-8 April 2015</v>
      </c>
      <c r="K480" s="25" t="s">
        <v>1270</v>
      </c>
      <c r="L480" s="19"/>
      <c r="M480" s="20"/>
      <c r="N480" s="21" t="s">
        <v>2147</v>
      </c>
    </row>
    <row r="481" spans="1:14">
      <c r="A481" s="12" t="s">
        <v>1052</v>
      </c>
      <c r="B481" s="13" t="s">
        <v>1206</v>
      </c>
      <c r="C481" s="14"/>
      <c r="D481" s="15">
        <v>42144.805196759262</v>
      </c>
      <c r="E481" s="16" t="s">
        <v>17</v>
      </c>
      <c r="F481" s="16" t="s">
        <v>17</v>
      </c>
      <c r="G481" s="17" t="s">
        <v>1775</v>
      </c>
      <c r="H481" s="17" t="s">
        <v>759</v>
      </c>
      <c r="I481" s="13" t="s">
        <v>2148</v>
      </c>
      <c r="J481" s="23" t="str">
        <f>HYPERLINK("CorLog\ZMB\Mpongwe RTO\20150520 ZMB Mpongwe RTO Using Modular Construction, details needed (WDC-to-WDC).msg", "Using Modular Construction, details needed")</f>
        <v>Using Modular Construction, details needed</v>
      </c>
      <c r="K481" s="25" t="s">
        <v>1211</v>
      </c>
      <c r="L481" s="19"/>
      <c r="M481" s="20"/>
      <c r="N481" s="21" t="s">
        <v>2149</v>
      </c>
    </row>
    <row r="482" spans="1:14">
      <c r="A482" s="12" t="s">
        <v>718</v>
      </c>
      <c r="B482" s="13" t="s">
        <v>1069</v>
      </c>
      <c r="C482" s="14" t="s">
        <v>1276</v>
      </c>
      <c r="D482" s="15">
        <v>42144.765625</v>
      </c>
      <c r="E482" s="16" t="s">
        <v>16</v>
      </c>
      <c r="F482" s="16" t="s">
        <v>18</v>
      </c>
      <c r="G482" s="17" t="s">
        <v>1070</v>
      </c>
      <c r="H482" s="17" t="s">
        <v>1400</v>
      </c>
      <c r="I482" s="13" t="s">
        <v>2150</v>
      </c>
      <c r="J482" s="23" t="str">
        <f>HYPERLINK("CorLog\ZMB\Katete RTO\20150520 ZMB Katete RTO RDC review of NLBR 11963; Odds and Ends; Mech; 63N; 20150520 (RDC-to-ZMB).msg", "RDC review of NLBR 11963; Odds and Ends; Mech; 63N; 20150520")</f>
        <v>RDC review of NLBR 11963; Odds and Ends; Mech; 63N; 20150520</v>
      </c>
      <c r="K482" s="25" t="s">
        <v>1211</v>
      </c>
      <c r="L482" s="19"/>
      <c r="M482" s="20"/>
      <c r="N482" s="21" t="s">
        <v>2151</v>
      </c>
    </row>
    <row r="483" spans="1:14">
      <c r="A483" s="12" t="s">
        <v>718</v>
      </c>
      <c r="B483" s="13" t="s">
        <v>827</v>
      </c>
      <c r="C483" s="14" t="s">
        <v>2152</v>
      </c>
      <c r="D483" s="15">
        <v>42144.757245370369</v>
      </c>
      <c r="E483" s="16" t="s">
        <v>16</v>
      </c>
      <c r="F483" s="16" t="s">
        <v>21</v>
      </c>
      <c r="G483" s="17" t="s">
        <v>790</v>
      </c>
      <c r="H483" s="17" t="s">
        <v>791</v>
      </c>
      <c r="I483" s="13" t="s">
        <v>2153</v>
      </c>
      <c r="J483" s="23" t="str">
        <f>HYPERLINK("CorLog\GHA\BEX\20150520 GHA BEX Switch room; Extra work required (RDC-to-GHA).msg", "Switch room; Extra work required")</f>
        <v>Switch room; Extra work required</v>
      </c>
      <c r="K483" s="25"/>
      <c r="L483" s="19"/>
      <c r="M483" s="20"/>
      <c r="N483" s="21" t="s">
        <v>2154</v>
      </c>
    </row>
    <row r="484" spans="1:14">
      <c r="A484" s="12" t="s">
        <v>717</v>
      </c>
      <c r="B484" s="13" t="s">
        <v>2155</v>
      </c>
      <c r="C484" s="14" t="s">
        <v>2156</v>
      </c>
      <c r="D484" s="15">
        <v>42144.675162037034</v>
      </c>
      <c r="E484" s="16" t="s">
        <v>16</v>
      </c>
      <c r="F484" s="16" t="s">
        <v>23</v>
      </c>
      <c r="G484" s="17" t="s">
        <v>926</v>
      </c>
      <c r="H484" s="17" t="s">
        <v>2157</v>
      </c>
      <c r="I484" s="13" t="s">
        <v>2158</v>
      </c>
      <c r="J484" s="23" t="str">
        <f>HYPERLINK("CorLog\ZWE\Branch\20150520 ZWE Branch Branch property evaluation (RDC-to-ZWE).msg", "Branch property evaluation")</f>
        <v>Branch property evaluation</v>
      </c>
      <c r="K484" s="25"/>
      <c r="L484" s="19"/>
      <c r="M484" s="20"/>
      <c r="N484" s="21" t="s">
        <v>2159</v>
      </c>
    </row>
    <row r="485" spans="1:14">
      <c r="A485" s="12" t="s">
        <v>750</v>
      </c>
      <c r="B485" s="13" t="s">
        <v>1181</v>
      </c>
      <c r="C485" s="14" t="s">
        <v>2160</v>
      </c>
      <c r="D485" s="15">
        <v>42144.485972222225</v>
      </c>
      <c r="E485" s="16" t="s">
        <v>16</v>
      </c>
      <c r="F485" s="16" t="s">
        <v>16</v>
      </c>
      <c r="G485" s="17" t="s">
        <v>885</v>
      </c>
      <c r="H485" s="17" t="s">
        <v>2161</v>
      </c>
      <c r="I485" s="13" t="s">
        <v>2162</v>
      </c>
      <c r="J485" s="23" t="str">
        <f>HYPERLINK("CorLog\ZMB\Kabompo RTO\20150520 ZMB Kabompo RTO Guttering detail 20150520 (RDC-to-RDC).msg", "Guttering detail 20150520")</f>
        <v>Guttering detail 20150520</v>
      </c>
      <c r="K485" s="25" t="s">
        <v>1243</v>
      </c>
      <c r="L485" s="19"/>
      <c r="M485" s="20"/>
      <c r="N485" s="21" t="s">
        <v>2163</v>
      </c>
    </row>
    <row r="486" spans="1:14">
      <c r="A486" s="12" t="s">
        <v>2164</v>
      </c>
      <c r="B486" s="13" t="s">
        <v>717</v>
      </c>
      <c r="C486" s="14" t="s">
        <v>2165</v>
      </c>
      <c r="D486" s="15">
        <v>42144.415347222224</v>
      </c>
      <c r="E486" s="16" t="s">
        <v>15</v>
      </c>
      <c r="F486" s="16" t="s">
        <v>16</v>
      </c>
      <c r="G486" s="17" t="s">
        <v>744</v>
      </c>
      <c r="H486" s="17" t="s">
        <v>1489</v>
      </c>
      <c r="I486" s="13" t="s">
        <v>2166</v>
      </c>
      <c r="J486" s="23" t="str">
        <f>HYPERLINK("CorLog\AGO\Vianna AH\20150520 AGO Vianna AH BECON WATERTECH report, PO-222099 (ZAF-to-RDC).msg", "BECON WATERTECH report, PO-222099")</f>
        <v>BECON WATERTECH report, PO-222099</v>
      </c>
      <c r="K486" s="25" t="s">
        <v>1270</v>
      </c>
      <c r="L486" s="19"/>
      <c r="M486" s="20"/>
      <c r="N486" s="21" t="s">
        <v>2167</v>
      </c>
    </row>
    <row r="487" spans="1:14">
      <c r="A487" s="12" t="s">
        <v>717</v>
      </c>
      <c r="B487" s="13" t="s">
        <v>724</v>
      </c>
      <c r="C487" s="14" t="s">
        <v>1611</v>
      </c>
      <c r="D487" s="15">
        <v>42144.413854166669</v>
      </c>
      <c r="E487" s="16" t="s">
        <v>16</v>
      </c>
      <c r="F487" s="16" t="s">
        <v>16</v>
      </c>
      <c r="G487" s="17" t="s">
        <v>719</v>
      </c>
      <c r="H487" s="17" t="s">
        <v>2168</v>
      </c>
      <c r="I487" s="13" t="s">
        <v>2169</v>
      </c>
      <c r="J487" s="23" t="str">
        <f>HYPERLINK("CorLog\Reference\20150520 Reference COTC personnel Evaluation xlsx (RDC-to-RDC).msg", "COTC personnel Evaluation xlsx")</f>
        <v>COTC personnel Evaluation xlsx</v>
      </c>
      <c r="K487" s="25" t="s">
        <v>1211</v>
      </c>
      <c r="L487" s="19"/>
      <c r="M487" s="20"/>
      <c r="N487" s="21" t="s">
        <v>2170</v>
      </c>
    </row>
    <row r="488" spans="1:14">
      <c r="A488" s="12"/>
      <c r="B488" s="13"/>
      <c r="C488" s="14"/>
      <c r="D488" s="15">
        <v>42144.363715277781</v>
      </c>
      <c r="E488" s="16" t="s">
        <v>23</v>
      </c>
      <c r="F488" s="16" t="s">
        <v>16</v>
      </c>
      <c r="G488" s="17" t="s">
        <v>926</v>
      </c>
      <c r="H488" s="17" t="s">
        <v>1000</v>
      </c>
      <c r="I488" s="13" t="s">
        <v>2171</v>
      </c>
      <c r="J488" s="18" t="str">
        <f>HYPERLINK("CorLog\ZWE\Branch\20150520 ZWE Branch Accommodation and Office Situation at Our Branch (ZWE-to-RDC).docx", "Accommodation and Office Situation at Our Branch")</f>
        <v>Accommodation and Office Situation at Our Branch</v>
      </c>
      <c r="K488" s="22"/>
      <c r="L488" s="19"/>
      <c r="M488" s="20"/>
      <c r="N488" s="21" t="s">
        <v>2172</v>
      </c>
    </row>
    <row r="489" spans="1:14">
      <c r="A489" s="12" t="s">
        <v>2034</v>
      </c>
      <c r="B489" s="13" t="s">
        <v>718</v>
      </c>
      <c r="C489" s="14"/>
      <c r="D489" s="15">
        <v>42144.270949074074</v>
      </c>
      <c r="E489" s="16" t="s">
        <v>17</v>
      </c>
      <c r="F489" s="16" t="s">
        <v>16</v>
      </c>
      <c r="G489" s="17" t="s">
        <v>758</v>
      </c>
      <c r="H489" s="17" t="s">
        <v>1805</v>
      </c>
      <c r="I489" s="13" t="s">
        <v>2173</v>
      </c>
      <c r="J489" s="23" t="str">
        <f>HYPERLINK("CorLog\GHA\Viepe RTO\20150520 GHA Viepe RTO Requesting 2m Extension to Viepe RTO AV Area (WDC-to-RDC).msg", "Requesting 2m Extension to Viepe RTO AV Area")</f>
        <v>Requesting 2m Extension to Viepe RTO AV Area</v>
      </c>
      <c r="K489" s="25" t="s">
        <v>1243</v>
      </c>
      <c r="L489" s="19"/>
      <c r="M489" s="20"/>
      <c r="N489" s="21" t="s">
        <v>2174</v>
      </c>
    </row>
    <row r="490" spans="1:14">
      <c r="A490" s="12" t="s">
        <v>874</v>
      </c>
      <c r="B490" s="13"/>
      <c r="C490" s="14"/>
      <c r="D490" s="15">
        <v>42144</v>
      </c>
      <c r="E490" s="16" t="s">
        <v>25</v>
      </c>
      <c r="F490" s="16" t="s">
        <v>22</v>
      </c>
      <c r="G490" s="17" t="s">
        <v>913</v>
      </c>
      <c r="H490" s="17" t="s">
        <v>2175</v>
      </c>
      <c r="I490" s="13" t="s">
        <v>2176</v>
      </c>
      <c r="J490" s="18" t="str">
        <f>HYPERLINK("CorLog\COD\Branch\20150520 COD Branch Request for Cabinet and Kitchenette Replacements (WHQ-to-COD).doc", "Request for Cabinet and Kitchenette Replacements")</f>
        <v>Request for Cabinet and Kitchenette Replacements</v>
      </c>
      <c r="K490" s="22"/>
      <c r="L490" s="19" t="s">
        <v>2177</v>
      </c>
      <c r="M490" s="20"/>
      <c r="N490" s="21" t="s">
        <v>2178</v>
      </c>
    </row>
    <row r="491" spans="1:14">
      <c r="A491" s="12" t="s">
        <v>718</v>
      </c>
      <c r="B491" s="13" t="s">
        <v>757</v>
      </c>
      <c r="C491" s="14"/>
      <c r="D491" s="15">
        <v>42143.937835648147</v>
      </c>
      <c r="E491" s="16" t="s">
        <v>16</v>
      </c>
      <c r="F491" s="16" t="s">
        <v>21</v>
      </c>
      <c r="G491" s="17" t="s">
        <v>758</v>
      </c>
      <c r="H491" s="17" t="s">
        <v>2179</v>
      </c>
      <c r="I491" s="13" t="s">
        <v>2180</v>
      </c>
      <c r="J491" s="18" t="str">
        <f>HYPERLINK("CorLog\GHA\Viepe RTO\20150519 GHA Viepe RTO Airfreight of Termite poison (RDC-to-GHA).msg", "Airfreight of Termite poison")</f>
        <v>Airfreight of Termite poison</v>
      </c>
      <c r="K491" s="18"/>
      <c r="L491" s="19"/>
      <c r="M491" s="20"/>
      <c r="N491" s="21" t="s">
        <v>2181</v>
      </c>
    </row>
    <row r="492" spans="1:14">
      <c r="A492" s="12" t="s">
        <v>1052</v>
      </c>
      <c r="B492" s="13" t="s">
        <v>1206</v>
      </c>
      <c r="C492" s="14"/>
      <c r="D492" s="15">
        <v>42143.873124999998</v>
      </c>
      <c r="E492" s="16" t="s">
        <v>17</v>
      </c>
      <c r="F492" s="16" t="s">
        <v>30</v>
      </c>
      <c r="G492" s="17" t="s">
        <v>719</v>
      </c>
      <c r="H492" s="17" t="s">
        <v>1728</v>
      </c>
      <c r="I492" s="13" t="s">
        <v>2182</v>
      </c>
      <c r="J492" s="18" t="str">
        <f>HYPERLINK("CorLog\Reference\20150519 Reference Reimbursements for volunteers at Bethel and in the field (WDC-to-ALL).msg", "Reimbursements for volunteers at Bethel and in the field")</f>
        <v>Reimbursements for volunteers at Bethel and in the field</v>
      </c>
      <c r="K492" s="22"/>
      <c r="L492" s="19"/>
      <c r="M492" s="20"/>
      <c r="N492" s="21" t="s">
        <v>2183</v>
      </c>
    </row>
    <row r="493" spans="1:14">
      <c r="A493" s="12" t="s">
        <v>2184</v>
      </c>
      <c r="B493" s="13" t="s">
        <v>718</v>
      </c>
      <c r="C493" s="14" t="s">
        <v>2185</v>
      </c>
      <c r="D493" s="15">
        <v>42143.846736111111</v>
      </c>
      <c r="E493" s="16" t="s">
        <v>17</v>
      </c>
      <c r="F493" s="16" t="s">
        <v>16</v>
      </c>
      <c r="G493" s="17" t="s">
        <v>719</v>
      </c>
      <c r="H493" s="17" t="s">
        <v>2186</v>
      </c>
      <c r="I493" s="13" t="s">
        <v>2187</v>
      </c>
      <c r="J493" s="18" t="str">
        <f>HYPERLINK("CorLog\Reference\20150519 Reference Team 5- Implementation Plan (WDC-to-RDC).msg", "Team 5- Implementation Plan")</f>
        <v>Team 5- Implementation Plan</v>
      </c>
      <c r="K493" s="22" t="s">
        <v>721</v>
      </c>
      <c r="L493" s="19"/>
      <c r="M493" s="20"/>
      <c r="N493" s="21" t="s">
        <v>2188</v>
      </c>
    </row>
    <row r="494" spans="1:14">
      <c r="A494" s="12" t="s">
        <v>750</v>
      </c>
      <c r="B494" s="13" t="s">
        <v>718</v>
      </c>
      <c r="C494" s="14" t="s">
        <v>2189</v>
      </c>
      <c r="D494" s="15">
        <v>42143.576770833337</v>
      </c>
      <c r="E494" s="16" t="s">
        <v>16</v>
      </c>
      <c r="F494" s="16" t="s">
        <v>16</v>
      </c>
      <c r="G494" s="17" t="s">
        <v>758</v>
      </c>
      <c r="H494" s="17" t="s">
        <v>1805</v>
      </c>
      <c r="I494" s="13" t="s">
        <v>2190</v>
      </c>
      <c r="J494" s="23" t="str">
        <f>HYPERLINK("CorLog\GHA\Viepe RTO\20150519 GHA Viepe RTO 2m Extension for AV--as-built approach (RDC-to-RDC).msg", "2m Extension for AV--as-built approach")</f>
        <v>2m Extension for AV--as-built approach</v>
      </c>
      <c r="K494" s="25" t="s">
        <v>1243</v>
      </c>
      <c r="L494" s="19"/>
      <c r="M494" s="20"/>
      <c r="N494" s="21" t="s">
        <v>2191</v>
      </c>
    </row>
    <row r="495" spans="1:14">
      <c r="A495" s="12" t="s">
        <v>1310</v>
      </c>
      <c r="B495" s="13" t="s">
        <v>718</v>
      </c>
      <c r="C495" s="14"/>
      <c r="D495" s="15">
        <v>42143.548379629632</v>
      </c>
      <c r="E495" s="16" t="s">
        <v>16</v>
      </c>
      <c r="F495" s="16" t="s">
        <v>16</v>
      </c>
      <c r="G495" s="17" t="s">
        <v>1169</v>
      </c>
      <c r="H495" s="17" t="s">
        <v>2192</v>
      </c>
      <c r="I495" s="13" t="s">
        <v>2193</v>
      </c>
      <c r="J495" s="23" t="str">
        <f>HYPERLINK("CorLog\COD\Kikwit RTO\20150519 COD Kikwit RTO Fee Account 2 (RDC-to-RDC).msg", "Fee Account 2")</f>
        <v>Fee Account 2</v>
      </c>
      <c r="K495" s="25" t="s">
        <v>1243</v>
      </c>
      <c r="L495" s="19"/>
      <c r="M495" s="20"/>
      <c r="N495" s="21" t="s">
        <v>2194</v>
      </c>
    </row>
    <row r="496" spans="1:14">
      <c r="A496" s="12" t="s">
        <v>2195</v>
      </c>
      <c r="B496" s="13" t="s">
        <v>806</v>
      </c>
      <c r="C496" s="14"/>
      <c r="D496" s="15">
        <v>42143.498576388891</v>
      </c>
      <c r="E496" s="16" t="s">
        <v>935</v>
      </c>
      <c r="F496" s="16" t="s">
        <v>15</v>
      </c>
      <c r="G496" s="17" t="s">
        <v>807</v>
      </c>
      <c r="H496" s="17" t="s">
        <v>2196</v>
      </c>
      <c r="I496" s="13" t="s">
        <v>2197</v>
      </c>
      <c r="J496" s="23" t="str">
        <f>HYPERLINK("CorLog\GHA\Branch\20150519 GHA Branch Ghana - GHA-4915 Food Processor ($716 88) (GPD-to-ZAF).msg", "Ghana - GHA-4915 Food Processor ($716 88)")</f>
        <v>Ghana - GHA-4915 Food Processor ($716 88)</v>
      </c>
      <c r="K496" s="25"/>
      <c r="L496" s="19"/>
      <c r="M496" s="20"/>
      <c r="N496" s="21" t="s">
        <v>2198</v>
      </c>
    </row>
    <row r="497" spans="1:14">
      <c r="A497" s="12" t="s">
        <v>806</v>
      </c>
      <c r="B497" s="13" t="s">
        <v>965</v>
      </c>
      <c r="C497" s="14" t="s">
        <v>2195</v>
      </c>
      <c r="D497" s="15">
        <v>42143.491388888891</v>
      </c>
      <c r="E497" s="16" t="s">
        <v>15</v>
      </c>
      <c r="F497" s="16" t="s">
        <v>16</v>
      </c>
      <c r="G497" s="17" t="s">
        <v>807</v>
      </c>
      <c r="H497" s="17" t="s">
        <v>829</v>
      </c>
      <c r="I497" s="13" t="s">
        <v>2197</v>
      </c>
      <c r="J497" s="18" t="str">
        <f>HYPERLINK("CorLog\GHA\Branch\20150519 GHA Branch Ghana - GHA-4915 Food Processor ($716 88) (ZAF-to-RDC).msg", "Ghana - GHA-4915 Food Processor ($716 88)")</f>
        <v>Ghana - GHA-4915 Food Processor ($716 88)</v>
      </c>
      <c r="K497" s="18"/>
      <c r="L497" s="19"/>
      <c r="M497" s="20"/>
      <c r="N497" s="21" t="s">
        <v>2199</v>
      </c>
    </row>
    <row r="498" spans="1:14">
      <c r="A498" s="12" t="s">
        <v>718</v>
      </c>
      <c r="B498" s="13" t="s">
        <v>837</v>
      </c>
      <c r="C498" s="14" t="s">
        <v>1011</v>
      </c>
      <c r="D498" s="15">
        <v>42143.470405092594</v>
      </c>
      <c r="E498" s="16" t="s">
        <v>16</v>
      </c>
      <c r="F498" s="16" t="s">
        <v>18</v>
      </c>
      <c r="G498" s="17" t="s">
        <v>838</v>
      </c>
      <c r="H498" s="17" t="s">
        <v>829</v>
      </c>
      <c r="I498" s="13" t="s">
        <v>2200</v>
      </c>
      <c r="J498" s="18" t="str">
        <f>HYPERLINK("CorLog\ZMB\Choma RTO\20150519 ZMB Choma RTO RDC review of NLBR 10477 Whisperroom, 10533 manholes, sika (RDC-to-ZMB).msg", "RDC review of NLBR 10477 Whisperroom, 10533 manholes, sika")</f>
        <v>RDC review of NLBR 10477 Whisperroom, 10533 manholes, sika</v>
      </c>
      <c r="K498" s="18"/>
      <c r="L498" s="19"/>
      <c r="M498" s="20"/>
      <c r="N498" s="21" t="s">
        <v>2201</v>
      </c>
    </row>
    <row r="499" spans="1:14">
      <c r="A499" s="12" t="s">
        <v>842</v>
      </c>
      <c r="B499" s="13" t="s">
        <v>2202</v>
      </c>
      <c r="C499" s="14" t="s">
        <v>2203</v>
      </c>
      <c r="D499" s="15">
        <v>42143.411469907405</v>
      </c>
      <c r="E499" s="16" t="s">
        <v>21</v>
      </c>
      <c r="F499" s="16" t="s">
        <v>24</v>
      </c>
      <c r="G499" s="17" t="s">
        <v>790</v>
      </c>
      <c r="H499" s="17" t="s">
        <v>2204</v>
      </c>
      <c r="I499" s="13" t="s">
        <v>2205</v>
      </c>
      <c r="J499" s="23" t="str">
        <f>HYPERLINK("CorLog\GHA\BEX\20150519 GHA BEX GHA0013 Adjacent Property Development; AO-9 Package (Missing CTP file) (GHA-to-USA).msg", "GHA0013 Adjacent Property Development; AO-9 Package (Missing CTP file)")</f>
        <v>GHA0013 Adjacent Property Development; AO-9 Package (Missing CTP file)</v>
      </c>
      <c r="K499" s="25" t="s">
        <v>1211</v>
      </c>
      <c r="L499" s="19"/>
      <c r="M499" s="20"/>
      <c r="N499" s="21" t="s">
        <v>2206</v>
      </c>
    </row>
    <row r="500" spans="1:14">
      <c r="A500" s="12" t="s">
        <v>2034</v>
      </c>
      <c r="B500" s="13" t="s">
        <v>718</v>
      </c>
      <c r="C500" s="14"/>
      <c r="D500" s="15">
        <v>42143.297118055554</v>
      </c>
      <c r="E500" s="16" t="s">
        <v>23</v>
      </c>
      <c r="F500" s="16" t="s">
        <v>16</v>
      </c>
      <c r="G500" s="17" t="s">
        <v>1432</v>
      </c>
      <c r="H500" s="17" t="s">
        <v>2207</v>
      </c>
      <c r="I500" s="13" t="s">
        <v>2208</v>
      </c>
      <c r="J500" s="23" t="str">
        <f>HYPERLINK("CorLog\COD\LDC\20150519 COD LDC DC-41 No 1 Congo (Kinshasa) Assembly Hall Kikwit (USD 304,288) (ZWE-to-RDC).msg", "DC-41 No 1 Congo (Kinshasa) Assembly Hall Kikwit (USD 304,288)")</f>
        <v>DC-41 No 1 Congo (Kinshasa) Assembly Hall Kikwit (USD 304,288)</v>
      </c>
      <c r="K500" s="25" t="s">
        <v>1211</v>
      </c>
      <c r="L500" s="19"/>
      <c r="M500" s="20"/>
      <c r="N500" s="21" t="s">
        <v>2209</v>
      </c>
    </row>
    <row r="501" spans="1:14">
      <c r="A501" s="12" t="s">
        <v>2034</v>
      </c>
      <c r="B501" s="13" t="s">
        <v>718</v>
      </c>
      <c r="C501" s="14"/>
      <c r="D501" s="15">
        <v>42143.274710648147</v>
      </c>
      <c r="E501" s="16" t="s">
        <v>21</v>
      </c>
      <c r="F501" s="16" t="s">
        <v>16</v>
      </c>
      <c r="G501" s="17" t="s">
        <v>790</v>
      </c>
      <c r="H501" s="17" t="s">
        <v>2204</v>
      </c>
      <c r="I501" s="13" t="s">
        <v>2210</v>
      </c>
      <c r="J501" s="23" t="str">
        <f>HYPERLINK("CorLog\GHA\BEX\20150519 GHA BEX AO-9 Report - Ghana Branch Adjacent Property Development (GHA0013) (GHA-to-RDC).msg", "AO-9 Report - Ghana Branch Adjacent Property Development (GHA0013)")</f>
        <v>AO-9 Report - Ghana Branch Adjacent Property Development (GHA0013)</v>
      </c>
      <c r="K501" s="25" t="s">
        <v>1274</v>
      </c>
      <c r="L501" s="19"/>
      <c r="M501" s="20"/>
      <c r="N501" s="21" t="s">
        <v>2211</v>
      </c>
    </row>
    <row r="502" spans="1:14">
      <c r="A502" s="12" t="s">
        <v>718</v>
      </c>
      <c r="B502" s="13" t="s">
        <v>895</v>
      </c>
      <c r="C502" s="14" t="s">
        <v>2212</v>
      </c>
      <c r="D502" s="15">
        <v>42143.273518518516</v>
      </c>
      <c r="E502" s="16" t="s">
        <v>16</v>
      </c>
      <c r="F502" s="16" t="s">
        <v>18</v>
      </c>
      <c r="G502" s="17" t="s">
        <v>1112</v>
      </c>
      <c r="H502" s="17" t="s">
        <v>858</v>
      </c>
      <c r="I502" s="13" t="s">
        <v>2146</v>
      </c>
      <c r="J502" s="23" t="str">
        <f>HYPERLINK("CorLog\ZMB\BEX\20150519 ZMB BEX RDC review of AO-8 April 2015 (RDC-to-ZMB).msg", "RDC review of AO-8 April 2015")</f>
        <v>RDC review of AO-8 April 2015</v>
      </c>
      <c r="K502" s="25"/>
      <c r="L502" s="19"/>
      <c r="M502" s="20"/>
      <c r="N502" s="21" t="s">
        <v>2213</v>
      </c>
    </row>
    <row r="503" spans="1:14">
      <c r="A503" s="12" t="s">
        <v>718</v>
      </c>
      <c r="B503" s="13" t="s">
        <v>1069</v>
      </c>
      <c r="C503" s="14" t="s">
        <v>2214</v>
      </c>
      <c r="D503" s="15">
        <v>42143.270925925928</v>
      </c>
      <c r="E503" s="16" t="s">
        <v>16</v>
      </c>
      <c r="F503" s="16" t="s">
        <v>18</v>
      </c>
      <c r="G503" s="17" t="s">
        <v>1070</v>
      </c>
      <c r="H503" s="17" t="s">
        <v>1184</v>
      </c>
      <c r="I503" s="13" t="s">
        <v>2215</v>
      </c>
      <c r="J503" s="23" t="str">
        <f>HYPERLINK("CorLog\ZMB\Katete RTO\20150519 ZMB Katete RTO DC-43 for Review; 201504 (RDC-to-ZMB).msg", "DC-43 for Review; 201504")</f>
        <v>DC-43 for Review; 201504</v>
      </c>
      <c r="K503" s="25" t="s">
        <v>1211</v>
      </c>
      <c r="L503" s="19"/>
      <c r="M503" s="20"/>
      <c r="N503" s="21" t="s">
        <v>2216</v>
      </c>
    </row>
    <row r="504" spans="1:14">
      <c r="A504" s="12" t="s">
        <v>718</v>
      </c>
      <c r="B504" s="13" t="s">
        <v>1069</v>
      </c>
      <c r="C504" s="14" t="s">
        <v>2217</v>
      </c>
      <c r="D504" s="15">
        <v>42143.262175925927</v>
      </c>
      <c r="E504" s="16" t="s">
        <v>16</v>
      </c>
      <c r="F504" s="16" t="s">
        <v>18</v>
      </c>
      <c r="G504" s="17" t="s">
        <v>1070</v>
      </c>
      <c r="H504" s="17" t="s">
        <v>829</v>
      </c>
      <c r="I504" s="13" t="s">
        <v>2218</v>
      </c>
      <c r="J504" s="23" t="str">
        <f>HYPERLINK("CorLog\ZMB\Katete RTO\20150519 ZMB Katete RTO Draft NLBR; REQ 520-11906; Shipments from Hong Kong; 20150519 (RDC-to-ZMB).msg", "Draft NLBR; REQ 520-11906; Shipments from Hong Kong; 20150519")</f>
        <v>Draft NLBR; REQ 520-11906; Shipments from Hong Kong; 20150519</v>
      </c>
      <c r="K504" s="25"/>
      <c r="L504" s="19"/>
      <c r="M504" s="20"/>
      <c r="N504" s="21" t="s">
        <v>2219</v>
      </c>
    </row>
    <row r="505" spans="1:14">
      <c r="A505" s="12" t="s">
        <v>1052</v>
      </c>
      <c r="B505" s="13" t="s">
        <v>1206</v>
      </c>
      <c r="C505" s="14"/>
      <c r="D505" s="15">
        <v>42142.774409722224</v>
      </c>
      <c r="E505" s="16" t="s">
        <v>17</v>
      </c>
      <c r="F505" s="16" t="s">
        <v>17</v>
      </c>
      <c r="G505" s="17" t="s">
        <v>1314</v>
      </c>
      <c r="H505" s="17" t="s">
        <v>1850</v>
      </c>
      <c r="I505" s="13" t="s">
        <v>2220</v>
      </c>
      <c r="J505" s="23" t="str">
        <f>HYPERLINK("CorLog\AGO\LDC\20150518 AGO LDC Additional Developments Regarding the Property For Luanda Sul AH (WDC-to-WDC).msg", "Additional Developments Regarding the Property For Luanda Sul AH")</f>
        <v>Additional Developments Regarding the Property For Luanda Sul AH</v>
      </c>
      <c r="K505" s="25" t="s">
        <v>1211</v>
      </c>
      <c r="L505" s="19"/>
      <c r="M505" s="20"/>
      <c r="N505" s="21" t="s">
        <v>2221</v>
      </c>
    </row>
    <row r="506" spans="1:14">
      <c r="A506" s="12" t="s">
        <v>837</v>
      </c>
      <c r="B506" s="13" t="s">
        <v>742</v>
      </c>
      <c r="C506" s="14" t="s">
        <v>2222</v>
      </c>
      <c r="D506" s="15">
        <v>42142.695347222223</v>
      </c>
      <c r="E506" s="16" t="s">
        <v>18</v>
      </c>
      <c r="F506" s="16" t="s">
        <v>16</v>
      </c>
      <c r="G506" s="17" t="s">
        <v>838</v>
      </c>
      <c r="H506" s="17" t="s">
        <v>2223</v>
      </c>
      <c r="I506" s="13" t="s">
        <v>2224</v>
      </c>
      <c r="J506" s="18" t="str">
        <f>HYPERLINK("CorLog\ZMB\Choma RTO\20150518 ZMB Choma RTO Local steel milling certifaction, help to verify usability (ZMB-to-RDC).msg", "Local steel milling certifaction, help to verify usability")</f>
        <v>Local steel milling certifaction, help to verify usability</v>
      </c>
      <c r="K506" s="22"/>
      <c r="L506" s="19"/>
      <c r="M506" s="20"/>
      <c r="N506" s="21" t="s">
        <v>2225</v>
      </c>
    </row>
    <row r="507" spans="1:14">
      <c r="A507" s="12" t="s">
        <v>832</v>
      </c>
      <c r="B507" s="13" t="s">
        <v>742</v>
      </c>
      <c r="C507" s="14" t="s">
        <v>2226</v>
      </c>
      <c r="D507" s="15">
        <v>42142.667326388888</v>
      </c>
      <c r="E507" s="16" t="s">
        <v>21</v>
      </c>
      <c r="F507" s="16" t="s">
        <v>16</v>
      </c>
      <c r="G507" s="17" t="s">
        <v>738</v>
      </c>
      <c r="H507" s="17" t="s">
        <v>2227</v>
      </c>
      <c r="I507" s="13" t="s">
        <v>2228</v>
      </c>
      <c r="J507" s="23" t="str">
        <f>HYPERLINK("CorLog\GHA\BEX 2\20150518 GHA BEX 2 CDP - Equipment needs (GHA-to-RDC).msg", "CDP - Equipment needs")</f>
        <v>CDP - Equipment needs</v>
      </c>
      <c r="K507" s="25" t="s">
        <v>1369</v>
      </c>
      <c r="L507" s="19"/>
      <c r="M507" s="20"/>
      <c r="N507" s="21" t="s">
        <v>2229</v>
      </c>
    </row>
    <row r="508" spans="1:14">
      <c r="A508" s="12" t="s">
        <v>718</v>
      </c>
      <c r="B508" s="13" t="s">
        <v>1529</v>
      </c>
      <c r="C508" s="14" t="s">
        <v>2230</v>
      </c>
      <c r="D508" s="15">
        <v>42142.666018518517</v>
      </c>
      <c r="E508" s="16" t="s">
        <v>16</v>
      </c>
      <c r="F508" s="16" t="s">
        <v>18</v>
      </c>
      <c r="G508" s="17" t="s">
        <v>946</v>
      </c>
      <c r="H508" s="17" t="s">
        <v>858</v>
      </c>
      <c r="I508" s="13" t="s">
        <v>2146</v>
      </c>
      <c r="J508" s="23" t="str">
        <f>HYPERLINK("CorLog\ZMB\Mongu RTO\20150518 ZMB Mongu RTO RDC review of AO-8 April 2015 (RDC-to-ZMB).msg", "RDC review of AO-8 April 2015")</f>
        <v>RDC review of AO-8 April 2015</v>
      </c>
      <c r="K508" s="25" t="s">
        <v>1243</v>
      </c>
      <c r="L508" s="19"/>
      <c r="M508" s="20"/>
      <c r="N508" s="21" t="s">
        <v>2231</v>
      </c>
    </row>
    <row r="509" spans="1:14">
      <c r="A509" s="12" t="s">
        <v>750</v>
      </c>
      <c r="B509" s="13" t="s">
        <v>795</v>
      </c>
      <c r="C509" s="14" t="s">
        <v>2232</v>
      </c>
      <c r="D509" s="15">
        <v>42142.516979166663</v>
      </c>
      <c r="E509" s="16" t="s">
        <v>16</v>
      </c>
      <c r="F509" s="16" t="s">
        <v>16</v>
      </c>
      <c r="G509" s="17" t="s">
        <v>979</v>
      </c>
      <c r="H509" s="17" t="s">
        <v>2233</v>
      </c>
      <c r="I509" s="13" t="s">
        <v>2234</v>
      </c>
      <c r="J509" s="23" t="str">
        <f>HYPERLINK("CorLog\RTO\Projects\20150518 RTO Projects 2nd Air Conditioner in Each TER--put on AFC Dwgs (RDC-to-RDC).msg", "2nd Air Conditioner in Each TER--put on AFC Dwgs")</f>
        <v>2nd Air Conditioner in Each TER--put on AFC Dwgs</v>
      </c>
      <c r="K509" s="25" t="s">
        <v>1211</v>
      </c>
      <c r="L509" s="19"/>
      <c r="M509" s="20"/>
      <c r="N509" s="21" t="s">
        <v>2235</v>
      </c>
    </row>
    <row r="510" spans="1:14">
      <c r="A510" s="12" t="s">
        <v>750</v>
      </c>
      <c r="B510" s="13" t="s">
        <v>1069</v>
      </c>
      <c r="C510" s="14" t="s">
        <v>2236</v>
      </c>
      <c r="D510" s="15">
        <v>42142.495798611111</v>
      </c>
      <c r="E510" s="16" t="s">
        <v>16</v>
      </c>
      <c r="F510" s="16" t="s">
        <v>18</v>
      </c>
      <c r="G510" s="17" t="s">
        <v>1070</v>
      </c>
      <c r="H510" s="17" t="s">
        <v>854</v>
      </c>
      <c r="I510" s="13" t="s">
        <v>2237</v>
      </c>
      <c r="J510" s="23" t="str">
        <f>HYPERLINK("CorLog\ZMB\Katete RTO\20150518 ZMB Katete RTO PROPPING OF LINTELS and RING BEAM (RDC-to-ZMB).msg", "PROPPING OF LINTELS and RING BEAM")</f>
        <v>PROPPING OF LINTELS and RING BEAM</v>
      </c>
      <c r="K510" s="25" t="s">
        <v>1270</v>
      </c>
      <c r="L510" s="19"/>
      <c r="M510" s="20"/>
      <c r="N510" s="21" t="s">
        <v>2238</v>
      </c>
    </row>
    <row r="511" spans="1:14">
      <c r="A511" s="12" t="s">
        <v>1187</v>
      </c>
      <c r="B511" s="13" t="s">
        <v>742</v>
      </c>
      <c r="C511" s="14" t="s">
        <v>2239</v>
      </c>
      <c r="D511" s="15">
        <v>42142.484293981484</v>
      </c>
      <c r="E511" s="16" t="s">
        <v>15</v>
      </c>
      <c r="F511" s="16" t="s">
        <v>16</v>
      </c>
      <c r="G511" s="17" t="s">
        <v>738</v>
      </c>
      <c r="H511" s="17" t="s">
        <v>1846</v>
      </c>
      <c r="I511" s="13" t="s">
        <v>2240</v>
      </c>
      <c r="J511" s="23" t="str">
        <f>HYPERLINK("CorLog\GHA\BEX 2\20150518 GHA BEX 2 Comments on proposed creek design (ZAF-to-RDC).msg", "Comments on proposed creek design")</f>
        <v>Comments on proposed creek design</v>
      </c>
      <c r="K511" s="25" t="s">
        <v>1243</v>
      </c>
      <c r="L511" s="19"/>
      <c r="M511" s="20"/>
      <c r="N511" s="21" t="s">
        <v>2241</v>
      </c>
    </row>
    <row r="512" spans="1:14">
      <c r="A512" s="12" t="s">
        <v>718</v>
      </c>
      <c r="B512" s="13" t="s">
        <v>1310</v>
      </c>
      <c r="C512" s="14"/>
      <c r="D512" s="15">
        <v>42142.481400462966</v>
      </c>
      <c r="E512" s="16" t="s">
        <v>16</v>
      </c>
      <c r="F512" s="16" t="s">
        <v>16</v>
      </c>
      <c r="G512" s="17" t="s">
        <v>790</v>
      </c>
      <c r="H512" s="17" t="s">
        <v>2242</v>
      </c>
      <c r="I512" s="13" t="s">
        <v>2243</v>
      </c>
      <c r="J512" s="23" t="str">
        <f>HYPERLINK("CorLog\GHA\BEX\20150518 GHA BEX Ariel monthly photo report on residences (RDC-to-RDC).msg", "Ariel monthly photo report on residences")</f>
        <v>Ariel monthly photo report on residences</v>
      </c>
      <c r="K512" s="25" t="s">
        <v>1211</v>
      </c>
      <c r="L512" s="19"/>
      <c r="M512" s="20"/>
      <c r="N512" s="21" t="s">
        <v>2244</v>
      </c>
    </row>
    <row r="513" spans="1:14">
      <c r="A513" s="12" t="s">
        <v>901</v>
      </c>
      <c r="B513" s="13" t="s">
        <v>842</v>
      </c>
      <c r="C513" s="14" t="s">
        <v>2245</v>
      </c>
      <c r="D513" s="15">
        <v>42142.473437499997</v>
      </c>
      <c r="E513" s="16" t="s">
        <v>21</v>
      </c>
      <c r="F513" s="16" t="s">
        <v>21</v>
      </c>
      <c r="G513" s="17" t="s">
        <v>790</v>
      </c>
      <c r="H513" s="17" t="s">
        <v>886</v>
      </c>
      <c r="I513" s="13" t="s">
        <v>2246</v>
      </c>
      <c r="J513" s="18" t="str">
        <f>HYPERLINK("CorLog\GHA\BEX\20150518 GHA BEX High Tension Power Supply (Installation of new meter) (GHA-to-GHA).msg", "High Tension Power Supply (Installation of new meter)")</f>
        <v>High Tension Power Supply (Installation of new meter)</v>
      </c>
      <c r="K513" s="22" t="s">
        <v>721</v>
      </c>
      <c r="L513" s="19"/>
      <c r="M513" s="20"/>
      <c r="N513" s="21" t="s">
        <v>2247</v>
      </c>
    </row>
    <row r="514" spans="1:14">
      <c r="A514" s="12" t="s">
        <v>756</v>
      </c>
      <c r="B514" s="13" t="s">
        <v>821</v>
      </c>
      <c r="C514" s="14" t="s">
        <v>1710</v>
      </c>
      <c r="D514" s="15">
        <v>42142.46707175926</v>
      </c>
      <c r="E514" s="16" t="s">
        <v>16</v>
      </c>
      <c r="F514" s="16" t="s">
        <v>21</v>
      </c>
      <c r="G514" s="17" t="s">
        <v>738</v>
      </c>
      <c r="H514" s="17" t="s">
        <v>2248</v>
      </c>
      <c r="I514" s="13" t="s">
        <v>2249</v>
      </c>
      <c r="J514" s="23" t="str">
        <f>HYPERLINK("CorLog\GHA\BEX 2\20150518 GHA BEX 2 Main entry gate concept (RDC-to-GHA).msg", "Main entry gate concept")</f>
        <v>Main entry gate concept</v>
      </c>
      <c r="K514" s="25"/>
      <c r="L514" s="19"/>
      <c r="M514" s="20"/>
      <c r="N514" s="21" t="s">
        <v>2250</v>
      </c>
    </row>
    <row r="515" spans="1:14">
      <c r="A515" s="12" t="s">
        <v>916</v>
      </c>
      <c r="B515" s="13" t="s">
        <v>1337</v>
      </c>
      <c r="C515" s="14" t="s">
        <v>1245</v>
      </c>
      <c r="D515" s="15">
        <v>42142.399918981479</v>
      </c>
      <c r="E515" s="16" t="s">
        <v>16</v>
      </c>
      <c r="F515" s="16" t="s">
        <v>18</v>
      </c>
      <c r="G515" s="17" t="s">
        <v>885</v>
      </c>
      <c r="H515" s="17" t="s">
        <v>1200</v>
      </c>
      <c r="I515" s="13" t="s">
        <v>2251</v>
      </c>
      <c r="J515" s="23" t="str">
        <f>HYPERLINK("CorLog\ZMB\Kabompo RTO\20150518 ZMB Kabompo RTO DCP test Entrance ramp slab -1 and -2 20150518 (RDC-to-ZMB).msg", "DCP test Entrance ramp slab -1 and -2 20150518")</f>
        <v>DCP test Entrance ramp slab -1 and -2 20150518</v>
      </c>
      <c r="K515" s="25"/>
      <c r="L515" s="19"/>
      <c r="M515" s="20"/>
      <c r="N515" s="21" t="s">
        <v>2252</v>
      </c>
    </row>
    <row r="516" spans="1:14">
      <c r="A516" s="12" t="s">
        <v>718</v>
      </c>
      <c r="B516" s="13" t="s">
        <v>837</v>
      </c>
      <c r="C516" s="14"/>
      <c r="D516" s="15">
        <v>42142.347060185188</v>
      </c>
      <c r="E516" s="16" t="s">
        <v>16</v>
      </c>
      <c r="F516" s="16" t="s">
        <v>18</v>
      </c>
      <c r="G516" s="17" t="s">
        <v>838</v>
      </c>
      <c r="H516" s="17" t="s">
        <v>1921</v>
      </c>
      <c r="I516" s="13" t="s">
        <v>1922</v>
      </c>
      <c r="J516" s="23" t="str">
        <f>HYPERLINK("CorLog\ZMB\Choma RTO\20150518 ZMB Choma RTO RDC review of NLBR 10368 Doors, windows, security bars (RDC-to-ZMB).msg", "RDC review of NLBR 10368 Doors, windows, security bars")</f>
        <v>RDC review of NLBR 10368 Doors, windows, security bars</v>
      </c>
      <c r="K516" s="25" t="s">
        <v>1499</v>
      </c>
      <c r="L516" s="19"/>
      <c r="M516" s="20"/>
      <c r="N516" s="21" t="s">
        <v>2253</v>
      </c>
    </row>
    <row r="517" spans="1:14">
      <c r="A517" s="12" t="s">
        <v>2034</v>
      </c>
      <c r="B517" s="13" t="s">
        <v>718</v>
      </c>
      <c r="C517" s="14"/>
      <c r="D517" s="15">
        <v>42142.270138888889</v>
      </c>
      <c r="E517" s="16" t="s">
        <v>17</v>
      </c>
      <c r="F517" s="16" t="s">
        <v>16</v>
      </c>
      <c r="G517" s="17" t="s">
        <v>719</v>
      </c>
      <c r="H517" s="17" t="s">
        <v>719</v>
      </c>
      <c r="I517" s="13" t="s">
        <v>2254</v>
      </c>
      <c r="J517" s="23" t="str">
        <f>HYPERLINK("CorLog\Reference\20150518 Reference Project Approval Request Technical Reviews (WDC-to-RDC).msg", "Project Approval Request Technical Reviews")</f>
        <v>Project Approval Request Technical Reviews</v>
      </c>
      <c r="K517" s="25" t="s">
        <v>1243</v>
      </c>
      <c r="L517" s="19"/>
      <c r="M517" s="20"/>
      <c r="N517" s="21" t="s">
        <v>2255</v>
      </c>
    </row>
    <row r="518" spans="1:14">
      <c r="A518" s="12" t="s">
        <v>2034</v>
      </c>
      <c r="B518" s="13" t="s">
        <v>718</v>
      </c>
      <c r="C518" s="14"/>
      <c r="D518" s="15">
        <v>42142.269837962966</v>
      </c>
      <c r="E518" s="16" t="s">
        <v>17</v>
      </c>
      <c r="F518" s="16" t="s">
        <v>16</v>
      </c>
      <c r="G518" s="17" t="s">
        <v>719</v>
      </c>
      <c r="H518" s="17" t="s">
        <v>2256</v>
      </c>
      <c r="I518" s="13" t="s">
        <v>2257</v>
      </c>
      <c r="J518" s="23" t="str">
        <f>HYPERLINK("CorLog\Reference\20150518 Reference Adjustments to Discipline Coordinator Name and Job Description (WDC-to-RDC).msg", "Adjustments to Discipline Coordinator Name and Job Description")</f>
        <v>Adjustments to Discipline Coordinator Name and Job Description</v>
      </c>
      <c r="K518" s="25" t="s">
        <v>1243</v>
      </c>
      <c r="L518" s="19"/>
      <c r="M518" s="20"/>
      <c r="N518" s="21" t="s">
        <v>2258</v>
      </c>
    </row>
    <row r="519" spans="1:14">
      <c r="A519" s="12" t="s">
        <v>1052</v>
      </c>
      <c r="B519" s="13" t="s">
        <v>1206</v>
      </c>
      <c r="C519" s="14"/>
      <c r="D519" s="15">
        <v>42141.946087962962</v>
      </c>
      <c r="E519" s="16" t="s">
        <v>17</v>
      </c>
      <c r="F519" s="16" t="s">
        <v>17</v>
      </c>
      <c r="G519" s="17" t="s">
        <v>1432</v>
      </c>
      <c r="H519" s="17" t="s">
        <v>731</v>
      </c>
      <c r="I519" s="13" t="s">
        <v>2208</v>
      </c>
      <c r="J519" s="23" t="str">
        <f>HYPERLINK("CorLog\COD\LDC\20150517 COD LDC DC-41 No 1 Congo (Kinshasa) Assembly Hall Kikwit (USD 304,288) (WDC-to-WDC).msg", "DC-41 No 1 Congo (Kinshasa) Assembly Hall Kikwit (USD 304,288)")</f>
        <v>DC-41 No 1 Congo (Kinshasa) Assembly Hall Kikwit (USD 304,288)</v>
      </c>
      <c r="K519" s="25" t="s">
        <v>1211</v>
      </c>
      <c r="L519" s="19"/>
      <c r="M519" s="20"/>
      <c r="N519" s="21" t="s">
        <v>2259</v>
      </c>
    </row>
    <row r="520" spans="1:14">
      <c r="A520" s="12" t="s">
        <v>718</v>
      </c>
      <c r="B520" s="13" t="s">
        <v>827</v>
      </c>
      <c r="C520" s="14" t="s">
        <v>2260</v>
      </c>
      <c r="D520" s="15">
        <v>42141.65966435185</v>
      </c>
      <c r="E520" s="16" t="s">
        <v>16</v>
      </c>
      <c r="F520" s="16" t="s">
        <v>21</v>
      </c>
      <c r="G520" s="17" t="s">
        <v>790</v>
      </c>
      <c r="H520" s="17" t="s">
        <v>867</v>
      </c>
      <c r="I520" s="13" t="s">
        <v>2261</v>
      </c>
      <c r="J520" s="18" t="str">
        <f>HYPERLINK("CorLog\GHA\BEX\20150517 GHA BEX Budget Analysis 2015-05-17 (RDC-to-GHA).msg", "Budget Analysis 2015-05-17")</f>
        <v>Budget Analysis 2015-05-17</v>
      </c>
      <c r="K520" s="22"/>
      <c r="L520" s="19"/>
      <c r="M520" s="20"/>
      <c r="N520" s="21" t="s">
        <v>2262</v>
      </c>
    </row>
    <row r="521" spans="1:14">
      <c r="A521" s="12" t="s">
        <v>795</v>
      </c>
      <c r="B521" s="13" t="s">
        <v>718</v>
      </c>
      <c r="C521" s="14" t="s">
        <v>2263</v>
      </c>
      <c r="D521" s="15">
        <v>42141.518530092595</v>
      </c>
      <c r="E521" s="16" t="s">
        <v>16</v>
      </c>
      <c r="F521" s="16" t="s">
        <v>16</v>
      </c>
      <c r="G521" s="17" t="s">
        <v>838</v>
      </c>
      <c r="H521" s="17" t="s">
        <v>2264</v>
      </c>
      <c r="I521" s="13" t="s">
        <v>1577</v>
      </c>
      <c r="J521" s="23" t="str">
        <f>HYPERLINK("CorLog\ZMB\Choma RTO\20150517 ZMB Choma RTO Borehole pump specification request (RDC-to-RDC).msg", "Borehole pump specification request")</f>
        <v>Borehole pump specification request</v>
      </c>
      <c r="K521" s="25" t="s">
        <v>1211</v>
      </c>
      <c r="L521" s="19"/>
      <c r="M521" s="20"/>
      <c r="N521" s="21" t="s">
        <v>2265</v>
      </c>
    </row>
    <row r="522" spans="1:14">
      <c r="A522" s="12" t="s">
        <v>795</v>
      </c>
      <c r="B522" s="13" t="s">
        <v>718</v>
      </c>
      <c r="C522" s="14" t="s">
        <v>2266</v>
      </c>
      <c r="D522" s="15">
        <v>42141.501701388886</v>
      </c>
      <c r="E522" s="16" t="s">
        <v>16</v>
      </c>
      <c r="F522" s="16" t="s">
        <v>16</v>
      </c>
      <c r="G522" s="17" t="s">
        <v>1070</v>
      </c>
      <c r="H522" s="17" t="s">
        <v>1031</v>
      </c>
      <c r="I522" s="13" t="s">
        <v>1522</v>
      </c>
      <c r="J522" s="23" t="str">
        <f>HYPERLINK("CorLog\ZMB\Katete RTO\20150517 ZMB Katete RTO RFI Borehole pump specs (RDC-to-RDC).msg", "RFI Borehole pump specs")</f>
        <v>RFI Borehole pump specs</v>
      </c>
      <c r="K522" s="25" t="s">
        <v>1211</v>
      </c>
      <c r="L522" s="19"/>
      <c r="M522" s="20"/>
      <c r="N522" s="21" t="s">
        <v>2267</v>
      </c>
    </row>
    <row r="523" spans="1:14">
      <c r="A523" s="12" t="s">
        <v>795</v>
      </c>
      <c r="B523" s="13" t="s">
        <v>742</v>
      </c>
      <c r="C523" s="14" t="s">
        <v>958</v>
      </c>
      <c r="D523" s="15">
        <v>42141.487592592595</v>
      </c>
      <c r="E523" s="16" t="s">
        <v>16</v>
      </c>
      <c r="F523" s="16" t="s">
        <v>16</v>
      </c>
      <c r="G523" s="17" t="s">
        <v>1169</v>
      </c>
      <c r="H523" s="17" t="s">
        <v>1031</v>
      </c>
      <c r="I523" s="13" t="s">
        <v>2268</v>
      </c>
      <c r="J523" s="23" t="str">
        <f>HYPERLINK("CorLog\COD\Kikwit RTO\20150517 COD Kikwit RTO Borehole pump selection (RDC-to-RDC).msg", "Borehole pump selection")</f>
        <v>Borehole pump selection</v>
      </c>
      <c r="K523" s="25"/>
      <c r="L523" s="19"/>
      <c r="M523" s="20"/>
      <c r="N523" s="21" t="s">
        <v>2269</v>
      </c>
    </row>
    <row r="524" spans="1:14">
      <c r="A524" s="12" t="s">
        <v>1176</v>
      </c>
      <c r="B524" s="13" t="s">
        <v>1969</v>
      </c>
      <c r="C524" s="14" t="s">
        <v>2270</v>
      </c>
      <c r="D524" s="15">
        <v>42141.271921296298</v>
      </c>
      <c r="E524" s="16" t="s">
        <v>16</v>
      </c>
      <c r="F524" s="16" t="s">
        <v>22</v>
      </c>
      <c r="G524" s="17" t="s">
        <v>979</v>
      </c>
      <c r="H524" s="17" t="s">
        <v>2271</v>
      </c>
      <c r="I524" s="13" t="s">
        <v>2272</v>
      </c>
      <c r="J524" s="23" t="str">
        <f>HYPERLINK("CorLog\RTO\Projects\20150517 RTO Projects Fall Protection NLBR (Neoprene washers) (RDC-to-COD).msg", "Fall Protection NLBR (Neoprene washers)")</f>
        <v>Fall Protection NLBR (Neoprene washers)</v>
      </c>
      <c r="K524" s="25" t="s">
        <v>1243</v>
      </c>
      <c r="L524" s="19"/>
      <c r="M524" s="20"/>
      <c r="N524" s="21" t="s">
        <v>2273</v>
      </c>
    </row>
    <row r="525" spans="1:14">
      <c r="A525" s="12" t="s">
        <v>795</v>
      </c>
      <c r="B525" s="13" t="s">
        <v>750</v>
      </c>
      <c r="C525" s="14" t="s">
        <v>2274</v>
      </c>
      <c r="D525" s="15">
        <v>42140.770995370367</v>
      </c>
      <c r="E525" s="16" t="s">
        <v>16</v>
      </c>
      <c r="F525" s="16" t="s">
        <v>16</v>
      </c>
      <c r="G525" s="17" t="s">
        <v>738</v>
      </c>
      <c r="H525" s="17" t="s">
        <v>2275</v>
      </c>
      <c r="I525" s="13" t="s">
        <v>2276</v>
      </c>
      <c r="J525" s="23" t="str">
        <f>HYPERLINK("CorLog\GHA\BEX 2\20150516 GHA BEX 2 Ventilation Cooling in Laundry (RDC-to-RDC).msg", "Ventilation Cooling in Laundry")</f>
        <v>Ventilation Cooling in Laundry</v>
      </c>
      <c r="K525" s="25"/>
      <c r="L525" s="19"/>
      <c r="M525" s="20"/>
      <c r="N525" s="21" t="s">
        <v>2277</v>
      </c>
    </row>
    <row r="526" spans="1:14">
      <c r="A526" s="12" t="s">
        <v>2278</v>
      </c>
      <c r="B526" s="13" t="s">
        <v>724</v>
      </c>
      <c r="C526" s="14" t="s">
        <v>2279</v>
      </c>
      <c r="D526" s="15">
        <v>42140.424467592595</v>
      </c>
      <c r="E526" s="16" t="s">
        <v>34</v>
      </c>
      <c r="F526" s="16" t="s">
        <v>16</v>
      </c>
      <c r="G526" s="17" t="s">
        <v>719</v>
      </c>
      <c r="H526" s="17" t="s">
        <v>936</v>
      </c>
      <c r="I526" s="13" t="s">
        <v>2280</v>
      </c>
      <c r="J526" s="23" t="str">
        <f>HYPERLINK("CorLog\Reference\20150516 Reference Video Systems for Kingdom Halls (MWI-to-RDC).msg", "Video Systems for Kingdom Halls")</f>
        <v>Video Systems for Kingdom Halls</v>
      </c>
      <c r="K526" s="25" t="s">
        <v>1270</v>
      </c>
      <c r="L526" s="19"/>
      <c r="M526" s="20"/>
      <c r="N526" s="21" t="s">
        <v>2281</v>
      </c>
    </row>
    <row r="527" spans="1:14">
      <c r="A527" s="12" t="s">
        <v>771</v>
      </c>
      <c r="B527" s="13" t="s">
        <v>821</v>
      </c>
      <c r="C527" s="14" t="s">
        <v>2282</v>
      </c>
      <c r="D527" s="15">
        <v>42139.854050925926</v>
      </c>
      <c r="E527" s="16" t="s">
        <v>17</v>
      </c>
      <c r="F527" s="16" t="s">
        <v>21</v>
      </c>
      <c r="G527" s="17" t="s">
        <v>738</v>
      </c>
      <c r="H527" s="17" t="s">
        <v>1993</v>
      </c>
      <c r="I527" s="13" t="s">
        <v>2283</v>
      </c>
      <c r="J527" s="23" t="str">
        <f>HYPERLINK("CorLog\GHA\BEX 2\20150515 GHA BEX 2 Double rooms in Phase-2 residence building (WDC-to-GHA).msg", "Double rooms in Phase-2 residence building")</f>
        <v>Double rooms in Phase-2 residence building</v>
      </c>
      <c r="K527" s="25"/>
      <c r="L527" s="19"/>
      <c r="M527" s="20"/>
      <c r="N527" s="21" t="s">
        <v>2284</v>
      </c>
    </row>
    <row r="528" spans="1:14">
      <c r="A528" s="12" t="s">
        <v>827</v>
      </c>
      <c r="B528" s="13" t="s">
        <v>718</v>
      </c>
      <c r="C528" s="14" t="s">
        <v>2285</v>
      </c>
      <c r="D528" s="15">
        <v>42139.724189814813</v>
      </c>
      <c r="E528" s="16" t="s">
        <v>21</v>
      </c>
      <c r="F528" s="16" t="s">
        <v>16</v>
      </c>
      <c r="G528" s="17" t="s">
        <v>738</v>
      </c>
      <c r="H528" s="17" t="s">
        <v>867</v>
      </c>
      <c r="I528" s="13" t="s">
        <v>2286</v>
      </c>
      <c r="J528" s="18" t="str">
        <f>HYPERLINK("CorLog\GHA\BEX 2\20150515 GHA BEX 2 Costs to be carried fwd to BEX Phase II (GHA-to-RDC).msg", "Costs to be carried fwd to BEX Phase II")</f>
        <v>Costs to be carried fwd to BEX Phase II</v>
      </c>
      <c r="K528" s="18"/>
      <c r="L528" s="19"/>
      <c r="M528" s="20"/>
      <c r="N528" s="21" t="s">
        <v>2287</v>
      </c>
    </row>
    <row r="529" spans="1:14">
      <c r="A529" s="12" t="s">
        <v>1160</v>
      </c>
      <c r="B529" s="13" t="s">
        <v>1936</v>
      </c>
      <c r="C529" s="14" t="s">
        <v>1937</v>
      </c>
      <c r="D529" s="15">
        <v>42139.715486111112</v>
      </c>
      <c r="E529" s="16" t="s">
        <v>20</v>
      </c>
      <c r="F529" s="16" t="s">
        <v>33</v>
      </c>
      <c r="G529" s="17" t="s">
        <v>1938</v>
      </c>
      <c r="H529" s="17" t="s">
        <v>2288</v>
      </c>
      <c r="I529" s="13" t="s">
        <v>2289</v>
      </c>
      <c r="J529" s="23" t="str">
        <f>HYPERLINK("CorLog\CIV\Agboville RTO\20150515 CIV Agboville RTO Renovation Bouake Projects-Minutes (MOZ-to-CIV).msg", "Renovation Bouake Projects-Minutes")</f>
        <v>Renovation Bouake Projects-Minutes</v>
      </c>
      <c r="K529" s="25" t="s">
        <v>1211</v>
      </c>
      <c r="L529" s="19"/>
      <c r="M529" s="20"/>
      <c r="N529" s="21" t="s">
        <v>2290</v>
      </c>
    </row>
    <row r="530" spans="1:14">
      <c r="A530" s="12"/>
      <c r="B530" s="13"/>
      <c r="C530" s="14"/>
      <c r="D530" s="15">
        <v>42139.679016203707</v>
      </c>
      <c r="E530" s="16" t="s">
        <v>17</v>
      </c>
      <c r="F530" s="16" t="s">
        <v>21</v>
      </c>
      <c r="G530" s="17" t="s">
        <v>738</v>
      </c>
      <c r="H530" s="17" t="s">
        <v>1195</v>
      </c>
      <c r="I530" s="13" t="s">
        <v>2291</v>
      </c>
      <c r="J530" s="18" t="str">
        <f>HYPERLINK("CorLog\GHA\BEX 2\20150515 GHA BEX 2 PWG Notes 2015-05-14 Double Room Count in New Residences (WDC-to-GHA).docx", "PWG Notes 2015-05-14 Double Room Count in New Residences")</f>
        <v>PWG Notes 2015-05-14 Double Room Count in New Residences</v>
      </c>
      <c r="K530" s="22"/>
      <c r="L530" s="19"/>
      <c r="M530" s="20"/>
      <c r="N530" s="21"/>
    </row>
    <row r="531" spans="1:14">
      <c r="A531" s="12" t="s">
        <v>1237</v>
      </c>
      <c r="B531" s="13" t="s">
        <v>1176</v>
      </c>
      <c r="C531" s="14" t="s">
        <v>2292</v>
      </c>
      <c r="D531" s="15">
        <v>42139.666215277779</v>
      </c>
      <c r="E531" s="16" t="s">
        <v>15</v>
      </c>
      <c r="F531" s="16" t="s">
        <v>16</v>
      </c>
      <c r="G531" s="17" t="s">
        <v>719</v>
      </c>
      <c r="H531" s="17" t="s">
        <v>2293</v>
      </c>
      <c r="I531" s="13" t="s">
        <v>2294</v>
      </c>
      <c r="J531" s="23" t="str">
        <f>HYPERLINK("CorLog\Reference\20150515 Reference Meeting Minutes-Consolidation and logistics of materials from Europe (ZAF-to-RDC).msg", "Meeting Minutes-Consolidation and logistics of materials from Europe")</f>
        <v>Meeting Minutes-Consolidation and logistics of materials from Europe</v>
      </c>
      <c r="K531" s="25" t="s">
        <v>1211</v>
      </c>
      <c r="L531" s="19"/>
      <c r="M531" s="20"/>
      <c r="N531" s="21" t="s">
        <v>2295</v>
      </c>
    </row>
    <row r="532" spans="1:14">
      <c r="A532" s="12"/>
      <c r="B532" s="13"/>
      <c r="C532" s="14"/>
      <c r="D532" s="15">
        <v>42139.633368055554</v>
      </c>
      <c r="E532" s="16" t="s">
        <v>19</v>
      </c>
      <c r="F532" s="16" t="s">
        <v>17</v>
      </c>
      <c r="G532" s="17" t="s">
        <v>1849</v>
      </c>
      <c r="H532" s="17" t="s">
        <v>1850</v>
      </c>
      <c r="I532" s="13" t="s">
        <v>2220</v>
      </c>
      <c r="J532" s="18" t="str">
        <f>HYPERLINK("CorLog\AGO\Luanda South AH\20150515 AGO Luanda South AH Additional Developments Regarding the Property For Luanda Sul AH (AGO-to-WDC).docx", "Additional Developments Regarding the Property For Luanda Sul AH")</f>
        <v>Additional Developments Regarding the Property For Luanda Sul AH</v>
      </c>
      <c r="K532" s="22"/>
      <c r="L532" s="19"/>
      <c r="M532" s="20"/>
      <c r="N532" s="21" t="s">
        <v>2296</v>
      </c>
    </row>
    <row r="533" spans="1:14">
      <c r="A533" s="12"/>
      <c r="B533" s="13"/>
      <c r="C533" s="14"/>
      <c r="D533" s="15">
        <v>42139.633368055554</v>
      </c>
      <c r="E533" s="16" t="s">
        <v>19</v>
      </c>
      <c r="F533" s="16" t="s">
        <v>17</v>
      </c>
      <c r="G533" s="17" t="s">
        <v>1849</v>
      </c>
      <c r="H533" s="17" t="s">
        <v>1850</v>
      </c>
      <c r="I533" s="13" t="s">
        <v>2220</v>
      </c>
      <c r="J533" s="18" t="str">
        <f>HYPERLINK("CorLog\AGO\Luanda South AH\20150515 AGO Luanda South AH Additional Developments Regarding the Property For Luanda Sul AH (AGO-to-WDC).docx", "Additional Developments Regarding the Property For Luanda Sul AH")</f>
        <v>Additional Developments Regarding the Property For Luanda Sul AH</v>
      </c>
      <c r="K533" s="18"/>
      <c r="L533" s="19"/>
      <c r="M533" s="20"/>
      <c r="N533" s="21" t="s">
        <v>2296</v>
      </c>
    </row>
    <row r="534" spans="1:14">
      <c r="A534" s="12" t="s">
        <v>1052</v>
      </c>
      <c r="B534" s="13" t="s">
        <v>1206</v>
      </c>
      <c r="C534" s="14"/>
      <c r="D534" s="15">
        <v>42139.601724537039</v>
      </c>
      <c r="E534" s="16" t="s">
        <v>17</v>
      </c>
      <c r="F534" s="16" t="s">
        <v>30</v>
      </c>
      <c r="G534" s="17" t="s">
        <v>719</v>
      </c>
      <c r="H534" s="17" t="s">
        <v>2029</v>
      </c>
      <c r="I534" s="13" t="s">
        <v>2254</v>
      </c>
      <c r="J534" s="23" t="str">
        <f>HYPERLINK("CorLog\Reference\20150515 Reference Project Approval Request Technical Reviews (WDC-to-ALL).msg", "Project Approval Request Technical Reviews")</f>
        <v>Project Approval Request Technical Reviews</v>
      </c>
      <c r="K534" s="25" t="s">
        <v>1243</v>
      </c>
      <c r="L534" s="19"/>
      <c r="M534" s="20"/>
      <c r="N534" s="21" t="s">
        <v>2297</v>
      </c>
    </row>
    <row r="535" spans="1:14">
      <c r="A535" s="12" t="s">
        <v>998</v>
      </c>
      <c r="B535" s="13" t="s">
        <v>2298</v>
      </c>
      <c r="C535" s="14"/>
      <c r="D535" s="15">
        <v>42139.578993055555</v>
      </c>
      <c r="E535" s="16" t="s">
        <v>17</v>
      </c>
      <c r="F535" s="16" t="s">
        <v>18</v>
      </c>
      <c r="G535" s="17" t="s">
        <v>999</v>
      </c>
      <c r="H535" s="17" t="s">
        <v>2299</v>
      </c>
      <c r="I535" s="13" t="s">
        <v>2300</v>
      </c>
      <c r="J535" s="23" t="str">
        <f>HYPERLINK("CorLog\ZMB\Branch\20150515 ZMB Branch Zambia PWG Notes 2015-05-14 docx (WDC-to-ZMB).msg", "Zambia PWG Notes 2015-05-14 docx")</f>
        <v>Zambia PWG Notes 2015-05-14 docx</v>
      </c>
      <c r="K535" s="25" t="s">
        <v>1211</v>
      </c>
      <c r="L535" s="19"/>
      <c r="M535" s="20"/>
      <c r="N535" s="21" t="s">
        <v>1407</v>
      </c>
    </row>
    <row r="536" spans="1:14">
      <c r="A536" s="12" t="s">
        <v>718</v>
      </c>
      <c r="B536" s="13" t="s">
        <v>724</v>
      </c>
      <c r="C536" s="14"/>
      <c r="D536" s="15">
        <v>42139.541712962964</v>
      </c>
      <c r="E536" s="16" t="s">
        <v>16</v>
      </c>
      <c r="F536" s="16" t="s">
        <v>16</v>
      </c>
      <c r="G536" s="17" t="s">
        <v>2127</v>
      </c>
      <c r="H536" s="17" t="s">
        <v>1131</v>
      </c>
      <c r="I536" s="13" t="s">
        <v>2301</v>
      </c>
      <c r="J536" s="23" t="str">
        <f>HYPERLINK("CorLog\ZMB\Nakonde RTO\20150515 ZMB Nakonde RTO DC-31 RDC recommandation (AGREED) (RDC-to-RDC).msg", "DC-31 RDC recommandation (AGREED)")</f>
        <v>DC-31 RDC recommandation (AGREED)</v>
      </c>
      <c r="K536" s="25" t="s">
        <v>1270</v>
      </c>
      <c r="L536" s="19"/>
      <c r="M536" s="20"/>
      <c r="N536" s="21" t="s">
        <v>2302</v>
      </c>
    </row>
    <row r="537" spans="1:14">
      <c r="A537" s="12" t="s">
        <v>750</v>
      </c>
      <c r="B537" s="13" t="s">
        <v>1206</v>
      </c>
      <c r="C537" s="14" t="s">
        <v>2303</v>
      </c>
      <c r="D537" s="15">
        <v>42139.523692129631</v>
      </c>
      <c r="E537" s="16" t="s">
        <v>16</v>
      </c>
      <c r="F537" s="16" t="s">
        <v>17</v>
      </c>
      <c r="G537" s="17" t="s">
        <v>17</v>
      </c>
      <c r="H537" s="17" t="s">
        <v>2304</v>
      </c>
      <c r="I537" s="13" t="s">
        <v>2305</v>
      </c>
      <c r="J537" s="23" t="str">
        <f>HYPERLINK("CorLog\WDC\20150515 WDC WDC Meeting Annual Meeting with CSIdeas Topics (ZAF-RDC) (RDC-to-WDC).msg", "WDC Meeting Annual Meeting with CSIdeas Topics (ZAF-RDC)")</f>
        <v>WDC Meeting Annual Meeting with CSIdeas Topics (ZAF-RDC)</v>
      </c>
      <c r="K537" s="25"/>
      <c r="L537" s="19"/>
      <c r="M537" s="20"/>
      <c r="N537" s="21" t="s">
        <v>2306</v>
      </c>
    </row>
    <row r="538" spans="1:14">
      <c r="A538" s="12" t="s">
        <v>1052</v>
      </c>
      <c r="B538" s="13" t="s">
        <v>1206</v>
      </c>
      <c r="C538" s="14"/>
      <c r="D538" s="15">
        <v>42139.514143518521</v>
      </c>
      <c r="E538" s="16" t="s">
        <v>17</v>
      </c>
      <c r="F538" s="16" t="s">
        <v>30</v>
      </c>
      <c r="G538" s="17" t="s">
        <v>719</v>
      </c>
      <c r="H538" s="17" t="s">
        <v>759</v>
      </c>
      <c r="I538" s="13" t="s">
        <v>2257</v>
      </c>
      <c r="J538" s="23" t="str">
        <f>HYPERLINK("CorLog\Reference\20150515 Reference Adjustments to Discipline Coordinator Name and Job Description (WDC-to-ALL).msg", "Adjustments to Discipline Coordinator Name and Job Description")</f>
        <v>Adjustments to Discipline Coordinator Name and Job Description</v>
      </c>
      <c r="K538" s="25" t="s">
        <v>1243</v>
      </c>
      <c r="L538" s="19"/>
      <c r="M538" s="20"/>
      <c r="N538" s="21" t="s">
        <v>2307</v>
      </c>
    </row>
    <row r="539" spans="1:14">
      <c r="A539" s="12" t="s">
        <v>718</v>
      </c>
      <c r="B539" s="13" t="s">
        <v>795</v>
      </c>
      <c r="C539" s="14" t="s">
        <v>742</v>
      </c>
      <c r="D539" s="15">
        <v>42139.51390046296</v>
      </c>
      <c r="E539" s="16" t="s">
        <v>16</v>
      </c>
      <c r="F539" s="16" t="s">
        <v>16</v>
      </c>
      <c r="G539" s="17" t="s">
        <v>1070</v>
      </c>
      <c r="H539" s="17" t="s">
        <v>1031</v>
      </c>
      <c r="I539" s="13" t="s">
        <v>1522</v>
      </c>
      <c r="J539" s="23" t="str">
        <f>HYPERLINK("CorLog\ZMB\Katete RTO\20150515 ZMB Katete RTO RFI Borehole pump specs (RDC-to-RDC).msg", "RFI Borehole pump specs")</f>
        <v>RFI Borehole pump specs</v>
      </c>
      <c r="K539" s="25" t="s">
        <v>1243</v>
      </c>
      <c r="L539" s="19"/>
      <c r="M539" s="20"/>
      <c r="N539" s="21" t="s">
        <v>2308</v>
      </c>
    </row>
    <row r="540" spans="1:14">
      <c r="A540" s="12" t="s">
        <v>2309</v>
      </c>
      <c r="B540" s="13" t="s">
        <v>718</v>
      </c>
      <c r="C540" s="14" t="s">
        <v>2310</v>
      </c>
      <c r="D540" s="15">
        <v>42139.502615740741</v>
      </c>
      <c r="E540" s="16" t="s">
        <v>36</v>
      </c>
      <c r="F540" s="16" t="s">
        <v>16</v>
      </c>
      <c r="G540" s="17" t="s">
        <v>767</v>
      </c>
      <c r="H540" s="17" t="s">
        <v>867</v>
      </c>
      <c r="I540" s="13" t="s">
        <v>2311</v>
      </c>
      <c r="J540" s="23" t="str">
        <f>HYPERLINK("CorLog\SEN\Branch\20150515 SEN Branch Import duty and freight rates (SEN-to-RDC).msg", "Import duty and freight rates")</f>
        <v>Import duty and freight rates</v>
      </c>
      <c r="K540" s="25"/>
      <c r="L540" s="19"/>
      <c r="M540" s="20"/>
      <c r="N540" s="21" t="s">
        <v>2312</v>
      </c>
    </row>
    <row r="541" spans="1:14">
      <c r="A541" s="12" t="s">
        <v>806</v>
      </c>
      <c r="B541" s="13" t="s">
        <v>1176</v>
      </c>
      <c r="C541" s="14" t="s">
        <v>724</v>
      </c>
      <c r="D541" s="15">
        <v>42139.482835648145</v>
      </c>
      <c r="E541" s="16" t="s">
        <v>15</v>
      </c>
      <c r="F541" s="16" t="s">
        <v>16</v>
      </c>
      <c r="G541" s="17" t="s">
        <v>767</v>
      </c>
      <c r="H541" s="17" t="s">
        <v>2313</v>
      </c>
      <c r="I541" s="13" t="s">
        <v>2314</v>
      </c>
      <c r="J541" s="23" t="str">
        <f>HYPERLINK("CorLog\SEN\Branch\20150515 SEN Branch Senegal - SEN-2765 Safety Equipment ($12,818 23) (ZAF-to-RDC).msg", "Senegal - SEN-2765 Safety Equipment ($12,818 23)")</f>
        <v>Senegal - SEN-2765 Safety Equipment ($12,818 23)</v>
      </c>
      <c r="K541" s="25"/>
      <c r="L541" s="19"/>
      <c r="M541" s="20"/>
      <c r="N541" s="21" t="s">
        <v>2315</v>
      </c>
    </row>
    <row r="542" spans="1:14">
      <c r="A542" s="12" t="s">
        <v>718</v>
      </c>
      <c r="B542" s="13" t="s">
        <v>1337</v>
      </c>
      <c r="C542" s="14" t="s">
        <v>2316</v>
      </c>
      <c r="D542" s="15">
        <v>42139.474629629629</v>
      </c>
      <c r="E542" s="16" t="s">
        <v>16</v>
      </c>
      <c r="F542" s="16" t="s">
        <v>18</v>
      </c>
      <c r="G542" s="17" t="s">
        <v>979</v>
      </c>
      <c r="H542" s="17" t="s">
        <v>829</v>
      </c>
      <c r="I542" s="13" t="s">
        <v>2317</v>
      </c>
      <c r="J542" s="18" t="str">
        <f>HYPERLINK("CorLog\RTO\Projects\20150515 RTO Projects Generic RTO Fall Protection NLBR (RDC-to-ZMB).msg", "Generic RTO Fall Protection NLBR")</f>
        <v>Generic RTO Fall Protection NLBR</v>
      </c>
      <c r="K542" s="22" t="s">
        <v>721</v>
      </c>
      <c r="L542" s="19"/>
      <c r="M542" s="20"/>
      <c r="N542" s="21" t="s">
        <v>2318</v>
      </c>
    </row>
    <row r="543" spans="1:14">
      <c r="A543" s="12" t="s">
        <v>1069</v>
      </c>
      <c r="B543" s="13" t="s">
        <v>718</v>
      </c>
      <c r="C543" s="14" t="s">
        <v>1484</v>
      </c>
      <c r="D543" s="15">
        <v>42139.473483796297</v>
      </c>
      <c r="E543" s="16" t="s">
        <v>18</v>
      </c>
      <c r="F543" s="16" t="s">
        <v>16</v>
      </c>
      <c r="G543" s="17" t="s">
        <v>1070</v>
      </c>
      <c r="H543" s="17" t="s">
        <v>1031</v>
      </c>
      <c r="I543" s="13" t="s">
        <v>1522</v>
      </c>
      <c r="J543" s="23" t="str">
        <f>HYPERLINK("CorLog\ZMB\Katete RTO\20150515 ZMB Katete RTO RFI Borehole pump specs (ZMB-to-RDC).msg", "RFI Borehole pump specs")</f>
        <v>RFI Borehole pump specs</v>
      </c>
      <c r="K543" s="25" t="s">
        <v>1243</v>
      </c>
      <c r="L543" s="19"/>
      <c r="M543" s="20"/>
      <c r="N543" s="21" t="s">
        <v>2319</v>
      </c>
    </row>
    <row r="544" spans="1:14">
      <c r="A544" s="12" t="s">
        <v>749</v>
      </c>
      <c r="B544" s="13" t="s">
        <v>2320</v>
      </c>
      <c r="C544" s="14" t="s">
        <v>2321</v>
      </c>
      <c r="D544" s="15">
        <v>42139.463379629633</v>
      </c>
      <c r="E544" s="16" t="s">
        <v>16</v>
      </c>
      <c r="F544" s="16" t="s">
        <v>23</v>
      </c>
      <c r="G544" s="17" t="s">
        <v>813</v>
      </c>
      <c r="H544" s="17" t="s">
        <v>1858</v>
      </c>
      <c r="I544" s="13" t="s">
        <v>2322</v>
      </c>
      <c r="J544" s="23" t="str">
        <f>HYPERLINK("CorLog\ZWE\LDC\20150515 ZWE LDC ZWE KH Standard drawings ADDITIONAL COMMENTS (RDC-to-ZWE).msg", "ZWE KH Standard drawings ADDITIONAL COMMENTS")</f>
        <v>ZWE KH Standard drawings ADDITIONAL COMMENTS</v>
      </c>
      <c r="K544" s="25" t="s">
        <v>1211</v>
      </c>
      <c r="L544" s="19"/>
      <c r="M544" s="20"/>
      <c r="N544" s="21" t="s">
        <v>2323</v>
      </c>
    </row>
    <row r="545" spans="1:14">
      <c r="A545" s="12" t="s">
        <v>718</v>
      </c>
      <c r="B545" s="13" t="s">
        <v>777</v>
      </c>
      <c r="C545" s="14" t="s">
        <v>2324</v>
      </c>
      <c r="D545" s="15">
        <v>42139.397511574076</v>
      </c>
      <c r="E545" s="16" t="s">
        <v>16</v>
      </c>
      <c r="F545" s="16" t="s">
        <v>18</v>
      </c>
      <c r="G545" s="17" t="s">
        <v>946</v>
      </c>
      <c r="H545" s="17" t="s">
        <v>781</v>
      </c>
      <c r="I545" s="13" t="s">
        <v>2325</v>
      </c>
      <c r="J545" s="18" t="str">
        <f>HYPERLINK("CorLog\ZMB\Mongu RTO\20150515 ZMB Mongu RTO RFI - Maintenance Overseer and wife - which department do they fall under (RDC-to-ZMB).msg", "RFI - Maintenance Overseer and wife - which department do they fall under")</f>
        <v>RFI - Maintenance Overseer and wife - which department do they fall under</v>
      </c>
      <c r="K545" s="22"/>
      <c r="L545" s="19"/>
      <c r="M545" s="20"/>
      <c r="N545" s="21" t="s">
        <v>2326</v>
      </c>
    </row>
    <row r="546" spans="1:14">
      <c r="A546" s="12" t="s">
        <v>1069</v>
      </c>
      <c r="B546" s="13" t="s">
        <v>750</v>
      </c>
      <c r="C546" s="14" t="s">
        <v>2327</v>
      </c>
      <c r="D546" s="15">
        <v>42139.380509259259</v>
      </c>
      <c r="E546" s="16" t="s">
        <v>18</v>
      </c>
      <c r="F546" s="16" t="s">
        <v>16</v>
      </c>
      <c r="G546" s="17" t="s">
        <v>1070</v>
      </c>
      <c r="H546" s="17" t="s">
        <v>854</v>
      </c>
      <c r="I546" s="13" t="s">
        <v>2328</v>
      </c>
      <c r="J546" s="23" t="str">
        <f>HYPERLINK("CorLog\ZMB\Katete RTO\20150515 ZMB Katete RTO REMOVE DPC under Ring Beam ASAP (ZMB-to-RDC).msg", "REMOVE DPC under Ring Beam ASAP")</f>
        <v>REMOVE DPC under Ring Beam ASAP</v>
      </c>
      <c r="K546" s="25" t="s">
        <v>1274</v>
      </c>
      <c r="L546" s="19"/>
      <c r="M546" s="20"/>
      <c r="N546" s="21" t="s">
        <v>2329</v>
      </c>
    </row>
    <row r="547" spans="1:14">
      <c r="A547" s="12"/>
      <c r="B547" s="13"/>
      <c r="C547" s="14"/>
      <c r="D547" s="15">
        <v>42139.370983796296</v>
      </c>
      <c r="E547" s="16" t="s">
        <v>18</v>
      </c>
      <c r="F547" s="16" t="s">
        <v>15</v>
      </c>
      <c r="G547" s="17" t="s">
        <v>999</v>
      </c>
      <c r="H547" s="17" t="s">
        <v>1000</v>
      </c>
      <c r="I547" s="13" t="s">
        <v>2330</v>
      </c>
      <c r="J547" s="23" t="str">
        <f>HYPERLINK("CorLog\ZMB\Branch\20150515 ZMB Branch Construction Requests Following RDC Visit (ZMB-to-ZAF).docx", "Construction Requests Following RDC Visit")</f>
        <v>Construction Requests Following RDC Visit</v>
      </c>
      <c r="K547" s="23"/>
      <c r="L547" s="19" t="s">
        <v>2331</v>
      </c>
      <c r="M547" s="20"/>
      <c r="N547" s="21" t="s">
        <v>2332</v>
      </c>
    </row>
    <row r="548" spans="1:14">
      <c r="A548" s="12"/>
      <c r="B548" s="13"/>
      <c r="C548" s="14"/>
      <c r="D548" s="15">
        <v>42139.286249999997</v>
      </c>
      <c r="E548" s="16" t="s">
        <v>16</v>
      </c>
      <c r="F548" s="16" t="s">
        <v>30</v>
      </c>
      <c r="G548" s="17" t="s">
        <v>28</v>
      </c>
      <c r="H548" s="17" t="s">
        <v>2333</v>
      </c>
      <c r="I548" s="13" t="s">
        <v>2334</v>
      </c>
      <c r="J548" s="23" t="str">
        <f>HYPERLINK("CorLog\LDC\20150515 LDC LDC RDC Engineering Support MINUTES 2015-05-01 (RDC-to-ALL).docx", "LDC RDC Engineering Support MINUTES 2015-05-01")</f>
        <v>LDC RDC Engineering Support MINUTES 2015-05-01</v>
      </c>
      <c r="K548" s="23"/>
      <c r="L548" s="19"/>
      <c r="M548" s="20"/>
      <c r="N548" s="21"/>
    </row>
    <row r="549" spans="1:14">
      <c r="A549" s="12"/>
      <c r="B549" s="13"/>
      <c r="C549" s="14"/>
      <c r="D549" s="15">
        <v>42139.286249999997</v>
      </c>
      <c r="E549" s="16" t="s">
        <v>22</v>
      </c>
      <c r="F549" s="16" t="s">
        <v>16</v>
      </c>
      <c r="G549" s="17" t="s">
        <v>913</v>
      </c>
      <c r="H549" s="17" t="s">
        <v>947</v>
      </c>
      <c r="I549" s="13" t="s">
        <v>2335</v>
      </c>
      <c r="J549" s="23" t="str">
        <f>HYPERLINK("CorLog\COD\Branch\20150515 COD Branch Drainage issues - East end of property (COD-to-RDC).docx", "Drainage issues - East end of property")</f>
        <v>Drainage issues - East end of property</v>
      </c>
      <c r="K549" s="23"/>
      <c r="L549" s="19" t="s">
        <v>2336</v>
      </c>
      <c r="M549" s="20"/>
      <c r="N549" s="21" t="s">
        <v>2337</v>
      </c>
    </row>
    <row r="550" spans="1:14">
      <c r="A550" s="12"/>
      <c r="B550" s="13"/>
      <c r="C550" s="14"/>
      <c r="D550" s="15">
        <v>42139.286238425928</v>
      </c>
      <c r="E550" s="16" t="s">
        <v>33</v>
      </c>
      <c r="F550" s="16" t="s">
        <v>15</v>
      </c>
      <c r="G550" s="17" t="s">
        <v>2338</v>
      </c>
      <c r="H550" s="17" t="s">
        <v>2339</v>
      </c>
      <c r="I550" s="13" t="s">
        <v>2340</v>
      </c>
      <c r="J550" s="23" t="str">
        <f>HYPERLINK("CorLog\CIV\Man RTO\20150515 CIV Man RTO Proposed DC-41 for Man (Yacouba) RTO Offices Installations (CIV-to-ZAF).docx", "Proposed DC-41 for Man (Yacouba) RTO Offices Installations")</f>
        <v>Proposed DC-41 for Man (Yacouba) RTO Offices Installations</v>
      </c>
      <c r="K550" s="23" t="str">
        <f>HYPERLINK("CorLog\CIV\Man RTO\20150515 CIV Man RTO Proposed DC-41 for Man (Yacouba) RTO Offices Installations (CIV-to-ZAF).zip", "Zipped")</f>
        <v>Zipped</v>
      </c>
      <c r="L550" s="19"/>
      <c r="M550" s="20"/>
      <c r="N550" s="21" t="s">
        <v>2341</v>
      </c>
    </row>
    <row r="551" spans="1:14">
      <c r="A551" s="12"/>
      <c r="B551" s="13"/>
      <c r="C551" s="14"/>
      <c r="D551" s="15">
        <v>42139.286238425928</v>
      </c>
      <c r="E551" s="16" t="s">
        <v>20</v>
      </c>
      <c r="F551" s="16" t="s">
        <v>16</v>
      </c>
      <c r="G551" s="17" t="s">
        <v>30</v>
      </c>
      <c r="H551" s="17" t="s">
        <v>2342</v>
      </c>
      <c r="I551" s="13" t="s">
        <v>2343</v>
      </c>
      <c r="J551" s="23" t="str">
        <f>HYPERLINK("CorLog\ALL\20150515 ALL Pros and Cons Report Flat Packs Matola (MOZ-to-RDC).docx", "Pros and Cons Report Flat Packs Matola")</f>
        <v>Pros and Cons Report Flat Packs Matola</v>
      </c>
      <c r="K551" s="23"/>
      <c r="L551" s="19"/>
      <c r="M551" s="20"/>
      <c r="N551" s="21"/>
    </row>
    <row r="552" spans="1:14">
      <c r="A552" s="12"/>
      <c r="B552" s="13"/>
      <c r="C552" s="14"/>
      <c r="D552" s="15">
        <v>42139.286238425928</v>
      </c>
      <c r="E552" s="16" t="s">
        <v>22</v>
      </c>
      <c r="F552" s="16" t="s">
        <v>15</v>
      </c>
      <c r="G552" s="17" t="s">
        <v>1432</v>
      </c>
      <c r="H552" s="17" t="s">
        <v>1000</v>
      </c>
      <c r="I552" s="13" t="s">
        <v>2344</v>
      </c>
      <c r="J552" s="23" t="str">
        <f>HYPERLINK("CorLog\COD\LDC\20150515 COD LDC Saïo property for Special Full-Time Servants coming to Kinshasa for medical treatment (COD-to-ZAF).docx", "Saïo property for Special Full-Time Servants coming to Kinshasa for medical treatment")</f>
        <v>Saïo property for Special Full-Time Servants coming to Kinshasa for medical treatment</v>
      </c>
      <c r="K552" s="23" t="str">
        <f>HYPERLINK("CorLog\COD\LDC\20150515 COD LDC Saïo property for Special Full-Time Servants coming to Kinshasa for medical treatment (COD-to-ZAF).zip", "Zipped")</f>
        <v>Zipped</v>
      </c>
      <c r="L552" s="19"/>
      <c r="M552" s="20"/>
      <c r="N552" s="21" t="s">
        <v>2345</v>
      </c>
    </row>
    <row r="553" spans="1:14">
      <c r="A553" s="12"/>
      <c r="B553" s="13"/>
      <c r="C553" s="14"/>
      <c r="D553" s="15">
        <v>42139.286238425928</v>
      </c>
      <c r="E553" s="16" t="s">
        <v>18</v>
      </c>
      <c r="F553" s="16" t="s">
        <v>15</v>
      </c>
      <c r="G553" s="17" t="s">
        <v>999</v>
      </c>
      <c r="H553" s="17" t="s">
        <v>1000</v>
      </c>
      <c r="I553" s="13" t="s">
        <v>2330</v>
      </c>
      <c r="J553" s="23" t="str">
        <f>HYPERLINK("CorLog\ZMB\Branch\20150515 ZMB Branch Construction Requests Following RDC Visit (ZMB-to-ZAF).docx", "Construction Requests Following RDC Visit")</f>
        <v>Construction Requests Following RDC Visit</v>
      </c>
      <c r="K553" s="23" t="str">
        <f>HYPERLINK("CorLog\ZMB\Branch\20150515 ZMB Branch Construction Requests Following RDC Visit (ZMB-to-ZAF).zip", "Zipped")</f>
        <v>Zipped</v>
      </c>
      <c r="L553" s="19"/>
      <c r="M553" s="20"/>
      <c r="N553" s="21" t="s">
        <v>2332</v>
      </c>
    </row>
    <row r="554" spans="1:14">
      <c r="A554" s="12"/>
      <c r="B554" s="13"/>
      <c r="C554" s="14"/>
      <c r="D554" s="15">
        <v>42139.286238425928</v>
      </c>
      <c r="E554" s="16" t="s">
        <v>18</v>
      </c>
      <c r="F554" s="16" t="s">
        <v>17</v>
      </c>
      <c r="G554" s="17" t="s">
        <v>2133</v>
      </c>
      <c r="H554" s="17" t="s">
        <v>1015</v>
      </c>
      <c r="I554" s="13" t="s">
        <v>2346</v>
      </c>
      <c r="J554" s="23" t="str">
        <f>HYPERLINK("CorLog\ZMB\Kasama RTO\20150515 ZMB Kasama RTO Property Options in Kasama for the Cibema RTO (ZMB-to-WDC).docx", "Property Options in Kasama for the Cibema RTO")</f>
        <v>Property Options in Kasama for the Cibema RTO</v>
      </c>
      <c r="K554" s="23" t="str">
        <f>HYPERLINK("CorLog\ZMB\Kasama RTO\20150515 ZMB Kasama RTO Property Options in Kasama for the Cibema RTO (ZMB-to-WDC).zip", "Zipped")</f>
        <v>Zipped</v>
      </c>
      <c r="L554" s="19"/>
      <c r="M554" s="20"/>
      <c r="N554" s="21" t="s">
        <v>2347</v>
      </c>
    </row>
    <row r="555" spans="1:14">
      <c r="A555" s="12"/>
      <c r="B555" s="13"/>
      <c r="C555" s="14"/>
      <c r="D555" s="15">
        <v>42139.286226851851</v>
      </c>
      <c r="E555" s="16" t="s">
        <v>25</v>
      </c>
      <c r="F555" s="16" t="s">
        <v>15</v>
      </c>
      <c r="G555" s="17" t="s">
        <v>719</v>
      </c>
      <c r="H555" s="17" t="s">
        <v>2348</v>
      </c>
      <c r="I555" s="13" t="s">
        <v>2349</v>
      </c>
      <c r="J555" s="23" t="str">
        <f>HYPERLINK("CorLog\Reference\20150515 Reference Updated Design Guidelines Wireless Networking (WHQ-to-ZAF).docx", "Updated Design Guidelines Wireless Networking")</f>
        <v>Updated Design Guidelines Wireless Networking</v>
      </c>
      <c r="K555" s="23"/>
      <c r="L555" s="19"/>
      <c r="M555" s="20"/>
      <c r="N555" s="21" t="s">
        <v>2350</v>
      </c>
    </row>
    <row r="556" spans="1:14">
      <c r="A556" s="12"/>
      <c r="B556" s="13"/>
      <c r="C556" s="14"/>
      <c r="D556" s="15">
        <v>42139.286226851851</v>
      </c>
      <c r="E556" s="16" t="s">
        <v>18</v>
      </c>
      <c r="F556" s="16" t="s">
        <v>17</v>
      </c>
      <c r="G556" s="17" t="s">
        <v>838</v>
      </c>
      <c r="H556" s="17" t="s">
        <v>731</v>
      </c>
      <c r="I556" s="13" t="s">
        <v>2351</v>
      </c>
      <c r="J556" s="23" t="str">
        <f>HYPERLINK("CorLog\ZMB\Choma RTO\20150515 ZMB Choma RTO DC-41 No.2 Funding Request (ZMB-to-WDC).docx", "DC-41 No.2 Funding Request")</f>
        <v>DC-41 No.2 Funding Request</v>
      </c>
      <c r="K556" s="23"/>
      <c r="L556" s="19"/>
      <c r="M556" s="20"/>
      <c r="N556" s="21" t="s">
        <v>2352</v>
      </c>
    </row>
    <row r="557" spans="1:14">
      <c r="A557" s="12"/>
      <c r="B557" s="13"/>
      <c r="C557" s="14"/>
      <c r="D557" s="15">
        <v>42139.286226851851</v>
      </c>
      <c r="E557" s="16" t="s">
        <v>18</v>
      </c>
      <c r="F557" s="16" t="s">
        <v>17</v>
      </c>
      <c r="G557" s="17" t="s">
        <v>780</v>
      </c>
      <c r="H557" s="17" t="s">
        <v>781</v>
      </c>
      <c r="I557" s="13" t="s">
        <v>2353</v>
      </c>
      <c r="J557" s="23" t="str">
        <f>HYPERLINK("CorLog\ZMB\LDC\20150515 ZMB LDC Expanded Use of Construction Servants (ZMB-to-WDC).docx", "Expanded Use of Construction Servants")</f>
        <v>Expanded Use of Construction Servants</v>
      </c>
      <c r="K557" s="23"/>
      <c r="L557" s="19"/>
      <c r="M557" s="20"/>
      <c r="N557" s="21" t="s">
        <v>2354</v>
      </c>
    </row>
    <row r="558" spans="1:14">
      <c r="A558" s="12"/>
      <c r="B558" s="13"/>
      <c r="C558" s="14"/>
      <c r="D558" s="15">
        <v>42139.286215277774</v>
      </c>
      <c r="E558" s="16" t="s">
        <v>25</v>
      </c>
      <c r="F558" s="16" t="s">
        <v>30</v>
      </c>
      <c r="G558" s="17" t="s">
        <v>719</v>
      </c>
      <c r="H558" s="17" t="s">
        <v>2355</v>
      </c>
      <c r="I558" s="13" t="s">
        <v>2356</v>
      </c>
      <c r="J558" s="23" t="str">
        <f>HYPERLINK("CorLog\Reference\20150515 Reference Updated Real Estate Procedures (WHQ-to-ALL).doc", "Updated Real Estate Procedures")</f>
        <v>Updated Real Estate Procedures</v>
      </c>
      <c r="K558" s="25"/>
      <c r="L558" s="19"/>
      <c r="M558" s="20"/>
      <c r="N558" s="21" t="s">
        <v>2357</v>
      </c>
    </row>
    <row r="559" spans="1:14">
      <c r="A559" s="12"/>
      <c r="B559" s="13"/>
      <c r="C559" s="14"/>
      <c r="D559" s="15">
        <v>42139.286215277774</v>
      </c>
      <c r="E559" s="16" t="s">
        <v>16</v>
      </c>
      <c r="F559" s="16" t="s">
        <v>17</v>
      </c>
      <c r="G559" s="17" t="s">
        <v>1065</v>
      </c>
      <c r="H559" s="17" t="s">
        <v>1524</v>
      </c>
      <c r="I559" s="13" t="s">
        <v>2358</v>
      </c>
      <c r="J559" s="23" t="str">
        <f>HYPERLINK("CorLog\ZMB\RTO Projects\20150515 ZMB RTO Projects Adjustments to the makeup of the Construction Committee (RDC-to-WDC).docx", "Adjustments to the makeup of the Construction Committee")</f>
        <v>Adjustments to the makeup of the Construction Committee</v>
      </c>
      <c r="K559" s="25"/>
      <c r="L559" s="19"/>
      <c r="M559" s="20"/>
      <c r="N559" s="21" t="s">
        <v>2359</v>
      </c>
    </row>
    <row r="560" spans="1:14">
      <c r="A560" s="12"/>
      <c r="B560" s="13"/>
      <c r="C560" s="14"/>
      <c r="D560" s="15">
        <v>42139.286215277774</v>
      </c>
      <c r="E560" s="16" t="s">
        <v>18</v>
      </c>
      <c r="F560" s="16" t="s">
        <v>17</v>
      </c>
      <c r="G560" s="17" t="s">
        <v>999</v>
      </c>
      <c r="H560" s="17" t="s">
        <v>1000</v>
      </c>
      <c r="I560" s="13" t="s">
        <v>2360</v>
      </c>
      <c r="J560" s="23" t="str">
        <f>HYPERLINK("CorLog\ZMB\Branch\20150515 ZMB Branch Future Branch Needs, Accommodation (ZMB-to-WDC).docx", "Future Branch Needs, Accommodation")</f>
        <v>Future Branch Needs, Accommodation</v>
      </c>
      <c r="K560" s="23"/>
      <c r="L560" s="19"/>
      <c r="M560" s="20"/>
      <c r="N560" s="21" t="s">
        <v>2361</v>
      </c>
    </row>
    <row r="561" spans="1:14">
      <c r="A561" s="12"/>
      <c r="B561" s="13"/>
      <c r="C561" s="14"/>
      <c r="D561" s="15">
        <v>42139.286215277774</v>
      </c>
      <c r="E561" s="16" t="s">
        <v>18</v>
      </c>
      <c r="F561" s="16" t="s">
        <v>15</v>
      </c>
      <c r="G561" s="17" t="s">
        <v>2133</v>
      </c>
      <c r="H561" s="17" t="s">
        <v>1015</v>
      </c>
      <c r="I561" s="13" t="s">
        <v>2346</v>
      </c>
      <c r="J561" s="23" t="str">
        <f>HYPERLINK("CorLog\ZMB\Kasama RTO\20150515 ZMB Kasama RTO Property Options in Kasama for the Cibema RTO (ZMB-to-ZAF).docx", "Property Options in Kasama for the Cibema RTO")</f>
        <v>Property Options in Kasama for the Cibema RTO</v>
      </c>
      <c r="K561" s="23" t="str">
        <f>HYPERLINK("CorLog\ZMB\Kasama RTO\20150515 ZMB Kasama RTO Property Options in Kasama for the Cibema RTO (ZMB-to-ZAF).zip", "Zipped")</f>
        <v>Zipped</v>
      </c>
      <c r="L561" s="19"/>
      <c r="M561" s="20"/>
      <c r="N561" s="21" t="s">
        <v>2347</v>
      </c>
    </row>
    <row r="562" spans="1:14">
      <c r="A562" s="12"/>
      <c r="B562" s="13"/>
      <c r="C562" s="14"/>
      <c r="D562" s="15">
        <v>42139.286203703705</v>
      </c>
      <c r="E562" s="16" t="s">
        <v>14</v>
      </c>
      <c r="F562" s="16" t="s">
        <v>15</v>
      </c>
      <c r="G562" s="17" t="s">
        <v>2362</v>
      </c>
      <c r="H562" s="17" t="s">
        <v>1178</v>
      </c>
      <c r="I562" s="13" t="s">
        <v>2363</v>
      </c>
      <c r="J562" s="23" t="str">
        <f>HYPERLINK("CorLog\MDG\RTO Projects\20150515 MDG RTO Projects Generator Information Request (MDG-to-ZAF).docx", "Generator Information Request")</f>
        <v>Generator Information Request</v>
      </c>
      <c r="K562" s="23" t="str">
        <f>HYPERLINK("CorLog\MDG\RTO Projects\20150515 MDG RTO Projects Generator Information Request (MDG-to-ZAF).zip", "Zipped")</f>
        <v>Zipped</v>
      </c>
      <c r="L562" s="19"/>
      <c r="M562" s="20"/>
      <c r="N562" s="21" t="s">
        <v>2364</v>
      </c>
    </row>
    <row r="563" spans="1:14">
      <c r="A563" s="12"/>
      <c r="B563" s="13"/>
      <c r="C563" s="14"/>
      <c r="D563" s="15">
        <v>42139.286203703705</v>
      </c>
      <c r="E563" s="16" t="s">
        <v>22</v>
      </c>
      <c r="F563" s="16" t="s">
        <v>17</v>
      </c>
      <c r="G563" s="17" t="s">
        <v>785</v>
      </c>
      <c r="H563" s="17" t="s">
        <v>731</v>
      </c>
      <c r="I563" s="13" t="s">
        <v>2365</v>
      </c>
      <c r="J563" s="23" t="str">
        <f>HYPERLINK("CorLog\COD\Lubumbashi RTO\20150515 COD Lubumbashi RTO DC-41 No 2 Congo (Kinshasa) Lubumbashi RTO (USD 1,700,450) (COD-to-WDC).docx", "DC-41 No 2 Congo (Kinshasa) Lubumbashi RTO (USD 1,700,450)")</f>
        <v>DC-41 No 2 Congo (Kinshasa) Lubumbashi RTO (USD 1,700,450)</v>
      </c>
      <c r="K563" s="23" t="str">
        <f>HYPERLINK("CorLog\COD\Lubumbashi RTO\20150515 COD Lubumbashi RTO DC-41 No 2 Congo (Kinshasa) Lubumbashi RTO (USD 1,700,450) (COD-to-WDC).zip", "Zipped")</f>
        <v>Zipped</v>
      </c>
      <c r="L563" s="19"/>
      <c r="M563" s="20"/>
      <c r="N563" s="21" t="s">
        <v>2366</v>
      </c>
    </row>
    <row r="564" spans="1:14">
      <c r="A564" s="12"/>
      <c r="B564" s="13"/>
      <c r="C564" s="14"/>
      <c r="D564" s="15">
        <v>42139.286203703705</v>
      </c>
      <c r="E564" s="16" t="s">
        <v>25</v>
      </c>
      <c r="F564" s="16" t="s">
        <v>30</v>
      </c>
      <c r="G564" s="17" t="s">
        <v>719</v>
      </c>
      <c r="H564" s="17" t="s">
        <v>2367</v>
      </c>
      <c r="I564" s="13" t="s">
        <v>2368</v>
      </c>
      <c r="J564" s="23" t="str">
        <f>HYPERLINK("CorLog\Reference\20150515 Reference Life Safety and Fire Protection Policy WHQZAFHDL05a (WHQ-to-ALL).docx", "Life Safety and Fire Protection Policy WHQZAFHDL05a")</f>
        <v>Life Safety and Fire Protection Policy WHQZAFHDL05a</v>
      </c>
      <c r="K564" s="23"/>
      <c r="L564" s="19"/>
      <c r="M564" s="20"/>
      <c r="N564" s="21"/>
    </row>
    <row r="565" spans="1:14">
      <c r="A565" s="12"/>
      <c r="B565" s="13"/>
      <c r="C565" s="14"/>
      <c r="D565" s="15">
        <v>42139.286203703705</v>
      </c>
      <c r="E565" s="16" t="s">
        <v>18</v>
      </c>
      <c r="F565" s="16" t="s">
        <v>15</v>
      </c>
      <c r="G565" s="17" t="s">
        <v>1932</v>
      </c>
      <c r="H565" s="17" t="s">
        <v>961</v>
      </c>
      <c r="I565" s="13" t="s">
        <v>2369</v>
      </c>
      <c r="J565" s="23" t="str">
        <f>HYPERLINK("CorLog\ZMB\Mwinilunga RTO\20150515 ZMB Mwinilunga RTO Surveys for Mwinilunga and Kasempa RTO Properties (ZMB-to-ZAF).docx", "Surveys for Mwinilunga and Kasempa RTO Properties")</f>
        <v>Surveys for Mwinilunga and Kasempa RTO Properties</v>
      </c>
      <c r="K565" s="23"/>
      <c r="L565" s="19"/>
      <c r="M565" s="20"/>
      <c r="N565" s="21" t="s">
        <v>2370</v>
      </c>
    </row>
    <row r="566" spans="1:14">
      <c r="A566" s="12"/>
      <c r="B566" s="13"/>
      <c r="C566" s="14"/>
      <c r="D566" s="15">
        <v>42139.286203703705</v>
      </c>
      <c r="E566" s="16" t="s">
        <v>18</v>
      </c>
      <c r="F566" s="16" t="s">
        <v>25</v>
      </c>
      <c r="G566" s="17" t="s">
        <v>1065</v>
      </c>
      <c r="H566" s="17" t="s">
        <v>2371</v>
      </c>
      <c r="I566" s="13" t="s">
        <v>2372</v>
      </c>
      <c r="J566" s="23" t="str">
        <f>HYPERLINK("CorLog\ZMB\RTO Projects\20150515 ZMB RTO Projects On-Site Audio Recording for Nsenga and Lunda Languages (ZMB-to-WHQ).docx", "On-Site Audio Recording for Nsenga and Lunda Languages")</f>
        <v>On-Site Audio Recording for Nsenga and Lunda Languages</v>
      </c>
      <c r="K566" s="23"/>
      <c r="L566" s="19"/>
      <c r="M566" s="20"/>
      <c r="N566" s="21" t="s">
        <v>2373</v>
      </c>
    </row>
    <row r="567" spans="1:14">
      <c r="A567" s="12"/>
      <c r="B567" s="13"/>
      <c r="C567" s="14"/>
      <c r="D567" s="15">
        <v>42139.286203703705</v>
      </c>
      <c r="E567" s="16" t="s">
        <v>25</v>
      </c>
      <c r="F567" s="16" t="s">
        <v>30</v>
      </c>
      <c r="G567" s="17" t="s">
        <v>719</v>
      </c>
      <c r="H567" s="17" t="s">
        <v>2367</v>
      </c>
      <c r="I567" s="13" t="s">
        <v>2374</v>
      </c>
      <c r="J567" s="23" t="str">
        <f>HYPERLINK("CorLog\Reference\20150515 Reference Revised Incident Report (TO-5) (WHQ-to-ALL).doc", "Revised Incident Report (TO-5)")</f>
        <v>Revised Incident Report (TO-5)</v>
      </c>
      <c r="K567" s="23" t="str">
        <f>HYPERLINK("CorLog\Reference\20150515 Reference Revised Incident Report (TO-5) (WHQ-to-ALL).zip", "Zipped")</f>
        <v>Zipped</v>
      </c>
      <c r="L567" s="19"/>
      <c r="M567" s="20"/>
      <c r="N567" s="21" t="s">
        <v>2375</v>
      </c>
    </row>
    <row r="568" spans="1:14">
      <c r="A568" s="12"/>
      <c r="B568" s="13"/>
      <c r="C568" s="14"/>
      <c r="D568" s="15">
        <v>42139.286203703705</v>
      </c>
      <c r="E568" s="16" t="s">
        <v>25</v>
      </c>
      <c r="F568" s="16" t="s">
        <v>30</v>
      </c>
      <c r="G568" s="17" t="s">
        <v>719</v>
      </c>
      <c r="H568" s="17" t="s">
        <v>2376</v>
      </c>
      <c r="I568" s="13" t="s">
        <v>2377</v>
      </c>
      <c r="J568" s="23" t="str">
        <f>HYPERLINK("CorLog\Reference\20150515 Reference Contracted Engineering Costs for Construction Projects (WHQ-to-).docx", "Contracted Engineering Costs for Construction Projects")</f>
        <v>Contracted Engineering Costs for Construction Projects</v>
      </c>
      <c r="K568" s="23"/>
      <c r="L568" s="19"/>
      <c r="M568" s="20"/>
      <c r="N568" s="21" t="s">
        <v>2378</v>
      </c>
    </row>
    <row r="569" spans="1:14">
      <c r="A569" s="12"/>
      <c r="B569" s="13"/>
      <c r="C569" s="14"/>
      <c r="D569" s="15">
        <v>42139.286203703705</v>
      </c>
      <c r="E569" s="16" t="s">
        <v>22</v>
      </c>
      <c r="F569" s="16" t="s">
        <v>25</v>
      </c>
      <c r="G569" s="17" t="s">
        <v>913</v>
      </c>
      <c r="H569" s="17" t="s">
        <v>2379</v>
      </c>
      <c r="I569" s="13" t="s">
        <v>2380</v>
      </c>
      <c r="J569" s="23" t="str">
        <f>HYPERLINK("CorLog\COD\Branch\20150515 COD Branch New Offices in Shipping Area (COD-to-WHQ).docx", "New Offices in Shipping Area")</f>
        <v>New Offices in Shipping Area</v>
      </c>
      <c r="K569" s="23" t="str">
        <f>HYPERLINK("CorLog\COD\Branch\20150515 COD Branch New Offices in Shipping Area (COD-to-WHQ).zip", "Zipped")</f>
        <v>Zipped</v>
      </c>
      <c r="L569" s="19"/>
      <c r="M569" s="20"/>
      <c r="N569" s="21" t="s">
        <v>2381</v>
      </c>
    </row>
    <row r="570" spans="1:14">
      <c r="A570" s="12"/>
      <c r="B570" s="13"/>
      <c r="C570" s="14"/>
      <c r="D570" s="15">
        <v>42139.286203703705</v>
      </c>
      <c r="E570" s="16" t="s">
        <v>25</v>
      </c>
      <c r="F570" s="16" t="s">
        <v>30</v>
      </c>
      <c r="G570" s="17" t="s">
        <v>719</v>
      </c>
      <c r="H570" s="17" t="s">
        <v>1877</v>
      </c>
      <c r="I570" s="13" t="s">
        <v>2382</v>
      </c>
      <c r="J570" s="23" t="str">
        <f>HYPERLINK("CorLog\Reference\20150515 Reference Additional Enrollments Eligible for Pioneer Service School (WHQ-to-ALL).docx", "Additional Enrollments Eligible for Pioneer Service School")</f>
        <v>Additional Enrollments Eligible for Pioneer Service School</v>
      </c>
      <c r="K570" s="23"/>
      <c r="L570" s="19"/>
      <c r="M570" s="20"/>
      <c r="N570" s="21" t="s">
        <v>2383</v>
      </c>
    </row>
    <row r="571" spans="1:14">
      <c r="A571" s="12"/>
      <c r="B571" s="13"/>
      <c r="C571" s="14"/>
      <c r="D571" s="15">
        <v>42139.286203703705</v>
      </c>
      <c r="E571" s="16" t="s">
        <v>18</v>
      </c>
      <c r="F571" s="16" t="s">
        <v>17</v>
      </c>
      <c r="G571" s="17" t="s">
        <v>780</v>
      </c>
      <c r="H571" s="17" t="s">
        <v>2384</v>
      </c>
      <c r="I571" s="13" t="s">
        <v>1539</v>
      </c>
      <c r="J571" s="23" t="str">
        <f>HYPERLINK("CorLog\ZMB\LDC\20150515 ZMB LDC Zambia Assembly Hall Overall Plan (ZMB-to-WDC).docx", "Zambia Assembly Hall Overall Plan")</f>
        <v>Zambia Assembly Hall Overall Plan</v>
      </c>
      <c r="K571" s="23" t="str">
        <f>HYPERLINK("CorLog\ZMB\LDC\20150515 ZMB LDC Zambia Assembly Hall Overall Plan (ZMB-to-WDC).zip", "Zipped")</f>
        <v>Zipped</v>
      </c>
      <c r="L571" s="19"/>
      <c r="M571" s="20"/>
      <c r="N571" s="21" t="s">
        <v>2385</v>
      </c>
    </row>
    <row r="572" spans="1:14">
      <c r="A572" s="12"/>
      <c r="B572" s="13"/>
      <c r="C572" s="14"/>
      <c r="D572" s="15">
        <v>42139.286192129628</v>
      </c>
      <c r="E572" s="16" t="s">
        <v>25</v>
      </c>
      <c r="F572" s="16" t="s">
        <v>30</v>
      </c>
      <c r="G572" s="17" t="s">
        <v>719</v>
      </c>
      <c r="H572" s="17" t="s">
        <v>2386</v>
      </c>
      <c r="I572" s="13" t="s">
        <v>2387</v>
      </c>
      <c r="J572" s="23" t="str">
        <f>HYPERLINK("CorLog\Reference\20150515 Reference Deployment of Pre-configured Server and Network Equipment (WHQ-to-ALL).docx", "Deployment of Pre-configured Server and Network Equipment")</f>
        <v>Deployment of Pre-configured Server and Network Equipment</v>
      </c>
      <c r="K572" s="23"/>
      <c r="L572" s="19"/>
      <c r="M572" s="20"/>
      <c r="N572" s="21" t="s">
        <v>2388</v>
      </c>
    </row>
    <row r="573" spans="1:14">
      <c r="A573" s="12"/>
      <c r="B573" s="13"/>
      <c r="C573" s="14"/>
      <c r="D573" s="15">
        <v>42139.286192129628</v>
      </c>
      <c r="E573" s="16" t="s">
        <v>14</v>
      </c>
      <c r="F573" s="16" t="s">
        <v>15</v>
      </c>
      <c r="G573" s="17" t="s">
        <v>1662</v>
      </c>
      <c r="H573" s="17" t="s">
        <v>1015</v>
      </c>
      <c r="I573" s="13" t="s">
        <v>1872</v>
      </c>
      <c r="J573" s="23" t="str">
        <f>HYPERLINK("CorLog\MDG\Toliara RTO\20150515 MDG Toliara RTO Vezo RTO Properties near Toliara (MDG-to-ZAF).docx", "Vezo RTO Properties near Toliara")</f>
        <v>Vezo RTO Properties near Toliara</v>
      </c>
      <c r="K573" s="23" t="str">
        <f>HYPERLINK("CorLog\MDG\Toliara RTO\20150515 MDG Toliara RTO Vezo RTO Properties near Toliara (MDG-to-ZAF).zip", "Zipped")</f>
        <v>Zipped</v>
      </c>
      <c r="L573" s="19"/>
      <c r="M573" s="20"/>
      <c r="N573" s="21" t="s">
        <v>1871</v>
      </c>
    </row>
    <row r="574" spans="1:14">
      <c r="A574" s="12"/>
      <c r="B574" s="13"/>
      <c r="C574" s="14"/>
      <c r="D574" s="15">
        <v>42139.286192129628</v>
      </c>
      <c r="E574" s="16" t="s">
        <v>22</v>
      </c>
      <c r="F574" s="16" t="s">
        <v>17</v>
      </c>
      <c r="G574" s="17" t="s">
        <v>1432</v>
      </c>
      <c r="H574" s="17" t="s">
        <v>1714</v>
      </c>
      <c r="I574" s="13" t="s">
        <v>2389</v>
      </c>
      <c r="J574" s="23" t="str">
        <f>HYPERLINK("CorLog\COD\LDC\20150515 COD LDC Kamina AH Budget (COD-to-WDC).docx", "Kamina AH Budget")</f>
        <v>Kamina AH Budget</v>
      </c>
      <c r="K574" s="23" t="str">
        <f>HYPERLINK("CorLog\COD\LDC\20150515 COD LDC Kamina AH Budget (COD-to-WDC).zip", "Zipped")</f>
        <v>Zipped</v>
      </c>
      <c r="L574" s="19"/>
      <c r="M574" s="20"/>
      <c r="N574" s="21" t="s">
        <v>2390</v>
      </c>
    </row>
    <row r="575" spans="1:14">
      <c r="A575" s="12"/>
      <c r="B575" s="13"/>
      <c r="C575" s="14"/>
      <c r="D575" s="15">
        <v>42139.286192129628</v>
      </c>
      <c r="E575" s="16" t="s">
        <v>22</v>
      </c>
      <c r="F575" s="16" t="s">
        <v>25</v>
      </c>
      <c r="G575" s="17" t="s">
        <v>1169</v>
      </c>
      <c r="H575" s="17" t="s">
        <v>2391</v>
      </c>
      <c r="I575" s="13" t="s">
        <v>2392</v>
      </c>
      <c r="J575" s="23" t="str">
        <f>HYPERLINK("CorLog\COD\Kikwit RTO\20150515 COD Kikwit RTO Deployment of server and network equipment for remote translation offices (COD-to-WHQ).docx", "Deployment of server and network equipment for remote translation offices")</f>
        <v>Deployment of server and network equipment for remote translation offices</v>
      </c>
      <c r="K575" s="23"/>
      <c r="L575" s="19"/>
      <c r="M575" s="20"/>
      <c r="N575" s="21" t="s">
        <v>2393</v>
      </c>
    </row>
    <row r="576" spans="1:14">
      <c r="A576" s="12"/>
      <c r="B576" s="13"/>
      <c r="C576" s="14"/>
      <c r="D576" s="15">
        <v>42139.286192129628</v>
      </c>
      <c r="E576" s="16" t="s">
        <v>17</v>
      </c>
      <c r="F576" s="16" t="s">
        <v>30</v>
      </c>
      <c r="G576" s="17" t="s">
        <v>719</v>
      </c>
      <c r="H576" s="17" t="s">
        <v>719</v>
      </c>
      <c r="I576" s="13" t="s">
        <v>2394</v>
      </c>
      <c r="J576" s="23" t="str">
        <f>HYPERLINK("CorLog\Reference\20150515 Reference Lessons Learned from AO-9’s received during September 2014 WHQZAFHDL06a (WDC-to-ALL).doc", "Lessons Learned from AO-9’s received during September 2014 WHQZAFHDL06a")</f>
        <v>Lessons Learned from AO-9’s received during September 2014 WHQZAFHDL06a</v>
      </c>
      <c r="K576" s="23"/>
      <c r="L576" s="19"/>
      <c r="M576" s="20"/>
      <c r="N576" s="21"/>
    </row>
    <row r="577" spans="1:14">
      <c r="A577" s="12"/>
      <c r="B577" s="13"/>
      <c r="C577" s="14"/>
      <c r="D577" s="15">
        <v>42139.286192129628</v>
      </c>
      <c r="E577" s="16" t="s">
        <v>22</v>
      </c>
      <c r="F577" s="16" t="s">
        <v>15</v>
      </c>
      <c r="G577" s="17" t="s">
        <v>913</v>
      </c>
      <c r="H577" s="17" t="s">
        <v>2395</v>
      </c>
      <c r="I577" s="13" t="s">
        <v>2396</v>
      </c>
      <c r="J577" s="23" t="str">
        <f>HYPERLINK("CorLog\COD\Branch\20150515 COD Branch COD Choral Studio; CDP for review by BC AV (COD-to-ZAF).docx", "COD Choral Studio; CDP for review by BC AV")</f>
        <v>COD Choral Studio; CDP for review by BC AV</v>
      </c>
      <c r="K577" s="23" t="str">
        <f>HYPERLINK("CorLog\COD\Branch\20150515 COD Branch COD Choral Studio; CDP for review by BC AV (COD-to-ZAF).zip", "Zipped")</f>
        <v>Zipped</v>
      </c>
      <c r="L577" s="19"/>
      <c r="M577" s="20"/>
      <c r="N577" s="21" t="s">
        <v>2397</v>
      </c>
    </row>
    <row r="578" spans="1:14">
      <c r="A578" s="12"/>
      <c r="B578" s="13"/>
      <c r="C578" s="14"/>
      <c r="D578" s="15">
        <v>42139.286192129628</v>
      </c>
      <c r="E578" s="16" t="s">
        <v>22</v>
      </c>
      <c r="F578" s="16" t="s">
        <v>15</v>
      </c>
      <c r="G578" s="17" t="s">
        <v>1432</v>
      </c>
      <c r="H578" s="17" t="s">
        <v>1000</v>
      </c>
      <c r="I578" s="13" t="s">
        <v>2398</v>
      </c>
      <c r="J578" s="23" t="str">
        <f>HYPERLINK("CorLog\COD\LDC\20150515 COD LDC Various small projects (Matadi, saio, Lubefu, Cannas) (COD-to-ZAF).docx", "Various small projects (Matadi, saio, Lubefu, Cannas)")</f>
        <v>Various small projects (Matadi, saio, Lubefu, Cannas)</v>
      </c>
      <c r="K578" s="23"/>
      <c r="L578" s="19" t="s">
        <v>2399</v>
      </c>
      <c r="M578" s="20"/>
      <c r="N578" s="21" t="s">
        <v>2400</v>
      </c>
    </row>
    <row r="579" spans="1:14">
      <c r="A579" s="12"/>
      <c r="B579" s="13"/>
      <c r="C579" s="14"/>
      <c r="D579" s="15">
        <v>42139.286192129628</v>
      </c>
      <c r="E579" s="16" t="s">
        <v>25</v>
      </c>
      <c r="F579" s="16" t="s">
        <v>30</v>
      </c>
      <c r="G579" s="17" t="s">
        <v>719</v>
      </c>
      <c r="H579" s="17" t="s">
        <v>2401</v>
      </c>
      <c r="I579" s="13" t="s">
        <v>2402</v>
      </c>
      <c r="J579" s="23" t="str">
        <f>HYPERLINK("CorLog\Reference\20150515 Reference BCL recommendation form WHQZAFHLB01a (WHQ-to-ALL).docx", "BCL recommendation form WHQZAFHLB01a")</f>
        <v>BCL recommendation form WHQZAFHLB01a</v>
      </c>
      <c r="K579" s="23"/>
      <c r="L579" s="19"/>
      <c r="M579" s="20"/>
      <c r="N579" s="21"/>
    </row>
    <row r="580" spans="1:14">
      <c r="A580" s="12"/>
      <c r="B580" s="13"/>
      <c r="C580" s="14"/>
      <c r="D580" s="15">
        <v>42139.286192129628</v>
      </c>
      <c r="E580" s="16" t="s">
        <v>18</v>
      </c>
      <c r="F580" s="16" t="s">
        <v>17</v>
      </c>
      <c r="G580" s="17" t="s">
        <v>1874</v>
      </c>
      <c r="H580" s="17" t="s">
        <v>2403</v>
      </c>
      <c r="I580" s="13" t="s">
        <v>2404</v>
      </c>
      <c r="J580" s="23" t="str">
        <f>HYPERLINK("CorLog\ZMB\Petauke RTO\20150515 ZMB Petauke RTO DC-31s for RTO Property in Petauke (ZMB-to-WDC).docx", "DC-31s for RTO Property in Petauke")</f>
        <v>DC-31s for RTO Property in Petauke</v>
      </c>
      <c r="K580" s="23" t="str">
        <f>HYPERLINK("CorLog\ZMB\Petauke RTO\20150515 ZMB Petauke RTO DC-31s for RTO Property in Petauke (ZMB-to-WDC).zip", "Zipped")</f>
        <v>Zipped</v>
      </c>
      <c r="L580" s="19"/>
      <c r="M580" s="20"/>
      <c r="N580" s="21" t="s">
        <v>2405</v>
      </c>
    </row>
    <row r="581" spans="1:14">
      <c r="A581" s="12"/>
      <c r="B581" s="13"/>
      <c r="C581" s="14"/>
      <c r="D581" s="15">
        <v>42139.286192129628</v>
      </c>
      <c r="E581" s="16" t="s">
        <v>37</v>
      </c>
      <c r="F581" s="16" t="s">
        <v>15</v>
      </c>
      <c r="G581" s="17" t="s">
        <v>2406</v>
      </c>
      <c r="H581" s="17" t="s">
        <v>2407</v>
      </c>
      <c r="I581" s="13" t="s">
        <v>2408</v>
      </c>
      <c r="J581" s="23" t="str">
        <f>HYPERLINK("CorLog\MUS\LDC\20150515 MUS LDC 2015 Kingdom Hall and Assembly Hall Budget (MUS-to-ZAF).docx", "2015 Kingdom Hall and Assembly Hall Budget")</f>
        <v>2015 Kingdom Hall and Assembly Hall Budget</v>
      </c>
      <c r="K581" s="23"/>
      <c r="L581" s="19"/>
      <c r="M581" s="20"/>
      <c r="N581" s="21" t="s">
        <v>2409</v>
      </c>
    </row>
    <row r="582" spans="1:14">
      <c r="A582" s="12"/>
      <c r="B582" s="13"/>
      <c r="C582" s="14"/>
      <c r="D582" s="15">
        <v>42139.286180555559</v>
      </c>
      <c r="E582" s="16" t="s">
        <v>14</v>
      </c>
      <c r="F582" s="16" t="s">
        <v>15</v>
      </c>
      <c r="G582" s="17" t="s">
        <v>1662</v>
      </c>
      <c r="H582" s="17" t="s">
        <v>2288</v>
      </c>
      <c r="I582" s="13" t="s">
        <v>2410</v>
      </c>
      <c r="J582" s="23" t="str">
        <f>HYPERLINK("CorLog\MDG\Toliara RTO\20150515 MDG Toliara RTO Request to Purchase Property for Vezo RTO at Toliara (MDG-to-ZAF).docx", "Request to Purchase Property for Vezo RTO at Toliara")</f>
        <v>Request to Purchase Property for Vezo RTO at Toliara</v>
      </c>
      <c r="K582" s="23" t="str">
        <f>HYPERLINK("CorLog\MDG\Toliara RTO\20150515 MDG Toliara RTO Request to Purchase Property for Vezo RTO at Toliara (MDG-to-ZAF).zip", "Zipped")</f>
        <v>Zipped</v>
      </c>
      <c r="L582" s="19"/>
      <c r="M582" s="20"/>
      <c r="N582" s="21" t="s">
        <v>2411</v>
      </c>
    </row>
    <row r="583" spans="1:14">
      <c r="A583" s="12"/>
      <c r="B583" s="13"/>
      <c r="C583" s="14"/>
      <c r="D583" s="15">
        <v>42139.286180555559</v>
      </c>
      <c r="E583" s="16" t="s">
        <v>16</v>
      </c>
      <c r="F583" s="16" t="s">
        <v>30</v>
      </c>
      <c r="G583" s="17" t="s">
        <v>979</v>
      </c>
      <c r="H583" s="17" t="s">
        <v>2412</v>
      </c>
      <c r="I583" s="13" t="s">
        <v>2413</v>
      </c>
      <c r="J583" s="23" t="str">
        <f>HYPERLINK("CorLog\RTO\Projects\20150515 RTO Projects Equipment for RTOs, Revised August 2014 (RDC-to-ALL).pdf", "Equipment for RTOs, Revised August 2014")</f>
        <v>Equipment for RTOs, Revised August 2014</v>
      </c>
      <c r="K583" s="23"/>
      <c r="L583" s="19"/>
      <c r="M583" s="20"/>
      <c r="N583" s="21"/>
    </row>
    <row r="584" spans="1:14">
      <c r="A584" s="12"/>
      <c r="B584" s="13"/>
      <c r="C584" s="14"/>
      <c r="D584" s="15">
        <v>42139.286168981482</v>
      </c>
      <c r="E584" s="16" t="s">
        <v>25</v>
      </c>
      <c r="F584" s="16" t="s">
        <v>30</v>
      </c>
      <c r="G584" s="17" t="s">
        <v>719</v>
      </c>
      <c r="H584" s="17" t="s">
        <v>2401</v>
      </c>
      <c r="I584" s="13" t="s">
        <v>2414</v>
      </c>
      <c r="J584" s="23" t="str">
        <f>HYPERLINK("CorLog\Reference\20150515 Reference BCS recommendation form WHQZAF-C-27948Lc (WHQ-to-ALL).docx", "BCS recommendation form WHQZAF-C-27948Lc")</f>
        <v>BCS recommendation form WHQZAF-C-27948Lc</v>
      </c>
      <c r="K584" s="23"/>
      <c r="L584" s="19"/>
      <c r="M584" s="20"/>
      <c r="N584" s="21"/>
    </row>
    <row r="585" spans="1:14">
      <c r="A585" s="12"/>
      <c r="B585" s="13"/>
      <c r="C585" s="14"/>
      <c r="D585" s="15">
        <v>42139.286168981482</v>
      </c>
      <c r="E585" s="16" t="s">
        <v>16</v>
      </c>
      <c r="F585" s="16" t="s">
        <v>22</v>
      </c>
      <c r="G585" s="17" t="s">
        <v>913</v>
      </c>
      <c r="H585" s="17" t="s">
        <v>886</v>
      </c>
      <c r="I585" s="13" t="s">
        <v>2415</v>
      </c>
      <c r="J585" s="23" t="str">
        <f>HYPERLINK("CorLog\COD\Branch\20150515 COD Branch Lightning Information from Elec (RDC-to-COD).zip", "Lightning Information from Elec")</f>
        <v>Lightning Information from Elec</v>
      </c>
      <c r="K585" s="23"/>
      <c r="L585" s="19"/>
      <c r="M585" s="20"/>
      <c r="N585" s="21"/>
    </row>
    <row r="586" spans="1:14">
      <c r="A586" s="12"/>
      <c r="B586" s="13"/>
      <c r="C586" s="14"/>
      <c r="D586" s="15">
        <v>42139.286168981482</v>
      </c>
      <c r="E586" s="16" t="s">
        <v>17</v>
      </c>
      <c r="F586" s="16" t="s">
        <v>16</v>
      </c>
      <c r="G586" s="17" t="s">
        <v>719</v>
      </c>
      <c r="H586" s="17" t="s">
        <v>719</v>
      </c>
      <c r="I586" s="13" t="s">
        <v>2416</v>
      </c>
      <c r="J586" s="23" t="str">
        <f>HYPERLINK("CorLog\Reference\20150515 Reference Copy of WDC PWG Assignments April 2014 (WDC-to-RDC).xlsx", "Copy of WDC PWG Assignments April 2014")</f>
        <v>Copy of WDC PWG Assignments April 2014</v>
      </c>
      <c r="K586" s="23"/>
      <c r="L586" s="19"/>
      <c r="M586" s="20"/>
      <c r="N586" s="21"/>
    </row>
    <row r="587" spans="1:14">
      <c r="A587" s="12" t="s">
        <v>2417</v>
      </c>
      <c r="B587" s="13"/>
      <c r="C587" s="14"/>
      <c r="D587" s="15">
        <v>42139</v>
      </c>
      <c r="E587" s="16" t="s">
        <v>16</v>
      </c>
      <c r="F587" s="16" t="s">
        <v>15</v>
      </c>
      <c r="G587" s="17" t="s">
        <v>1662</v>
      </c>
      <c r="H587" s="17" t="s">
        <v>1015</v>
      </c>
      <c r="I587" s="13" t="s">
        <v>1872</v>
      </c>
      <c r="J587" s="18" t="str">
        <f>HYPERLINK("CorLog\MDG\Toliara RTO\20150515 MDG Toliara RTO Vezo RTO Properties near Toliara (RDC-to-ZAF).docx", "Vezo RTO Properties near Toliara")</f>
        <v>Vezo RTO Properties near Toliara</v>
      </c>
      <c r="K587" s="22"/>
      <c r="L587" s="19"/>
      <c r="M587" s="20"/>
      <c r="N587" s="21" t="s">
        <v>1871</v>
      </c>
    </row>
    <row r="588" spans="1:14">
      <c r="A588" s="12" t="s">
        <v>827</v>
      </c>
      <c r="B588" s="13" t="s">
        <v>718</v>
      </c>
      <c r="C588" s="14" t="s">
        <v>842</v>
      </c>
      <c r="D588" s="15">
        <v>42138.637337962966</v>
      </c>
      <c r="E588" s="16" t="s">
        <v>21</v>
      </c>
      <c r="F588" s="16" t="s">
        <v>16</v>
      </c>
      <c r="G588" s="17" t="s">
        <v>790</v>
      </c>
      <c r="H588" s="17" t="s">
        <v>2418</v>
      </c>
      <c r="I588" s="13" t="s">
        <v>2419</v>
      </c>
      <c r="J588" s="18" t="str">
        <f>HYPERLINK("CorLog\GHA\BEX\20150514 GHA BEX DC-53 Xavier and Exther Berger (GHA-to-RDC).msg", "DC-53 Xavier and Exther Berger")</f>
        <v>DC-53 Xavier and Exther Berger</v>
      </c>
      <c r="K588" s="22" t="s">
        <v>733</v>
      </c>
      <c r="L588" s="19"/>
      <c r="M588" s="20"/>
      <c r="N588" s="21" t="s">
        <v>2420</v>
      </c>
    </row>
    <row r="589" spans="1:14">
      <c r="A589" s="12"/>
      <c r="B589" s="13"/>
      <c r="C589" s="14"/>
      <c r="D589" s="15">
        <v>42138.635949074072</v>
      </c>
      <c r="E589" s="16" t="s">
        <v>25</v>
      </c>
      <c r="F589" s="16" t="s">
        <v>30</v>
      </c>
      <c r="G589" s="17" t="s">
        <v>719</v>
      </c>
      <c r="H589" s="17" t="s">
        <v>2421</v>
      </c>
      <c r="I589" s="13" t="s">
        <v>2422</v>
      </c>
      <c r="J589" s="23" t="str">
        <f>HYPERLINK("CorLog\Reference\20150514 Reference Global Assistance Arrangement (GAA) (WHQ-to-ALL).doc", "Global Assistance Arrangement (GAA)")</f>
        <v>Global Assistance Arrangement (GAA)</v>
      </c>
      <c r="K589" s="23"/>
      <c r="L589" s="19"/>
      <c r="M589" s="20"/>
      <c r="N589" s="21" t="s">
        <v>2423</v>
      </c>
    </row>
    <row r="590" spans="1:14">
      <c r="A590" s="12" t="s">
        <v>750</v>
      </c>
      <c r="B590" s="13" t="s">
        <v>718</v>
      </c>
      <c r="C590" s="14"/>
      <c r="D590" s="15">
        <v>42138.555277777778</v>
      </c>
      <c r="E590" s="16" t="s">
        <v>16</v>
      </c>
      <c r="F590" s="16" t="s">
        <v>16</v>
      </c>
      <c r="G590" s="17" t="s">
        <v>838</v>
      </c>
      <c r="H590" s="17" t="s">
        <v>764</v>
      </c>
      <c r="I590" s="13" t="s">
        <v>2424</v>
      </c>
      <c r="J590" s="18" t="str">
        <f>HYPERLINK("CorLog\ZMB\Choma RTO\20150514 ZMB Choma RTO Sand sieve in action (drum) (RDC-to-RDC).msg", "Sand sieve in action (drum)")</f>
        <v>Sand sieve in action (drum)</v>
      </c>
      <c r="K590" s="22" t="s">
        <v>733</v>
      </c>
      <c r="L590" s="19"/>
      <c r="M590" s="20"/>
      <c r="N590" s="21" t="s">
        <v>2425</v>
      </c>
    </row>
    <row r="591" spans="1:14">
      <c r="A591" s="12" t="s">
        <v>1069</v>
      </c>
      <c r="B591" s="13" t="s">
        <v>718</v>
      </c>
      <c r="C591" s="14" t="s">
        <v>742</v>
      </c>
      <c r="D591" s="15">
        <v>42138.420219907406</v>
      </c>
      <c r="E591" s="16" t="s">
        <v>18</v>
      </c>
      <c r="F591" s="16" t="s">
        <v>16</v>
      </c>
      <c r="G591" s="17" t="s">
        <v>1874</v>
      </c>
      <c r="H591" s="17" t="s">
        <v>940</v>
      </c>
      <c r="I591" s="13" t="s">
        <v>2426</v>
      </c>
      <c r="J591" s="18" t="str">
        <f>HYPERLINK("CorLog\ZMB\Petauke RTO\20150514 ZMB Petauke RTO Survey Information for the Petauke RTO Property (ZMB-to-RDC).msg", "Survey Information for the Petauke RTO Property")</f>
        <v>Survey Information for the Petauke RTO Property</v>
      </c>
      <c r="K591" s="22" t="s">
        <v>959</v>
      </c>
      <c r="L591" s="19"/>
      <c r="M591" s="20"/>
      <c r="N591" s="21" t="s">
        <v>2427</v>
      </c>
    </row>
    <row r="592" spans="1:14">
      <c r="A592" s="12" t="s">
        <v>718</v>
      </c>
      <c r="B592" s="13" t="s">
        <v>795</v>
      </c>
      <c r="C592" s="14" t="s">
        <v>2428</v>
      </c>
      <c r="D592" s="15">
        <v>42138.404999999999</v>
      </c>
      <c r="E592" s="16" t="s">
        <v>16</v>
      </c>
      <c r="F592" s="16" t="s">
        <v>16</v>
      </c>
      <c r="G592" s="17" t="s">
        <v>1662</v>
      </c>
      <c r="H592" s="17" t="s">
        <v>2403</v>
      </c>
      <c r="I592" s="13" t="s">
        <v>2429</v>
      </c>
      <c r="J592" s="23" t="str">
        <f>HYPERLINK("CorLog\MDG\Toliara RTO\20150514 MDG Toliara RTO Review of DC-31 Property Evaluation (APPROVED) (RDC-to-RDC).msg", "Review of DC-31 Property Evaluation (APPROVED)")</f>
        <v>Review of DC-31 Property Evaluation (APPROVED)</v>
      </c>
      <c r="K592" s="25" t="s">
        <v>1211</v>
      </c>
      <c r="L592" s="19"/>
      <c r="M592" s="20"/>
      <c r="N592" s="21" t="s">
        <v>2430</v>
      </c>
    </row>
    <row r="593" spans="1:14">
      <c r="A593" s="12" t="s">
        <v>2431</v>
      </c>
      <c r="B593" s="13" t="s">
        <v>717</v>
      </c>
      <c r="C593" s="14" t="s">
        <v>2432</v>
      </c>
      <c r="D593" s="15">
        <v>42138.39675925926</v>
      </c>
      <c r="E593" s="16" t="s">
        <v>22</v>
      </c>
      <c r="F593" s="16" t="s">
        <v>16</v>
      </c>
      <c r="G593" s="17" t="s">
        <v>785</v>
      </c>
      <c r="H593" s="17" t="s">
        <v>1031</v>
      </c>
      <c r="I593" s="13" t="s">
        <v>2433</v>
      </c>
      <c r="J593" s="18" t="str">
        <f>HYPERLINK("CorLog\COD\Lubumbashi RTO\20150514 COD Lubumbashi RTO Temp pump and piping for borehole (COD-to-RDC).msg", "Temp pump and piping for borehole")</f>
        <v>Temp pump and piping for borehole</v>
      </c>
      <c r="K593" s="22" t="s">
        <v>747</v>
      </c>
      <c r="L593" s="19"/>
      <c r="M593" s="20"/>
      <c r="N593" s="21" t="s">
        <v>2434</v>
      </c>
    </row>
    <row r="594" spans="1:14">
      <c r="A594" s="12" t="s">
        <v>750</v>
      </c>
      <c r="B594" s="13" t="s">
        <v>837</v>
      </c>
      <c r="C594" s="14" t="s">
        <v>2435</v>
      </c>
      <c r="D594" s="15">
        <v>42138.36142361111</v>
      </c>
      <c r="E594" s="16" t="s">
        <v>16</v>
      </c>
      <c r="F594" s="16" t="s">
        <v>18</v>
      </c>
      <c r="G594" s="17" t="s">
        <v>838</v>
      </c>
      <c r="H594" s="17" t="s">
        <v>839</v>
      </c>
      <c r="I594" s="13" t="s">
        <v>2436</v>
      </c>
      <c r="J594" s="18" t="str">
        <f>HYPERLINK("CorLog\ZMB\Choma RTO\20150514 ZMB Choma RTO Crushed Stone G5 Replacement - Insitu Soil Tests (RDC-to-ZMB).msg", "Crushed Stone G5 Replacement - Insitu Soil Tests")</f>
        <v>Crushed Stone G5 Replacement - Insitu Soil Tests</v>
      </c>
      <c r="K594" s="22" t="s">
        <v>733</v>
      </c>
      <c r="L594" s="19"/>
      <c r="M594" s="20"/>
      <c r="N594" s="21" t="s">
        <v>2437</v>
      </c>
    </row>
    <row r="595" spans="1:14">
      <c r="A595" s="12" t="s">
        <v>750</v>
      </c>
      <c r="B595" s="13" t="s">
        <v>837</v>
      </c>
      <c r="C595" s="14" t="s">
        <v>2160</v>
      </c>
      <c r="D595" s="15">
        <v>42138.357175925928</v>
      </c>
      <c r="E595" s="16" t="s">
        <v>16</v>
      </c>
      <c r="F595" s="16" t="s">
        <v>18</v>
      </c>
      <c r="G595" s="17" t="s">
        <v>838</v>
      </c>
      <c r="H595" s="17" t="s">
        <v>2438</v>
      </c>
      <c r="I595" s="13" t="s">
        <v>2044</v>
      </c>
      <c r="J595" s="23" t="str">
        <f>HYPERLINK("CorLog\ZMB\Choma RTO\20150514 ZMB Choma RTO Blend Clean River Sand with 13mm Stone (OK) (RDC-to-ZMB).msg", "Blend Clean River Sand with 13mm Stone (OK)")</f>
        <v>Blend Clean River Sand with 13mm Stone (OK)</v>
      </c>
      <c r="K595" s="25" t="s">
        <v>1243</v>
      </c>
      <c r="L595" s="19"/>
      <c r="M595" s="20"/>
      <c r="N595" s="21" t="s">
        <v>2439</v>
      </c>
    </row>
    <row r="596" spans="1:14">
      <c r="A596" s="12" t="s">
        <v>718</v>
      </c>
      <c r="B596" s="13" t="s">
        <v>742</v>
      </c>
      <c r="C596" s="14"/>
      <c r="D596" s="15">
        <v>42138.259120370371</v>
      </c>
      <c r="E596" s="16" t="s">
        <v>16</v>
      </c>
      <c r="F596" s="16" t="s">
        <v>16</v>
      </c>
      <c r="G596" s="17" t="s">
        <v>838</v>
      </c>
      <c r="H596" s="17" t="s">
        <v>2438</v>
      </c>
      <c r="I596" s="13" t="s">
        <v>2440</v>
      </c>
      <c r="J596" s="23" t="str">
        <f>HYPERLINK("CorLog\ZMB\Choma RTO\20150514 ZMB Choma RTO Clean River sand possible to blend with stone (RDC-to-RDC).msg", "Clean River sand possible to blend with stone")</f>
        <v>Clean River sand possible to blend with stone</v>
      </c>
      <c r="K596" s="25" t="s">
        <v>1243</v>
      </c>
      <c r="L596" s="19"/>
      <c r="M596" s="20"/>
      <c r="N596" s="21" t="s">
        <v>2441</v>
      </c>
    </row>
    <row r="597" spans="1:14">
      <c r="A597" s="12" t="s">
        <v>718</v>
      </c>
      <c r="B597" s="13" t="s">
        <v>837</v>
      </c>
      <c r="C597" s="14" t="s">
        <v>2442</v>
      </c>
      <c r="D597" s="15">
        <v>42138.236620370371</v>
      </c>
      <c r="E597" s="16" t="s">
        <v>16</v>
      </c>
      <c r="F597" s="16" t="s">
        <v>18</v>
      </c>
      <c r="G597" s="17" t="s">
        <v>838</v>
      </c>
      <c r="H597" s="17" t="s">
        <v>1489</v>
      </c>
      <c r="I597" s="13" t="s">
        <v>2443</v>
      </c>
      <c r="J597" s="23" t="str">
        <f>HYPERLINK("CorLog\ZMB\Choma RTO\20150514 ZMB Choma RTO UV resistant PPR piping is not available (RDC-to-ZMB).msg", "UV resistant PPR piping is not available")</f>
        <v>UV resistant PPR piping is not available</v>
      </c>
      <c r="K597" s="25" t="s">
        <v>1243</v>
      </c>
      <c r="L597" s="19"/>
      <c r="M597" s="20"/>
      <c r="N597" s="21" t="s">
        <v>2444</v>
      </c>
    </row>
    <row r="598" spans="1:14">
      <c r="A598" s="12" t="s">
        <v>2445</v>
      </c>
      <c r="B598" s="13" t="s">
        <v>723</v>
      </c>
      <c r="C598" s="14" t="s">
        <v>718</v>
      </c>
      <c r="D598" s="15">
        <v>42138.008935185186</v>
      </c>
      <c r="E598" s="16" t="s">
        <v>17</v>
      </c>
      <c r="F598" s="16" t="s">
        <v>16</v>
      </c>
      <c r="G598" s="17" t="s">
        <v>1432</v>
      </c>
      <c r="H598" s="17" t="s">
        <v>731</v>
      </c>
      <c r="I598" s="13" t="s">
        <v>2446</v>
      </c>
      <c r="J598" s="23" t="str">
        <f>HYPERLINK("CorLog\COD\LDC\20150514 COD LDC DC-41 No 1 Goma Missionary Home Renovation (USD 33,196) (WDC-to-RDC).msg", "DC-41 No 1 Goma Missionary Home Renovation (USD 33,196)")</f>
        <v>DC-41 No 1 Goma Missionary Home Renovation (USD 33,196)</v>
      </c>
      <c r="K598" s="25" t="s">
        <v>1243</v>
      </c>
      <c r="L598" s="19"/>
      <c r="M598" s="20"/>
      <c r="N598" s="21" t="s">
        <v>2447</v>
      </c>
    </row>
    <row r="599" spans="1:14">
      <c r="A599" s="12" t="s">
        <v>718</v>
      </c>
      <c r="B599" s="13" t="s">
        <v>827</v>
      </c>
      <c r="C599" s="14" t="s">
        <v>2448</v>
      </c>
      <c r="D599" s="15">
        <v>42137.645624999997</v>
      </c>
      <c r="E599" s="16" t="s">
        <v>16</v>
      </c>
      <c r="F599" s="16" t="s">
        <v>21</v>
      </c>
      <c r="G599" s="17" t="s">
        <v>790</v>
      </c>
      <c r="H599" s="17" t="s">
        <v>803</v>
      </c>
      <c r="I599" s="13" t="s">
        <v>2449</v>
      </c>
      <c r="J599" s="23" t="str">
        <f>HYPERLINK("CorLog\GHA\BEX\20150513 GHA BEX FS KY-A-301-S1 &amp; PS Catalogue updated--finishes (RDC-to-GHA).msg", "FS KY-A-301-S1 &amp; PS Catalogue updated--finishes")</f>
        <v>FS KY-A-301-S1 &amp; PS Catalogue updated--finishes</v>
      </c>
      <c r="K599" s="25" t="s">
        <v>1243</v>
      </c>
      <c r="L599" s="19"/>
      <c r="M599" s="20"/>
      <c r="N599" s="21" t="s">
        <v>2450</v>
      </c>
    </row>
    <row r="600" spans="1:14">
      <c r="A600" s="12" t="s">
        <v>718</v>
      </c>
      <c r="B600" s="13" t="s">
        <v>827</v>
      </c>
      <c r="C600" s="14" t="s">
        <v>742</v>
      </c>
      <c r="D600" s="15">
        <v>42137.645370370374</v>
      </c>
      <c r="E600" s="16" t="s">
        <v>16</v>
      </c>
      <c r="F600" s="16" t="s">
        <v>21</v>
      </c>
      <c r="G600" s="17" t="s">
        <v>790</v>
      </c>
      <c r="H600" s="17" t="s">
        <v>829</v>
      </c>
      <c r="I600" s="13" t="s">
        <v>2451</v>
      </c>
      <c r="J600" s="23" t="str">
        <f>HYPERLINK("CorLog\GHA\BEX\20150513 GHA BEX RDC review of NLBR 57821 Revison needed (RDC-to-GHA).msg", "RDC review of NLBR 57821 Revison needed")</f>
        <v>RDC review of NLBR 57821 Revison needed</v>
      </c>
      <c r="K600" s="25" t="s">
        <v>1270</v>
      </c>
      <c r="L600" s="19"/>
      <c r="M600" s="20"/>
      <c r="N600" s="21" t="s">
        <v>2452</v>
      </c>
    </row>
    <row r="601" spans="1:14">
      <c r="A601" s="12" t="s">
        <v>756</v>
      </c>
      <c r="B601" s="13" t="s">
        <v>1676</v>
      </c>
      <c r="C601" s="14" t="s">
        <v>2453</v>
      </c>
      <c r="D601" s="15">
        <v>42137.580810185187</v>
      </c>
      <c r="E601" s="16" t="s">
        <v>16</v>
      </c>
      <c r="F601" s="16" t="s">
        <v>21</v>
      </c>
      <c r="G601" s="17" t="s">
        <v>758</v>
      </c>
      <c r="H601" s="17" t="s">
        <v>851</v>
      </c>
      <c r="I601" s="13" t="s">
        <v>2454</v>
      </c>
      <c r="J601" s="18" t="str">
        <f>HYPERLINK("CorLog\GHA\Viepe RTO\20150513 GHA Viepe RTO Office Bldg Foundation DCP Test results 2015-05-08 (RDC-to-GHA).msg", "Office Bldg Foundation DCP Test results 2015-05-08")</f>
        <v>Office Bldg Foundation DCP Test results 2015-05-08</v>
      </c>
      <c r="K601" s="22" t="s">
        <v>959</v>
      </c>
      <c r="L601" s="19"/>
      <c r="M601" s="20"/>
      <c r="N601" s="21" t="s">
        <v>2455</v>
      </c>
    </row>
    <row r="602" spans="1:14">
      <c r="A602" s="12" t="s">
        <v>718</v>
      </c>
      <c r="B602" s="13" t="s">
        <v>724</v>
      </c>
      <c r="C602" s="14" t="s">
        <v>2456</v>
      </c>
      <c r="D602" s="15">
        <v>42137.567013888889</v>
      </c>
      <c r="E602" s="16" t="s">
        <v>16</v>
      </c>
      <c r="F602" s="16" t="s">
        <v>16</v>
      </c>
      <c r="G602" s="17" t="s">
        <v>719</v>
      </c>
      <c r="H602" s="17" t="s">
        <v>1622</v>
      </c>
      <c r="I602" s="13" t="s">
        <v>2457</v>
      </c>
      <c r="J602" s="18" t="str">
        <f>HYPERLINK("CorLog\Reference\20150513 Reference RTO or Branch construction Temp Housing Options (RDC-to-RDC).msg", "RTO or Branch construction Temp Housing Options")</f>
        <v>RTO or Branch construction Temp Housing Options</v>
      </c>
      <c r="K602" s="22" t="s">
        <v>2458</v>
      </c>
      <c r="L602" s="19"/>
      <c r="M602" s="20"/>
      <c r="N602" s="21" t="s">
        <v>2459</v>
      </c>
    </row>
    <row r="603" spans="1:14">
      <c r="A603" s="12" t="s">
        <v>724</v>
      </c>
      <c r="B603" s="13" t="s">
        <v>718</v>
      </c>
      <c r="C603" s="14"/>
      <c r="D603" s="15">
        <v>42137.515115740738</v>
      </c>
      <c r="E603" s="16" t="s">
        <v>16</v>
      </c>
      <c r="F603" s="16" t="s">
        <v>16</v>
      </c>
      <c r="G603" s="17" t="s">
        <v>28</v>
      </c>
      <c r="H603" s="17" t="s">
        <v>2460</v>
      </c>
      <c r="I603" s="13" t="s">
        <v>2461</v>
      </c>
      <c r="J603" s="23" t="str">
        <f>HYPERLINK("CorLog\LDC\20150513 LDC Evaluating Local Design Construction Departments (RDC-to-RDC).msg", "Evaluating Local Design Construction Departments")</f>
        <v>Evaluating Local Design Construction Departments</v>
      </c>
      <c r="K603" s="25" t="s">
        <v>1211</v>
      </c>
      <c r="L603" s="19"/>
      <c r="M603" s="20"/>
      <c r="N603" s="21" t="s">
        <v>2462</v>
      </c>
    </row>
    <row r="604" spans="1:14">
      <c r="A604" s="12" t="s">
        <v>718</v>
      </c>
      <c r="B604" s="13" t="s">
        <v>750</v>
      </c>
      <c r="C604" s="14" t="s">
        <v>2463</v>
      </c>
      <c r="D604" s="15">
        <v>42137.513831018521</v>
      </c>
      <c r="E604" s="16" t="s">
        <v>16</v>
      </c>
      <c r="F604" s="16" t="s">
        <v>16</v>
      </c>
      <c r="G604" s="17" t="s">
        <v>738</v>
      </c>
      <c r="H604" s="17" t="s">
        <v>2464</v>
      </c>
      <c r="I604" s="13" t="s">
        <v>2465</v>
      </c>
      <c r="J604" s="23" t="str">
        <f>HYPERLINK("CorLog\GHA\BEX 2\20150513 GHA BEX 2 DC-41 No 2 - Outsourced Constr Docs Engineering (RDC-to-RDC).msg", "DC-41 No 2 - Outsourced Constr Docs Engineering")</f>
        <v>DC-41 No 2 - Outsourced Constr Docs Engineering</v>
      </c>
      <c r="K604" s="25"/>
      <c r="L604" s="19"/>
      <c r="M604" s="20"/>
      <c r="N604" s="21" t="s">
        <v>2466</v>
      </c>
    </row>
    <row r="605" spans="1:14">
      <c r="A605" s="12" t="s">
        <v>717</v>
      </c>
      <c r="B605" s="13" t="s">
        <v>724</v>
      </c>
      <c r="C605" s="14" t="s">
        <v>1719</v>
      </c>
      <c r="D605" s="15">
        <v>42137.455150462964</v>
      </c>
      <c r="E605" s="16" t="s">
        <v>16</v>
      </c>
      <c r="F605" s="16" t="s">
        <v>16</v>
      </c>
      <c r="G605" s="17" t="s">
        <v>1849</v>
      </c>
      <c r="H605" s="17" t="s">
        <v>1000</v>
      </c>
      <c r="I605" s="13" t="s">
        <v>2467</v>
      </c>
      <c r="J605" s="18" t="str">
        <f>HYPERLINK("CorLog\AGO\Luanda South AH\20150513 AGO Luanda South AH Next steps (RDC-to-RDC).msg", "Next steps")</f>
        <v>Next steps</v>
      </c>
      <c r="K605" s="22"/>
      <c r="L605" s="19"/>
      <c r="M605" s="20"/>
      <c r="N605" s="21" t="s">
        <v>2468</v>
      </c>
    </row>
    <row r="606" spans="1:14">
      <c r="A606" s="12" t="s">
        <v>718</v>
      </c>
      <c r="B606" s="13" t="s">
        <v>2469</v>
      </c>
      <c r="C606" s="14"/>
      <c r="D606" s="15">
        <v>42137.454837962963</v>
      </c>
      <c r="E606" s="16" t="s">
        <v>16</v>
      </c>
      <c r="F606" s="16" t="s">
        <v>19</v>
      </c>
      <c r="G606" s="17" t="s">
        <v>1134</v>
      </c>
      <c r="H606" s="17" t="s">
        <v>731</v>
      </c>
      <c r="I606" s="13" t="s">
        <v>2470</v>
      </c>
      <c r="J606" s="18" t="str">
        <f>HYPERLINK("CorLog\AGO\Lubango RTO\20150513 AGO Lubango RTO DC-41 No 2 ready to be submitted (RDC-to-AGO).msg", "DC-41 No 2 ready to be submitted")</f>
        <v>DC-41 No 2 ready to be submitted</v>
      </c>
      <c r="K606" s="22" t="s">
        <v>747</v>
      </c>
      <c r="L606" s="19"/>
      <c r="M606" s="20"/>
      <c r="N606" s="21" t="s">
        <v>2471</v>
      </c>
    </row>
    <row r="607" spans="1:14">
      <c r="A607" s="12" t="s">
        <v>972</v>
      </c>
      <c r="B607" s="13" t="s">
        <v>795</v>
      </c>
      <c r="C607" s="14" t="s">
        <v>2472</v>
      </c>
      <c r="D607" s="15">
        <v>42137.374212962961</v>
      </c>
      <c r="E607" s="16" t="s">
        <v>18</v>
      </c>
      <c r="F607" s="16" t="s">
        <v>16</v>
      </c>
      <c r="G607" s="17" t="s">
        <v>790</v>
      </c>
      <c r="H607" s="17" t="s">
        <v>1489</v>
      </c>
      <c r="I607" s="13" t="s">
        <v>2473</v>
      </c>
      <c r="J607" s="23" t="str">
        <f>HYPERLINK("CorLog\GHA\BEX\20150513 GHA BEX Problem with Bore Hole Pumps (ZMB-to-RDC).msg", "Problem with Bore Hole Pumps")</f>
        <v>Problem with Bore Hole Pumps</v>
      </c>
      <c r="K607" s="25" t="s">
        <v>1369</v>
      </c>
      <c r="L607" s="19"/>
      <c r="M607" s="20"/>
      <c r="N607" s="21" t="s">
        <v>2474</v>
      </c>
    </row>
    <row r="608" spans="1:14">
      <c r="A608" s="12" t="s">
        <v>718</v>
      </c>
      <c r="B608" s="13" t="s">
        <v>2431</v>
      </c>
      <c r="C608" s="14" t="s">
        <v>1168</v>
      </c>
      <c r="D608" s="15">
        <v>42137.306180555555</v>
      </c>
      <c r="E608" s="16" t="s">
        <v>16</v>
      </c>
      <c r="F608" s="16" t="s">
        <v>22</v>
      </c>
      <c r="G608" s="17" t="s">
        <v>785</v>
      </c>
      <c r="H608" s="17" t="s">
        <v>2475</v>
      </c>
      <c r="I608" s="13" t="s">
        <v>2476</v>
      </c>
      <c r="J608" s="23" t="str">
        <f>HYPERLINK("CorLog\COD\Lubumbashi RTO\20150513 COD Lubumbashi RTO Revised Drawings S-001, S-501, S-502, S-503 Reinforced Septic Tank (RDC-to-COD).msg", "Revised Drawings S-001, S-501, S-502, S-503 Reinforced Septic Tank")</f>
        <v>Revised Drawings S-001, S-501, S-502, S-503 Reinforced Septic Tank</v>
      </c>
      <c r="K608" s="25" t="s">
        <v>1274</v>
      </c>
      <c r="L608" s="19"/>
      <c r="M608" s="20"/>
      <c r="N608" s="21" t="s">
        <v>2477</v>
      </c>
    </row>
    <row r="609" spans="1:14">
      <c r="A609" s="12" t="s">
        <v>2034</v>
      </c>
      <c r="B609" s="13" t="s">
        <v>718</v>
      </c>
      <c r="C609" s="14"/>
      <c r="D609" s="15">
        <v>42136.814930555556</v>
      </c>
      <c r="E609" s="16" t="s">
        <v>23</v>
      </c>
      <c r="F609" s="16" t="s">
        <v>16</v>
      </c>
      <c r="G609" s="17" t="s">
        <v>719</v>
      </c>
      <c r="H609" s="17" t="s">
        <v>1549</v>
      </c>
      <c r="I609" s="13" t="s">
        <v>2478</v>
      </c>
      <c r="J609" s="23" t="str">
        <f>HYPERLINK("CorLog\Reference\20150512 Reference Use of Kingdom Hall Apartments (ZWE-to-RDC).msg", "Use of Kingdom Hall Apartments")</f>
        <v>Use of Kingdom Hall Apartments</v>
      </c>
      <c r="K609" s="25" t="s">
        <v>1211</v>
      </c>
      <c r="L609" s="19"/>
      <c r="M609" s="20"/>
      <c r="N609" s="21" t="s">
        <v>2479</v>
      </c>
    </row>
    <row r="610" spans="1:14">
      <c r="A610" s="12" t="s">
        <v>718</v>
      </c>
      <c r="B610" s="13" t="s">
        <v>821</v>
      </c>
      <c r="C610" s="14"/>
      <c r="D610" s="15">
        <v>42136.806261574071</v>
      </c>
      <c r="E610" s="16" t="s">
        <v>16</v>
      </c>
      <c r="F610" s="16" t="s">
        <v>21</v>
      </c>
      <c r="G610" s="17" t="s">
        <v>1470</v>
      </c>
      <c r="H610" s="17" t="s">
        <v>2480</v>
      </c>
      <c r="I610" s="13" t="s">
        <v>2481</v>
      </c>
      <c r="J610" s="18" t="str">
        <f>HYPERLINK("CorLog\GHA\RTO Projects\20150512 GHA RTO Projects Vehicles; 2nd hand or new (RDC-to-GHA).msg", "Vehicles; 2nd hand or new")</f>
        <v>Vehicles; 2nd hand or new</v>
      </c>
      <c r="K610" s="22"/>
      <c r="L610" s="19" t="s">
        <v>2482</v>
      </c>
      <c r="M610" s="20"/>
      <c r="N610" s="21" t="s">
        <v>2483</v>
      </c>
    </row>
    <row r="611" spans="1:14">
      <c r="A611" s="12" t="s">
        <v>718</v>
      </c>
      <c r="B611" s="13" t="s">
        <v>757</v>
      </c>
      <c r="C611" s="14" t="s">
        <v>742</v>
      </c>
      <c r="D611" s="15">
        <v>42136.767997685187</v>
      </c>
      <c r="E611" s="16" t="s">
        <v>16</v>
      </c>
      <c r="F611" s="16" t="s">
        <v>21</v>
      </c>
      <c r="G611" s="17" t="s">
        <v>758</v>
      </c>
      <c r="H611" s="17" t="s">
        <v>803</v>
      </c>
      <c r="I611" s="13" t="s">
        <v>2484</v>
      </c>
      <c r="J611" s="23" t="str">
        <f>HYPERLINK("CorLog\GHA\Viepe RTO\20150512 GHA Viepe RTO FS S-304 - Detail description corrected (UPDATED) (RDC-to-GHA).msg", "FS S-304 - Detail description corrected (UPDATED)")</f>
        <v>FS S-304 - Detail description corrected (UPDATED)</v>
      </c>
      <c r="K611" s="25" t="s">
        <v>1211</v>
      </c>
      <c r="L611" s="19"/>
      <c r="M611" s="20"/>
      <c r="N611" s="21" t="s">
        <v>2485</v>
      </c>
    </row>
    <row r="612" spans="1:14">
      <c r="A612" s="12" t="s">
        <v>718</v>
      </c>
      <c r="B612" s="13" t="s">
        <v>1905</v>
      </c>
      <c r="C612" s="14" t="s">
        <v>2486</v>
      </c>
      <c r="D612" s="15">
        <v>42136.734618055554</v>
      </c>
      <c r="E612" s="16" t="s">
        <v>16</v>
      </c>
      <c r="F612" s="16" t="s">
        <v>19</v>
      </c>
      <c r="G612" s="17" t="s">
        <v>1314</v>
      </c>
      <c r="H612" s="17" t="s">
        <v>829</v>
      </c>
      <c r="I612" s="13" t="s">
        <v>2487</v>
      </c>
      <c r="J612" s="23" t="str">
        <f>HYPERLINK("CorLog\AGO\LDC\20150512 AGO LDC RDC review of Draft NLBR Seat Covers (Incident No 12941) (RDC-to-AGO).msg", "RDC review of Draft NLBR Seat Covers (Incident No 12941)")</f>
        <v>RDC review of Draft NLBR Seat Covers (Incident No 12941)</v>
      </c>
      <c r="K612" s="25" t="s">
        <v>1243</v>
      </c>
      <c r="L612" s="19"/>
      <c r="M612" s="20"/>
      <c r="N612" s="21" t="s">
        <v>2488</v>
      </c>
    </row>
    <row r="613" spans="1:14">
      <c r="A613" s="12" t="s">
        <v>718</v>
      </c>
      <c r="B613" s="13" t="s">
        <v>827</v>
      </c>
      <c r="C613" s="14" t="s">
        <v>2489</v>
      </c>
      <c r="D613" s="15">
        <v>42136.721967592595</v>
      </c>
      <c r="E613" s="16" t="s">
        <v>16</v>
      </c>
      <c r="F613" s="16" t="s">
        <v>21</v>
      </c>
      <c r="G613" s="17" t="s">
        <v>790</v>
      </c>
      <c r="H613" s="17" t="s">
        <v>2490</v>
      </c>
      <c r="I613" s="13" t="s">
        <v>2491</v>
      </c>
      <c r="J613" s="23" t="str">
        <f>HYPERLINK("CorLog\GHA\BEX\20150512 GHA BEX RDC review of NLBR 58035, 58037 Mech, 58090 Tiling (RDC-to-GHA).msg", "RDC review of NLBR 58035, 58037 Mech, 58090 Tiling")</f>
        <v>RDC review of NLBR 58035, 58037 Mech, 58090 Tiling</v>
      </c>
      <c r="K613" s="25" t="s">
        <v>1270</v>
      </c>
      <c r="L613" s="19"/>
      <c r="M613" s="20"/>
      <c r="N613" s="21" t="s">
        <v>2492</v>
      </c>
    </row>
    <row r="614" spans="1:14">
      <c r="A614" s="12" t="s">
        <v>1187</v>
      </c>
      <c r="B614" s="13" t="s">
        <v>718</v>
      </c>
      <c r="C614" s="14" t="s">
        <v>750</v>
      </c>
      <c r="D614" s="15">
        <v>42136.707418981481</v>
      </c>
      <c r="E614" s="16" t="s">
        <v>15</v>
      </c>
      <c r="F614" s="16" t="s">
        <v>16</v>
      </c>
      <c r="G614" s="17" t="s">
        <v>1169</v>
      </c>
      <c r="H614" s="17" t="s">
        <v>2493</v>
      </c>
      <c r="I614" s="13" t="s">
        <v>2193</v>
      </c>
      <c r="J614" s="23" t="str">
        <f>HYPERLINK("CorLog\COD\Kikwit RTO\20150512 COD Kikwit RTO Fee Account 2 (ZAF-to-RDC).msg", "Fee Account 2")</f>
        <v>Fee Account 2</v>
      </c>
      <c r="K614" s="25" t="s">
        <v>1274</v>
      </c>
      <c r="L614" s="19"/>
      <c r="M614" s="20"/>
      <c r="N614" s="21" t="s">
        <v>2494</v>
      </c>
    </row>
    <row r="615" spans="1:14">
      <c r="A615" s="12" t="s">
        <v>718</v>
      </c>
      <c r="B615" s="13" t="s">
        <v>1172</v>
      </c>
      <c r="C615" s="14"/>
      <c r="D615" s="15">
        <v>42136.704548611109</v>
      </c>
      <c r="E615" s="16" t="s">
        <v>16</v>
      </c>
      <c r="F615" s="16" t="s">
        <v>17</v>
      </c>
      <c r="G615" s="17" t="s">
        <v>885</v>
      </c>
      <c r="H615" s="17" t="s">
        <v>867</v>
      </c>
      <c r="I615" s="13" t="s">
        <v>2495</v>
      </c>
      <c r="J615" s="23" t="str">
        <f>HYPERLINK("CorLog\ZMB\Kabompo RTO\20150512 ZMB Kabompo RTO 20150428 Budget Analysis xls (RDC-to-WDC).msg", "20150428 Budget Analysis xls")</f>
        <v>20150428 Budget Analysis xls</v>
      </c>
      <c r="K615" s="25" t="s">
        <v>1211</v>
      </c>
      <c r="L615" s="19"/>
      <c r="M615" s="20"/>
      <c r="N615" s="21" t="s">
        <v>2496</v>
      </c>
    </row>
    <row r="616" spans="1:14">
      <c r="A616" s="12" t="s">
        <v>998</v>
      </c>
      <c r="B616" s="13" t="s">
        <v>2497</v>
      </c>
      <c r="C616" s="14"/>
      <c r="D616" s="15">
        <v>42136.703101851854</v>
      </c>
      <c r="E616" s="16" t="s">
        <v>17</v>
      </c>
      <c r="F616" s="16" t="s">
        <v>15</v>
      </c>
      <c r="G616" s="17" t="s">
        <v>1941</v>
      </c>
      <c r="H616" s="17" t="s">
        <v>2498</v>
      </c>
      <c r="I616" s="13" t="s">
        <v>2499</v>
      </c>
      <c r="J616" s="23" t="str">
        <f>HYPERLINK("CorLog\COD\RTO Projects\20150512 COD RTO Projects COD RTO Notes 2015-05-08 docx (WDC-to-ZAF).msg", "COD RTO Notes 2015-05-08 docx")</f>
        <v>COD RTO Notes 2015-05-08 docx</v>
      </c>
      <c r="K616" s="25" t="s">
        <v>1211</v>
      </c>
      <c r="L616" s="19"/>
      <c r="M616" s="20"/>
      <c r="N616" s="21" t="s">
        <v>2500</v>
      </c>
    </row>
    <row r="617" spans="1:14">
      <c r="A617" s="12" t="s">
        <v>718</v>
      </c>
      <c r="B617" s="13" t="s">
        <v>757</v>
      </c>
      <c r="C617" s="14" t="s">
        <v>827</v>
      </c>
      <c r="D617" s="15">
        <v>42136.699317129627</v>
      </c>
      <c r="E617" s="16" t="s">
        <v>16</v>
      </c>
      <c r="F617" s="16" t="s">
        <v>21</v>
      </c>
      <c r="G617" s="17" t="s">
        <v>790</v>
      </c>
      <c r="H617" s="17" t="s">
        <v>829</v>
      </c>
      <c r="I617" s="13" t="s">
        <v>2501</v>
      </c>
      <c r="J617" s="23" t="str">
        <f>HYPERLINK("CorLog\GHA\BEX\20150512 GHA BEX RDC review of NLBR 57848 SDMO Generators (RDC-to-GHA).msg", "RDC review of NLBR 57848 SDMO Generators")</f>
        <v>RDC review of NLBR 57848 SDMO Generators</v>
      </c>
      <c r="K617" s="25" t="s">
        <v>1211</v>
      </c>
      <c r="L617" s="19"/>
      <c r="M617" s="20"/>
      <c r="N617" s="21" t="s">
        <v>2502</v>
      </c>
    </row>
    <row r="618" spans="1:14">
      <c r="A618" s="12" t="s">
        <v>718</v>
      </c>
      <c r="B618" s="13" t="s">
        <v>837</v>
      </c>
      <c r="C618" s="14" t="s">
        <v>2503</v>
      </c>
      <c r="D618" s="15">
        <v>42136.632569444446</v>
      </c>
      <c r="E618" s="16" t="s">
        <v>16</v>
      </c>
      <c r="F618" s="16" t="s">
        <v>18</v>
      </c>
      <c r="G618" s="17" t="s">
        <v>838</v>
      </c>
      <c r="H618" s="17" t="s">
        <v>1040</v>
      </c>
      <c r="I618" s="13" t="s">
        <v>2504</v>
      </c>
      <c r="J618" s="23" t="str">
        <f>HYPERLINK("CorLog\ZMB\Choma RTO\20150512 ZMB Choma RTO Missing detail for corner reinforcment in strip footings (ANSWER) (RDC-to-ZMB).msg", "Missing detail for corner reinforcment in strip footings (ANSWER)")</f>
        <v>Missing detail for corner reinforcment in strip footings (ANSWER)</v>
      </c>
      <c r="K618" s="25" t="s">
        <v>1211</v>
      </c>
      <c r="L618" s="19"/>
      <c r="M618" s="20"/>
      <c r="N618" s="21" t="s">
        <v>2505</v>
      </c>
    </row>
    <row r="619" spans="1:14">
      <c r="A619" s="12" t="s">
        <v>718</v>
      </c>
      <c r="B619" s="13" t="s">
        <v>1905</v>
      </c>
      <c r="C619" s="14" t="s">
        <v>2506</v>
      </c>
      <c r="D619" s="15">
        <v>42136.618518518517</v>
      </c>
      <c r="E619" s="16" t="s">
        <v>16</v>
      </c>
      <c r="F619" s="16" t="s">
        <v>19</v>
      </c>
      <c r="G619" s="17" t="s">
        <v>1134</v>
      </c>
      <c r="H619" s="17" t="s">
        <v>731</v>
      </c>
      <c r="I619" s="13" t="s">
        <v>2470</v>
      </c>
      <c r="J619" s="23" t="str">
        <f>HYPERLINK("CorLog\AGO\Lubango RTO\20150512 AGO Lubango RTO DC-41 No 2 ready to be submitted (RDC-to-AGO).msg", "DC-41 No 2 ready to be submitted")</f>
        <v>DC-41 No 2 ready to be submitted</v>
      </c>
      <c r="K619" s="25" t="s">
        <v>1270</v>
      </c>
      <c r="L619" s="19"/>
      <c r="M619" s="20"/>
      <c r="N619" s="21" t="s">
        <v>2507</v>
      </c>
    </row>
    <row r="620" spans="1:14">
      <c r="A620" s="12" t="s">
        <v>916</v>
      </c>
      <c r="B620" s="13" t="s">
        <v>1337</v>
      </c>
      <c r="C620" s="14" t="s">
        <v>1245</v>
      </c>
      <c r="D620" s="15">
        <v>42136.465069444443</v>
      </c>
      <c r="E620" s="16" t="s">
        <v>16</v>
      </c>
      <c r="F620" s="16" t="s">
        <v>18</v>
      </c>
      <c r="G620" s="17" t="s">
        <v>885</v>
      </c>
      <c r="H620" s="17" t="s">
        <v>1200</v>
      </c>
      <c r="I620" s="13" t="s">
        <v>2508</v>
      </c>
      <c r="J620" s="23" t="str">
        <f>HYPERLINK("CorLog\ZMB\Kabompo RTO\20150512 ZMB Kabompo RTO DCP test Entrance ramp slab -1 20150507 (RDC-to-ZMB).msg", "DCP test Entrance ramp slab -1 20150507")</f>
        <v>DCP test Entrance ramp slab -1 20150507</v>
      </c>
      <c r="K620" s="25"/>
      <c r="L620" s="19"/>
      <c r="M620" s="20"/>
      <c r="N620" s="21" t="s">
        <v>2509</v>
      </c>
    </row>
    <row r="621" spans="1:14">
      <c r="A621" s="12" t="s">
        <v>718</v>
      </c>
      <c r="B621" s="13" t="s">
        <v>1310</v>
      </c>
      <c r="C621" s="14"/>
      <c r="D621" s="15">
        <v>42136.427569444444</v>
      </c>
      <c r="E621" s="16" t="s">
        <v>16</v>
      </c>
      <c r="F621" s="16" t="s">
        <v>16</v>
      </c>
      <c r="G621" s="17" t="s">
        <v>790</v>
      </c>
      <c r="H621" s="17" t="s">
        <v>1305</v>
      </c>
      <c r="I621" s="13" t="s">
        <v>2510</v>
      </c>
      <c r="J621" s="23" t="str">
        <f>HYPERLINK("CorLog\GHA\BEX\20150512 GHA BEX Construction Office Computer Needs (RDC-to-RDC).msg", "Construction Office Computer Needs")</f>
        <v>Construction Office Computer Needs</v>
      </c>
      <c r="K621" s="25"/>
      <c r="L621" s="19"/>
      <c r="M621" s="20"/>
      <c r="N621" s="21" t="s">
        <v>2511</v>
      </c>
    </row>
    <row r="622" spans="1:14">
      <c r="A622" s="12" t="s">
        <v>2034</v>
      </c>
      <c r="B622" s="13" t="s">
        <v>718</v>
      </c>
      <c r="C622" s="14"/>
      <c r="D622" s="15">
        <v>42136.398263888892</v>
      </c>
      <c r="E622" s="16" t="s">
        <v>15</v>
      </c>
      <c r="F622" s="16" t="s">
        <v>16</v>
      </c>
      <c r="G622" s="17" t="s">
        <v>738</v>
      </c>
      <c r="H622" s="17" t="s">
        <v>2512</v>
      </c>
      <c r="I622" s="13" t="s">
        <v>2513</v>
      </c>
      <c r="J622" s="23" t="str">
        <f>HYPERLINK("CorLog\GHA\BEX 2\20150512 GHA BEX 2 WSP Survey Engineering Costs Paid (-to-RDC).msg", "WSP Survey Engineering Costs Paid")</f>
        <v>WSP Survey Engineering Costs Paid</v>
      </c>
      <c r="K622" s="25" t="s">
        <v>1270</v>
      </c>
      <c r="L622" s="19"/>
      <c r="M622" s="20"/>
      <c r="N622" s="21" t="s">
        <v>2514</v>
      </c>
    </row>
    <row r="623" spans="1:14">
      <c r="A623" s="12" t="s">
        <v>718</v>
      </c>
      <c r="B623" s="13" t="s">
        <v>757</v>
      </c>
      <c r="C623" s="14" t="s">
        <v>2515</v>
      </c>
      <c r="D623" s="15">
        <v>42135.710798611108</v>
      </c>
      <c r="E623" s="16" t="s">
        <v>16</v>
      </c>
      <c r="F623" s="16" t="s">
        <v>21</v>
      </c>
      <c r="G623" s="17" t="s">
        <v>758</v>
      </c>
      <c r="H623" s="17" t="s">
        <v>1184</v>
      </c>
      <c r="I623" s="13" t="s">
        <v>2516</v>
      </c>
      <c r="J623" s="23" t="str">
        <f>HYPERLINK("CorLog\GHA\Viepe RTO\20150511 GHA Viepe RTO RDC review of DC-43 April 2015 (RDC-to-GHA).msg", "RDC review of DC-43 April 2015")</f>
        <v>RDC review of DC-43 April 2015</v>
      </c>
      <c r="K623" s="25" t="s">
        <v>1211</v>
      </c>
      <c r="L623" s="19"/>
      <c r="M623" s="20"/>
      <c r="N623" s="21" t="s">
        <v>2517</v>
      </c>
    </row>
    <row r="624" spans="1:14">
      <c r="A624" s="12" t="s">
        <v>718</v>
      </c>
      <c r="B624" s="13" t="s">
        <v>723</v>
      </c>
      <c r="C624" s="14" t="s">
        <v>2518</v>
      </c>
      <c r="D624" s="15">
        <v>42135.702719907407</v>
      </c>
      <c r="E624" s="16" t="s">
        <v>16</v>
      </c>
      <c r="F624" s="16" t="s">
        <v>16</v>
      </c>
      <c r="G624" s="17" t="s">
        <v>767</v>
      </c>
      <c r="H624" s="17" t="s">
        <v>2519</v>
      </c>
      <c r="I624" s="13" t="s">
        <v>2520</v>
      </c>
      <c r="J624" s="18" t="str">
        <f>HYPERLINK("CorLog\SEN\Branch\20150511 SEN Branch FEV Cost Estimate update, POR Style (RDC-to-RDC).msg", "FEV Cost Estimate update, POR Style")</f>
        <v>FEV Cost Estimate update, POR Style</v>
      </c>
      <c r="K624" s="22"/>
      <c r="L624" s="19"/>
      <c r="M624" s="20"/>
      <c r="N624" s="21" t="s">
        <v>2521</v>
      </c>
    </row>
    <row r="625" spans="1:14">
      <c r="A625" s="12" t="s">
        <v>718</v>
      </c>
      <c r="B625" s="13" t="s">
        <v>1905</v>
      </c>
      <c r="C625" s="14" t="s">
        <v>2522</v>
      </c>
      <c r="D625" s="15">
        <v>42135.688171296293</v>
      </c>
      <c r="E625" s="16" t="s">
        <v>16</v>
      </c>
      <c r="F625" s="16" t="s">
        <v>19</v>
      </c>
      <c r="G625" s="17" t="s">
        <v>744</v>
      </c>
      <c r="H625" s="17" t="s">
        <v>2523</v>
      </c>
      <c r="I625" s="13" t="s">
        <v>2524</v>
      </c>
      <c r="J625" s="23" t="str">
        <f>HYPERLINK("CorLog\AGO\Viana AH\20150511 AGO Viana AH Genset; DC-51 arrival date-- Aug 15 (AGO-3186) (RDC-to-AGO).msg", "Genset; DC-51 arrival date-- Aug 15 (AGO-3186)")</f>
        <v>Genset; DC-51 arrival date-- Aug 15 (AGO-3186)</v>
      </c>
      <c r="K625" s="25" t="s">
        <v>1211</v>
      </c>
      <c r="L625" s="19"/>
      <c r="M625" s="20"/>
      <c r="N625" s="21" t="s">
        <v>2525</v>
      </c>
    </row>
    <row r="626" spans="1:14">
      <c r="A626" s="12" t="s">
        <v>718</v>
      </c>
      <c r="B626" s="13" t="s">
        <v>723</v>
      </c>
      <c r="C626" s="14" t="s">
        <v>1168</v>
      </c>
      <c r="D626" s="15">
        <v>42135.654699074075</v>
      </c>
      <c r="E626" s="16" t="s">
        <v>16</v>
      </c>
      <c r="F626" s="16" t="s">
        <v>16</v>
      </c>
      <c r="G626" s="17" t="s">
        <v>1941</v>
      </c>
      <c r="H626" s="17" t="s">
        <v>2379</v>
      </c>
      <c r="I626" s="13" t="s">
        <v>2526</v>
      </c>
      <c r="J626" s="23" t="str">
        <f>HYPERLINK("CorLog\COD\RTO Projects\20150511 COD RTO Projects Shipping and Duty Costs Breakdown (RDC-to-RDC).msg", "Shipping and Duty Costs Breakdown")</f>
        <v>Shipping and Duty Costs Breakdown</v>
      </c>
      <c r="K626" s="25" t="s">
        <v>1211</v>
      </c>
      <c r="L626" s="19"/>
      <c r="M626" s="20"/>
      <c r="N626" s="21" t="s">
        <v>2527</v>
      </c>
    </row>
    <row r="627" spans="1:14">
      <c r="A627" s="12" t="s">
        <v>837</v>
      </c>
      <c r="B627" s="13" t="s">
        <v>718</v>
      </c>
      <c r="C627" s="14"/>
      <c r="D627" s="15">
        <v>42135.598240740743</v>
      </c>
      <c r="E627" s="16" t="s">
        <v>18</v>
      </c>
      <c r="F627" s="16" t="s">
        <v>16</v>
      </c>
      <c r="G627" s="17" t="s">
        <v>838</v>
      </c>
      <c r="H627" s="17" t="s">
        <v>803</v>
      </c>
      <c r="I627" s="13" t="s">
        <v>2528</v>
      </c>
      <c r="J627" s="23" t="str">
        <f>HYPERLINK("CorLog\ZMB\Choma RTO\20150511 ZMB Choma RTO Elevation revisions field sketch 1 (ZMB-to-RDC).msg", "Elevation revisions field sketch 1")</f>
        <v>Elevation revisions field sketch 1</v>
      </c>
      <c r="K627" s="25" t="s">
        <v>1211</v>
      </c>
      <c r="L627" s="19"/>
      <c r="M627" s="20"/>
      <c r="N627" s="21" t="s">
        <v>2529</v>
      </c>
    </row>
    <row r="628" spans="1:14">
      <c r="A628" s="12" t="s">
        <v>718</v>
      </c>
      <c r="B628" s="13" t="s">
        <v>1366</v>
      </c>
      <c r="C628" s="14"/>
      <c r="D628" s="15">
        <v>42135.576944444445</v>
      </c>
      <c r="E628" s="16" t="s">
        <v>16</v>
      </c>
      <c r="F628" s="16" t="s">
        <v>16</v>
      </c>
      <c r="G628" s="17" t="s">
        <v>838</v>
      </c>
      <c r="H628" s="17" t="s">
        <v>995</v>
      </c>
      <c r="I628" s="13" t="s">
        <v>2530</v>
      </c>
      <c r="J628" s="23" t="str">
        <f>HYPERLINK("CorLog\ZMB\Choma RTO\20150511 ZMB Choma RTO Pending Email that your PO EPC hasn't done (RDC-to-RDC).msg", "Pending Email that your PO EPC hasn't done")</f>
        <v>Pending Email that your PO EPC hasn't done</v>
      </c>
      <c r="K628" s="25" t="s">
        <v>1270</v>
      </c>
      <c r="L628" s="19"/>
      <c r="M628" s="20"/>
      <c r="N628" s="21" t="s">
        <v>2531</v>
      </c>
    </row>
    <row r="629" spans="1:14">
      <c r="A629" s="12" t="s">
        <v>724</v>
      </c>
      <c r="B629" s="13" t="s">
        <v>2532</v>
      </c>
      <c r="C629" s="14" t="s">
        <v>2533</v>
      </c>
      <c r="D629" s="15">
        <v>42135.558125000003</v>
      </c>
      <c r="E629" s="16" t="s">
        <v>16</v>
      </c>
      <c r="F629" s="16" t="s">
        <v>15</v>
      </c>
      <c r="G629" s="17" t="s">
        <v>1065</v>
      </c>
      <c r="H629" s="17" t="s">
        <v>781</v>
      </c>
      <c r="I629" s="13" t="s">
        <v>2534</v>
      </c>
      <c r="J629" s="23" t="str">
        <f>HYPERLINK("CorLog\ZMB\RTO Projects\20150511 ZMB RTO Projects Personnel coming to the office (Mwinilunga, Kasempa) (RDC-to-ZAF).msg", "Personnel coming to the office (Mwinilunga, Kasempa)")</f>
        <v>Personnel coming to the office (Mwinilunga, Kasempa)</v>
      </c>
      <c r="K629" s="25"/>
      <c r="L629" s="19"/>
      <c r="M629" s="20"/>
      <c r="N629" s="21" t="s">
        <v>2535</v>
      </c>
    </row>
    <row r="630" spans="1:14">
      <c r="A630" s="12" t="s">
        <v>718</v>
      </c>
      <c r="B630" s="13" t="s">
        <v>2536</v>
      </c>
      <c r="C630" s="14" t="s">
        <v>2537</v>
      </c>
      <c r="D630" s="15">
        <v>42135.549328703702</v>
      </c>
      <c r="E630" s="16" t="s">
        <v>16</v>
      </c>
      <c r="F630" s="16" t="s">
        <v>21</v>
      </c>
      <c r="G630" s="17" t="s">
        <v>823</v>
      </c>
      <c r="H630" s="17" t="s">
        <v>829</v>
      </c>
      <c r="I630" s="13" t="s">
        <v>2538</v>
      </c>
      <c r="J630" s="23" t="str">
        <f>HYPERLINK("CorLog\GHA\LDC\20150511 GHA LDC RDC review of NLBR 56652 Door Locks (RDC-to-GHA).msg", "RDC review of NLBR 56652 Door Locks")</f>
        <v>RDC review of NLBR 56652 Door Locks</v>
      </c>
      <c r="K630" s="25" t="s">
        <v>1211</v>
      </c>
      <c r="L630" s="19"/>
      <c r="M630" s="20"/>
      <c r="N630" s="21" t="s">
        <v>2539</v>
      </c>
    </row>
    <row r="631" spans="1:14">
      <c r="A631" s="12" t="s">
        <v>2540</v>
      </c>
      <c r="B631" s="13" t="s">
        <v>2541</v>
      </c>
      <c r="C631" s="14" t="s">
        <v>1310</v>
      </c>
      <c r="D631" s="15">
        <v>42135.532476851855</v>
      </c>
      <c r="E631" s="16" t="s">
        <v>15</v>
      </c>
      <c r="F631" s="16" t="s">
        <v>15</v>
      </c>
      <c r="G631" s="17" t="s">
        <v>719</v>
      </c>
      <c r="H631" s="17" t="s">
        <v>2542</v>
      </c>
      <c r="I631" s="13" t="s">
        <v>2543</v>
      </c>
      <c r="J631" s="23" t="str">
        <f>HYPERLINK("CorLog\Reference\20150511 Reference GHA PO Visit May 2015 e-Tickets (ZAF-to-ZAF).msg", "GHA PO Visit May 2015 e-Tickets")</f>
        <v>GHA PO Visit May 2015 e-Tickets</v>
      </c>
      <c r="K631" s="25" t="s">
        <v>1270</v>
      </c>
      <c r="L631" s="19"/>
      <c r="M631" s="20"/>
      <c r="N631" s="21" t="s">
        <v>2544</v>
      </c>
    </row>
    <row r="632" spans="1:14">
      <c r="A632" s="12" t="s">
        <v>718</v>
      </c>
      <c r="B632" s="13" t="s">
        <v>1069</v>
      </c>
      <c r="C632" s="14" t="s">
        <v>2545</v>
      </c>
      <c r="D632" s="15">
        <v>42135.445324074077</v>
      </c>
      <c r="E632" s="16" t="s">
        <v>16</v>
      </c>
      <c r="F632" s="16" t="s">
        <v>18</v>
      </c>
      <c r="G632" s="17" t="s">
        <v>1070</v>
      </c>
      <c r="H632" s="17" t="s">
        <v>2546</v>
      </c>
      <c r="I632" s="13" t="s">
        <v>2547</v>
      </c>
      <c r="J632" s="23" t="str">
        <f>HYPERLINK("CorLog\ZMB\Katete RTO\20150511 ZMB Katete RTO RFI Difference In Mech vs Arch PS Catalogue vanity Cab Width (RDC-to-ZMB).msg", "RFI Difference In Mech vs Arch PS Catalogue vanity Cab Width")</f>
        <v>RFI Difference In Mech vs Arch PS Catalogue vanity Cab Width</v>
      </c>
      <c r="K632" s="25" t="s">
        <v>1243</v>
      </c>
      <c r="L632" s="19"/>
      <c r="M632" s="20"/>
      <c r="N632" s="21" t="s">
        <v>2548</v>
      </c>
    </row>
    <row r="633" spans="1:14">
      <c r="A633" s="12" t="s">
        <v>2034</v>
      </c>
      <c r="B633" s="13" t="s">
        <v>718</v>
      </c>
      <c r="C633" s="14"/>
      <c r="D633" s="15">
        <v>42135.430173611108</v>
      </c>
      <c r="E633" s="16" t="s">
        <v>15</v>
      </c>
      <c r="F633" s="16" t="s">
        <v>16</v>
      </c>
      <c r="G633" s="17" t="s">
        <v>2549</v>
      </c>
      <c r="H633" s="17" t="s">
        <v>1000</v>
      </c>
      <c r="I633" s="13" t="s">
        <v>2550</v>
      </c>
      <c r="J633" s="23" t="str">
        <f>HYPERLINK("CorLog\ETH\Soddo  RTO\20150511 ETH Soddo RTO Wolaita RTO Project Description (ZAF-to-RDC).msg", "Wolaita RTO Project Description")</f>
        <v>Wolaita RTO Project Description</v>
      </c>
      <c r="K633" s="25" t="s">
        <v>1243</v>
      </c>
      <c r="L633" s="19"/>
      <c r="M633" s="20"/>
      <c r="N633" s="21" t="s">
        <v>2551</v>
      </c>
    </row>
    <row r="634" spans="1:14">
      <c r="A634" s="12" t="s">
        <v>718</v>
      </c>
      <c r="B634" s="13" t="s">
        <v>1069</v>
      </c>
      <c r="C634" s="14" t="s">
        <v>2552</v>
      </c>
      <c r="D634" s="15">
        <v>42135.415347222224</v>
      </c>
      <c r="E634" s="16" t="s">
        <v>16</v>
      </c>
      <c r="F634" s="16" t="s">
        <v>18</v>
      </c>
      <c r="G634" s="17" t="s">
        <v>1070</v>
      </c>
      <c r="H634" s="17" t="s">
        <v>829</v>
      </c>
      <c r="I634" s="13" t="s">
        <v>2553</v>
      </c>
      <c r="J634" s="23" t="str">
        <f>HYPERLINK("CorLog\ZMB\Katete RTO\20150511 ZMB Katete RTO RDC Review of NLBR; REQ 520-11739; Trellidor; Window Security Bars; 20150508 (RDC-to-ZMB).msg", "RDC Review of NLBR; REQ 520-11739; Trellidor; Window Security Bars; 20150508")</f>
        <v>RDC Review of NLBR; REQ 520-11739; Trellidor; Window Security Bars; 20150508</v>
      </c>
      <c r="K634" s="25" t="s">
        <v>1211</v>
      </c>
      <c r="L634" s="19"/>
      <c r="M634" s="20"/>
      <c r="N634" s="21" t="s">
        <v>2554</v>
      </c>
    </row>
    <row r="635" spans="1:14">
      <c r="A635" s="12" t="s">
        <v>718</v>
      </c>
      <c r="B635" s="13" t="s">
        <v>1069</v>
      </c>
      <c r="C635" s="14" t="s">
        <v>2552</v>
      </c>
      <c r="D635" s="15">
        <v>42135.41511574074</v>
      </c>
      <c r="E635" s="16" t="s">
        <v>16</v>
      </c>
      <c r="F635" s="16" t="s">
        <v>18</v>
      </c>
      <c r="G635" s="17" t="s">
        <v>1070</v>
      </c>
      <c r="H635" s="17" t="s">
        <v>829</v>
      </c>
      <c r="I635" s="13" t="s">
        <v>2555</v>
      </c>
      <c r="J635" s="23" t="str">
        <f>HYPERLINK("CorLog\ZMB\Katete RTO\20150511 ZMB Katete RTO RDC review of Draft NLBR; REQ 520-11448; Tile; 20150505 (RDC-to-ZMB).msg", "RDC review of Draft NLBR; REQ 520-11448; Tile; 20150505")</f>
        <v>RDC review of Draft NLBR; REQ 520-11448; Tile; 20150505</v>
      </c>
      <c r="K635" s="25" t="s">
        <v>1211</v>
      </c>
      <c r="L635" s="19"/>
      <c r="M635" s="20"/>
      <c r="N635" s="21" t="s">
        <v>2556</v>
      </c>
    </row>
    <row r="636" spans="1:14">
      <c r="A636" s="12" t="s">
        <v>756</v>
      </c>
      <c r="B636" s="13" t="s">
        <v>717</v>
      </c>
      <c r="C636" s="14" t="s">
        <v>2557</v>
      </c>
      <c r="D636" s="15">
        <v>42135.372303240743</v>
      </c>
      <c r="E636" s="16" t="s">
        <v>16</v>
      </c>
      <c r="F636" s="16" t="s">
        <v>16</v>
      </c>
      <c r="G636" s="17" t="s">
        <v>1432</v>
      </c>
      <c r="H636" s="17" t="s">
        <v>1392</v>
      </c>
      <c r="I636" s="13" t="s">
        <v>2558</v>
      </c>
      <c r="J636" s="23" t="str">
        <f>HYPERLINK("CorLog\COD\LDC\20150511 COD LDC Brazzaville MH 2015-04-29 meeting minutes - next steps (RDC-to-RDC).msg", "Brazzaville MH 2015-04-29 meeting minutes - next steps")</f>
        <v>Brazzaville MH 2015-04-29 meeting minutes - next steps</v>
      </c>
      <c r="K636" s="25" t="s">
        <v>1211</v>
      </c>
      <c r="L636" s="19"/>
      <c r="M636" s="20"/>
      <c r="N636" s="21" t="s">
        <v>2559</v>
      </c>
    </row>
    <row r="637" spans="1:14">
      <c r="A637" s="12" t="s">
        <v>756</v>
      </c>
      <c r="B637" s="13" t="s">
        <v>1447</v>
      </c>
      <c r="C637" s="14" t="s">
        <v>2560</v>
      </c>
      <c r="D637" s="15">
        <v>42135.32440972222</v>
      </c>
      <c r="E637" s="16" t="s">
        <v>16</v>
      </c>
      <c r="F637" s="16" t="s">
        <v>16</v>
      </c>
      <c r="G637" s="17" t="s">
        <v>738</v>
      </c>
      <c r="H637" s="17" t="s">
        <v>2561</v>
      </c>
      <c r="I637" s="13" t="s">
        <v>2562</v>
      </c>
      <c r="J637" s="23" t="str">
        <f>HYPERLINK("CorLog\GHA\BEX 2\20150511 GHA BEX 2 CDP backing info; Design Program (RDC-to-RDC).msg", "CDP backing info; Design Program")</f>
        <v>CDP backing info; Design Program</v>
      </c>
      <c r="K637" s="25"/>
      <c r="L637" s="19"/>
      <c r="M637" s="20"/>
      <c r="N637" s="21" t="s">
        <v>2563</v>
      </c>
    </row>
    <row r="638" spans="1:14">
      <c r="A638" s="12" t="s">
        <v>756</v>
      </c>
      <c r="B638" s="13" t="s">
        <v>750</v>
      </c>
      <c r="C638" s="14" t="s">
        <v>2564</v>
      </c>
      <c r="D638" s="15">
        <v>42135.324374999997</v>
      </c>
      <c r="E638" s="16" t="s">
        <v>16</v>
      </c>
      <c r="F638" s="16" t="s">
        <v>16</v>
      </c>
      <c r="G638" s="17" t="s">
        <v>738</v>
      </c>
      <c r="H638" s="17" t="s">
        <v>2493</v>
      </c>
      <c r="I638" s="13" t="s">
        <v>2565</v>
      </c>
      <c r="J638" s="23" t="str">
        <f>HYPERLINK("CorLog\GHA\BEX 2\20150511 GHA BEX 2 WSP Interim Fee Account 2 (RDC-to-RDC).msg", "WSP Interim Fee Account 2")</f>
        <v>WSP Interim Fee Account 2</v>
      </c>
      <c r="K638" s="25" t="s">
        <v>1270</v>
      </c>
      <c r="L638" s="19"/>
      <c r="M638" s="20"/>
      <c r="N638" s="21" t="s">
        <v>2566</v>
      </c>
    </row>
    <row r="639" spans="1:14">
      <c r="A639" s="12" t="s">
        <v>718</v>
      </c>
      <c r="B639" s="13" t="s">
        <v>750</v>
      </c>
      <c r="C639" s="14" t="s">
        <v>998</v>
      </c>
      <c r="D639" s="15">
        <v>42134.893773148149</v>
      </c>
      <c r="E639" s="16" t="s">
        <v>16</v>
      </c>
      <c r="F639" s="16" t="s">
        <v>16</v>
      </c>
      <c r="G639" s="17" t="s">
        <v>738</v>
      </c>
      <c r="H639" s="17" t="s">
        <v>2567</v>
      </c>
      <c r="I639" s="13" t="s">
        <v>2568</v>
      </c>
      <c r="J639" s="18" t="str">
        <f>HYPERLINK("CorLog\GHA\BEX 2\20150510 GHA BEX 2 Early Procurement Kitchen Equipment (RDC-to-RDC).msg", "Early Procurement Kitchen Equipment")</f>
        <v>Early Procurement Kitchen Equipment</v>
      </c>
      <c r="K639" s="22" t="s">
        <v>2458</v>
      </c>
      <c r="L639" s="19"/>
      <c r="M639" s="20"/>
      <c r="N639" s="21" t="s">
        <v>2569</v>
      </c>
    </row>
    <row r="640" spans="1:14">
      <c r="A640" s="12" t="s">
        <v>718</v>
      </c>
      <c r="B640" s="13" t="s">
        <v>742</v>
      </c>
      <c r="C640" s="14"/>
      <c r="D640" s="15">
        <v>42134.879629629628</v>
      </c>
      <c r="E640" s="16" t="s">
        <v>16</v>
      </c>
      <c r="F640" s="16" t="s">
        <v>16</v>
      </c>
      <c r="G640" s="17" t="s">
        <v>1874</v>
      </c>
      <c r="H640" s="17" t="s">
        <v>961</v>
      </c>
      <c r="I640" s="13" t="s">
        <v>2570</v>
      </c>
      <c r="J640" s="23" t="str">
        <f>HYPERLINK("CorLog\ZMB\Petauke RTO\20150510 ZMB Petauke RTO Topo Survey (RDC-to-RDC).msg", "Topo Survey")</f>
        <v>Topo Survey</v>
      </c>
      <c r="K640" s="25" t="s">
        <v>1274</v>
      </c>
      <c r="L640" s="19"/>
      <c r="M640" s="20"/>
      <c r="N640" s="21" t="s">
        <v>2571</v>
      </c>
    </row>
    <row r="641" spans="1:14">
      <c r="A641" s="12" t="s">
        <v>718</v>
      </c>
      <c r="B641" s="13" t="s">
        <v>717</v>
      </c>
      <c r="C641" s="14" t="s">
        <v>2572</v>
      </c>
      <c r="D641" s="15">
        <v>42134.853159722225</v>
      </c>
      <c r="E641" s="16" t="s">
        <v>16</v>
      </c>
      <c r="F641" s="16" t="s">
        <v>16</v>
      </c>
      <c r="G641" s="17" t="s">
        <v>719</v>
      </c>
      <c r="H641" s="17" t="s">
        <v>2573</v>
      </c>
      <c r="I641" s="13" t="s">
        <v>2574</v>
      </c>
      <c r="J641" s="18" t="str">
        <f>HYPERLINK("CorLog\Reference\20150510 Reference NGA COTC Questions and Answers (RDC-to-RDC).msg", "NGA COTC Questions and Answers")</f>
        <v>NGA COTC Questions and Answers</v>
      </c>
      <c r="K641" s="22" t="s">
        <v>721</v>
      </c>
      <c r="L641" s="19"/>
      <c r="M641" s="20"/>
      <c r="N641" s="21" t="s">
        <v>2575</v>
      </c>
    </row>
    <row r="642" spans="1:14">
      <c r="A642" s="12" t="s">
        <v>718</v>
      </c>
      <c r="B642" s="13" t="s">
        <v>757</v>
      </c>
      <c r="C642" s="14"/>
      <c r="D642" s="15">
        <v>42134.831157407411</v>
      </c>
      <c r="E642" s="16" t="s">
        <v>16</v>
      </c>
      <c r="F642" s="16" t="s">
        <v>21</v>
      </c>
      <c r="G642" s="17" t="s">
        <v>790</v>
      </c>
      <c r="H642" s="17" t="s">
        <v>2576</v>
      </c>
      <c r="I642" s="13" t="s">
        <v>2577</v>
      </c>
      <c r="J642" s="23" t="str">
        <f>HYPERLINK("CorLog\GHA\BEX\20150510 GHA BEX GHA-0012 and GHA-0014 Report March 2015 (RDC-to-GHA).msg", "GHA-0012 and GHA-0014 Report March 2015")</f>
        <v>GHA-0012 and GHA-0014 Report March 2015</v>
      </c>
      <c r="K642" s="25"/>
      <c r="L642" s="19"/>
      <c r="M642" s="20"/>
      <c r="N642" s="21" t="s">
        <v>2578</v>
      </c>
    </row>
    <row r="643" spans="1:14">
      <c r="A643" s="12" t="s">
        <v>718</v>
      </c>
      <c r="B643" s="13" t="s">
        <v>827</v>
      </c>
      <c r="C643" s="14" t="s">
        <v>2579</v>
      </c>
      <c r="D643" s="15">
        <v>42134.734791666669</v>
      </c>
      <c r="E643" s="16" t="s">
        <v>16</v>
      </c>
      <c r="F643" s="16" t="s">
        <v>21</v>
      </c>
      <c r="G643" s="17" t="s">
        <v>790</v>
      </c>
      <c r="H643" s="17" t="s">
        <v>858</v>
      </c>
      <c r="I643" s="13" t="s">
        <v>2577</v>
      </c>
      <c r="J643" s="23" t="str">
        <f>HYPERLINK("CorLog\GHA\BEX\20150510 GHA BEX GHA-0012 and GHA-0014 Report March 2015 (RDC-to-GHA).msg", "GHA-0012 and GHA-0014 Report March 2015")</f>
        <v>GHA-0012 and GHA-0014 Report March 2015</v>
      </c>
      <c r="K643" s="25" t="s">
        <v>1243</v>
      </c>
      <c r="L643" s="19"/>
      <c r="M643" s="20"/>
      <c r="N643" s="21" t="s">
        <v>2580</v>
      </c>
    </row>
    <row r="644" spans="1:14">
      <c r="A644" s="12" t="s">
        <v>998</v>
      </c>
      <c r="B644" s="13" t="s">
        <v>718</v>
      </c>
      <c r="C644" s="14"/>
      <c r="D644" s="15">
        <v>42133.692210648151</v>
      </c>
      <c r="E644" s="16" t="s">
        <v>17</v>
      </c>
      <c r="F644" s="16" t="s">
        <v>16</v>
      </c>
      <c r="G644" s="17" t="s">
        <v>2581</v>
      </c>
      <c r="H644" s="17" t="s">
        <v>1000</v>
      </c>
      <c r="I644" s="13" t="s">
        <v>2582</v>
      </c>
      <c r="J644" s="23" t="str">
        <f>HYPERLINK("CorLog\ZWE\RTO Projects\20150509 ZWE RTO Projects RTO Update Notes 2015-05-07 docx (WDC-to-RDC).msg", "RTO Update Notes 2015-05-07 docx")</f>
        <v>RTO Update Notes 2015-05-07 docx</v>
      </c>
      <c r="K644" s="25" t="s">
        <v>1211</v>
      </c>
      <c r="L644" s="19"/>
      <c r="M644" s="20"/>
      <c r="N644" s="21" t="s">
        <v>2583</v>
      </c>
    </row>
    <row r="645" spans="1:14">
      <c r="A645" s="12" t="s">
        <v>756</v>
      </c>
      <c r="B645" s="13" t="s">
        <v>2431</v>
      </c>
      <c r="C645" s="14" t="s">
        <v>2584</v>
      </c>
      <c r="D645" s="15">
        <v>42132.568206018521</v>
      </c>
      <c r="E645" s="16" t="s">
        <v>16</v>
      </c>
      <c r="F645" s="16" t="s">
        <v>22</v>
      </c>
      <c r="G645" s="17" t="s">
        <v>785</v>
      </c>
      <c r="H645" s="17" t="s">
        <v>947</v>
      </c>
      <c r="I645" s="13" t="s">
        <v>2585</v>
      </c>
      <c r="J645" s="18" t="str">
        <f>HYPERLINK("CorLog\COD\Lubumbashi RTO\20150508 COD Lubumbashi RTO Questions about the soakaway sizing (RDC-to-COD).msg", "Questions about the soakaway sizing")</f>
        <v>Questions about the soakaway sizing</v>
      </c>
      <c r="K645" s="22" t="s">
        <v>1274</v>
      </c>
      <c r="L645" s="19"/>
      <c r="M645" s="20"/>
      <c r="N645" s="21" t="s">
        <v>2586</v>
      </c>
    </row>
    <row r="646" spans="1:14">
      <c r="A646" s="12" t="s">
        <v>717</v>
      </c>
      <c r="B646" s="13" t="s">
        <v>1160</v>
      </c>
      <c r="C646" s="14" t="s">
        <v>724</v>
      </c>
      <c r="D646" s="15">
        <v>42132.426712962966</v>
      </c>
      <c r="E646" s="16" t="s">
        <v>16</v>
      </c>
      <c r="F646" s="16" t="s">
        <v>20</v>
      </c>
      <c r="G646" s="17" t="s">
        <v>719</v>
      </c>
      <c r="H646" s="17" t="s">
        <v>781</v>
      </c>
      <c r="I646" s="13" t="s">
        <v>2587</v>
      </c>
      <c r="J646" s="23" t="str">
        <f>HYPERLINK("CorLog\Reference\20150508 Reference BCF list worldwide (RDC-to-MOZ).msg", "BCF list worldwide")</f>
        <v>BCF list worldwide</v>
      </c>
      <c r="K646" s="25" t="s">
        <v>1211</v>
      </c>
      <c r="L646" s="19"/>
      <c r="M646" s="20"/>
      <c r="N646" s="21" t="s">
        <v>2588</v>
      </c>
    </row>
    <row r="647" spans="1:14">
      <c r="A647" s="12" t="s">
        <v>916</v>
      </c>
      <c r="B647" s="13" t="s">
        <v>1337</v>
      </c>
      <c r="C647" s="14" t="s">
        <v>1245</v>
      </c>
      <c r="D647" s="15">
        <v>42132.417708333334</v>
      </c>
      <c r="E647" s="16" t="s">
        <v>16</v>
      </c>
      <c r="F647" s="16" t="s">
        <v>18</v>
      </c>
      <c r="G647" s="17" t="s">
        <v>885</v>
      </c>
      <c r="H647" s="17" t="s">
        <v>851</v>
      </c>
      <c r="I647" s="13" t="s">
        <v>2589</v>
      </c>
      <c r="J647" s="23" t="str">
        <f>HYPERLINK("CorLog\ZMB\Kabompo RTO\20150508 ZMB Kabompo RTO DCP test roadway slabs 5 approved (RDC-to-ZMB).msg", "DCP test roadway slabs 5 approved")</f>
        <v>DCP test roadway slabs 5 approved</v>
      </c>
      <c r="K647" s="25" t="s">
        <v>1211</v>
      </c>
      <c r="L647" s="19"/>
      <c r="M647" s="20"/>
      <c r="N647" s="21" t="s">
        <v>2590</v>
      </c>
    </row>
    <row r="648" spans="1:14">
      <c r="A648" s="12" t="s">
        <v>2034</v>
      </c>
      <c r="B648" s="13" t="s">
        <v>718</v>
      </c>
      <c r="C648" s="14"/>
      <c r="D648" s="15">
        <v>42132.360474537039</v>
      </c>
      <c r="E648" s="16" t="s">
        <v>23</v>
      </c>
      <c r="F648" s="16" t="s">
        <v>16</v>
      </c>
      <c r="G648" s="17" t="s">
        <v>926</v>
      </c>
      <c r="H648" s="17" t="s">
        <v>2591</v>
      </c>
      <c r="I648" s="13" t="s">
        <v>2592</v>
      </c>
      <c r="J648" s="23" t="str">
        <f>HYPERLINK("CorLog\ZWE\Branch\20150508 ZWE Branch York Chiller Maintenance (-to-RDC).msg", "York Chiller Maintenance")</f>
        <v>York Chiller Maintenance</v>
      </c>
      <c r="K648" s="25" t="s">
        <v>1211</v>
      </c>
      <c r="L648" s="19"/>
      <c r="M648" s="20"/>
      <c r="N648" s="21" t="s">
        <v>2593</v>
      </c>
    </row>
    <row r="649" spans="1:14">
      <c r="A649" s="12" t="s">
        <v>1237</v>
      </c>
      <c r="B649" s="13" t="s">
        <v>724</v>
      </c>
      <c r="C649" s="14"/>
      <c r="D649" s="15">
        <v>42132.34101851852</v>
      </c>
      <c r="E649" s="16" t="s">
        <v>15</v>
      </c>
      <c r="F649" s="16" t="s">
        <v>16</v>
      </c>
      <c r="G649" s="17" t="s">
        <v>719</v>
      </c>
      <c r="H649" s="17" t="s">
        <v>871</v>
      </c>
      <c r="I649" s="13" t="s">
        <v>2594</v>
      </c>
      <c r="J649" s="23" t="str">
        <f>HYPERLINK("CorLog\Reference\20150508 Reference Purchasing Support of Design Construction (ZAF-to-RDC).msg", "Purchasing Support of Design Construction")</f>
        <v>Purchasing Support of Design Construction</v>
      </c>
      <c r="K649" s="25" t="s">
        <v>1243</v>
      </c>
      <c r="L649" s="19"/>
      <c r="M649" s="20"/>
      <c r="N649" s="21" t="s">
        <v>2595</v>
      </c>
    </row>
    <row r="650" spans="1:14">
      <c r="A650" s="12"/>
      <c r="B650" s="13"/>
      <c r="C650" s="14"/>
      <c r="D650" s="15">
        <v>42132.330462962964</v>
      </c>
      <c r="E650" s="16" t="s">
        <v>22</v>
      </c>
      <c r="F650" s="16" t="s">
        <v>16</v>
      </c>
      <c r="G650" s="17" t="s">
        <v>913</v>
      </c>
      <c r="H650" s="17" t="s">
        <v>2175</v>
      </c>
      <c r="I650" s="13" t="s">
        <v>2596</v>
      </c>
      <c r="J650" s="18" t="str">
        <f>HYPERLINK("CorLog\COD\Branch\20150508 COD Branch Replacement of Residence 13A kitchenettes (COD-to-RDC).docx", "Replacement of Residence 13A kitchenettes")</f>
        <v>Replacement of Residence 13A kitchenettes</v>
      </c>
      <c r="K650" s="18" t="str">
        <f>HYPERLINK("CorLog\COD\Branch\20150508 COD Branch Replacement of Residence 13A kitchenettes (COD-to-RDC).zip", "Zipped (1)")</f>
        <v>Zipped (1)</v>
      </c>
      <c r="L650" s="19" t="s">
        <v>2177</v>
      </c>
      <c r="M650" s="20"/>
      <c r="N650" s="21" t="s">
        <v>2597</v>
      </c>
    </row>
    <row r="651" spans="1:14">
      <c r="A651" s="12"/>
      <c r="B651" s="13"/>
      <c r="C651" s="14"/>
      <c r="D651" s="15">
        <v>42132.330196759256</v>
      </c>
      <c r="E651" s="16" t="s">
        <v>22</v>
      </c>
      <c r="F651" s="16" t="s">
        <v>25</v>
      </c>
      <c r="G651" s="17" t="s">
        <v>913</v>
      </c>
      <c r="H651" s="17" t="s">
        <v>2175</v>
      </c>
      <c r="I651" s="13" t="s">
        <v>2598</v>
      </c>
      <c r="J651" s="18" t="str">
        <f>HYPERLINK("CorLog\COD\Branch\20150508 COD Branch Maintenance of kitchen and bathroom cabinetry (COD-to-WHQ).docx", "Maintenance of kitchen and bathroom cabinetry")</f>
        <v>Maintenance of kitchen and bathroom cabinetry</v>
      </c>
      <c r="K651" s="18" t="str">
        <f>HYPERLINK("CorLog\COD\Branch\20150508 COD Branch Maintenance of kitchen and bathroom cabinetry (COD-to-WHQ).zip", "Zipped (1)")</f>
        <v>Zipped (1)</v>
      </c>
      <c r="L651" s="19" t="s">
        <v>2177</v>
      </c>
      <c r="M651" s="20"/>
      <c r="N651" s="21" t="s">
        <v>2599</v>
      </c>
    </row>
    <row r="652" spans="1:14">
      <c r="A652" s="12" t="s">
        <v>2034</v>
      </c>
      <c r="B652" s="13" t="s">
        <v>718</v>
      </c>
      <c r="C652" s="14"/>
      <c r="D652" s="15">
        <v>42132.251446759263</v>
      </c>
      <c r="E652" s="16" t="s">
        <v>23</v>
      </c>
      <c r="F652" s="16" t="s">
        <v>16</v>
      </c>
      <c r="G652" s="17" t="s">
        <v>758</v>
      </c>
      <c r="H652" s="17" t="s">
        <v>1805</v>
      </c>
      <c r="I652" s="13" t="s">
        <v>2173</v>
      </c>
      <c r="J652" s="23" t="str">
        <f>HYPERLINK("CorLog\GHA\Viepe RTO\20150508 GHA Viepe RTO Requesting 2m Extension to Viepe RTO AV Area (ZWE-to-RDC).msg", "Requesting 2m Extension to Viepe RTO AV Area")</f>
        <v>Requesting 2m Extension to Viepe RTO AV Area</v>
      </c>
      <c r="K652" s="25" t="s">
        <v>1243</v>
      </c>
      <c r="L652" s="19"/>
      <c r="M652" s="20"/>
      <c r="N652" s="21" t="s">
        <v>2600</v>
      </c>
    </row>
    <row r="653" spans="1:14">
      <c r="A653" s="12" t="s">
        <v>916</v>
      </c>
      <c r="B653" s="13" t="s">
        <v>757</v>
      </c>
      <c r="C653" s="14" t="s">
        <v>2601</v>
      </c>
      <c r="D653" s="15">
        <v>42131.666307870371</v>
      </c>
      <c r="E653" s="16" t="s">
        <v>16</v>
      </c>
      <c r="F653" s="16" t="s">
        <v>21</v>
      </c>
      <c r="G653" s="17" t="s">
        <v>790</v>
      </c>
      <c r="H653" s="17" t="s">
        <v>2602</v>
      </c>
      <c r="I653" s="13" t="s">
        <v>2603</v>
      </c>
      <c r="J653" s="23" t="str">
        <f>HYPERLINK("CorLog\GHA\BEX\20150507 GHA BEX Structural--Window lintel sag (Separating from Bricks Above) (RDC-to-GHA).msg", "Structural--Window lintel sag (Separating from Bricks Above)")</f>
        <v>Structural--Window lintel sag (Separating from Bricks Above)</v>
      </c>
      <c r="K653" s="25" t="s">
        <v>1243</v>
      </c>
      <c r="L653" s="19"/>
      <c r="M653" s="20"/>
      <c r="N653" s="21" t="s">
        <v>2604</v>
      </c>
    </row>
    <row r="654" spans="1:14">
      <c r="A654" s="12" t="s">
        <v>2016</v>
      </c>
      <c r="B654" s="13" t="s">
        <v>2605</v>
      </c>
      <c r="C654" s="14" t="s">
        <v>2606</v>
      </c>
      <c r="D654" s="15">
        <v>42131.60974537037</v>
      </c>
      <c r="E654" s="16" t="s">
        <v>16</v>
      </c>
      <c r="F654" s="16" t="s">
        <v>30</v>
      </c>
      <c r="G654" s="17" t="s">
        <v>719</v>
      </c>
      <c r="H654" s="17" t="s">
        <v>781</v>
      </c>
      <c r="I654" s="13" t="s">
        <v>2607</v>
      </c>
      <c r="J654" s="23" t="str">
        <f>HYPERLINK("CorLog\Reference\20150507 Reference Dwelling together in unity for BCF in Bethel only (RDC-to-).msg", "Dwelling together in unity for BCF in Bethel only")</f>
        <v>Dwelling together in unity for BCF in Bethel only</v>
      </c>
      <c r="K654" s="25"/>
      <c r="L654" s="19"/>
      <c r="M654" s="20"/>
      <c r="N654" s="21" t="s">
        <v>2608</v>
      </c>
    </row>
    <row r="655" spans="1:14">
      <c r="A655" s="12" t="s">
        <v>750</v>
      </c>
      <c r="B655" s="13" t="s">
        <v>837</v>
      </c>
      <c r="C655" s="14" t="s">
        <v>2609</v>
      </c>
      <c r="D655" s="15">
        <v>42131.60465277778</v>
      </c>
      <c r="E655" s="16" t="s">
        <v>16</v>
      </c>
      <c r="F655" s="16" t="s">
        <v>18</v>
      </c>
      <c r="G655" s="17" t="s">
        <v>838</v>
      </c>
      <c r="H655" s="17" t="s">
        <v>851</v>
      </c>
      <c r="I655" s="13" t="s">
        <v>2610</v>
      </c>
      <c r="J655" s="23" t="str">
        <f>HYPERLINK("CorLog\ZMB\Choma RTO\20150507 ZMB Choma RTO Commuter DCP Results prior to Soilcrete (A3 recompacted) (RDC-to-ZMB).msg", "Commuter DCP Results prior to Soilcrete (A3 recompacted)")</f>
        <v>Commuter DCP Results prior to Soilcrete (A3 recompacted)</v>
      </c>
      <c r="K655" s="25"/>
      <c r="L655" s="19"/>
      <c r="M655" s="20"/>
      <c r="N655" s="21" t="s">
        <v>2611</v>
      </c>
    </row>
    <row r="656" spans="1:14">
      <c r="A656" s="12" t="s">
        <v>2612</v>
      </c>
      <c r="B656" s="13" t="s">
        <v>750</v>
      </c>
      <c r="C656" s="14" t="s">
        <v>2613</v>
      </c>
      <c r="D656" s="15">
        <v>42131.574918981481</v>
      </c>
      <c r="E656" s="16" t="s">
        <v>21</v>
      </c>
      <c r="F656" s="16" t="s">
        <v>16</v>
      </c>
      <c r="G656" s="17" t="s">
        <v>738</v>
      </c>
      <c r="H656" s="17" t="s">
        <v>839</v>
      </c>
      <c r="I656" s="13" t="s">
        <v>2614</v>
      </c>
      <c r="J656" s="18" t="str">
        <f>HYPERLINK("CorLog\GHA\BEX 2\20150507 GHA BEX 2 Soils Tests received to date (GHA-to-RDC).msg", "Soils Tests received to date")</f>
        <v>Soils Tests received to date</v>
      </c>
      <c r="K656" s="22" t="s">
        <v>1124</v>
      </c>
      <c r="L656" s="19"/>
      <c r="M656" s="20"/>
      <c r="N656" s="21" t="s">
        <v>2615</v>
      </c>
    </row>
    <row r="657" spans="1:14">
      <c r="A657" s="12" t="s">
        <v>750</v>
      </c>
      <c r="B657" s="13" t="s">
        <v>771</v>
      </c>
      <c r="C657" s="14" t="s">
        <v>2616</v>
      </c>
      <c r="D657" s="15">
        <v>42131.551215277781</v>
      </c>
      <c r="E657" s="16" t="s">
        <v>16</v>
      </c>
      <c r="F657" s="16" t="s">
        <v>17</v>
      </c>
      <c r="G657" s="17" t="s">
        <v>738</v>
      </c>
      <c r="H657" s="17" t="s">
        <v>2617</v>
      </c>
      <c r="I657" s="13" t="s">
        <v>2568</v>
      </c>
      <c r="J657" s="23" t="str">
        <f>HYPERLINK("CorLog\GHA\BEX 2\20150507 GHA BEX 2 Early Procurement Kitchen Equipment (RDC-to-WDC).msg", "Early Procurement Kitchen Equipment")</f>
        <v>Early Procurement Kitchen Equipment</v>
      </c>
      <c r="K657" s="25" t="s">
        <v>1243</v>
      </c>
      <c r="L657" s="19"/>
      <c r="M657" s="20"/>
      <c r="N657" s="21" t="s">
        <v>2618</v>
      </c>
    </row>
    <row r="658" spans="1:14">
      <c r="A658" s="12" t="s">
        <v>750</v>
      </c>
      <c r="B658" s="13" t="s">
        <v>821</v>
      </c>
      <c r="C658" s="14" t="s">
        <v>2619</v>
      </c>
      <c r="D658" s="15">
        <v>42131.45758101852</v>
      </c>
      <c r="E658" s="16" t="s">
        <v>16</v>
      </c>
      <c r="F658" s="16" t="s">
        <v>21</v>
      </c>
      <c r="G658" s="17" t="s">
        <v>738</v>
      </c>
      <c r="H658" s="17" t="s">
        <v>2620</v>
      </c>
      <c r="I658" s="13" t="s">
        <v>2621</v>
      </c>
      <c r="J658" s="23" t="str">
        <f>HYPERLINK("CorLog\GHA\BEX 2\20150507 GHA BEX 2 Kitchen Equipment; AV Layout; No of Double Rooms (MINUTES) (RDC-to-GHA).msg", "Kitchen Equipment; AV Layout; No of Double Rooms (MINUTES)")</f>
        <v>Kitchen Equipment; AV Layout; No of Double Rooms (MINUTES)</v>
      </c>
      <c r="K658" s="25" t="s">
        <v>1243</v>
      </c>
      <c r="L658" s="19"/>
      <c r="M658" s="20"/>
      <c r="N658" s="21" t="s">
        <v>2622</v>
      </c>
    </row>
    <row r="659" spans="1:14">
      <c r="A659" s="12" t="s">
        <v>718</v>
      </c>
      <c r="B659" s="13" t="s">
        <v>1167</v>
      </c>
      <c r="C659" s="14" t="s">
        <v>1168</v>
      </c>
      <c r="D659" s="15">
        <v>42131.399571759262</v>
      </c>
      <c r="E659" s="16" t="s">
        <v>16</v>
      </c>
      <c r="F659" s="16" t="s">
        <v>22</v>
      </c>
      <c r="G659" s="17" t="s">
        <v>1169</v>
      </c>
      <c r="H659" s="17" t="s">
        <v>803</v>
      </c>
      <c r="I659" s="13" t="s">
        <v>2623</v>
      </c>
      <c r="J659" s="23" t="str">
        <f>HYPERLINK("CorLog\COD\Kikwit RTO\20150507 COD Kikwit RTO Revised Drawing S-102-S1 Saw cut location (RDC-to-COD).msg", "Revised Drawing S-102-S1 Saw cut location")</f>
        <v>Revised Drawing S-102-S1 Saw cut location</v>
      </c>
      <c r="K659" s="25" t="s">
        <v>1211</v>
      </c>
      <c r="L659" s="19"/>
      <c r="M659" s="20"/>
      <c r="N659" s="21" t="s">
        <v>2624</v>
      </c>
    </row>
    <row r="660" spans="1:14">
      <c r="A660" s="12" t="s">
        <v>718</v>
      </c>
      <c r="B660" s="13" t="s">
        <v>1514</v>
      </c>
      <c r="C660" s="14" t="s">
        <v>742</v>
      </c>
      <c r="D660" s="15">
        <v>42131.399444444447</v>
      </c>
      <c r="E660" s="16" t="s">
        <v>16</v>
      </c>
      <c r="F660" s="16" t="s">
        <v>21</v>
      </c>
      <c r="G660" s="17" t="s">
        <v>758</v>
      </c>
      <c r="H660" s="17" t="s">
        <v>803</v>
      </c>
      <c r="I660" s="13" t="s">
        <v>2623</v>
      </c>
      <c r="J660" s="23" t="str">
        <f>HYPERLINK("CorLog\GHA\Viepe RTO\20150507 GHA Viepe RTO Revised Drawing S-102-S1 Saw cut location (RDC-to-GHA).msg", "Revised Drawing S-102-S1 Saw cut location")</f>
        <v>Revised Drawing S-102-S1 Saw cut location</v>
      </c>
      <c r="K660" s="25" t="s">
        <v>1211</v>
      </c>
      <c r="L660" s="19"/>
      <c r="M660" s="20"/>
      <c r="N660" s="21" t="s">
        <v>2625</v>
      </c>
    </row>
    <row r="661" spans="1:14">
      <c r="A661" s="12" t="s">
        <v>718</v>
      </c>
      <c r="B661" s="13" t="s">
        <v>1969</v>
      </c>
      <c r="C661" s="14" t="s">
        <v>2626</v>
      </c>
      <c r="D661" s="15">
        <v>42131.399328703701</v>
      </c>
      <c r="E661" s="16" t="s">
        <v>16</v>
      </c>
      <c r="F661" s="16" t="s">
        <v>22</v>
      </c>
      <c r="G661" s="17" t="s">
        <v>2627</v>
      </c>
      <c r="H661" s="17" t="s">
        <v>803</v>
      </c>
      <c r="I661" s="13" t="s">
        <v>2628</v>
      </c>
      <c r="J661" s="23" t="str">
        <f>HYPERLINK("CorLog\COD\Kamina RTO\20150507 COD Kamina RTO Revised Drawing S-102-S4 Saw cut location (RDC-to-COD).msg", "Revised Drawing S-102-S4 Saw cut location")</f>
        <v>Revised Drawing S-102-S4 Saw cut location</v>
      </c>
      <c r="K661" s="25" t="s">
        <v>1211</v>
      </c>
      <c r="L661" s="19"/>
      <c r="M661" s="20"/>
      <c r="N661" s="21" t="s">
        <v>2629</v>
      </c>
    </row>
    <row r="662" spans="1:14">
      <c r="A662" s="12" t="s">
        <v>718</v>
      </c>
      <c r="B662" s="13" t="s">
        <v>2431</v>
      </c>
      <c r="C662" s="14" t="s">
        <v>1168</v>
      </c>
      <c r="D662" s="15">
        <v>42131.399097222224</v>
      </c>
      <c r="E662" s="16" t="s">
        <v>16</v>
      </c>
      <c r="F662" s="16" t="s">
        <v>22</v>
      </c>
      <c r="G662" s="17" t="s">
        <v>785</v>
      </c>
      <c r="H662" s="17" t="s">
        <v>803</v>
      </c>
      <c r="I662" s="13" t="s">
        <v>2623</v>
      </c>
      <c r="J662" s="23" t="str">
        <f>HYPERLINK("CorLog\COD\Lubumbashi RTO\20150507 COD Lubumbashi RTO Revised Drawing S-102-S1 Saw cut location (RDC-to-COD).msg", "Revised Drawing S-102-S1 Saw cut location")</f>
        <v>Revised Drawing S-102-S1 Saw cut location</v>
      </c>
      <c r="K662" s="25" t="s">
        <v>1211</v>
      </c>
      <c r="L662" s="19"/>
      <c r="M662" s="20"/>
      <c r="N662" s="21" t="s">
        <v>2630</v>
      </c>
    </row>
    <row r="663" spans="1:14">
      <c r="A663" s="12" t="s">
        <v>1069</v>
      </c>
      <c r="B663" s="13" t="s">
        <v>2631</v>
      </c>
      <c r="C663" s="14" t="s">
        <v>2632</v>
      </c>
      <c r="D663" s="15">
        <v>42131.389340277776</v>
      </c>
      <c r="E663" s="16" t="s">
        <v>18</v>
      </c>
      <c r="F663" s="16" t="s">
        <v>15</v>
      </c>
      <c r="G663" s="17" t="s">
        <v>1070</v>
      </c>
      <c r="H663" s="17" t="s">
        <v>2633</v>
      </c>
      <c r="I663" s="13" t="s">
        <v>2634</v>
      </c>
      <c r="J663" s="23" t="str">
        <f>HYPERLINK("CorLog\ZMB\Katete RTO\20150507 ZMB Katete RTO Brick force (60mm wide for 100 CMU) (ZMB-to-ZAF).msg", "Brick force (60mm wide for 100 CMU)")</f>
        <v>Brick force (60mm wide for 100 CMU)</v>
      </c>
      <c r="K663" s="25" t="s">
        <v>1243</v>
      </c>
      <c r="L663" s="19"/>
      <c r="M663" s="20"/>
      <c r="N663" s="21" t="s">
        <v>2635</v>
      </c>
    </row>
    <row r="664" spans="1:14">
      <c r="A664" s="12" t="s">
        <v>718</v>
      </c>
      <c r="B664" s="13" t="s">
        <v>837</v>
      </c>
      <c r="C664" s="14" t="s">
        <v>2636</v>
      </c>
      <c r="D664" s="15">
        <v>42131.375405092593</v>
      </c>
      <c r="E664" s="16" t="s">
        <v>16</v>
      </c>
      <c r="F664" s="16" t="s">
        <v>18</v>
      </c>
      <c r="G664" s="17" t="s">
        <v>838</v>
      </c>
      <c r="H664" s="17" t="s">
        <v>829</v>
      </c>
      <c r="I664" s="13" t="s">
        <v>2637</v>
      </c>
      <c r="J664" s="23" t="str">
        <f>HYPERLINK("CorLog\ZMB\Choma RTO\20150507 ZMB Choma RTO RDC review of NLBR -11468 plywood, tarps, razorwire (APPROVED) (RDC-to-ZMB).msg", "RDC review of NLBR -11468 plywood, tarps, razorwire (APPROVED)")</f>
        <v>RDC review of NLBR -11468 plywood, tarps, razorwire (APPROVED)</v>
      </c>
      <c r="K664" s="25" t="s">
        <v>1211</v>
      </c>
      <c r="L664" s="19"/>
      <c r="M664" s="20"/>
      <c r="N664" s="21" t="s">
        <v>2638</v>
      </c>
    </row>
    <row r="665" spans="1:14">
      <c r="A665" s="12" t="s">
        <v>718</v>
      </c>
      <c r="B665" s="13" t="s">
        <v>837</v>
      </c>
      <c r="C665" s="14" t="s">
        <v>2639</v>
      </c>
      <c r="D665" s="15">
        <v>42131.365300925929</v>
      </c>
      <c r="E665" s="16" t="s">
        <v>16</v>
      </c>
      <c r="F665" s="16" t="s">
        <v>18</v>
      </c>
      <c r="G665" s="17" t="s">
        <v>838</v>
      </c>
      <c r="H665" s="17" t="s">
        <v>851</v>
      </c>
      <c r="I665" s="13" t="s">
        <v>2640</v>
      </c>
      <c r="J665" s="23" t="str">
        <f>HYPERLINK("CorLog\ZMB\Choma RTO\20150507 ZMB Choma RTO Preliminary DCP for Residence SOG, 2015-05-01 (RDC-to-ZMB).msg", "Preliminary DCP for Residence SOG, 2015-05-01")</f>
        <v>Preliminary DCP for Residence SOG, 2015-05-01</v>
      </c>
      <c r="K665" s="25" t="s">
        <v>1243</v>
      </c>
      <c r="L665" s="19"/>
      <c r="M665" s="20"/>
      <c r="N665" s="21" t="s">
        <v>2641</v>
      </c>
    </row>
    <row r="666" spans="1:14">
      <c r="A666" s="12" t="s">
        <v>2431</v>
      </c>
      <c r="B666" s="13" t="s">
        <v>1818</v>
      </c>
      <c r="C666" s="14" t="s">
        <v>2642</v>
      </c>
      <c r="D666" s="15">
        <v>42131.35</v>
      </c>
      <c r="E666" s="16" t="s">
        <v>22</v>
      </c>
      <c r="F666" s="16" t="s">
        <v>16</v>
      </c>
      <c r="G666" s="17" t="s">
        <v>785</v>
      </c>
      <c r="H666" s="17" t="s">
        <v>947</v>
      </c>
      <c r="I666" s="13" t="s">
        <v>2643</v>
      </c>
      <c r="J666" s="23" t="str">
        <f>HYPERLINK("CorLog\COD\Lubumbashi RTO\20150507 COD Lubumbashi RTO Civil Elevation Adjustment (COD-to-RDC).msg", "Civil Elevation Adjustment")</f>
        <v>Civil Elevation Adjustment</v>
      </c>
      <c r="K666" s="25"/>
      <c r="L666" s="19"/>
      <c r="M666" s="20"/>
      <c r="N666" s="21" t="s">
        <v>2644</v>
      </c>
    </row>
    <row r="667" spans="1:14">
      <c r="A667" s="12" t="s">
        <v>1052</v>
      </c>
      <c r="B667" s="13" t="s">
        <v>1206</v>
      </c>
      <c r="C667" s="14"/>
      <c r="D667" s="15">
        <v>42130.915081018517</v>
      </c>
      <c r="E667" s="16" t="s">
        <v>17</v>
      </c>
      <c r="F667" s="16" t="s">
        <v>17</v>
      </c>
      <c r="G667" s="17" t="s">
        <v>719</v>
      </c>
      <c r="H667" s="17" t="s">
        <v>2645</v>
      </c>
      <c r="I667" s="13" t="s">
        <v>2646</v>
      </c>
      <c r="J667" s="23" t="str">
        <f>HYPERLINK("CorLog\Reference\20150506 Reference Malawi - Number of Air Conditioning Units per TER (WDC-to-WDC).msg", "Malawi - Number of Air Conditioning Units per TER")</f>
        <v>Malawi - Number of Air Conditioning Units per TER</v>
      </c>
      <c r="K667" s="25" t="s">
        <v>1211</v>
      </c>
      <c r="L667" s="19"/>
      <c r="M667" s="20"/>
      <c r="N667" s="21" t="s">
        <v>2647</v>
      </c>
    </row>
    <row r="668" spans="1:14">
      <c r="A668" s="12" t="s">
        <v>750</v>
      </c>
      <c r="B668" s="13" t="s">
        <v>757</v>
      </c>
      <c r="C668" s="14" t="s">
        <v>2648</v>
      </c>
      <c r="D668" s="15">
        <v>42130.845949074072</v>
      </c>
      <c r="E668" s="16" t="s">
        <v>16</v>
      </c>
      <c r="F668" s="16" t="s">
        <v>21</v>
      </c>
      <c r="G668" s="17" t="s">
        <v>758</v>
      </c>
      <c r="H668" s="17" t="s">
        <v>2649</v>
      </c>
      <c r="I668" s="13" t="s">
        <v>2650</v>
      </c>
      <c r="J668" s="23" t="str">
        <f>HYPERLINK("CorLog\GHA\Viepe RTO\20150506 GHA Viepe RTO Crush Test Results, Hollow Block (OK) (RDC-to-GHA).msg", "Crush Test Results, Hollow Block (OK)")</f>
        <v>Crush Test Results, Hollow Block (OK)</v>
      </c>
      <c r="K668" s="25" t="s">
        <v>1211</v>
      </c>
      <c r="L668" s="19"/>
      <c r="M668" s="20"/>
      <c r="N668" s="21" t="s">
        <v>2651</v>
      </c>
    </row>
    <row r="669" spans="1:14">
      <c r="A669" s="12" t="s">
        <v>837</v>
      </c>
      <c r="B669" s="13" t="s">
        <v>718</v>
      </c>
      <c r="C669" s="14"/>
      <c r="D669" s="15">
        <v>42130.836284722223</v>
      </c>
      <c r="E669" s="16" t="s">
        <v>18</v>
      </c>
      <c r="F669" s="16" t="s">
        <v>16</v>
      </c>
      <c r="G669" s="17" t="s">
        <v>838</v>
      </c>
      <c r="H669" s="17" t="s">
        <v>2652</v>
      </c>
      <c r="I669" s="13" t="s">
        <v>2653</v>
      </c>
      <c r="J669" s="23" t="str">
        <f>HYPERLINK("CorLog\ZMB\Choma RTO\20150506 ZMB Choma RTO Surprised how long site set-up has taken! (ZMB-to-RDC).msg", "Surprised how long site set-up has taken!")</f>
        <v>Surprised how long site set-up has taken!</v>
      </c>
      <c r="K669" s="25"/>
      <c r="L669" s="19"/>
      <c r="M669" s="20"/>
      <c r="N669" s="21" t="s">
        <v>2654</v>
      </c>
    </row>
    <row r="670" spans="1:14">
      <c r="A670" s="12" t="s">
        <v>1116</v>
      </c>
      <c r="B670" s="13" t="s">
        <v>2655</v>
      </c>
      <c r="C670" s="14" t="s">
        <v>1116</v>
      </c>
      <c r="D670" s="15">
        <v>42130.725486111114</v>
      </c>
      <c r="E670" s="16" t="s">
        <v>22</v>
      </c>
      <c r="F670" s="16" t="s">
        <v>22</v>
      </c>
      <c r="G670" s="17" t="s">
        <v>2656</v>
      </c>
      <c r="H670" s="17" t="s">
        <v>1000</v>
      </c>
      <c r="I670" s="13" t="s">
        <v>2657</v>
      </c>
      <c r="J670" s="23" t="str">
        <f>HYPERLINK("CorLog\COD\Gungu RTO\20150506 COD Gungu RTO Kipende RTO Project Description (COD-to-COD).msg", "Kipende RTO Project Description")</f>
        <v>Kipende RTO Project Description</v>
      </c>
      <c r="K670" s="25"/>
      <c r="L670" s="19"/>
      <c r="M670" s="20"/>
      <c r="N670" s="21" t="s">
        <v>2658</v>
      </c>
    </row>
    <row r="671" spans="1:14">
      <c r="A671" s="12" t="s">
        <v>718</v>
      </c>
      <c r="B671" s="13" t="s">
        <v>998</v>
      </c>
      <c r="C671" s="14" t="s">
        <v>2659</v>
      </c>
      <c r="D671" s="15">
        <v>42130.709351851852</v>
      </c>
      <c r="E671" s="16" t="s">
        <v>16</v>
      </c>
      <c r="F671" s="16" t="s">
        <v>17</v>
      </c>
      <c r="G671" s="17" t="s">
        <v>1941</v>
      </c>
      <c r="H671" s="17" t="s">
        <v>2660</v>
      </c>
      <c r="I671" s="13" t="s">
        <v>2661</v>
      </c>
      <c r="J671" s="23" t="str">
        <f>HYPERLINK("CorLog\COD\RTO Projects\20150506 COD RTO Projects Internet connection possibilities, new unmanaged laptops (RDC-to-WDC).msg", "Internet connection possibilities, new unmanaged laptops")</f>
        <v>Internet connection possibilities, new unmanaged laptops</v>
      </c>
      <c r="K671" s="25" t="s">
        <v>1211</v>
      </c>
      <c r="L671" s="19"/>
      <c r="M671" s="20"/>
      <c r="N671" s="21" t="s">
        <v>2662</v>
      </c>
    </row>
    <row r="672" spans="1:14">
      <c r="A672" s="12" t="s">
        <v>718</v>
      </c>
      <c r="B672" s="13" t="s">
        <v>1529</v>
      </c>
      <c r="C672" s="14" t="s">
        <v>2663</v>
      </c>
      <c r="D672" s="15">
        <v>42130.654456018521</v>
      </c>
      <c r="E672" s="16" t="s">
        <v>16</v>
      </c>
      <c r="F672" s="16" t="s">
        <v>18</v>
      </c>
      <c r="G672" s="17" t="s">
        <v>946</v>
      </c>
      <c r="H672" s="17" t="s">
        <v>1489</v>
      </c>
      <c r="I672" s="13" t="s">
        <v>2664</v>
      </c>
      <c r="J672" s="23" t="str">
        <f>HYPERLINK("CorLog\ZMB\Mongu RTO\20150506 ZMB Mongu RTO Tuffa Tank Cabinet Location (OPT 3) (RDC-to-ZMB).msg", "Tuffa Tank Cabinet Location (OPT 3)")</f>
        <v>Tuffa Tank Cabinet Location (OPT 3)</v>
      </c>
      <c r="K672" s="25" t="s">
        <v>2665</v>
      </c>
      <c r="L672" s="19"/>
      <c r="M672" s="20"/>
      <c r="N672" s="21" t="s">
        <v>2666</v>
      </c>
    </row>
    <row r="673" spans="1:14">
      <c r="A673" s="12" t="s">
        <v>1026</v>
      </c>
      <c r="B673" s="13" t="s">
        <v>1529</v>
      </c>
      <c r="C673" s="14" t="s">
        <v>2667</v>
      </c>
      <c r="D673" s="15">
        <v>42130.594594907408</v>
      </c>
      <c r="E673" s="16" t="s">
        <v>18</v>
      </c>
      <c r="F673" s="16" t="s">
        <v>18</v>
      </c>
      <c r="G673" s="17" t="s">
        <v>946</v>
      </c>
      <c r="H673" s="17" t="s">
        <v>2668</v>
      </c>
      <c r="I673" s="13" t="s">
        <v>2669</v>
      </c>
      <c r="J673" s="23" t="str">
        <f>HYPERLINK("CorLog\ZMB\Mongu RTO\20150506 ZMB Mongu RTO Handover to Bethel (ZMB-to-ZMB).msg", "Handover to Bethel")</f>
        <v>Handover to Bethel</v>
      </c>
      <c r="K673" s="25"/>
      <c r="L673" s="19"/>
      <c r="M673" s="20"/>
      <c r="N673" s="21" t="s">
        <v>2670</v>
      </c>
    </row>
    <row r="674" spans="1:14">
      <c r="A674" s="12" t="s">
        <v>718</v>
      </c>
      <c r="B674" s="13" t="s">
        <v>1297</v>
      </c>
      <c r="C674" s="14" t="s">
        <v>1069</v>
      </c>
      <c r="D674" s="15">
        <v>42130.567893518521</v>
      </c>
      <c r="E674" s="16" t="s">
        <v>16</v>
      </c>
      <c r="F674" s="16" t="s">
        <v>18</v>
      </c>
      <c r="G674" s="17" t="s">
        <v>1070</v>
      </c>
      <c r="H674" s="17" t="s">
        <v>886</v>
      </c>
      <c r="I674" s="13" t="s">
        <v>2671</v>
      </c>
      <c r="J674" s="23" t="str">
        <f>HYPERLINK("CorLog\ZMB\Katete RTO\20150506 ZMB Katete RTO Location of pole light &amp; data cable (RDC-to-ZMB).msg", "Location of pole light &amp; data cable")</f>
        <v>Location of pole light &amp; data cable</v>
      </c>
      <c r="K674" s="25" t="s">
        <v>1274</v>
      </c>
      <c r="L674" s="19"/>
      <c r="M674" s="20"/>
      <c r="N674" s="21" t="s">
        <v>2672</v>
      </c>
    </row>
    <row r="675" spans="1:14">
      <c r="A675" s="12" t="s">
        <v>718</v>
      </c>
      <c r="B675" s="13" t="s">
        <v>2673</v>
      </c>
      <c r="C675" s="14" t="s">
        <v>2674</v>
      </c>
      <c r="D675" s="15">
        <v>42130.482835648145</v>
      </c>
      <c r="E675" s="16" t="s">
        <v>16</v>
      </c>
      <c r="F675" s="16" t="s">
        <v>16</v>
      </c>
      <c r="G675" s="17" t="s">
        <v>1134</v>
      </c>
      <c r="H675" s="17" t="s">
        <v>731</v>
      </c>
      <c r="I675" s="13" t="s">
        <v>2675</v>
      </c>
      <c r="J675" s="23" t="str">
        <f>HYPERLINK("CorLog\AGO\Lubango RTO\20150506 AGO Lubango RTO EST review of DC-41 Draft (RDC-to-RDC).msg", "EST review of DC-41 Draft")</f>
        <v>EST review of DC-41 Draft</v>
      </c>
      <c r="K675" s="25" t="s">
        <v>1243</v>
      </c>
      <c r="L675" s="19"/>
      <c r="M675" s="20"/>
      <c r="N675" s="21" t="s">
        <v>2676</v>
      </c>
    </row>
    <row r="676" spans="1:14">
      <c r="A676" s="12" t="s">
        <v>778</v>
      </c>
      <c r="B676" s="13" t="s">
        <v>842</v>
      </c>
      <c r="C676" s="14" t="s">
        <v>2677</v>
      </c>
      <c r="D676" s="15">
        <v>42130.360011574077</v>
      </c>
      <c r="E676" s="16" t="s">
        <v>17</v>
      </c>
      <c r="F676" s="16" t="s">
        <v>21</v>
      </c>
      <c r="G676" s="17" t="s">
        <v>880</v>
      </c>
      <c r="H676" s="17" t="s">
        <v>1669</v>
      </c>
      <c r="I676" s="13" t="s">
        <v>2678</v>
      </c>
      <c r="J676" s="23" t="str">
        <f>HYPERLINK("CorLog\GHA\Kumasi RTO\20150506 GHA Kumasi RTO DC-51 (31 March, 2015) Construction Overseer recommendation (WDC-to-GHA).msg", "DC-51 (31 March, 2015) Construction Overseer recommendation")</f>
        <v>DC-51 (31 March, 2015) Construction Overseer recommendation</v>
      </c>
      <c r="K676" s="25"/>
      <c r="L676" s="19"/>
      <c r="M676" s="20"/>
      <c r="N676" s="21" t="s">
        <v>2679</v>
      </c>
    </row>
    <row r="677" spans="1:14">
      <c r="A677" s="12" t="s">
        <v>724</v>
      </c>
      <c r="B677" s="13" t="s">
        <v>718</v>
      </c>
      <c r="C677" s="14" t="s">
        <v>778</v>
      </c>
      <c r="D677" s="15">
        <v>42130.344780092593</v>
      </c>
      <c r="E677" s="16" t="s">
        <v>16</v>
      </c>
      <c r="F677" s="16" t="s">
        <v>16</v>
      </c>
      <c r="G677" s="17" t="s">
        <v>1932</v>
      </c>
      <c r="H677" s="17" t="s">
        <v>781</v>
      </c>
      <c r="I677" s="13" t="s">
        <v>2680</v>
      </c>
      <c r="J677" s="23" t="str">
        <f>HYPERLINK("CorLog\ZMB\Mwinilunga RTO\20150506 ZMB Mwinilunga RTO Philippines - Andrew and Gabriel Struyf assigned as CO (RDC-to-RDC).msg", "Philippines - Andrew and Gabriel Struyf assigned as CO")</f>
        <v>Philippines - Andrew and Gabriel Struyf assigned as CO</v>
      </c>
      <c r="K677" s="25" t="s">
        <v>1369</v>
      </c>
      <c r="L677" s="19"/>
      <c r="M677" s="20"/>
      <c r="N677" s="21" t="s">
        <v>2681</v>
      </c>
    </row>
    <row r="678" spans="1:14">
      <c r="A678" s="12" t="s">
        <v>1052</v>
      </c>
      <c r="B678" s="13" t="s">
        <v>718</v>
      </c>
      <c r="C678" s="14"/>
      <c r="D678" s="15">
        <v>42129.913807870369</v>
      </c>
      <c r="E678" s="16" t="s">
        <v>17</v>
      </c>
      <c r="F678" s="16" t="s">
        <v>16</v>
      </c>
      <c r="G678" s="17" t="s">
        <v>802</v>
      </c>
      <c r="H678" s="17" t="s">
        <v>2498</v>
      </c>
      <c r="I678" s="13" t="s">
        <v>2682</v>
      </c>
      <c r="J678" s="23" t="str">
        <f>HYPERLINK("CorLog\ZWE\Bulawayo RTO\20150505 ZWE Bulawayo RTO Ndebele team in Buluwayo - December 4, 2014 (WDC-to-RDC).msg", "Ndebele team in Buluwayo - December 4, 2014")</f>
        <v>Ndebele team in Buluwayo - December 4, 2014</v>
      </c>
      <c r="K678" s="25" t="s">
        <v>1270</v>
      </c>
      <c r="L678" s="19"/>
      <c r="M678" s="20"/>
      <c r="N678" s="21" t="s">
        <v>2683</v>
      </c>
    </row>
    <row r="679" spans="1:14">
      <c r="A679" s="12"/>
      <c r="B679" s="13"/>
      <c r="C679" s="14"/>
      <c r="D679" s="15">
        <v>42129.74082175926</v>
      </c>
      <c r="E679" s="16" t="s">
        <v>17</v>
      </c>
      <c r="F679" s="16" t="s">
        <v>16</v>
      </c>
      <c r="G679" s="17" t="s">
        <v>17</v>
      </c>
      <c r="H679" s="17" t="s">
        <v>1392</v>
      </c>
      <c r="I679" s="13" t="s">
        <v>2684</v>
      </c>
      <c r="J679" s="18" t="str">
        <f>HYPERLINK("CorLog\WDC\20150505 WDC WDC RDC AGENDA 013 (WDC-to-RDC).pdf", "WDC RDC AGENDA 013")</f>
        <v>WDC RDC AGENDA 013</v>
      </c>
      <c r="K679" s="22"/>
      <c r="L679" s="19"/>
      <c r="M679" s="20"/>
      <c r="N679" s="21"/>
    </row>
    <row r="680" spans="1:14">
      <c r="A680" s="12" t="s">
        <v>718</v>
      </c>
      <c r="B680" s="13" t="s">
        <v>1337</v>
      </c>
      <c r="C680" s="14" t="s">
        <v>1147</v>
      </c>
      <c r="D680" s="15">
        <v>42129.727731481478</v>
      </c>
      <c r="E680" s="16" t="s">
        <v>16</v>
      </c>
      <c r="F680" s="16" t="s">
        <v>18</v>
      </c>
      <c r="G680" s="17" t="s">
        <v>885</v>
      </c>
      <c r="H680" s="17" t="s">
        <v>858</v>
      </c>
      <c r="I680" s="13" t="s">
        <v>2685</v>
      </c>
      <c r="J680" s="23" t="str">
        <f>HYPERLINK("CorLog\ZMB\Kabompo RTO\20150505 ZMB Kabompo RTO RDC review of AO-8 March 2015 (RDC-to-ZMB).msg", "RDC review of AO-8 March 2015")</f>
        <v>RDC review of AO-8 March 2015</v>
      </c>
      <c r="K680" s="25" t="s">
        <v>1499</v>
      </c>
      <c r="L680" s="19"/>
      <c r="M680" s="20"/>
      <c r="N680" s="21" t="s">
        <v>2686</v>
      </c>
    </row>
    <row r="681" spans="1:14">
      <c r="A681" s="12" t="s">
        <v>756</v>
      </c>
      <c r="B681" s="13" t="s">
        <v>1069</v>
      </c>
      <c r="C681" s="14" t="s">
        <v>2687</v>
      </c>
      <c r="D681" s="15">
        <v>42129.684930555559</v>
      </c>
      <c r="E681" s="16" t="s">
        <v>16</v>
      </c>
      <c r="F681" s="16" t="s">
        <v>18</v>
      </c>
      <c r="G681" s="17" t="s">
        <v>1070</v>
      </c>
      <c r="H681" s="17" t="s">
        <v>2688</v>
      </c>
      <c r="I681" s="13" t="s">
        <v>2689</v>
      </c>
      <c r="J681" s="23" t="str">
        <f>HYPERLINK("CorLog\ZMB\Katete RTO\20150505 ZMB Katete RTO Revised grading field sketch (RDC-to-ZMB).msg", "Revised grading field sketch")</f>
        <v>Revised grading field sketch</v>
      </c>
      <c r="K681" s="25" t="s">
        <v>1211</v>
      </c>
      <c r="L681" s="19"/>
      <c r="M681" s="20"/>
      <c r="N681" s="21" t="s">
        <v>2690</v>
      </c>
    </row>
    <row r="682" spans="1:14">
      <c r="A682" s="12" t="s">
        <v>1258</v>
      </c>
      <c r="B682" s="13" t="s">
        <v>742</v>
      </c>
      <c r="C682" s="14" t="s">
        <v>2691</v>
      </c>
      <c r="D682" s="15">
        <v>42129.654131944444</v>
      </c>
      <c r="E682" s="16" t="s">
        <v>16</v>
      </c>
      <c r="F682" s="16" t="s">
        <v>16</v>
      </c>
      <c r="G682" s="17" t="s">
        <v>738</v>
      </c>
      <c r="H682" s="17" t="s">
        <v>1195</v>
      </c>
      <c r="I682" s="13" t="s">
        <v>2692</v>
      </c>
      <c r="J682" s="23" t="str">
        <f>HYPERLINK("CorLog\GHA\BEX 2\20150505 GHA BEX 2 Conceptual Dwgs GHA Comments No 2 (RDC-to-RDC).msg", "Conceptual Dwgs GHA Comments No 2")</f>
        <v>Conceptual Dwgs GHA Comments No 2</v>
      </c>
      <c r="K682" s="25"/>
      <c r="L682" s="19"/>
      <c r="M682" s="20"/>
      <c r="N682" s="21" t="s">
        <v>2693</v>
      </c>
    </row>
    <row r="683" spans="1:14">
      <c r="A683" s="12" t="s">
        <v>806</v>
      </c>
      <c r="B683" s="13" t="s">
        <v>718</v>
      </c>
      <c r="C683" s="14" t="s">
        <v>724</v>
      </c>
      <c r="D683" s="15">
        <v>42129.630833333336</v>
      </c>
      <c r="E683" s="16" t="s">
        <v>15</v>
      </c>
      <c r="F683" s="16" t="s">
        <v>16</v>
      </c>
      <c r="G683" s="17" t="s">
        <v>767</v>
      </c>
      <c r="H683" s="17" t="s">
        <v>2694</v>
      </c>
      <c r="I683" s="13" t="s">
        <v>2695</v>
      </c>
      <c r="J683" s="23" t="str">
        <f>HYPERLINK("CorLog\SEN\Branch\20150505 SEN Branch Senegal - SEN-2765 Safety Equipment ($12,818 23) zb0001 (ZAF-to-RDC).msg", "Senegal - SEN-2765 Safety Equipment ($12,818 23) zb0001")</f>
        <v>Senegal - SEN-2765 Safety Equipment ($12,818 23) zb0001</v>
      </c>
      <c r="K683" s="25"/>
      <c r="L683" s="19"/>
      <c r="M683" s="20"/>
      <c r="N683" s="21" t="s">
        <v>2696</v>
      </c>
    </row>
    <row r="684" spans="1:14">
      <c r="A684" s="12" t="s">
        <v>718</v>
      </c>
      <c r="B684" s="13" t="s">
        <v>1529</v>
      </c>
      <c r="C684" s="14" t="s">
        <v>2697</v>
      </c>
      <c r="D684" s="15">
        <v>42129.618171296293</v>
      </c>
      <c r="E684" s="16" t="s">
        <v>16</v>
      </c>
      <c r="F684" s="16" t="s">
        <v>18</v>
      </c>
      <c r="G684" s="17" t="s">
        <v>719</v>
      </c>
      <c r="H684" s="17" t="s">
        <v>719</v>
      </c>
      <c r="I684" s="13" t="s">
        <v>2698</v>
      </c>
      <c r="J684" s="23" t="str">
        <f>HYPERLINK("CorLog\Reference\20150505 Reference Format for submitting DCPs, NLBRs and DC-43 AO-8s--Email subject line naming! (RDC-to-ZMB).msg", "Format for submitting DCPs, NLBRs and DC-43 AO-8s--Email subject line naming!")</f>
        <v>Format for submitting DCPs, NLBRs and DC-43 AO-8s--Email subject line naming!</v>
      </c>
      <c r="K684" s="25"/>
      <c r="L684" s="19"/>
      <c r="M684" s="20"/>
      <c r="N684" s="21" t="s">
        <v>2699</v>
      </c>
    </row>
    <row r="685" spans="1:14">
      <c r="A685" s="12" t="s">
        <v>718</v>
      </c>
      <c r="B685" s="13" t="s">
        <v>1069</v>
      </c>
      <c r="C685" s="14" t="s">
        <v>2700</v>
      </c>
      <c r="D685" s="15">
        <v>42129.586331018516</v>
      </c>
      <c r="E685" s="16" t="s">
        <v>16</v>
      </c>
      <c r="F685" s="16" t="s">
        <v>18</v>
      </c>
      <c r="G685" s="17" t="s">
        <v>1070</v>
      </c>
      <c r="H685" s="17" t="s">
        <v>2701</v>
      </c>
      <c r="I685" s="13" t="s">
        <v>2702</v>
      </c>
      <c r="J685" s="23" t="str">
        <f>HYPERLINK("CorLog\ZMB\Katete RTO\20150505 ZMB Katete RTO Draft NLBR; REQ 520-11482; Mech Order 9; Extra AC, Trunking and Tools; 20150422 (RDC-to-ZMB).msg", "Draft NLBR; REQ 520-11482; Mech Order 9; Extra AC, Trunking and Tools; 20150422")</f>
        <v>Draft NLBR; REQ 520-11482; Mech Order 9; Extra AC, Trunking and Tools; 20150422</v>
      </c>
      <c r="K685" s="25" t="s">
        <v>1211</v>
      </c>
      <c r="L685" s="19"/>
      <c r="M685" s="20"/>
      <c r="N685" s="21" t="s">
        <v>2703</v>
      </c>
    </row>
    <row r="686" spans="1:14">
      <c r="A686" s="12" t="s">
        <v>718</v>
      </c>
      <c r="B686" s="13" t="s">
        <v>1069</v>
      </c>
      <c r="C686" s="14" t="s">
        <v>2700</v>
      </c>
      <c r="D686" s="15">
        <v>42129.585104166668</v>
      </c>
      <c r="E686" s="16" t="s">
        <v>16</v>
      </c>
      <c r="F686" s="16" t="s">
        <v>18</v>
      </c>
      <c r="G686" s="17" t="s">
        <v>1070</v>
      </c>
      <c r="H686" s="17" t="s">
        <v>829</v>
      </c>
      <c r="I686" s="13" t="s">
        <v>2704</v>
      </c>
      <c r="J686" s="23" t="str">
        <f>HYPERLINK("CorLog\ZMB\Katete RTO\20150505 ZMB Katete RTO Draft NLBR; REQ 520-11457; Electrical Order-4; 20150421 (RDC-to-ZMB).msg", "Draft NLBR; REQ 520-11457; Electrical Order-4; 20150421")</f>
        <v>Draft NLBR; REQ 520-11457; Electrical Order-4; 20150421</v>
      </c>
      <c r="K686" s="25" t="s">
        <v>1211</v>
      </c>
      <c r="L686" s="19"/>
      <c r="M686" s="20"/>
      <c r="N686" s="21" t="s">
        <v>2705</v>
      </c>
    </row>
    <row r="687" spans="1:14">
      <c r="A687" s="12" t="s">
        <v>718</v>
      </c>
      <c r="B687" s="13" t="s">
        <v>1069</v>
      </c>
      <c r="C687" s="14" t="s">
        <v>2706</v>
      </c>
      <c r="D687" s="15">
        <v>42129.576458333337</v>
      </c>
      <c r="E687" s="16" t="s">
        <v>16</v>
      </c>
      <c r="F687" s="16" t="s">
        <v>18</v>
      </c>
      <c r="G687" s="17" t="s">
        <v>1070</v>
      </c>
      <c r="H687" s="17" t="s">
        <v>1040</v>
      </c>
      <c r="I687" s="13" t="s">
        <v>2707</v>
      </c>
      <c r="J687" s="23" t="str">
        <f>HYPERLINK("CorLog\ZMB\Katete RTO\20150505 ZMB Katete RTO FS LV-102-S6, Gable walls above ring beam height (RDC-to-ZMB).msg", "FS LV-102-S6, Gable walls above ring beam height")</f>
        <v>FS LV-102-S6, Gable walls above ring beam height</v>
      </c>
      <c r="K687" s="25" t="s">
        <v>1211</v>
      </c>
      <c r="L687" s="19"/>
      <c r="M687" s="20"/>
      <c r="N687" s="21" t="s">
        <v>2708</v>
      </c>
    </row>
    <row r="688" spans="1:14">
      <c r="A688" s="12" t="s">
        <v>998</v>
      </c>
      <c r="B688" s="13" t="s">
        <v>724</v>
      </c>
      <c r="C688" s="14" t="s">
        <v>2709</v>
      </c>
      <c r="D688" s="15">
        <v>42129.529097222221</v>
      </c>
      <c r="E688" s="16" t="s">
        <v>17</v>
      </c>
      <c r="F688" s="16" t="s">
        <v>16</v>
      </c>
      <c r="G688" s="17" t="s">
        <v>999</v>
      </c>
      <c r="H688" s="17" t="s">
        <v>1000</v>
      </c>
      <c r="I688" s="13" t="s">
        <v>2710</v>
      </c>
      <c r="J688" s="23" t="str">
        <f>HYPERLINK("CorLog\ZMB\Branch\20150505 ZMB Branch Potential future work at the branch (WDC-to-RDC).msg", "Potential future work at the branch")</f>
        <v>Potential future work at the branch</v>
      </c>
      <c r="K688" s="25" t="s">
        <v>1482</v>
      </c>
      <c r="L688" s="19"/>
      <c r="M688" s="20"/>
      <c r="N688" s="21" t="s">
        <v>2711</v>
      </c>
    </row>
    <row r="689" spans="1:14">
      <c r="A689" s="12" t="s">
        <v>718</v>
      </c>
      <c r="B689" s="13" t="s">
        <v>1069</v>
      </c>
      <c r="C689" s="14" t="s">
        <v>2712</v>
      </c>
      <c r="D689" s="15">
        <v>42129.499780092592</v>
      </c>
      <c r="E689" s="16" t="s">
        <v>16</v>
      </c>
      <c r="F689" s="16" t="s">
        <v>18</v>
      </c>
      <c r="G689" s="17" t="s">
        <v>838</v>
      </c>
      <c r="H689" s="17" t="s">
        <v>2713</v>
      </c>
      <c r="I689" s="13" t="s">
        <v>2714</v>
      </c>
      <c r="J689" s="23" t="str">
        <f>HYPERLINK("CorLog\ZMB\Choma RTO\20150505 ZMB Choma RTO Front wall block column detail (APPROVED) (RDC-to-ZMB).msg", "Front wall block column detail (APPROVED)")</f>
        <v>Front wall block column detail (APPROVED)</v>
      </c>
      <c r="K689" s="25" t="s">
        <v>1243</v>
      </c>
      <c r="L689" s="19"/>
      <c r="M689" s="20"/>
      <c r="N689" s="21" t="s">
        <v>2715</v>
      </c>
    </row>
    <row r="690" spans="1:14">
      <c r="A690" s="12" t="s">
        <v>718</v>
      </c>
      <c r="B690" s="13" t="s">
        <v>1069</v>
      </c>
      <c r="C690" s="14" t="s">
        <v>2716</v>
      </c>
      <c r="D690" s="15">
        <v>42129.484756944446</v>
      </c>
      <c r="E690" s="16" t="s">
        <v>16</v>
      </c>
      <c r="F690" s="16" t="s">
        <v>18</v>
      </c>
      <c r="G690" s="17" t="s">
        <v>1070</v>
      </c>
      <c r="H690" s="17" t="s">
        <v>2717</v>
      </c>
      <c r="I690" s="13" t="s">
        <v>2718</v>
      </c>
      <c r="J690" s="23" t="str">
        <f>HYPERLINK("CorLog\ZMB\Katete RTO\20150505 ZMB Katete RTO Desk Clusters Furniture; change network layout (RDC-to-ZMB).msg", "Desk Clusters Furniture; change network layout")</f>
        <v>Desk Clusters Furniture; change network layout</v>
      </c>
      <c r="K690" s="25" t="s">
        <v>1270</v>
      </c>
      <c r="L690" s="19"/>
      <c r="M690" s="20"/>
      <c r="N690" s="21" t="s">
        <v>2719</v>
      </c>
    </row>
    <row r="691" spans="1:14">
      <c r="A691" s="12" t="s">
        <v>718</v>
      </c>
      <c r="B691" s="13" t="s">
        <v>837</v>
      </c>
      <c r="C691" s="14" t="s">
        <v>2720</v>
      </c>
      <c r="D691" s="15">
        <v>42129.481307870374</v>
      </c>
      <c r="E691" s="16" t="s">
        <v>16</v>
      </c>
      <c r="F691" s="16" t="s">
        <v>18</v>
      </c>
      <c r="G691" s="17" t="s">
        <v>838</v>
      </c>
      <c r="H691" s="17" t="s">
        <v>829</v>
      </c>
      <c r="I691" s="13" t="s">
        <v>2721</v>
      </c>
      <c r="J691" s="23" t="str">
        <f>HYPERLINK("CorLog\ZMB\Choma RTO\20150505 ZMB Choma RTO RDC review of Draft NLBR 10404 for Mechanical pipe (RDC-to-ZMB).msg", "RDC review of Draft NLBR 10404 for Mechanical pipe")</f>
        <v>RDC review of Draft NLBR 10404 for Mechanical pipe</v>
      </c>
      <c r="K691" s="25" t="s">
        <v>1211</v>
      </c>
      <c r="L691" s="19"/>
      <c r="M691" s="20"/>
      <c r="N691" s="21" t="s">
        <v>2722</v>
      </c>
    </row>
    <row r="692" spans="1:14">
      <c r="A692" s="12" t="s">
        <v>718</v>
      </c>
      <c r="B692" s="13" t="s">
        <v>837</v>
      </c>
      <c r="C692" s="14" t="s">
        <v>1147</v>
      </c>
      <c r="D692" s="15">
        <v>42129.480324074073</v>
      </c>
      <c r="E692" s="16" t="s">
        <v>16</v>
      </c>
      <c r="F692" s="16" t="s">
        <v>18</v>
      </c>
      <c r="G692" s="17" t="s">
        <v>838</v>
      </c>
      <c r="H692" s="17" t="s">
        <v>1184</v>
      </c>
      <c r="I692" s="13" t="s">
        <v>2723</v>
      </c>
      <c r="J692" s="23" t="str">
        <f>HYPERLINK("CorLog\ZMB\Choma RTO\20150505 ZMB Choma RTO RDC review of DC-43 for March 2015 (RDC-to-ZMB).msg", "RDC review of DC-43 for March 2015")</f>
        <v>RDC review of DC-43 for March 2015</v>
      </c>
      <c r="K692" s="25" t="s">
        <v>1211</v>
      </c>
      <c r="L692" s="19"/>
      <c r="M692" s="20"/>
      <c r="N692" s="21" t="s">
        <v>2724</v>
      </c>
    </row>
    <row r="693" spans="1:14">
      <c r="A693" s="12" t="s">
        <v>718</v>
      </c>
      <c r="B693" s="13" t="s">
        <v>895</v>
      </c>
      <c r="C693" s="14" t="s">
        <v>1147</v>
      </c>
      <c r="D693" s="15">
        <v>42129.461157407408</v>
      </c>
      <c r="E693" s="16" t="s">
        <v>16</v>
      </c>
      <c r="F693" s="16" t="s">
        <v>18</v>
      </c>
      <c r="G693" s="17" t="s">
        <v>1112</v>
      </c>
      <c r="H693" s="17" t="s">
        <v>858</v>
      </c>
      <c r="I693" s="13" t="s">
        <v>2685</v>
      </c>
      <c r="J693" s="23" t="str">
        <f>HYPERLINK("CorLog\ZMB\BEX\20150505 ZMB BEX RDC review of AO-8 March 2015 (RDC-to-ZMB).msg", "RDC review of AO-8 March 2015")</f>
        <v>RDC review of AO-8 March 2015</v>
      </c>
      <c r="K693" s="25" t="s">
        <v>1211</v>
      </c>
      <c r="L693" s="19"/>
      <c r="M693" s="20"/>
      <c r="N693" s="21" t="s">
        <v>2725</v>
      </c>
    </row>
    <row r="694" spans="1:14">
      <c r="A694" s="12" t="s">
        <v>718</v>
      </c>
      <c r="B694" s="13" t="s">
        <v>1529</v>
      </c>
      <c r="C694" s="14" t="s">
        <v>1147</v>
      </c>
      <c r="D694" s="15">
        <v>42129.459004629629</v>
      </c>
      <c r="E694" s="16" t="s">
        <v>16</v>
      </c>
      <c r="F694" s="16" t="s">
        <v>18</v>
      </c>
      <c r="G694" s="17" t="s">
        <v>946</v>
      </c>
      <c r="H694" s="17" t="s">
        <v>858</v>
      </c>
      <c r="I694" s="13" t="s">
        <v>2726</v>
      </c>
      <c r="J694" s="23" t="str">
        <f>HYPERLINK("CorLog\ZMB\Mongu RTO\20150505 ZMB Mongu RTO RDC review of AO-8 March AO-8 (RDC-to-ZMB).msg", "RDC review of AO-8 March AO-8")</f>
        <v>RDC review of AO-8 March AO-8</v>
      </c>
      <c r="K694" s="25" t="s">
        <v>1211</v>
      </c>
      <c r="L694" s="19"/>
      <c r="M694" s="20"/>
      <c r="N694" s="21" t="s">
        <v>2727</v>
      </c>
    </row>
    <row r="695" spans="1:14">
      <c r="A695" s="12" t="s">
        <v>718</v>
      </c>
      <c r="B695" s="13" t="s">
        <v>1069</v>
      </c>
      <c r="C695" s="14" t="s">
        <v>1147</v>
      </c>
      <c r="D695" s="15">
        <v>42129.456828703704</v>
      </c>
      <c r="E695" s="16" t="s">
        <v>16</v>
      </c>
      <c r="F695" s="16" t="s">
        <v>18</v>
      </c>
      <c r="G695" s="17" t="s">
        <v>1070</v>
      </c>
      <c r="H695" s="17" t="s">
        <v>1184</v>
      </c>
      <c r="I695" s="13" t="s">
        <v>2728</v>
      </c>
      <c r="J695" s="23" t="str">
        <f>HYPERLINK("CorLog\ZMB\Katete RTO\20150505 ZMB Katete RTO RDC review of DC-43 March 2015 (RDC-to-ZMB).msg", "RDC review of DC-43 March 2015")</f>
        <v>RDC review of DC-43 March 2015</v>
      </c>
      <c r="K695" s="25" t="s">
        <v>1270</v>
      </c>
      <c r="L695" s="19"/>
      <c r="M695" s="20"/>
      <c r="N695" s="21" t="s">
        <v>2729</v>
      </c>
    </row>
    <row r="696" spans="1:14">
      <c r="A696" s="12" t="s">
        <v>827</v>
      </c>
      <c r="B696" s="13" t="s">
        <v>718</v>
      </c>
      <c r="C696" s="14" t="s">
        <v>2730</v>
      </c>
      <c r="D696" s="15">
        <v>42129.416921296295</v>
      </c>
      <c r="E696" s="16" t="s">
        <v>21</v>
      </c>
      <c r="F696" s="16" t="s">
        <v>16</v>
      </c>
      <c r="G696" s="17" t="s">
        <v>730</v>
      </c>
      <c r="H696" s="17" t="s">
        <v>953</v>
      </c>
      <c r="I696" s="13" t="s">
        <v>2731</v>
      </c>
      <c r="J696" s="23" t="str">
        <f>HYPERLINK("CorLog\GHA\Baatsona SKE\20150505 GHA Baatsona SKE Contractor NO VAT, lower price (GHA-to-RDC).msg", "Contractor NO VAT, lower price")</f>
        <v>Contractor NO VAT, lower price</v>
      </c>
      <c r="K696" s="25"/>
      <c r="L696" s="19"/>
      <c r="M696" s="20"/>
      <c r="N696" s="21" t="s">
        <v>2732</v>
      </c>
    </row>
    <row r="697" spans="1:14">
      <c r="A697" s="12" t="s">
        <v>756</v>
      </c>
      <c r="B697" s="13" t="s">
        <v>1866</v>
      </c>
      <c r="C697" s="14" t="s">
        <v>2733</v>
      </c>
      <c r="D697" s="15">
        <v>42129.349085648151</v>
      </c>
      <c r="E697" s="16" t="s">
        <v>16</v>
      </c>
      <c r="F697" s="16" t="s">
        <v>16</v>
      </c>
      <c r="G697" s="17" t="s">
        <v>738</v>
      </c>
      <c r="H697" s="17" t="s">
        <v>2734</v>
      </c>
      <c r="I697" s="13" t="s">
        <v>2692</v>
      </c>
      <c r="J697" s="23" t="str">
        <f>HYPERLINK("CorLog\GHA\BEX 2\20150505 GHA BEX 2 Conceptual Dwgs GHA Comments No 2 (RDC-to-RDC).msg", "Conceptual Dwgs GHA Comments No 2")</f>
        <v>Conceptual Dwgs GHA Comments No 2</v>
      </c>
      <c r="K697" s="25" t="s">
        <v>1243</v>
      </c>
      <c r="L697" s="19"/>
      <c r="M697" s="20"/>
      <c r="N697" s="21" t="s">
        <v>2735</v>
      </c>
    </row>
    <row r="698" spans="1:14">
      <c r="A698" s="12" t="s">
        <v>717</v>
      </c>
      <c r="B698" s="13" t="s">
        <v>718</v>
      </c>
      <c r="C698" s="14" t="s">
        <v>2736</v>
      </c>
      <c r="D698" s="15">
        <v>42129.306342592594</v>
      </c>
      <c r="E698" s="16" t="s">
        <v>16</v>
      </c>
      <c r="F698" s="16" t="s">
        <v>16</v>
      </c>
      <c r="G698" s="17" t="s">
        <v>2656</v>
      </c>
      <c r="H698" s="17" t="s">
        <v>2737</v>
      </c>
      <c r="I698" s="13" t="s">
        <v>2738</v>
      </c>
      <c r="J698" s="18" t="str">
        <f>HYPERLINK("CorLog\COD\Gungu RTO\20150505 COD Gungu RTO (Kipende) RTO Project Description (RDC-to-RDC).msg.msg", "(Kipende) RTO Project Description")</f>
        <v>(Kipende) RTO Project Description</v>
      </c>
      <c r="K698" s="22" t="s">
        <v>721</v>
      </c>
      <c r="L698" s="19"/>
      <c r="M698" s="20"/>
      <c r="N698" s="21" t="s">
        <v>2739</v>
      </c>
    </row>
    <row r="699" spans="1:14">
      <c r="A699" s="12" t="s">
        <v>2740</v>
      </c>
      <c r="B699" s="13"/>
      <c r="C699" s="14"/>
      <c r="D699" s="15">
        <v>42129</v>
      </c>
      <c r="E699" s="16" t="s">
        <v>25</v>
      </c>
      <c r="F699" s="16" t="s">
        <v>21</v>
      </c>
      <c r="G699" s="17" t="s">
        <v>730</v>
      </c>
      <c r="H699" s="17" t="s">
        <v>2029</v>
      </c>
      <c r="I699" s="13" t="s">
        <v>2741</v>
      </c>
      <c r="J699" s="23" t="str">
        <f>HYPERLINK("CorLog\GHA\Baatsona SKE\20150505 GHA Baatsona SKE DC-41 No 1 Ghana School Facility Baatsona Renovation (USD 83,709) (WHQ-to-GHA).docx", "DC-41 No 1 Ghana School Facility Baatsona Renovation (USD 83,709)")</f>
        <v>DC-41 No 1 Ghana School Facility Baatsona Renovation (USD 83,709)</v>
      </c>
      <c r="K699" s="23"/>
      <c r="L699" s="19"/>
      <c r="M699" s="20"/>
      <c r="N699" s="21" t="s">
        <v>2742</v>
      </c>
    </row>
    <row r="700" spans="1:14">
      <c r="A700" s="12" t="s">
        <v>757</v>
      </c>
      <c r="B700" s="13" t="s">
        <v>750</v>
      </c>
      <c r="C700" s="14" t="s">
        <v>2743</v>
      </c>
      <c r="D700" s="15">
        <v>42128.661435185182</v>
      </c>
      <c r="E700" s="16" t="s">
        <v>21</v>
      </c>
      <c r="F700" s="16" t="s">
        <v>16</v>
      </c>
      <c r="G700" s="17" t="s">
        <v>2744</v>
      </c>
      <c r="H700" s="17" t="s">
        <v>839</v>
      </c>
      <c r="I700" s="13" t="s">
        <v>2745</v>
      </c>
      <c r="J700" s="18" t="str">
        <f>HYPERLINK("CorLog\GHA\Viepe RTO Laterite Test [SCS lab tests]\20150504 GHA Viepe RTO Laterite Test [SCS lab tests] Procedure for Backfill &amp; Compaction (GHA-to-RDC).msg", "Procedure for Backfill &amp; Compaction")</f>
        <v>Procedure for Backfill &amp; Compaction</v>
      </c>
      <c r="K700" s="22" t="s">
        <v>905</v>
      </c>
      <c r="L700" s="19"/>
      <c r="M700" s="20"/>
      <c r="N700" s="21" t="s">
        <v>2746</v>
      </c>
    </row>
    <row r="701" spans="1:14">
      <c r="A701" s="12" t="s">
        <v>718</v>
      </c>
      <c r="B701" s="13" t="s">
        <v>750</v>
      </c>
      <c r="C701" s="14"/>
      <c r="D701" s="15">
        <v>42128.594328703701</v>
      </c>
      <c r="E701" s="16" t="s">
        <v>16</v>
      </c>
      <c r="F701" s="16" t="s">
        <v>16</v>
      </c>
      <c r="G701" s="17" t="s">
        <v>738</v>
      </c>
      <c r="H701" s="17" t="s">
        <v>839</v>
      </c>
      <c r="I701" s="13" t="s">
        <v>2747</v>
      </c>
      <c r="J701" s="18" t="str">
        <f>HYPERLINK("CorLog\GHA\BEX 2\20150504 GHA BEX 2 Watch Tower - Soil Testing Quotation Request (RDC-to-RDC).msg", "Watch Tower - Soil Testing Quotation Request")</f>
        <v>Watch Tower - Soil Testing Quotation Request</v>
      </c>
      <c r="K701" s="22" t="s">
        <v>747</v>
      </c>
      <c r="L701" s="19"/>
      <c r="M701" s="20"/>
      <c r="N701" s="21" t="s">
        <v>2748</v>
      </c>
    </row>
    <row r="702" spans="1:14">
      <c r="A702" s="12" t="s">
        <v>842</v>
      </c>
      <c r="B702" s="13" t="s">
        <v>718</v>
      </c>
      <c r="C702" s="14" t="s">
        <v>1757</v>
      </c>
      <c r="D702" s="15">
        <v>42128.593391203707</v>
      </c>
      <c r="E702" s="16" t="s">
        <v>21</v>
      </c>
      <c r="F702" s="16" t="s">
        <v>16</v>
      </c>
      <c r="G702" s="17" t="s">
        <v>738</v>
      </c>
      <c r="H702" s="17" t="s">
        <v>839</v>
      </c>
      <c r="I702" s="13" t="s">
        <v>2747</v>
      </c>
      <c r="J702" s="23" t="str">
        <f>HYPERLINK("CorLog\GHA\BEX 2\20150504 GHA BEX 2 Watch Tower - Soil Testing Quotation Request (GHA-to-RDC).msg", "Watch Tower - Soil Testing Quotation Request")</f>
        <v>Watch Tower - Soil Testing Quotation Request</v>
      </c>
      <c r="K702" s="25" t="s">
        <v>1270</v>
      </c>
      <c r="L702" s="19"/>
      <c r="M702" s="20"/>
      <c r="N702" s="21" t="s">
        <v>2749</v>
      </c>
    </row>
    <row r="703" spans="1:14">
      <c r="A703" s="12" t="s">
        <v>718</v>
      </c>
      <c r="B703" s="13" t="s">
        <v>895</v>
      </c>
      <c r="C703" s="14" t="s">
        <v>2750</v>
      </c>
      <c r="D703" s="15">
        <v>42128.584722222222</v>
      </c>
      <c r="E703" s="16" t="s">
        <v>16</v>
      </c>
      <c r="F703" s="16" t="s">
        <v>18</v>
      </c>
      <c r="G703" s="17" t="s">
        <v>2751</v>
      </c>
      <c r="H703" s="17" t="s">
        <v>1000</v>
      </c>
      <c r="I703" s="13" t="s">
        <v>2752</v>
      </c>
      <c r="J703" s="18" t="str">
        <f>HYPERLINK("CorLog\ZMB\Kasempa RTO\20150504 ZMB Kasempa RTO Translators unhappy with purchased location (RDC-to-ZMB).msg", "Translators unhappy with purchased location")</f>
        <v>Translators unhappy with purchased location</v>
      </c>
      <c r="K703" s="22"/>
      <c r="L703" s="19"/>
      <c r="M703" s="20"/>
      <c r="N703" s="21" t="s">
        <v>2753</v>
      </c>
    </row>
    <row r="704" spans="1:14">
      <c r="A704" s="12" t="s">
        <v>895</v>
      </c>
      <c r="B704" s="13" t="s">
        <v>718</v>
      </c>
      <c r="C704" s="14" t="s">
        <v>724</v>
      </c>
      <c r="D704" s="15">
        <v>42128.565104166664</v>
      </c>
      <c r="E704" s="16" t="s">
        <v>18</v>
      </c>
      <c r="F704" s="16" t="s">
        <v>16</v>
      </c>
      <c r="G704" s="17" t="s">
        <v>2751</v>
      </c>
      <c r="H704" s="17" t="s">
        <v>1015</v>
      </c>
      <c r="I704" s="13" t="s">
        <v>2754</v>
      </c>
      <c r="J704" s="23" t="str">
        <f>HYPERLINK("CorLog\ZMB\Kasempa RTO\20150504 ZMB Kasempa RTO Location is now approved again (ZMB-to-RDC).msg", "Location is now approved again")</f>
        <v>Location is now approved again</v>
      </c>
      <c r="K704" s="25"/>
      <c r="L704" s="19"/>
      <c r="M704" s="20"/>
      <c r="N704" s="21" t="s">
        <v>2755</v>
      </c>
    </row>
    <row r="705" spans="1:14">
      <c r="A705" s="12" t="s">
        <v>1160</v>
      </c>
      <c r="B705" s="13" t="s">
        <v>750</v>
      </c>
      <c r="C705" s="14" t="s">
        <v>1719</v>
      </c>
      <c r="D705" s="15">
        <v>42128.509953703702</v>
      </c>
      <c r="E705" s="16" t="s">
        <v>20</v>
      </c>
      <c r="F705" s="16" t="s">
        <v>16</v>
      </c>
      <c r="G705" s="17" t="s">
        <v>2756</v>
      </c>
      <c r="H705" s="17" t="s">
        <v>2757</v>
      </c>
      <c r="I705" s="13" t="s">
        <v>2758</v>
      </c>
      <c r="J705" s="23" t="str">
        <f>HYPERLINK("CorLog\NGA\LDC\20150504 NGA LDC LDC RDC Engineering Support Meeting Minutes (MOZ-to-RDC).msg", "LDC RDC Engineering Support Meeting Minutes")</f>
        <v>LDC RDC Engineering Support Meeting Minutes</v>
      </c>
      <c r="K705" s="25" t="s">
        <v>1211</v>
      </c>
      <c r="L705" s="19"/>
      <c r="M705" s="20"/>
      <c r="N705" s="21" t="s">
        <v>2759</v>
      </c>
    </row>
    <row r="706" spans="1:14">
      <c r="A706" s="12" t="s">
        <v>757</v>
      </c>
      <c r="B706" s="13" t="s">
        <v>750</v>
      </c>
      <c r="C706" s="14" t="s">
        <v>2743</v>
      </c>
      <c r="D706" s="15">
        <v>42128.485150462962</v>
      </c>
      <c r="E706" s="16" t="s">
        <v>21</v>
      </c>
      <c r="F706" s="16" t="s">
        <v>16</v>
      </c>
      <c r="G706" s="17" t="s">
        <v>758</v>
      </c>
      <c r="H706" s="17" t="s">
        <v>1105</v>
      </c>
      <c r="I706" s="13" t="s">
        <v>2760</v>
      </c>
      <c r="J706" s="23" t="str">
        <f>HYPERLINK("CorLog\GHA\Viepe RTO\20150504 GHA Viepe RTO Laterite Test (Updated with new test results from SCS lab) (GHA-to-RDC).msg", "Laterite Test (Updated with new test results from SCS lab)")</f>
        <v>Laterite Test (Updated with new test results from SCS lab)</v>
      </c>
      <c r="K706" s="25" t="s">
        <v>2761</v>
      </c>
      <c r="L706" s="19"/>
      <c r="M706" s="20"/>
      <c r="N706" s="21" t="s">
        <v>2762</v>
      </c>
    </row>
    <row r="707" spans="1:14">
      <c r="A707" s="12" t="s">
        <v>718</v>
      </c>
      <c r="B707" s="13" t="s">
        <v>724</v>
      </c>
      <c r="C707" s="14" t="s">
        <v>2763</v>
      </c>
      <c r="D707" s="15">
        <v>42128.338252314818</v>
      </c>
      <c r="E707" s="16" t="s">
        <v>16</v>
      </c>
      <c r="F707" s="16" t="s">
        <v>16</v>
      </c>
      <c r="G707" s="17" t="s">
        <v>1065</v>
      </c>
      <c r="H707" s="17" t="s">
        <v>2764</v>
      </c>
      <c r="I707" s="13" t="s">
        <v>2765</v>
      </c>
      <c r="J707" s="18" t="str">
        <f>HYPERLINK("CorLog\ZMB\RTO Projects\20150504 ZMB RTO Projects Shipping Coordination Meeting Minutes (RDC-to-RDC).msg", "Shipping Coordination Meeting Minutes")</f>
        <v>Shipping Coordination Meeting Minutes</v>
      </c>
      <c r="K707" s="18"/>
      <c r="L707" s="19" t="s">
        <v>2766</v>
      </c>
      <c r="M707" s="20"/>
      <c r="N707" s="21" t="s">
        <v>2767</v>
      </c>
    </row>
    <row r="708" spans="1:14">
      <c r="A708" s="12" t="s">
        <v>895</v>
      </c>
      <c r="B708" s="13" t="s">
        <v>1337</v>
      </c>
      <c r="C708" s="14" t="s">
        <v>718</v>
      </c>
      <c r="D708" s="15">
        <v>42128.317604166667</v>
      </c>
      <c r="E708" s="16" t="s">
        <v>18</v>
      </c>
      <c r="F708" s="16" t="s">
        <v>18</v>
      </c>
      <c r="G708" s="17" t="s">
        <v>1065</v>
      </c>
      <c r="H708" s="17" t="s">
        <v>2764</v>
      </c>
      <c r="I708" s="13" t="s">
        <v>2768</v>
      </c>
      <c r="J708" s="23" t="str">
        <f>HYPERLINK("CorLog\ZMB\RTO Projects\20150504 ZMB RTO Projects ZMB Shipping Coordination Meeting Minutes (ZMB-to-ZMB).msg", "ZMB Shipping Coordination Meeting Minutes")</f>
        <v>ZMB Shipping Coordination Meeting Minutes</v>
      </c>
      <c r="K708" s="25" t="s">
        <v>1211</v>
      </c>
      <c r="L708" s="19"/>
      <c r="M708" s="20"/>
      <c r="N708" s="21" t="s">
        <v>2769</v>
      </c>
    </row>
    <row r="709" spans="1:14">
      <c r="A709" s="12" t="s">
        <v>718</v>
      </c>
      <c r="B709" s="13" t="s">
        <v>827</v>
      </c>
      <c r="C709" s="14" t="s">
        <v>2770</v>
      </c>
      <c r="D709" s="15">
        <v>42125.729166666664</v>
      </c>
      <c r="E709" s="16" t="s">
        <v>16</v>
      </c>
      <c r="F709" s="16" t="s">
        <v>21</v>
      </c>
      <c r="G709" s="17" t="s">
        <v>790</v>
      </c>
      <c r="H709" s="17" t="s">
        <v>829</v>
      </c>
      <c r="I709" s="13" t="s">
        <v>2771</v>
      </c>
      <c r="J709" s="23" t="str">
        <f>HYPERLINK("CorLog\GHA\BEX\20150501 GHA BEX RDC review of NLBR Package -47 SUBMITTAL (RDC-to-GHA).msg", "RDC review of NLBR Package -47 SUBMITTAL")</f>
        <v>RDC review of NLBR Package -47 SUBMITTAL</v>
      </c>
      <c r="K709" s="25" t="s">
        <v>1270</v>
      </c>
      <c r="L709" s="19"/>
      <c r="M709" s="20"/>
      <c r="N709" s="21" t="s">
        <v>2772</v>
      </c>
    </row>
    <row r="710" spans="1:14">
      <c r="A710" s="12" t="s">
        <v>718</v>
      </c>
      <c r="B710" s="13" t="s">
        <v>750</v>
      </c>
      <c r="C710" s="14" t="s">
        <v>2773</v>
      </c>
      <c r="D710" s="15">
        <v>42125.725694444445</v>
      </c>
      <c r="E710" s="16" t="s">
        <v>16</v>
      </c>
      <c r="F710" s="16" t="s">
        <v>16</v>
      </c>
      <c r="G710" s="17" t="s">
        <v>790</v>
      </c>
      <c r="H710" s="17" t="s">
        <v>2774</v>
      </c>
      <c r="I710" s="13" t="s">
        <v>2775</v>
      </c>
      <c r="J710" s="23" t="str">
        <f>HYPERLINK("CorLog\GHA\BEX\20150501 GHA BEX Memo Standard Finishes--Bethel Res Rooms (to be followed) (RDC-to-RDC).msg", "Memo Standard Finishes--Bethel Res Rooms (to be followed)")</f>
        <v>Memo Standard Finishes--Bethel Res Rooms (to be followed)</v>
      </c>
      <c r="K710" s="25" t="s">
        <v>1211</v>
      </c>
      <c r="L710" s="19"/>
      <c r="M710" s="20"/>
      <c r="N710" s="21" t="s">
        <v>2776</v>
      </c>
    </row>
    <row r="711" spans="1:14">
      <c r="A711" s="12" t="s">
        <v>718</v>
      </c>
      <c r="B711" s="13" t="s">
        <v>827</v>
      </c>
      <c r="C711" s="14" t="s">
        <v>2777</v>
      </c>
      <c r="D711" s="15">
        <v>42125.713194444441</v>
      </c>
      <c r="E711" s="16" t="s">
        <v>16</v>
      </c>
      <c r="F711" s="16" t="s">
        <v>21</v>
      </c>
      <c r="G711" s="17" t="s">
        <v>790</v>
      </c>
      <c r="H711" s="17" t="s">
        <v>829</v>
      </c>
      <c r="I711" s="13" t="s">
        <v>2778</v>
      </c>
      <c r="J711" s="23" t="str">
        <f>HYPERLINK("CorLog\GHA\BEX\20150501 GHA BEX RDC review of NLBR Package -48 SUBMITTAL (RDC-to-GHA).msg", "RDC review of NLBR Package -48 SUBMITTAL")</f>
        <v>RDC review of NLBR Package -48 SUBMITTAL</v>
      </c>
      <c r="K711" s="25" t="s">
        <v>1482</v>
      </c>
      <c r="L711" s="19"/>
      <c r="M711" s="20"/>
      <c r="N711" s="21" t="s">
        <v>2779</v>
      </c>
    </row>
    <row r="712" spans="1:14">
      <c r="A712" s="12" t="s">
        <v>718</v>
      </c>
      <c r="B712" s="13" t="s">
        <v>742</v>
      </c>
      <c r="C712" s="14"/>
      <c r="D712" s="15">
        <v>42125.699004629627</v>
      </c>
      <c r="E712" s="16" t="s">
        <v>16</v>
      </c>
      <c r="F712" s="16" t="s">
        <v>16</v>
      </c>
      <c r="G712" s="17" t="s">
        <v>979</v>
      </c>
      <c r="H712" s="17" t="s">
        <v>2072</v>
      </c>
      <c r="I712" s="13" t="s">
        <v>2780</v>
      </c>
      <c r="J712" s="18" t="str">
        <f>HYPERLINK("CorLog\RTO\Projects\20150501 RTO Projects Revised RTO Project Description (Comments so far not incorporated) (RDC-to-RDC).msg", "Revised RTO Project Description (Comments so far not incorporated)")</f>
        <v>Revised RTO Project Description (Comments so far not incorporated)</v>
      </c>
      <c r="K712" s="22" t="s">
        <v>721</v>
      </c>
      <c r="L712" s="19" t="s">
        <v>2781</v>
      </c>
      <c r="M712" s="20"/>
      <c r="N712" s="21" t="s">
        <v>2782</v>
      </c>
    </row>
    <row r="713" spans="1:14">
      <c r="A713" s="12" t="s">
        <v>749</v>
      </c>
      <c r="B713" s="13" t="s">
        <v>2320</v>
      </c>
      <c r="C713" s="14" t="s">
        <v>2783</v>
      </c>
      <c r="D713" s="15">
        <v>42125.6718287037</v>
      </c>
      <c r="E713" s="16" t="s">
        <v>16</v>
      </c>
      <c r="F713" s="16" t="s">
        <v>23</v>
      </c>
      <c r="G713" s="17" t="s">
        <v>813</v>
      </c>
      <c r="H713" s="17" t="s">
        <v>2784</v>
      </c>
      <c r="I713" s="13" t="s">
        <v>2785</v>
      </c>
      <c r="J713" s="23" t="str">
        <f>HYPERLINK("CorLog\ZWE\LDC\20150501 ZWE LDC 2014-05-01 ZWE KH Standard drawings COMMENTS 2 (RDC-to-ZWE).msg", "2014-05-01 ZWE KH Standard drawings COMMENTS 2")</f>
        <v>2014-05-01 ZWE KH Standard drawings COMMENTS 2</v>
      </c>
      <c r="K713" s="25" t="s">
        <v>1211</v>
      </c>
      <c r="L713" s="19"/>
      <c r="M713" s="20"/>
      <c r="N713" s="21" t="s">
        <v>2786</v>
      </c>
    </row>
    <row r="714" spans="1:14">
      <c r="A714" s="12" t="s">
        <v>2787</v>
      </c>
      <c r="B714" s="13" t="s">
        <v>718</v>
      </c>
      <c r="C714" s="14" t="s">
        <v>2788</v>
      </c>
      <c r="D714" s="15">
        <v>42125.65824074074</v>
      </c>
      <c r="E714" s="16" t="s">
        <v>14</v>
      </c>
      <c r="F714" s="16" t="s">
        <v>16</v>
      </c>
      <c r="G714" s="17" t="s">
        <v>1662</v>
      </c>
      <c r="H714" s="17" t="s">
        <v>961</v>
      </c>
      <c r="I714" s="13" t="s">
        <v>2789</v>
      </c>
      <c r="J714" s="23" t="str">
        <f>HYPERLINK("CorLog\MDG\Toliara RTO\20150501 MDG Toliara RTO Elevation info (MDG-to-RDC).msg", "Elevation info")</f>
        <v>Elevation info</v>
      </c>
      <c r="K714" s="25" t="s">
        <v>1274</v>
      </c>
      <c r="L714" s="19"/>
      <c r="M714" s="20"/>
      <c r="N714" s="21" t="s">
        <v>2790</v>
      </c>
    </row>
    <row r="715" spans="1:14">
      <c r="A715" s="12" t="s">
        <v>718</v>
      </c>
      <c r="B715" s="13" t="s">
        <v>916</v>
      </c>
      <c r="C715" s="14" t="s">
        <v>2456</v>
      </c>
      <c r="D715" s="15">
        <v>42125.615833333337</v>
      </c>
      <c r="E715" s="16" t="s">
        <v>16</v>
      </c>
      <c r="F715" s="16" t="s">
        <v>16</v>
      </c>
      <c r="G715" s="17" t="s">
        <v>838</v>
      </c>
      <c r="H715" s="17" t="s">
        <v>851</v>
      </c>
      <c r="I715" s="13" t="s">
        <v>2791</v>
      </c>
      <c r="J715" s="23" t="str">
        <f>HYPERLINK("CorLog\ZMB\Choma RTO\20150501 ZMB Choma RTO Commuter DCP Results prior to soilcrete, 2015-05-01 (RDC-to-RDC).msg", "Commuter DCP Results prior to soilcrete, 2015-05-01")</f>
        <v>Commuter DCP Results prior to soilcrete, 2015-05-01</v>
      </c>
      <c r="K715" s="25" t="s">
        <v>1211</v>
      </c>
      <c r="L715" s="19"/>
      <c r="M715" s="20"/>
      <c r="N715" s="21" t="s">
        <v>2792</v>
      </c>
    </row>
    <row r="716" spans="1:14">
      <c r="A716" s="12" t="s">
        <v>750</v>
      </c>
      <c r="B716" s="13" t="s">
        <v>771</v>
      </c>
      <c r="C716" s="14" t="s">
        <v>1556</v>
      </c>
      <c r="D716" s="15">
        <v>42125.538275462961</v>
      </c>
      <c r="E716" s="16" t="s">
        <v>16</v>
      </c>
      <c r="F716" s="16" t="s">
        <v>17</v>
      </c>
      <c r="G716" s="17" t="s">
        <v>738</v>
      </c>
      <c r="H716" s="17" t="s">
        <v>1195</v>
      </c>
      <c r="I716" s="13" t="s">
        <v>2793</v>
      </c>
      <c r="J716" s="23" t="str">
        <f>HYPERLINK("CorLog\GHA\BEX 2\20150501 GHA BEX 2 Prelim Review of dwgs by Branch; RPC-PWG Matters (RDC-to-WDC).msg", "Prelim Review of dwgs by Branch; RPC-PWG Matters")</f>
        <v>Prelim Review of dwgs by Branch; RPC-PWG Matters</v>
      </c>
      <c r="K716" s="25" t="s">
        <v>1211</v>
      </c>
      <c r="L716" s="19"/>
      <c r="M716" s="20"/>
      <c r="N716" s="21" t="s">
        <v>2794</v>
      </c>
    </row>
    <row r="717" spans="1:14">
      <c r="A717" s="12" t="s">
        <v>827</v>
      </c>
      <c r="B717" s="13" t="s">
        <v>718</v>
      </c>
      <c r="C717" s="14" t="s">
        <v>2795</v>
      </c>
      <c r="D717" s="15">
        <v>42125.483055555553</v>
      </c>
      <c r="E717" s="16" t="s">
        <v>21</v>
      </c>
      <c r="F717" s="16" t="s">
        <v>16</v>
      </c>
      <c r="G717" s="17" t="s">
        <v>790</v>
      </c>
      <c r="H717" s="17" t="s">
        <v>1426</v>
      </c>
      <c r="I717" s="13" t="s">
        <v>1427</v>
      </c>
      <c r="J717" s="23" t="str">
        <f>HYPERLINK("CorLog\GHA\BEX\20150501 GHA BEX Master Key Schedule - Existing and Phase I (GHA-to-RDC).msg", "Master Key Schedule - Existing and Phase I")</f>
        <v>Master Key Schedule - Existing and Phase I</v>
      </c>
      <c r="K717" s="25" t="s">
        <v>2796</v>
      </c>
      <c r="L717" s="19"/>
      <c r="M717" s="20"/>
      <c r="N717" s="21" t="s">
        <v>2797</v>
      </c>
    </row>
    <row r="718" spans="1:14">
      <c r="A718" s="12" t="s">
        <v>964</v>
      </c>
      <c r="B718" s="13" t="s">
        <v>2798</v>
      </c>
      <c r="C718" s="14" t="s">
        <v>2799</v>
      </c>
      <c r="D718" s="15">
        <v>42125.419039351851</v>
      </c>
      <c r="E718" s="16" t="s">
        <v>16</v>
      </c>
      <c r="F718" s="16" t="s">
        <v>24</v>
      </c>
      <c r="G718" s="17" t="s">
        <v>719</v>
      </c>
      <c r="H718" s="17" t="s">
        <v>764</v>
      </c>
      <c r="I718" s="13" t="s">
        <v>2800</v>
      </c>
      <c r="J718" s="23" t="str">
        <f>HYPERLINK("CorLog\Reference\20150501 Reference LED Video Display Standard for Open-Air Assembly Site in Developed Lands (RDC-to-USA).msg", "LED Video Display Standard for Open-Air Assembly Site in Developed Lands")</f>
        <v>LED Video Display Standard for Open-Air Assembly Site in Developed Lands</v>
      </c>
      <c r="K718" s="25" t="s">
        <v>1274</v>
      </c>
      <c r="L718" s="19"/>
      <c r="M718" s="20"/>
      <c r="N718" s="21" t="s">
        <v>2801</v>
      </c>
    </row>
    <row r="719" spans="1:14">
      <c r="A719" s="12" t="s">
        <v>718</v>
      </c>
      <c r="B719" s="13" t="s">
        <v>1069</v>
      </c>
      <c r="C719" s="14" t="s">
        <v>2802</v>
      </c>
      <c r="D719" s="15">
        <v>42125.324999999997</v>
      </c>
      <c r="E719" s="16" t="s">
        <v>16</v>
      </c>
      <c r="F719" s="16" t="s">
        <v>18</v>
      </c>
      <c r="G719" s="17" t="s">
        <v>1070</v>
      </c>
      <c r="H719" s="17" t="s">
        <v>2803</v>
      </c>
      <c r="I719" s="13" t="s">
        <v>2804</v>
      </c>
      <c r="J719" s="23" t="str">
        <f>HYPERLINK("CorLog\ZMB\Katete RTO\20150501 ZMB Katete RTO RDC review of Draft NLBR; REQ 520-11384; Door Hardware; 20150420 (RDC-to-ZMB).msg", "RDC review of Draft NLBR; REQ 520-11384; Door Hardware; 20150420")</f>
        <v>RDC review of Draft NLBR; REQ 520-11384; Door Hardware; 20150420</v>
      </c>
      <c r="K719" s="25" t="s">
        <v>1211</v>
      </c>
      <c r="L719" s="19"/>
      <c r="M719" s="20"/>
      <c r="N719" s="21" t="s">
        <v>2805</v>
      </c>
    </row>
    <row r="720" spans="1:14">
      <c r="A720" s="12" t="s">
        <v>1537</v>
      </c>
      <c r="B720" s="13"/>
      <c r="C720" s="14"/>
      <c r="D720" s="15">
        <v>42125</v>
      </c>
      <c r="E720" s="16" t="s">
        <v>18</v>
      </c>
      <c r="F720" s="16" t="s">
        <v>17</v>
      </c>
      <c r="G720" s="17" t="s">
        <v>780</v>
      </c>
      <c r="H720" s="17" t="s">
        <v>2806</v>
      </c>
      <c r="I720" s="13" t="s">
        <v>2807</v>
      </c>
      <c r="J720" s="23" t="str">
        <f>HYPERLINK("CorLog\ZMB\LDC\20150501 ZMB LDC Request to Increase the 2015 LDC Annual Budget (ZMB-to-WDC).docx", "Request to Increase the 2015 LDC Annual Budget")</f>
        <v>Request to Increase the 2015 LDC Annual Budget</v>
      </c>
      <c r="K720" s="23" t="str">
        <f>HYPERLINK("CorLog\ZMB\LDC\20150501 ZMB LDC Request to Increase the 2015 LDC Annual Budget (ZMB-to-WDC).zip", "Zipped")</f>
        <v>Zipped</v>
      </c>
      <c r="L720" s="19"/>
      <c r="M720" s="20"/>
      <c r="N720" s="21" t="s">
        <v>2808</v>
      </c>
    </row>
    <row r="721" spans="1:14">
      <c r="A721" s="12"/>
      <c r="B721" s="13"/>
      <c r="C721" s="14"/>
      <c r="D721" s="15">
        <v>42124.966550925928</v>
      </c>
      <c r="E721" s="16" t="s">
        <v>17</v>
      </c>
      <c r="F721" s="16" t="s">
        <v>16</v>
      </c>
      <c r="G721" s="17" t="s">
        <v>767</v>
      </c>
      <c r="H721" s="17" t="s">
        <v>2809</v>
      </c>
      <c r="I721" s="13" t="s">
        <v>2810</v>
      </c>
      <c r="J721" s="18" t="str">
        <f>HYPERLINK("CorLog\SEN\Branch\20150430 SEN Branch SEN FEV Notes 2015-04-28 (WDC-to-RDC).docx", "SEN FEV Notes 2015-04-28")</f>
        <v>SEN FEV Notes 2015-04-28</v>
      </c>
      <c r="K721" s="22"/>
      <c r="L721" s="19"/>
      <c r="M721" s="20"/>
      <c r="N721" s="21"/>
    </row>
    <row r="722" spans="1:14">
      <c r="A722" s="12"/>
      <c r="B722" s="13"/>
      <c r="C722" s="14"/>
      <c r="D722" s="15">
        <v>42124.876307870371</v>
      </c>
      <c r="E722" s="16" t="s">
        <v>17</v>
      </c>
      <c r="F722" s="16" t="s">
        <v>22</v>
      </c>
      <c r="G722" s="17" t="s">
        <v>2811</v>
      </c>
      <c r="H722" s="17" t="s">
        <v>2498</v>
      </c>
      <c r="I722" s="13" t="s">
        <v>2812</v>
      </c>
      <c r="J722" s="18" t="str">
        <f>HYPERLINK("CorLog\COD\Kisonge RTO\20150430 COD Kisonge RTO COD RTO Notes 2015-04-09 (WDC-to-COD).docx", "COD RTO Notes 2015-04-09")</f>
        <v>COD RTO Notes 2015-04-09</v>
      </c>
      <c r="K722" s="22"/>
      <c r="L722" s="19"/>
      <c r="M722" s="20"/>
      <c r="N722" s="21"/>
    </row>
    <row r="723" spans="1:14">
      <c r="A723" s="12" t="s">
        <v>718</v>
      </c>
      <c r="B723" s="13" t="s">
        <v>1116</v>
      </c>
      <c r="C723" s="14" t="s">
        <v>1168</v>
      </c>
      <c r="D723" s="15">
        <v>42124.792488425926</v>
      </c>
      <c r="E723" s="16" t="s">
        <v>16</v>
      </c>
      <c r="F723" s="16" t="s">
        <v>22</v>
      </c>
      <c r="G723" s="17" t="s">
        <v>2813</v>
      </c>
      <c r="H723" s="17" t="s">
        <v>2814</v>
      </c>
      <c r="I723" s="13" t="s">
        <v>2815</v>
      </c>
      <c r="J723" s="18" t="str">
        <f>HYPERLINK("CorLog\COD\Goma MH\20150430 COD Goma MH DC-32-E for Goma Renovation Project (RDC-to-COD).msg", "DC-32-E for Goma Renovation Project")</f>
        <v>DC-32-E for Goma Renovation Project</v>
      </c>
      <c r="K723" s="22" t="s">
        <v>721</v>
      </c>
      <c r="L723" s="19"/>
      <c r="M723" s="20"/>
      <c r="N723" s="21" t="s">
        <v>2816</v>
      </c>
    </row>
    <row r="724" spans="1:14">
      <c r="A724" s="12" t="s">
        <v>718</v>
      </c>
      <c r="B724" s="13" t="s">
        <v>1052</v>
      </c>
      <c r="C724" s="14" t="s">
        <v>1768</v>
      </c>
      <c r="D724" s="15">
        <v>42124.788888888892</v>
      </c>
      <c r="E724" s="16" t="s">
        <v>16</v>
      </c>
      <c r="F724" s="16" t="s">
        <v>17</v>
      </c>
      <c r="G724" s="17" t="s">
        <v>767</v>
      </c>
      <c r="H724" s="17" t="s">
        <v>2817</v>
      </c>
      <c r="I724" s="13" t="s">
        <v>2818</v>
      </c>
      <c r="J724" s="23" t="str">
        <f>HYPERLINK("CorLog\SEN\Branch\20150430 SEN Branch Senegal FEV Project - April 28, 2015 (RDC-to-WDC).msg", "Senegal FEV Project - April 28, 2015")</f>
        <v>Senegal FEV Project - April 28, 2015</v>
      </c>
      <c r="K724" s="25"/>
      <c r="L724" s="19"/>
      <c r="M724" s="20"/>
      <c r="N724" s="21" t="s">
        <v>2819</v>
      </c>
    </row>
    <row r="725" spans="1:14">
      <c r="A725" s="12" t="s">
        <v>718</v>
      </c>
      <c r="B725" s="13" t="s">
        <v>1116</v>
      </c>
      <c r="C725" s="14" t="s">
        <v>717</v>
      </c>
      <c r="D725" s="15">
        <v>42124.769444444442</v>
      </c>
      <c r="E725" s="16" t="s">
        <v>16</v>
      </c>
      <c r="F725" s="16" t="s">
        <v>22</v>
      </c>
      <c r="G725" s="17" t="s">
        <v>1941</v>
      </c>
      <c r="H725" s="17" t="s">
        <v>2820</v>
      </c>
      <c r="I725" s="13" t="s">
        <v>2821</v>
      </c>
      <c r="J725" s="23" t="str">
        <f>HYPERLINK("CorLog\COD\RTO Projects\20150430 COD RTO Projects % Cost of importation (RDC-to-COD).msg", "% Cost of importation")</f>
        <v>% Cost of importation</v>
      </c>
      <c r="K725" s="25" t="s">
        <v>1211</v>
      </c>
      <c r="L725" s="19"/>
      <c r="M725" s="20"/>
      <c r="N725" s="21" t="s">
        <v>2822</v>
      </c>
    </row>
    <row r="726" spans="1:14">
      <c r="A726" s="12" t="s">
        <v>1003</v>
      </c>
      <c r="B726" s="13" t="s">
        <v>717</v>
      </c>
      <c r="C726" s="14"/>
      <c r="D726" s="15">
        <v>42124.737303240741</v>
      </c>
      <c r="E726" s="16" t="s">
        <v>22</v>
      </c>
      <c r="F726" s="16" t="s">
        <v>16</v>
      </c>
      <c r="G726" s="17" t="s">
        <v>1432</v>
      </c>
      <c r="H726" s="17" t="s">
        <v>2814</v>
      </c>
      <c r="I726" s="13" t="s">
        <v>2823</v>
      </c>
      <c r="J726" s="23" t="str">
        <f>HYPERLINK("CorLog\COD\LDC\20150430 COD LDC Goma Missionanry Home Renovation CN-27 (COD-to-RDC).msg", "Goma Missionanry Home Renovation CN-27")</f>
        <v>Goma Missionanry Home Renovation CN-27</v>
      </c>
      <c r="K726" s="25" t="s">
        <v>1243</v>
      </c>
      <c r="L726" s="19"/>
      <c r="M726" s="20"/>
      <c r="N726" s="21" t="s">
        <v>2824</v>
      </c>
    </row>
    <row r="727" spans="1:14">
      <c r="A727" s="12" t="s">
        <v>827</v>
      </c>
      <c r="B727" s="13" t="s">
        <v>742</v>
      </c>
      <c r="C727" s="14" t="s">
        <v>2825</v>
      </c>
      <c r="D727" s="15">
        <v>42124.701157407406</v>
      </c>
      <c r="E727" s="16" t="s">
        <v>21</v>
      </c>
      <c r="F727" s="16" t="s">
        <v>16</v>
      </c>
      <c r="G727" s="17" t="s">
        <v>730</v>
      </c>
      <c r="H727" s="17" t="s">
        <v>953</v>
      </c>
      <c r="I727" s="13" t="s">
        <v>2826</v>
      </c>
      <c r="J727" s="18" t="str">
        <f>HYPERLINK("CorLog\GHA\Baatsona SKE\20150430 GHA Baatsona SKE Contractor not VAT Registered (GHA-to-RDC).msg", "Contractor not VAT Registered")</f>
        <v>Contractor not VAT Registered</v>
      </c>
      <c r="K727" s="22" t="s">
        <v>721</v>
      </c>
      <c r="L727" s="19"/>
      <c r="M727" s="20"/>
      <c r="N727" s="21" t="s">
        <v>2827</v>
      </c>
    </row>
    <row r="728" spans="1:14">
      <c r="A728" s="12" t="s">
        <v>718</v>
      </c>
      <c r="B728" s="13" t="s">
        <v>821</v>
      </c>
      <c r="C728" s="14" t="s">
        <v>2828</v>
      </c>
      <c r="D728" s="15">
        <v>42124.686111111114</v>
      </c>
      <c r="E728" s="16" t="s">
        <v>16</v>
      </c>
      <c r="F728" s="16" t="s">
        <v>21</v>
      </c>
      <c r="G728" s="17" t="s">
        <v>807</v>
      </c>
      <c r="H728" s="17" t="s">
        <v>2829</v>
      </c>
      <c r="I728" s="13" t="s">
        <v>2830</v>
      </c>
      <c r="J728" s="23" t="str">
        <f>HYPERLINK("CorLog\GHA\Branch\20150430 GHA Branch Frontage chain link fence cost estimate (RDC-to-GHA).msg", "Frontage chain link fence cost estimate")</f>
        <v>Frontage chain link fence cost estimate</v>
      </c>
      <c r="K728" s="25"/>
      <c r="L728" s="19"/>
      <c r="M728" s="20"/>
      <c r="N728" s="21" t="s">
        <v>2831</v>
      </c>
    </row>
    <row r="729" spans="1:14">
      <c r="A729" s="12" t="s">
        <v>1357</v>
      </c>
      <c r="B729" s="13" t="s">
        <v>1160</v>
      </c>
      <c r="C729" s="14" t="s">
        <v>2832</v>
      </c>
      <c r="D729" s="15">
        <v>42124.655057870368</v>
      </c>
      <c r="E729" s="16" t="s">
        <v>17</v>
      </c>
      <c r="F729" s="16" t="s">
        <v>20</v>
      </c>
      <c r="G729" s="17" t="s">
        <v>719</v>
      </c>
      <c r="H729" s="17" t="s">
        <v>2833</v>
      </c>
      <c r="I729" s="13" t="s">
        <v>2834</v>
      </c>
      <c r="J729" s="23" t="str">
        <f>HYPERLINK("CorLog\Reference\20150430 Reference DC-71 Query Cost of Renovated Expandable KH (WDC-to-MOZ).msg", "DC-71 Query Cost of Renovated Expandable KH")</f>
        <v>DC-71 Query Cost of Renovated Expandable KH</v>
      </c>
      <c r="K729" s="25" t="s">
        <v>1243</v>
      </c>
      <c r="L729" s="19"/>
      <c r="M729" s="20"/>
      <c r="N729" s="21" t="s">
        <v>2835</v>
      </c>
    </row>
    <row r="730" spans="1:14">
      <c r="A730" s="12" t="s">
        <v>718</v>
      </c>
      <c r="B730" s="13" t="s">
        <v>1818</v>
      </c>
      <c r="C730" s="14"/>
      <c r="D730" s="15">
        <v>42124.617083333331</v>
      </c>
      <c r="E730" s="16" t="s">
        <v>16</v>
      </c>
      <c r="F730" s="16" t="s">
        <v>16</v>
      </c>
      <c r="G730" s="17" t="s">
        <v>767</v>
      </c>
      <c r="H730" s="17" t="s">
        <v>2836</v>
      </c>
      <c r="I730" s="13" t="s">
        <v>2837</v>
      </c>
      <c r="J730" s="18" t="str">
        <f>HYPERLINK("CorLog\SEN\Branch\20150430 SEN Branch Concept design meeting w WSP (RDC-to-RDC).msg", "Concept design meeting w WSP")</f>
        <v>Concept design meeting w WSP</v>
      </c>
      <c r="K730" s="22" t="s">
        <v>1274</v>
      </c>
      <c r="L730" s="19"/>
      <c r="M730" s="20"/>
      <c r="N730" s="21" t="s">
        <v>2838</v>
      </c>
    </row>
    <row r="731" spans="1:14">
      <c r="A731" s="12" t="s">
        <v>1337</v>
      </c>
      <c r="B731" s="13" t="s">
        <v>724</v>
      </c>
      <c r="C731" s="14" t="s">
        <v>2839</v>
      </c>
      <c r="D731" s="15">
        <v>42124.608518518522</v>
      </c>
      <c r="E731" s="16" t="s">
        <v>18</v>
      </c>
      <c r="F731" s="16" t="s">
        <v>16</v>
      </c>
      <c r="G731" s="17" t="s">
        <v>885</v>
      </c>
      <c r="H731" s="17" t="s">
        <v>1687</v>
      </c>
      <c r="I731" s="13" t="s">
        <v>2840</v>
      </c>
      <c r="J731" s="23" t="str">
        <f>HYPERLINK("CorLog\ZMB\Kabompo RTO\20150430 ZMB Kabompo RTO Floor finish issues (ZMB-to-RDC).msg", "Floor finish issues")</f>
        <v>Floor finish issues</v>
      </c>
      <c r="K731" s="25" t="s">
        <v>1211</v>
      </c>
      <c r="L731" s="19" t="s">
        <v>2841</v>
      </c>
      <c r="M731" s="20"/>
      <c r="N731" s="21" t="s">
        <v>2842</v>
      </c>
    </row>
    <row r="732" spans="1:14">
      <c r="A732" s="12" t="s">
        <v>718</v>
      </c>
      <c r="B732" s="13" t="s">
        <v>1529</v>
      </c>
      <c r="C732" s="14" t="s">
        <v>2077</v>
      </c>
      <c r="D732" s="15">
        <v>42124.600694444445</v>
      </c>
      <c r="E732" s="16" t="s">
        <v>16</v>
      </c>
      <c r="F732" s="16" t="s">
        <v>18</v>
      </c>
      <c r="G732" s="17" t="s">
        <v>946</v>
      </c>
      <c r="H732" s="17" t="s">
        <v>2843</v>
      </c>
      <c r="I732" s="13" t="s">
        <v>2844</v>
      </c>
      <c r="J732" s="23" t="str">
        <f>HYPERLINK("CorLog\ZMB\Mongu RTO\20150430 ZMB Mongu RTO Move location of inside A C units to eliminate trunking (RDC-to-ZMB).msg", "Move location of inside A C units to eliminate trunking")</f>
        <v>Move location of inside A C units to eliminate trunking</v>
      </c>
      <c r="K732" s="25" t="s">
        <v>1211</v>
      </c>
      <c r="L732" s="19"/>
      <c r="M732" s="20"/>
      <c r="N732" s="21" t="s">
        <v>2845</v>
      </c>
    </row>
    <row r="733" spans="1:14">
      <c r="A733" s="12" t="s">
        <v>717</v>
      </c>
      <c r="B733" s="13" t="s">
        <v>2846</v>
      </c>
      <c r="C733" s="14" t="s">
        <v>2847</v>
      </c>
      <c r="D733" s="15">
        <v>42124.470717592594</v>
      </c>
      <c r="E733" s="16" t="s">
        <v>16</v>
      </c>
      <c r="F733" s="16" t="s">
        <v>15</v>
      </c>
      <c r="G733" s="17" t="s">
        <v>979</v>
      </c>
      <c r="H733" s="17" t="s">
        <v>2848</v>
      </c>
      <c r="I733" s="13" t="s">
        <v>2849</v>
      </c>
      <c r="J733" s="18" t="str">
        <f>HYPERLINK("CorLog\RTO\Projects\20150430 RTO Projects GPD flat pack options - Ideas for expediting and value engineering RTO's (RDC-to-ZAF).msg", "GPD flat pack options - Ideas for expediting and value engineering RTO's")</f>
        <v>GPD flat pack options - Ideas for expediting and value engineering RTO's</v>
      </c>
      <c r="K733" s="22" t="s">
        <v>721</v>
      </c>
      <c r="L733" s="19"/>
      <c r="M733" s="20"/>
      <c r="N733" s="21" t="s">
        <v>2850</v>
      </c>
    </row>
    <row r="734" spans="1:14">
      <c r="A734" s="12" t="s">
        <v>827</v>
      </c>
      <c r="B734" s="13" t="s">
        <v>718</v>
      </c>
      <c r="C734" s="14" t="s">
        <v>2851</v>
      </c>
      <c r="D734" s="15">
        <v>42124.412604166668</v>
      </c>
      <c r="E734" s="16" t="s">
        <v>21</v>
      </c>
      <c r="F734" s="16" t="s">
        <v>16</v>
      </c>
      <c r="G734" s="17" t="s">
        <v>738</v>
      </c>
      <c r="H734" s="17" t="s">
        <v>2852</v>
      </c>
      <c r="I734" s="13" t="s">
        <v>2853</v>
      </c>
      <c r="J734" s="23" t="str">
        <f>HYPERLINK("CorLog\GHA\BEX 2\20150430 GHA BEX 2 CDP Existing Whisper Room Area in Former Library (GHA-to-RDC).msg", "CDP Existing Whisper Room Area in Former Library")</f>
        <v>CDP Existing Whisper Room Area in Former Library</v>
      </c>
      <c r="K734" s="25" t="s">
        <v>1243</v>
      </c>
      <c r="L734" s="19"/>
      <c r="M734" s="20"/>
      <c r="N734" s="21" t="s">
        <v>2854</v>
      </c>
    </row>
    <row r="735" spans="1:14">
      <c r="A735" s="12" t="s">
        <v>718</v>
      </c>
      <c r="B735" s="13" t="s">
        <v>742</v>
      </c>
      <c r="C735" s="14" t="s">
        <v>723</v>
      </c>
      <c r="D735" s="15">
        <v>42124.390972222223</v>
      </c>
      <c r="E735" s="16" t="s">
        <v>16</v>
      </c>
      <c r="F735" s="16" t="s">
        <v>16</v>
      </c>
      <c r="G735" s="17" t="s">
        <v>864</v>
      </c>
      <c r="H735" s="17" t="s">
        <v>1707</v>
      </c>
      <c r="I735" s="13" t="s">
        <v>2855</v>
      </c>
      <c r="J735" s="18" t="str">
        <f>HYPERLINK("CorLog\COD\Choral Studio\20150430 COD Choral Studio Revised layout and comments (RDC-to-RDC).msg.msg", "Revised layout and comments")</f>
        <v>Revised layout and comments</v>
      </c>
      <c r="K735" s="22" t="s">
        <v>721</v>
      </c>
      <c r="L735" s="19"/>
      <c r="M735" s="20"/>
      <c r="N735" s="21" t="s">
        <v>2856</v>
      </c>
    </row>
    <row r="736" spans="1:14">
      <c r="A736" s="12" t="s">
        <v>795</v>
      </c>
      <c r="B736" s="13" t="s">
        <v>718</v>
      </c>
      <c r="C736" s="14" t="s">
        <v>2857</v>
      </c>
      <c r="D736" s="15">
        <v>42124.380069444444</v>
      </c>
      <c r="E736" s="16" t="s">
        <v>16</v>
      </c>
      <c r="F736" s="16" t="s">
        <v>16</v>
      </c>
      <c r="G736" s="17" t="s">
        <v>790</v>
      </c>
      <c r="H736" s="17" t="s">
        <v>791</v>
      </c>
      <c r="I736" s="13" t="s">
        <v>2858</v>
      </c>
      <c r="J736" s="23" t="str">
        <f>HYPERLINK("CorLog\GHA\BEX\20150430 GHA BEX Preparation for WTP Commissioning (RDC-to-RDC).msg", "Preparation for WTP Commissioning")</f>
        <v>Preparation for WTP Commissioning</v>
      </c>
      <c r="K736" s="25"/>
      <c r="L736" s="19"/>
      <c r="M736" s="20"/>
      <c r="N736" s="21" t="s">
        <v>2859</v>
      </c>
    </row>
    <row r="737" spans="1:14">
      <c r="A737" s="12" t="s">
        <v>2860</v>
      </c>
      <c r="B737" s="13"/>
      <c r="C737" s="14"/>
      <c r="D737" s="15">
        <v>42124</v>
      </c>
      <c r="E737" s="16" t="s">
        <v>25</v>
      </c>
      <c r="F737" s="16" t="s">
        <v>30</v>
      </c>
      <c r="G737" s="17" t="s">
        <v>719</v>
      </c>
      <c r="H737" s="17" t="s">
        <v>2421</v>
      </c>
      <c r="I737" s="13" t="s">
        <v>2861</v>
      </c>
      <c r="J737" s="23" t="str">
        <f>HYPERLINK("CorLog\Reference\20150430 Reference Revised Disaster Relief Guidelines (WHQ-to-ALL).docx", "Revised Disaster Relief Guidelines")</f>
        <v>Revised Disaster Relief Guidelines</v>
      </c>
      <c r="K737" s="23" t="str">
        <f>HYPERLINK("CorLog\Reference\20150430 Reference Revised Disaster Relief Guidelines (WHQ-to-ALL).zip", "Zipped")</f>
        <v>Zipped</v>
      </c>
      <c r="L737" s="19"/>
      <c r="M737" s="20"/>
      <c r="N737" s="21" t="s">
        <v>2862</v>
      </c>
    </row>
    <row r="738" spans="1:14">
      <c r="A738" s="12" t="s">
        <v>756</v>
      </c>
      <c r="B738" s="13" t="s">
        <v>718</v>
      </c>
      <c r="C738" s="14"/>
      <c r="D738" s="15">
        <v>42123.748645833337</v>
      </c>
      <c r="E738" s="16" t="s">
        <v>16</v>
      </c>
      <c r="F738" s="16" t="s">
        <v>16</v>
      </c>
      <c r="G738" s="17" t="s">
        <v>2863</v>
      </c>
      <c r="H738" s="17" t="s">
        <v>2864</v>
      </c>
      <c r="I738" s="13" t="s">
        <v>2865</v>
      </c>
      <c r="J738" s="23" t="str">
        <f>HYPERLINK("CorLog\COD\Brazzaville MH\20150429 COD Brazzaville MH 2015-04-29 meeting minutes - next steps (RDC-to-RDC).msg", "2015-04-29 meeting minutes - next steps")</f>
        <v>2015-04-29 meeting minutes - next steps</v>
      </c>
      <c r="K738" s="25" t="s">
        <v>1211</v>
      </c>
      <c r="L738" s="19"/>
      <c r="M738" s="20"/>
      <c r="N738" s="21" t="s">
        <v>2866</v>
      </c>
    </row>
    <row r="739" spans="1:14">
      <c r="A739" s="12" t="s">
        <v>718</v>
      </c>
      <c r="B739" s="13" t="s">
        <v>1337</v>
      </c>
      <c r="C739" s="14" t="s">
        <v>724</v>
      </c>
      <c r="D739" s="15">
        <v>42123.739976851852</v>
      </c>
      <c r="E739" s="16" t="s">
        <v>16</v>
      </c>
      <c r="F739" s="16" t="s">
        <v>18</v>
      </c>
      <c r="G739" s="17" t="s">
        <v>885</v>
      </c>
      <c r="H739" s="17" t="s">
        <v>1178</v>
      </c>
      <c r="I739" s="13" t="s">
        <v>2867</v>
      </c>
      <c r="J739" s="18" t="str">
        <f>HYPERLINK("CorLog\ZMB\Kabompo RTO\20150429 ZMB Kabompo RTO Air frieght parts for Generator zy861 201504029 (RDC-to-ZMB).msg", "Air frieght parts for Generator zy861 201504029")</f>
        <v>Air frieght parts for Generator zy861 201504029</v>
      </c>
      <c r="K739" s="18"/>
      <c r="L739" s="19"/>
      <c r="M739" s="20"/>
      <c r="N739" s="21" t="s">
        <v>2868</v>
      </c>
    </row>
    <row r="740" spans="1:14">
      <c r="A740" s="12" t="s">
        <v>718</v>
      </c>
      <c r="B740" s="13" t="s">
        <v>827</v>
      </c>
      <c r="C740" s="14" t="s">
        <v>2869</v>
      </c>
      <c r="D740" s="15">
        <v>42123.702523148146</v>
      </c>
      <c r="E740" s="16" t="s">
        <v>16</v>
      </c>
      <c r="F740" s="16" t="s">
        <v>21</v>
      </c>
      <c r="G740" s="17" t="s">
        <v>730</v>
      </c>
      <c r="H740" s="17" t="s">
        <v>731</v>
      </c>
      <c r="I740" s="13" t="s">
        <v>2870</v>
      </c>
      <c r="J740" s="23" t="str">
        <f>HYPERLINK("CorLog\GHA\Baatsona SKE\20150429 GHA Baatsona SKE DC-41 No 1 ; School Facility Baatsona Renovation (RDC-to-GHA).msg", "DC-41 No 1 ; School Facility Baatsona Renovation")</f>
        <v>DC-41 No 1 ; School Facility Baatsona Renovation</v>
      </c>
      <c r="K740" s="25" t="s">
        <v>1270</v>
      </c>
      <c r="L740" s="19"/>
      <c r="M740" s="20"/>
      <c r="N740" s="21" t="s">
        <v>2871</v>
      </c>
    </row>
    <row r="741" spans="1:14">
      <c r="A741" s="12" t="s">
        <v>1866</v>
      </c>
      <c r="B741" s="13" t="s">
        <v>2872</v>
      </c>
      <c r="C741" s="14" t="s">
        <v>2873</v>
      </c>
      <c r="D741" s="15">
        <v>42123.650995370372</v>
      </c>
      <c r="E741" s="16" t="s">
        <v>16</v>
      </c>
      <c r="F741" s="16" t="s">
        <v>17</v>
      </c>
      <c r="G741" s="17" t="s">
        <v>719</v>
      </c>
      <c r="H741" s="17" t="s">
        <v>759</v>
      </c>
      <c r="I741" s="13" t="s">
        <v>2874</v>
      </c>
      <c r="J741" s="23" t="str">
        <f>HYPERLINK("CorLog\Reference\20150429 Reference Double Story - RTO Approved Layout, large AV (RDC-to-WDC).msg", "Double Story - RTO Approved Layout, large AV")</f>
        <v>Double Story - RTO Approved Layout, large AV</v>
      </c>
      <c r="K741" s="25" t="s">
        <v>1211</v>
      </c>
      <c r="L741" s="19"/>
      <c r="M741" s="20"/>
      <c r="N741" s="21" t="s">
        <v>2875</v>
      </c>
    </row>
    <row r="742" spans="1:14">
      <c r="A742" s="12" t="s">
        <v>718</v>
      </c>
      <c r="B742" s="13" t="s">
        <v>827</v>
      </c>
      <c r="C742" s="14" t="s">
        <v>2876</v>
      </c>
      <c r="D742" s="15">
        <v>42123.615277777775</v>
      </c>
      <c r="E742" s="16" t="s">
        <v>16</v>
      </c>
      <c r="F742" s="16" t="s">
        <v>21</v>
      </c>
      <c r="G742" s="17" t="s">
        <v>790</v>
      </c>
      <c r="H742" s="17" t="s">
        <v>829</v>
      </c>
      <c r="I742" s="13" t="s">
        <v>2877</v>
      </c>
      <c r="J742" s="23" t="str">
        <f>HYPERLINK("CorLog\GHA\BEX\20150429 GHA BEX RDC review of NLBR Package -46 SUBMITTAL (RDC-to-GHA).msg", "RDC review of NLBR Package -46 SUBMITTAL")</f>
        <v>RDC review of NLBR Package -46 SUBMITTAL</v>
      </c>
      <c r="K742" s="25" t="s">
        <v>1626</v>
      </c>
      <c r="L742" s="19"/>
      <c r="M742" s="20"/>
      <c r="N742" s="21" t="s">
        <v>2878</v>
      </c>
    </row>
    <row r="743" spans="1:14">
      <c r="A743" s="12" t="s">
        <v>750</v>
      </c>
      <c r="B743" s="13" t="s">
        <v>1167</v>
      </c>
      <c r="C743" s="14" t="s">
        <v>2879</v>
      </c>
      <c r="D743" s="15">
        <v>42123.567847222221</v>
      </c>
      <c r="E743" s="16" t="s">
        <v>16</v>
      </c>
      <c r="F743" s="16" t="s">
        <v>22</v>
      </c>
      <c r="G743" s="17" t="s">
        <v>1169</v>
      </c>
      <c r="H743" s="17" t="s">
        <v>851</v>
      </c>
      <c r="I743" s="13" t="s">
        <v>2880</v>
      </c>
      <c r="J743" s="23" t="str">
        <f>HYPERLINK("CorLog\COD\Kikwit RTO\20150429 COD Kikwit RTO DCP under OFFICE Slab-on-Grade (Pending tests--OK) (RDC-to-COD).msg", "DCP under OFFICE Slab-on-Grade (Pending tests--OK)")</f>
        <v>DCP under OFFICE Slab-on-Grade (Pending tests--OK)</v>
      </c>
      <c r="K743" s="25" t="s">
        <v>1211</v>
      </c>
      <c r="L743" s="19"/>
      <c r="M743" s="20"/>
      <c r="N743" s="21" t="s">
        <v>2881</v>
      </c>
    </row>
    <row r="744" spans="1:14">
      <c r="A744" s="12"/>
      <c r="B744" s="13" t="s">
        <v>837</v>
      </c>
      <c r="C744" s="14" t="s">
        <v>1011</v>
      </c>
      <c r="D744" s="15">
        <v>42123.561805555553</v>
      </c>
      <c r="E744" s="16" t="s">
        <v>16</v>
      </c>
      <c r="F744" s="16" t="s">
        <v>18</v>
      </c>
      <c r="G744" s="17" t="s">
        <v>838</v>
      </c>
      <c r="H744" s="17" t="s">
        <v>829</v>
      </c>
      <c r="I744" s="13" t="s">
        <v>2882</v>
      </c>
      <c r="J744" s="23" t="str">
        <f>HYPERLINK("CorLog\ZMB\Choma RTO\20150429 ZMB Choma RTO RDC review of Draft NLBR 10477 for the whisper room (RDC-to-ZMB).msg", "RDC review of Draft NLBR 10477 for the whisper room")</f>
        <v>RDC review of Draft NLBR 10477 for the whisper room</v>
      </c>
      <c r="K744" s="25" t="s">
        <v>1211</v>
      </c>
      <c r="L744" s="19"/>
      <c r="M744" s="20"/>
      <c r="N744" s="21" t="s">
        <v>2883</v>
      </c>
    </row>
    <row r="745" spans="1:14">
      <c r="A745" s="12" t="s">
        <v>718</v>
      </c>
      <c r="B745" s="13" t="s">
        <v>837</v>
      </c>
      <c r="C745" s="14" t="s">
        <v>1011</v>
      </c>
      <c r="D745" s="15">
        <v>42123.561805555553</v>
      </c>
      <c r="E745" s="16" t="s">
        <v>16</v>
      </c>
      <c r="F745" s="16" t="s">
        <v>18</v>
      </c>
      <c r="G745" s="17" t="s">
        <v>838</v>
      </c>
      <c r="H745" s="17" t="s">
        <v>829</v>
      </c>
      <c r="I745" s="13" t="s">
        <v>2882</v>
      </c>
      <c r="J745" s="23" t="str">
        <f>HYPERLINK("CorLog\ZMB\Choma RTO\20150429 ZMB Choma RTO RDC review of Draft NLBR 10477 for the whisper room (RDC-to-ZMB).msg", "RDC review of Draft NLBR 10477 for the whisper room")</f>
        <v>RDC review of Draft NLBR 10477 for the whisper room</v>
      </c>
      <c r="K745" s="25" t="s">
        <v>1211</v>
      </c>
      <c r="L745" s="19"/>
      <c r="M745" s="20"/>
      <c r="N745" s="21" t="s">
        <v>2883</v>
      </c>
    </row>
    <row r="746" spans="1:14">
      <c r="A746" s="12" t="s">
        <v>2431</v>
      </c>
      <c r="B746" s="13" t="s">
        <v>718</v>
      </c>
      <c r="C746" s="14"/>
      <c r="D746" s="15">
        <v>42123.559594907405</v>
      </c>
      <c r="E746" s="16" t="s">
        <v>22</v>
      </c>
      <c r="F746" s="16" t="s">
        <v>16</v>
      </c>
      <c r="G746" s="17" t="s">
        <v>785</v>
      </c>
      <c r="H746" s="17" t="s">
        <v>1178</v>
      </c>
      <c r="I746" s="13" t="s">
        <v>2884</v>
      </c>
      <c r="J746" s="23" t="str">
        <f>HYPERLINK("CorLog\COD\Lubumbashi RTO\20150429 COD Lubumbashi RTO Generator zy830 maintenance issues (COD-to-RDC).msg", "Generator zy830 maintenance issues")</f>
        <v>Generator zy830 maintenance issues</v>
      </c>
      <c r="K746" s="25" t="s">
        <v>1499</v>
      </c>
      <c r="L746" s="19"/>
      <c r="M746" s="20"/>
      <c r="N746" s="21" t="s">
        <v>2885</v>
      </c>
    </row>
    <row r="747" spans="1:14">
      <c r="A747" s="12" t="s">
        <v>757</v>
      </c>
      <c r="B747" s="13" t="s">
        <v>750</v>
      </c>
      <c r="C747" s="14" t="s">
        <v>2886</v>
      </c>
      <c r="D747" s="15">
        <v>42123.553518518522</v>
      </c>
      <c r="E747" s="16" t="s">
        <v>21</v>
      </c>
      <c r="F747" s="16" t="s">
        <v>16</v>
      </c>
      <c r="G747" s="17" t="s">
        <v>790</v>
      </c>
      <c r="H747" s="17" t="s">
        <v>854</v>
      </c>
      <c r="I747" s="13" t="s">
        <v>2887</v>
      </c>
      <c r="J747" s="18" t="str">
        <f>HYPERLINK("CorLog\GHA\BEX\20150429 GHA BEX Structural, Window lintel sag, seperating from concrete bricks above (GHA-to-RDC).msg", "Structural, Window lintel sag, seperating from concrete bricks above")</f>
        <v>Structural, Window lintel sag, seperating from concrete bricks above</v>
      </c>
      <c r="K747" s="22" t="s">
        <v>1033</v>
      </c>
      <c r="L747" s="19"/>
      <c r="M747" s="20"/>
      <c r="N747" s="21" t="s">
        <v>2888</v>
      </c>
    </row>
    <row r="748" spans="1:14">
      <c r="A748" s="12" t="s">
        <v>1560</v>
      </c>
      <c r="B748" s="13" t="s">
        <v>837</v>
      </c>
      <c r="C748" s="14" t="s">
        <v>718</v>
      </c>
      <c r="D748" s="15">
        <v>42123.485381944447</v>
      </c>
      <c r="E748" s="16" t="s">
        <v>15</v>
      </c>
      <c r="F748" s="16" t="s">
        <v>18</v>
      </c>
      <c r="G748" s="17" t="s">
        <v>838</v>
      </c>
      <c r="H748" s="17" t="s">
        <v>2889</v>
      </c>
      <c r="I748" s="13" t="s">
        <v>2890</v>
      </c>
      <c r="J748" s="23" t="str">
        <f>HYPERLINK("CorLog\ZMB\Choma RTO\20150429 ZMB Choma RTO REP Engineering Quotation (ZAF-to-ZMB).msg", "REP Engineering Quotation")</f>
        <v>REP Engineering Quotation</v>
      </c>
      <c r="K748" s="25" t="s">
        <v>1243</v>
      </c>
      <c r="L748" s="19"/>
      <c r="M748" s="20"/>
      <c r="N748" s="21" t="s">
        <v>2891</v>
      </c>
    </row>
    <row r="749" spans="1:14">
      <c r="A749" s="12" t="s">
        <v>771</v>
      </c>
      <c r="B749" s="13" t="s">
        <v>717</v>
      </c>
      <c r="C749" s="14" t="s">
        <v>2892</v>
      </c>
      <c r="D749" s="15">
        <v>42122.915335648147</v>
      </c>
      <c r="E749" s="16" t="s">
        <v>17</v>
      </c>
      <c r="F749" s="16" t="s">
        <v>16</v>
      </c>
      <c r="G749" s="17" t="s">
        <v>767</v>
      </c>
      <c r="H749" s="17" t="s">
        <v>2817</v>
      </c>
      <c r="I749" s="13" t="s">
        <v>2893</v>
      </c>
      <c r="J749" s="23" t="str">
        <f>HYPERLINK("CorLog\SEN\Branch\20150428 SEN Branch Branch FEV cost estimate--range only (POR style) (WDC-to-RDC).msg", "Branch FEV cost estimate--range only (POR style)")</f>
        <v>Branch FEV cost estimate--range only (POR style)</v>
      </c>
      <c r="K749" s="25"/>
      <c r="L749" s="19"/>
      <c r="M749" s="20"/>
      <c r="N749" s="21" t="s">
        <v>2894</v>
      </c>
    </row>
    <row r="750" spans="1:14">
      <c r="A750" s="12" t="s">
        <v>837</v>
      </c>
      <c r="B750" s="13" t="s">
        <v>718</v>
      </c>
      <c r="C750" s="14" t="s">
        <v>1109</v>
      </c>
      <c r="D750" s="15">
        <v>42122.790868055556</v>
      </c>
      <c r="E750" s="16" t="s">
        <v>18</v>
      </c>
      <c r="F750" s="16" t="s">
        <v>16</v>
      </c>
      <c r="G750" s="17" t="s">
        <v>838</v>
      </c>
      <c r="H750" s="17" t="s">
        <v>2895</v>
      </c>
      <c r="I750" s="13" t="s">
        <v>2896</v>
      </c>
      <c r="J750" s="23" t="str">
        <f>HYPERLINK("CorLog\ZMB\Choma RTO\20150428 ZMB Choma RTO Concertina razor wire and straining wire (ZMB-to-RDC).msg", "Concertina razor wire and straining wire")</f>
        <v>Concertina razor wire and straining wire</v>
      </c>
      <c r="K750" s="25" t="s">
        <v>1270</v>
      </c>
      <c r="L750" s="19"/>
      <c r="M750" s="20"/>
      <c r="N750" s="21" t="s">
        <v>2897</v>
      </c>
    </row>
    <row r="751" spans="1:14">
      <c r="A751" s="12" t="s">
        <v>827</v>
      </c>
      <c r="B751" s="13" t="s">
        <v>964</v>
      </c>
      <c r="C751" s="14" t="s">
        <v>2898</v>
      </c>
      <c r="D751" s="15">
        <v>42122.787060185183</v>
      </c>
      <c r="E751" s="16" t="s">
        <v>21</v>
      </c>
      <c r="F751" s="16" t="s">
        <v>16</v>
      </c>
      <c r="G751" s="17" t="s">
        <v>790</v>
      </c>
      <c r="H751" s="17" t="s">
        <v>886</v>
      </c>
      <c r="I751" s="13" t="s">
        <v>2899</v>
      </c>
      <c r="J751" s="23" t="str">
        <f>HYPERLINK("CorLog\GHA\BEX\20150428 GHA BEX Lightning Protection Material Issue (GHA-to-RDC).msg", "Lightning Protection Material Issue")</f>
        <v>Lightning Protection Material Issue</v>
      </c>
      <c r="K751" s="25" t="s">
        <v>1211</v>
      </c>
      <c r="L751" s="19"/>
      <c r="M751" s="20"/>
      <c r="N751" s="21" t="s">
        <v>2900</v>
      </c>
    </row>
    <row r="752" spans="1:14">
      <c r="A752" s="12" t="s">
        <v>718</v>
      </c>
      <c r="B752" s="13" t="s">
        <v>717</v>
      </c>
      <c r="C752" s="14"/>
      <c r="D752" s="15">
        <v>42122.72078703704</v>
      </c>
      <c r="E752" s="16" t="s">
        <v>16</v>
      </c>
      <c r="F752" s="16" t="s">
        <v>16</v>
      </c>
      <c r="G752" s="17" t="s">
        <v>767</v>
      </c>
      <c r="H752" s="17" t="s">
        <v>768</v>
      </c>
      <c r="I752" s="13" t="s">
        <v>2901</v>
      </c>
      <c r="J752" s="18" t="str">
        <f>HYPERLINK("CorLog\SEN\Branch\20150428 SEN Branch WSP and RDC - 'the way forward' (MINUTES) (RDC-to-RDC).msg", "WSP and RDC - 'the way forward' (MINUTES)")</f>
        <v>WSP and RDC - 'the way forward' (MINUTES)</v>
      </c>
      <c r="K752" s="22"/>
      <c r="L752" s="19"/>
      <c r="M752" s="20"/>
      <c r="N752" s="21" t="s">
        <v>2902</v>
      </c>
    </row>
    <row r="753" spans="1:14">
      <c r="A753" s="12" t="s">
        <v>750</v>
      </c>
      <c r="B753" s="13" t="s">
        <v>895</v>
      </c>
      <c r="C753" s="14" t="s">
        <v>2903</v>
      </c>
      <c r="D753" s="15">
        <v>42122.648900462962</v>
      </c>
      <c r="E753" s="16" t="s">
        <v>16</v>
      </c>
      <c r="F753" s="16" t="s">
        <v>18</v>
      </c>
      <c r="G753" s="17" t="s">
        <v>885</v>
      </c>
      <c r="H753" s="17" t="s">
        <v>1367</v>
      </c>
      <c r="I753" s="13" t="s">
        <v>2904</v>
      </c>
      <c r="J753" s="23" t="str">
        <f>HYPERLINK("CorLog\ZMB\Kabompo RTO\20150428 ZMB Kabompo RTO Substitute for Sikagard 63N; Epoxy Tar Coating (RDC-to-ZMB).msg", "Substitute for Sikagard 63N; Epoxy Tar Coating")</f>
        <v>Substitute for Sikagard 63N; Epoxy Tar Coating</v>
      </c>
      <c r="K753" s="25" t="s">
        <v>1499</v>
      </c>
      <c r="L753" s="19"/>
      <c r="M753" s="20"/>
      <c r="N753" s="21" t="s">
        <v>2905</v>
      </c>
    </row>
    <row r="754" spans="1:14">
      <c r="A754" s="12" t="s">
        <v>718</v>
      </c>
      <c r="B754" s="13" t="s">
        <v>837</v>
      </c>
      <c r="C754" s="14"/>
      <c r="D754" s="15">
        <v>42122.647222222222</v>
      </c>
      <c r="E754" s="16" t="s">
        <v>16</v>
      </c>
      <c r="F754" s="16" t="s">
        <v>18</v>
      </c>
      <c r="G754" s="17" t="s">
        <v>838</v>
      </c>
      <c r="H754" s="17" t="s">
        <v>2242</v>
      </c>
      <c r="I754" s="13" t="s">
        <v>2906</v>
      </c>
      <c r="J754" s="23" t="str">
        <f>HYPERLINK("CorLog\ZMB\Choma RTO\20150428 ZMB Choma RTO Use of photo reports to update congregations and friends (RDC-to-ZMB).msg", "Use of photo reports to update congregations and friends")</f>
        <v>Use of photo reports to update congregations and friends</v>
      </c>
      <c r="K754" s="25"/>
      <c r="L754" s="19"/>
      <c r="M754" s="20"/>
      <c r="N754" s="21" t="s">
        <v>2907</v>
      </c>
    </row>
    <row r="755" spans="1:14">
      <c r="A755" s="12" t="s">
        <v>718</v>
      </c>
      <c r="B755" s="13" t="s">
        <v>837</v>
      </c>
      <c r="C755" s="14"/>
      <c r="D755" s="15">
        <v>42122.647222222222</v>
      </c>
      <c r="E755" s="16" t="s">
        <v>16</v>
      </c>
      <c r="F755" s="16" t="s">
        <v>18</v>
      </c>
      <c r="G755" s="17" t="s">
        <v>719</v>
      </c>
      <c r="H755" s="17" t="s">
        <v>2908</v>
      </c>
      <c r="I755" s="13" t="s">
        <v>2906</v>
      </c>
      <c r="J755" s="23" t="str">
        <f>HYPERLINK("CorLog\Reference\20150428 Shane Sadler Use of photo reports to update congregations and friends (RDC-to-ZMB).msg", "Use of photo reports to update congregations and friends")</f>
        <v>Use of photo reports to update congregations and friends</v>
      </c>
      <c r="K755" s="25"/>
      <c r="L755" s="19"/>
      <c r="M755" s="20"/>
      <c r="N755" s="21" t="s">
        <v>2907</v>
      </c>
    </row>
    <row r="756" spans="1:14">
      <c r="A756" s="12" t="s">
        <v>2195</v>
      </c>
      <c r="B756" s="13" t="s">
        <v>806</v>
      </c>
      <c r="C756" s="14" t="s">
        <v>2195</v>
      </c>
      <c r="D756" s="15">
        <v>42122.591157407405</v>
      </c>
      <c r="E756" s="16" t="s">
        <v>935</v>
      </c>
      <c r="F756" s="16" t="s">
        <v>15</v>
      </c>
      <c r="G756" s="17" t="s">
        <v>807</v>
      </c>
      <c r="H756" s="17" t="s">
        <v>848</v>
      </c>
      <c r="I756" s="13" t="s">
        <v>2909</v>
      </c>
      <c r="J756" s="23" t="str">
        <f>HYPERLINK("CorLog\GHA\Branch\20150428 GHA Branch GHA-4865 Parts for Lawn Mower ($2,609 81) (GPD-to-ZAF).msg", "GHA-4865 Parts for Lawn Mower ($2,609 81)")</f>
        <v>GHA-4865 Parts for Lawn Mower ($2,609 81)</v>
      </c>
      <c r="K756" s="25"/>
      <c r="L756" s="19"/>
      <c r="M756" s="20"/>
      <c r="N756" s="21" t="s">
        <v>2910</v>
      </c>
    </row>
    <row r="757" spans="1:14">
      <c r="A757" s="12" t="s">
        <v>964</v>
      </c>
      <c r="B757" s="13" t="s">
        <v>827</v>
      </c>
      <c r="C757" s="14" t="s">
        <v>2898</v>
      </c>
      <c r="D757" s="15">
        <v>42122.41574074074</v>
      </c>
      <c r="E757" s="16" t="s">
        <v>16</v>
      </c>
      <c r="F757" s="16" t="s">
        <v>21</v>
      </c>
      <c r="G757" s="17" t="s">
        <v>790</v>
      </c>
      <c r="H757" s="17" t="s">
        <v>886</v>
      </c>
      <c r="I757" s="13" t="s">
        <v>2899</v>
      </c>
      <c r="J757" s="23" t="str">
        <f>HYPERLINK("CorLog\GHA\BEX\20150428 GHA BEX Lightning Protection Material Issue (RDC-to-GHA).msg", "Lightning Protection Material Issue")</f>
        <v>Lightning Protection Material Issue</v>
      </c>
      <c r="K757" s="25" t="s">
        <v>1211</v>
      </c>
      <c r="L757" s="19"/>
      <c r="M757" s="20"/>
      <c r="N757" s="21" t="s">
        <v>2911</v>
      </c>
    </row>
    <row r="758" spans="1:14">
      <c r="A758" s="12" t="s">
        <v>718</v>
      </c>
      <c r="B758" s="13" t="s">
        <v>1069</v>
      </c>
      <c r="C758" s="14" t="s">
        <v>2912</v>
      </c>
      <c r="D758" s="15">
        <v>42122.382638888892</v>
      </c>
      <c r="E758" s="16" t="s">
        <v>16</v>
      </c>
      <c r="F758" s="16" t="s">
        <v>18</v>
      </c>
      <c r="G758" s="17" t="s">
        <v>1070</v>
      </c>
      <c r="H758" s="17" t="s">
        <v>781</v>
      </c>
      <c r="I758" s="13" t="s">
        <v>2913</v>
      </c>
      <c r="J758" s="23" t="str">
        <f>HYPERLINK("CorLog\ZMB\Katete RTO\20150428 ZMB Katete RTO Request for BCV - Tile Setter (RDC-to-ZMB).msg", "Request for BCV - Tile Setter")</f>
        <v>Request for BCV - Tile Setter</v>
      </c>
      <c r="K758" s="25"/>
      <c r="L758" s="19"/>
      <c r="M758" s="20"/>
      <c r="N758" s="21" t="s">
        <v>2914</v>
      </c>
    </row>
    <row r="759" spans="1:14">
      <c r="A759" s="12" t="s">
        <v>750</v>
      </c>
      <c r="B759" s="13" t="s">
        <v>1337</v>
      </c>
      <c r="C759" s="14" t="s">
        <v>2915</v>
      </c>
      <c r="D759" s="15">
        <v>42122.3596875</v>
      </c>
      <c r="E759" s="16" t="s">
        <v>16</v>
      </c>
      <c r="F759" s="16" t="s">
        <v>18</v>
      </c>
      <c r="G759" s="17" t="s">
        <v>885</v>
      </c>
      <c r="H759" s="17" t="s">
        <v>1200</v>
      </c>
      <c r="I759" s="13" t="s">
        <v>2916</v>
      </c>
      <c r="J759" s="23" t="str">
        <f>HYPERLINK("CorLog\ZMB\Kabompo RTO\20150428 ZMB Kabompo RTO DCP Test Roadway Slabs - 1-4 20150425 (RDC-to-ZMB).msg", "DCP Test Roadway Slabs - 1-4 20150425")</f>
        <v>DCP Test Roadway Slabs - 1-4 20150425</v>
      </c>
      <c r="K759" s="25"/>
      <c r="L759" s="19"/>
      <c r="M759" s="20"/>
      <c r="N759" s="21" t="s">
        <v>2917</v>
      </c>
    </row>
    <row r="760" spans="1:14">
      <c r="A760" s="12" t="s">
        <v>750</v>
      </c>
      <c r="B760" s="13" t="s">
        <v>895</v>
      </c>
      <c r="C760" s="14" t="s">
        <v>2918</v>
      </c>
      <c r="D760" s="15">
        <v>42122.352592592593</v>
      </c>
      <c r="E760" s="16" t="s">
        <v>16</v>
      </c>
      <c r="F760" s="16" t="s">
        <v>18</v>
      </c>
      <c r="G760" s="17" t="s">
        <v>885</v>
      </c>
      <c r="H760" s="17" t="s">
        <v>1367</v>
      </c>
      <c r="I760" s="13" t="s">
        <v>2904</v>
      </c>
      <c r="J760" s="23" t="str">
        <f>HYPERLINK("CorLog\ZMB\Kabompo RTO\20150428 ZMB Kabompo RTO Substitute for Sikagard 63N; Epoxy Tar Coating (RDC-to-ZMB).msg", "Substitute for Sikagard 63N; Epoxy Tar Coating")</f>
        <v>Substitute for Sikagard 63N; Epoxy Tar Coating</v>
      </c>
      <c r="K760" s="25" t="s">
        <v>1274</v>
      </c>
      <c r="L760" s="19"/>
      <c r="M760" s="20"/>
      <c r="N760" s="21" t="s">
        <v>2919</v>
      </c>
    </row>
    <row r="761" spans="1:14">
      <c r="A761" s="12" t="s">
        <v>718</v>
      </c>
      <c r="B761" s="13" t="s">
        <v>2920</v>
      </c>
      <c r="C761" s="14" t="s">
        <v>724</v>
      </c>
      <c r="D761" s="15">
        <v>42122.320150462961</v>
      </c>
      <c r="E761" s="16" t="s">
        <v>16</v>
      </c>
      <c r="F761" s="16" t="s">
        <v>15</v>
      </c>
      <c r="G761" s="17" t="s">
        <v>2050</v>
      </c>
      <c r="H761" s="17" t="s">
        <v>2401</v>
      </c>
      <c r="I761" s="13" t="s">
        <v>2921</v>
      </c>
      <c r="J761" s="18" t="str">
        <f>HYPERLINK("CorLog\Info\20150428 Info Work Experience Form - Symon Bent (RDC-to-ZAF).msg", "Work Experience Form - Symon Bent")</f>
        <v>Work Experience Form - Symon Bent</v>
      </c>
      <c r="K761" s="22"/>
      <c r="L761" s="19"/>
      <c r="M761" s="20"/>
      <c r="N761" s="21" t="s">
        <v>2922</v>
      </c>
    </row>
    <row r="762" spans="1:14">
      <c r="A762" s="12" t="s">
        <v>757</v>
      </c>
      <c r="B762" s="13" t="s">
        <v>718</v>
      </c>
      <c r="C762" s="14" t="s">
        <v>2923</v>
      </c>
      <c r="D762" s="15">
        <v>42122.283368055556</v>
      </c>
      <c r="E762" s="16" t="s">
        <v>21</v>
      </c>
      <c r="F762" s="16" t="s">
        <v>16</v>
      </c>
      <c r="G762" s="17" t="s">
        <v>738</v>
      </c>
      <c r="H762" s="17" t="s">
        <v>1846</v>
      </c>
      <c r="I762" s="13" t="s">
        <v>2924</v>
      </c>
      <c r="J762" s="18" t="str">
        <f>HYPERLINK("CorLog\GHA\BEX 2\20150428 GHA BEX 2 Creek, Comments on proposed creek design (GHA-to-RDC).msg", "Creek, Comments on proposed creek design")</f>
        <v>Creek, Comments on proposed creek design</v>
      </c>
      <c r="K762" s="22"/>
      <c r="L762" s="19"/>
      <c r="M762" s="20"/>
      <c r="N762" s="21" t="s">
        <v>2925</v>
      </c>
    </row>
    <row r="763" spans="1:14">
      <c r="A763" s="12" t="s">
        <v>817</v>
      </c>
      <c r="B763" s="13"/>
      <c r="C763" s="14"/>
      <c r="D763" s="15">
        <v>42122</v>
      </c>
      <c r="E763" s="16" t="s">
        <v>17</v>
      </c>
      <c r="F763" s="16" t="s">
        <v>19</v>
      </c>
      <c r="G763" s="17" t="s">
        <v>1706</v>
      </c>
      <c r="H763" s="17" t="s">
        <v>1524</v>
      </c>
      <c r="I763" s="13" t="s">
        <v>2926</v>
      </c>
      <c r="J763" s="23" t="str">
        <f>HYPERLINK("CorLog\AGO\Branch\20150428 AGO Branch Adjustment in the Construction Committee (WDC-to-AGO).docx", "Adjustment in the Construction Committee")</f>
        <v>Adjustment in the Construction Committee</v>
      </c>
      <c r="K763" s="23" t="str">
        <f>HYPERLINK("CorLog\AGO\Branch\20150428 AGO Branch Adjustment in the Construction Committee (WDC-to-AGO).zip", "Zipped")</f>
        <v>Zipped</v>
      </c>
      <c r="L763" s="19"/>
      <c r="M763" s="20"/>
      <c r="N763" s="21" t="s">
        <v>2927</v>
      </c>
    </row>
    <row r="764" spans="1:14">
      <c r="A764" s="12" t="s">
        <v>817</v>
      </c>
      <c r="B764" s="13"/>
      <c r="C764" s="14"/>
      <c r="D764" s="15">
        <v>42122</v>
      </c>
      <c r="E764" s="16" t="s">
        <v>15</v>
      </c>
      <c r="F764" s="16" t="s">
        <v>19</v>
      </c>
      <c r="G764" s="17" t="s">
        <v>1706</v>
      </c>
      <c r="H764" s="17" t="s">
        <v>1524</v>
      </c>
      <c r="I764" s="13" t="s">
        <v>2926</v>
      </c>
      <c r="J764" s="23" t="str">
        <f>HYPERLINK("CorLog\AGO\Branch\20150428 AGO Branch Adjustment in the Construction Committee (ZAF-to-AGO).docx", "Adjustment in the Construction Committee")</f>
        <v>Adjustment in the Construction Committee</v>
      </c>
      <c r="K764" s="23"/>
      <c r="L764" s="19"/>
      <c r="M764" s="20"/>
      <c r="N764" s="21" t="s">
        <v>2927</v>
      </c>
    </row>
    <row r="765" spans="1:14">
      <c r="A765" s="12" t="s">
        <v>1167</v>
      </c>
      <c r="B765" s="13" t="s">
        <v>750</v>
      </c>
      <c r="C765" s="14" t="s">
        <v>2928</v>
      </c>
      <c r="D765" s="15">
        <v>42121.992372685185</v>
      </c>
      <c r="E765" s="16" t="s">
        <v>22</v>
      </c>
      <c r="F765" s="16" t="s">
        <v>16</v>
      </c>
      <c r="G765" s="17" t="s">
        <v>1169</v>
      </c>
      <c r="H765" s="17" t="s">
        <v>844</v>
      </c>
      <c r="I765" s="13" t="s">
        <v>2929</v>
      </c>
      <c r="J765" s="23" t="str">
        <f>HYPERLINK("CorLog\COD\Kikwit RTO\20150427 COD Kikwit RTO Concrete Test Result--updates (COD-to-RDC).msg", "Concrete Test Result--updates")</f>
        <v>Concrete Test Result--updates</v>
      </c>
      <c r="K765" s="25" t="s">
        <v>1211</v>
      </c>
      <c r="L765" s="19"/>
      <c r="M765" s="20"/>
      <c r="N765" s="21" t="s">
        <v>2930</v>
      </c>
    </row>
    <row r="766" spans="1:14">
      <c r="A766" s="12" t="s">
        <v>750</v>
      </c>
      <c r="B766" s="13" t="s">
        <v>795</v>
      </c>
      <c r="C766" s="14" t="s">
        <v>2931</v>
      </c>
      <c r="D766" s="15">
        <v>42121.8591087963</v>
      </c>
      <c r="E766" s="16" t="s">
        <v>16</v>
      </c>
      <c r="F766" s="16" t="s">
        <v>16</v>
      </c>
      <c r="G766" s="17" t="s">
        <v>738</v>
      </c>
      <c r="H766" s="17" t="s">
        <v>2932</v>
      </c>
      <c r="I766" s="13" t="s">
        <v>2933</v>
      </c>
      <c r="J766" s="23" t="str">
        <f>HYPERLINK("CorLog\GHA\BEX 2\20150427 GHA BEX 2 Laundry Ventilation Issues Raised by David Jones (RDC-to-RDC).msg", "Laundry Ventilation Issues Raised by David Jones")</f>
        <v>Laundry Ventilation Issues Raised by David Jones</v>
      </c>
      <c r="K766" s="25" t="s">
        <v>1211</v>
      </c>
      <c r="L766" s="19"/>
      <c r="M766" s="20"/>
      <c r="N766" s="21" t="s">
        <v>2934</v>
      </c>
    </row>
    <row r="767" spans="1:14">
      <c r="A767" s="12" t="s">
        <v>1052</v>
      </c>
      <c r="B767" s="13" t="s">
        <v>1206</v>
      </c>
      <c r="C767" s="14"/>
      <c r="D767" s="15">
        <v>42121.640682870369</v>
      </c>
      <c r="E767" s="16" t="s">
        <v>17</v>
      </c>
      <c r="F767" s="16" t="s">
        <v>17</v>
      </c>
      <c r="G767" s="17" t="s">
        <v>28</v>
      </c>
      <c r="H767" s="17" t="s">
        <v>759</v>
      </c>
      <c r="I767" s="13" t="s">
        <v>2935</v>
      </c>
      <c r="J767" s="23" t="str">
        <f>HYPERLINK("CorLog\LDC\20150427 LDC Evaluating Local Design Construction (LDC) Departments (WDC-to-WDC).msg", "Evaluating Local Design Construction (LDC) Departments")</f>
        <v>Evaluating Local Design Construction (LDC) Departments</v>
      </c>
      <c r="K767" s="25" t="s">
        <v>1243</v>
      </c>
      <c r="L767" s="19"/>
      <c r="M767" s="20"/>
      <c r="N767" s="21" t="s">
        <v>2936</v>
      </c>
    </row>
    <row r="768" spans="1:14">
      <c r="A768" s="12" t="s">
        <v>827</v>
      </c>
      <c r="B768" s="13" t="s">
        <v>1258</v>
      </c>
      <c r="C768" s="14" t="s">
        <v>2937</v>
      </c>
      <c r="D768" s="15">
        <v>42121.639421296299</v>
      </c>
      <c r="E768" s="16" t="s">
        <v>21</v>
      </c>
      <c r="F768" s="16" t="s">
        <v>16</v>
      </c>
      <c r="G768" s="17" t="s">
        <v>790</v>
      </c>
      <c r="H768" s="17" t="s">
        <v>829</v>
      </c>
      <c r="I768" s="13" t="s">
        <v>2938</v>
      </c>
      <c r="J768" s="23" t="str">
        <f>HYPERLINK("CorLog\GHA\BEX\20150427 GHA BEX RFQ BEX Ceiling Tile Materials RQ- 447331 (ZAF RDC to comment on alternative) (GHA-to-RDC).msg", "RFQ BEX Ceiling Tile Materials RQ- 447331 (ZAF RDC to comment on alternative)")</f>
        <v>RFQ BEX Ceiling Tile Materials RQ- 447331 (ZAF RDC to comment on alternative)</v>
      </c>
      <c r="K768" s="25"/>
      <c r="L768" s="19"/>
      <c r="M768" s="20"/>
      <c r="N768" s="21" t="s">
        <v>2939</v>
      </c>
    </row>
    <row r="769" spans="1:14">
      <c r="A769" s="12" t="s">
        <v>1052</v>
      </c>
      <c r="B769" s="13" t="s">
        <v>718</v>
      </c>
      <c r="C769" s="14"/>
      <c r="D769" s="15">
        <v>42121.629814814813</v>
      </c>
      <c r="E769" s="16" t="s">
        <v>17</v>
      </c>
      <c r="F769" s="16" t="s">
        <v>16</v>
      </c>
      <c r="G769" s="17" t="s">
        <v>823</v>
      </c>
      <c r="H769" s="17" t="s">
        <v>731</v>
      </c>
      <c r="I769" s="13" t="s">
        <v>2940</v>
      </c>
      <c r="J769" s="23" t="str">
        <f>HYPERLINK("CorLog\GHA\LDC\20150427 GHA LDC DC-41 No 1 Ghana Assembly Hall Swedru (USD 206,833) (WDC-to-RDC).msg", "DC-41 No 1 Ghana Assembly Hall Swedru (USD 206,833)")</f>
        <v>DC-41 No 1 Ghana Assembly Hall Swedru (USD 206,833)</v>
      </c>
      <c r="K769" s="25" t="s">
        <v>1243</v>
      </c>
      <c r="L769" s="19"/>
      <c r="M769" s="20"/>
      <c r="N769" s="21" t="s">
        <v>2941</v>
      </c>
    </row>
    <row r="770" spans="1:14">
      <c r="A770" s="12" t="s">
        <v>1818</v>
      </c>
      <c r="B770" s="13" t="s">
        <v>742</v>
      </c>
      <c r="C770" s="14" t="s">
        <v>2942</v>
      </c>
      <c r="D770" s="15">
        <v>42121.572546296295</v>
      </c>
      <c r="E770" s="16" t="s">
        <v>16</v>
      </c>
      <c r="F770" s="16" t="s">
        <v>16</v>
      </c>
      <c r="G770" s="17" t="s">
        <v>738</v>
      </c>
      <c r="H770" s="17" t="s">
        <v>2943</v>
      </c>
      <c r="I770" s="13" t="s">
        <v>2944</v>
      </c>
      <c r="J770" s="18" t="str">
        <f>HYPERLINK("CorLog\GHA\BEX 2\20150427 GHA BEX 2 Irrigation sizing (RDC-to-RDC).msg", "Irrigation sizing")</f>
        <v>Irrigation sizing</v>
      </c>
      <c r="K770" s="22"/>
      <c r="L770" s="19"/>
      <c r="M770" s="20"/>
      <c r="N770" s="21" t="s">
        <v>2945</v>
      </c>
    </row>
    <row r="771" spans="1:14">
      <c r="A771" s="12" t="s">
        <v>1147</v>
      </c>
      <c r="B771" s="13" t="s">
        <v>717</v>
      </c>
      <c r="C771" s="14" t="s">
        <v>2946</v>
      </c>
      <c r="D771" s="15">
        <v>42121.364155092589</v>
      </c>
      <c r="E771" s="16" t="s">
        <v>16</v>
      </c>
      <c r="F771" s="16" t="s">
        <v>16</v>
      </c>
      <c r="G771" s="17" t="s">
        <v>2022</v>
      </c>
      <c r="H771" s="17" t="s">
        <v>1184</v>
      </c>
      <c r="I771" s="13" t="s">
        <v>2947</v>
      </c>
      <c r="J771" s="23" t="str">
        <f>HYPERLINK("CorLog\Directive\20150427 Directive DC-43 montly review by PO now (RDC-to-RDC).msg", "DC-43 montly review by PO now")</f>
        <v>DC-43 montly review by PO now</v>
      </c>
      <c r="K771" s="25"/>
      <c r="L771" s="19"/>
      <c r="M771" s="20"/>
      <c r="N771" s="21" t="s">
        <v>2948</v>
      </c>
    </row>
    <row r="772" spans="1:14">
      <c r="A772" s="12" t="s">
        <v>1537</v>
      </c>
      <c r="B772" s="13"/>
      <c r="C772" s="14"/>
      <c r="D772" s="15">
        <v>42121</v>
      </c>
      <c r="E772" s="16" t="s">
        <v>25</v>
      </c>
      <c r="F772" s="16" t="s">
        <v>15</v>
      </c>
      <c r="G772" s="17" t="s">
        <v>28</v>
      </c>
      <c r="H772" s="17" t="s">
        <v>1000</v>
      </c>
      <c r="I772" s="13" t="s">
        <v>2949</v>
      </c>
      <c r="J772" s="23" t="str">
        <f>HYPERLINK("CorLog\LDC\20150427 LDC Evaluating LDCs, workload, low spending (WHQ-to-ZAF).docx", "Evaluating LDCs, workload, low spending")</f>
        <v>Evaluating LDCs, workload, low spending</v>
      </c>
      <c r="K772" s="23"/>
      <c r="L772" s="19"/>
      <c r="M772" s="20"/>
      <c r="N772" s="21" t="s">
        <v>2950</v>
      </c>
    </row>
    <row r="773" spans="1:14">
      <c r="A773" s="12" t="s">
        <v>717</v>
      </c>
      <c r="B773" s="13" t="s">
        <v>1160</v>
      </c>
      <c r="C773" s="14" t="s">
        <v>1304</v>
      </c>
      <c r="D773" s="15">
        <v>42119.522349537037</v>
      </c>
      <c r="E773" s="16" t="s">
        <v>16</v>
      </c>
      <c r="F773" s="16" t="s">
        <v>20</v>
      </c>
      <c r="G773" s="17" t="s">
        <v>2951</v>
      </c>
      <c r="H773" s="17" t="s">
        <v>28</v>
      </c>
      <c r="I773" s="13" t="s">
        <v>2952</v>
      </c>
      <c r="J773" s="23" t="str">
        <f>HYPERLINK("CorLog\UGA\LDC\20150425 UGA LDC - Question regarding recent direction on informmation needed for visit of Circuit overseer (RDC-to-MOZ).msg", "LDC - Question regarding recent direction on informmation needed for visit of Circuit overseer")</f>
        <v>LDC - Question regarding recent direction on informmation needed for visit of Circuit overseer</v>
      </c>
      <c r="K773" s="25" t="s">
        <v>1211</v>
      </c>
      <c r="L773" s="19"/>
      <c r="M773" s="20"/>
      <c r="N773" s="21" t="s">
        <v>2953</v>
      </c>
    </row>
    <row r="774" spans="1:14">
      <c r="A774" s="12" t="s">
        <v>1052</v>
      </c>
      <c r="B774" s="13" t="s">
        <v>1206</v>
      </c>
      <c r="C774" s="14"/>
      <c r="D774" s="15">
        <v>42118.558993055558</v>
      </c>
      <c r="E774" s="16" t="s">
        <v>17</v>
      </c>
      <c r="F774" s="16" t="s">
        <v>17</v>
      </c>
      <c r="G774" s="17" t="s">
        <v>30</v>
      </c>
      <c r="H774" s="17" t="s">
        <v>1549</v>
      </c>
      <c r="I774" s="13" t="s">
        <v>2954</v>
      </c>
      <c r="J774" s="23" t="str">
        <f>HYPERLINK("CorLog\ALL\20150424 ALL Assessing the Kingdom Hall Program Progress (WDC-to-WDC).msg", "Assessing the Kingdom Hall Program Progress")</f>
        <v>Assessing the Kingdom Hall Program Progress</v>
      </c>
      <c r="K774" s="25" t="s">
        <v>1211</v>
      </c>
      <c r="L774" s="19"/>
      <c r="M774" s="20"/>
      <c r="N774" s="21" t="s">
        <v>2955</v>
      </c>
    </row>
    <row r="775" spans="1:14">
      <c r="A775" s="12" t="s">
        <v>795</v>
      </c>
      <c r="B775" s="13" t="s">
        <v>723</v>
      </c>
      <c r="C775" s="14"/>
      <c r="D775" s="15">
        <v>42118.383101851854</v>
      </c>
      <c r="E775" s="16" t="s">
        <v>16</v>
      </c>
      <c r="F775" s="16" t="s">
        <v>16</v>
      </c>
      <c r="G775" s="17" t="s">
        <v>738</v>
      </c>
      <c r="H775" s="17" t="s">
        <v>2956</v>
      </c>
      <c r="I775" s="13" t="s">
        <v>2957</v>
      </c>
      <c r="J775" s="23" t="str">
        <f>HYPERLINK("CorLog\GHA\BEX 2\20150424 GHA BEX 2 Mechanical design program and cost estimate (RDC-to-RDC).msg", "Mechanical design program and cost estimate")</f>
        <v>Mechanical design program and cost estimate</v>
      </c>
      <c r="K775" s="25" t="s">
        <v>1243</v>
      </c>
      <c r="L775" s="19"/>
      <c r="M775" s="20"/>
      <c r="N775" s="21" t="s">
        <v>2958</v>
      </c>
    </row>
    <row r="776" spans="1:14">
      <c r="A776" s="12" t="s">
        <v>1818</v>
      </c>
      <c r="B776" s="13" t="s">
        <v>718</v>
      </c>
      <c r="C776" s="14" t="s">
        <v>1181</v>
      </c>
      <c r="D776" s="15">
        <v>42118.367569444446</v>
      </c>
      <c r="E776" s="16" t="s">
        <v>16</v>
      </c>
      <c r="F776" s="16" t="s">
        <v>16</v>
      </c>
      <c r="G776" s="17" t="s">
        <v>1932</v>
      </c>
      <c r="H776" s="17" t="s">
        <v>2959</v>
      </c>
      <c r="I776" s="13" t="s">
        <v>2960</v>
      </c>
      <c r="J776" s="23" t="str">
        <f>HYPERLINK("CorLog\ZMB\Mwinilunga RTO\20150424 ZMB Mwinilunga RTO Conceptual plan (RDC-to-RDC).msg", "Conceptual plan")</f>
        <v>Conceptual plan</v>
      </c>
      <c r="K776" s="25" t="s">
        <v>1211</v>
      </c>
      <c r="L776" s="19"/>
      <c r="M776" s="20"/>
      <c r="N776" s="21" t="s">
        <v>2961</v>
      </c>
    </row>
    <row r="777" spans="1:14">
      <c r="A777" s="12" t="s">
        <v>756</v>
      </c>
      <c r="B777" s="13" t="s">
        <v>723</v>
      </c>
      <c r="C777" s="14" t="s">
        <v>718</v>
      </c>
      <c r="D777" s="15">
        <v>42118.332060185188</v>
      </c>
      <c r="E777" s="16" t="s">
        <v>16</v>
      </c>
      <c r="F777" s="16" t="s">
        <v>16</v>
      </c>
      <c r="G777" s="17" t="s">
        <v>730</v>
      </c>
      <c r="H777" s="17" t="s">
        <v>731</v>
      </c>
      <c r="I777" s="13" t="s">
        <v>2962</v>
      </c>
      <c r="J777" s="23" t="str">
        <f>HYPERLINK("CorLog\GHA\Baatsona SKE\20150424 GHA Baatsona SKE DC-41 -1 RESUBMITTAL; REVISED 23 4 2015 (RDC-to-RDC).msg", "DC-41 -1 RESUBMITTAL; REVISED 23 4 2015")</f>
        <v>DC-41 -1 RESUBMITTAL; REVISED 23 4 2015</v>
      </c>
      <c r="K777" s="25" t="s">
        <v>1499</v>
      </c>
      <c r="L777" s="19"/>
      <c r="M777" s="20"/>
      <c r="N777" s="21" t="s">
        <v>2963</v>
      </c>
    </row>
    <row r="778" spans="1:14">
      <c r="A778" s="12" t="s">
        <v>817</v>
      </c>
      <c r="B778" s="13"/>
      <c r="C778" s="14"/>
      <c r="D778" s="15">
        <v>42118</v>
      </c>
      <c r="E778" s="16" t="s">
        <v>19</v>
      </c>
      <c r="F778" s="16" t="s">
        <v>15</v>
      </c>
      <c r="G778" s="17" t="s">
        <v>1314</v>
      </c>
      <c r="H778" s="17" t="s">
        <v>1178</v>
      </c>
      <c r="I778" s="13" t="s">
        <v>2964</v>
      </c>
      <c r="J778" s="23" t="str">
        <f>HYPERLINK("CorLog\AGO\LDC\20150424 AGO LDC Viana Assembly Hall Power Supply (AGO-to-ZAF).docx", "Viana Assembly Hall Power Supply")</f>
        <v>Viana Assembly Hall Power Supply</v>
      </c>
      <c r="K778" s="23"/>
      <c r="L778" s="19"/>
      <c r="M778" s="20"/>
      <c r="N778" s="21" t="s">
        <v>2965</v>
      </c>
    </row>
    <row r="779" spans="1:14">
      <c r="A779" s="12" t="s">
        <v>1043</v>
      </c>
      <c r="B779" s="13"/>
      <c r="C779" s="14"/>
      <c r="D779" s="15">
        <v>42118</v>
      </c>
      <c r="E779" s="16" t="s">
        <v>25</v>
      </c>
      <c r="F779" s="16" t="s">
        <v>21</v>
      </c>
      <c r="G779" s="17" t="s">
        <v>880</v>
      </c>
      <c r="H779" s="17" t="s">
        <v>2029</v>
      </c>
      <c r="I779" s="13" t="s">
        <v>2966</v>
      </c>
      <c r="J779" s="23" t="str">
        <f>HYPERLINK("CorLog\GHA\Kumasi RTO\20150424 GHA Kumasi RTO DC-41 PROP No 1 (Twi) (USD 800,000) (WHQ-to-GHA).docx", "DC-41 PROP No 1 (Twi) (USD 800,000)")</f>
        <v>DC-41 PROP No 1 (Twi) (USD 800,000)</v>
      </c>
      <c r="K779" s="23"/>
      <c r="L779" s="19"/>
      <c r="M779" s="20"/>
      <c r="N779" s="21" t="s">
        <v>2967</v>
      </c>
    </row>
    <row r="780" spans="1:14">
      <c r="A780" s="12" t="s">
        <v>1043</v>
      </c>
      <c r="B780" s="13"/>
      <c r="C780" s="14"/>
      <c r="D780" s="15">
        <v>42118</v>
      </c>
      <c r="E780" s="16" t="s">
        <v>25</v>
      </c>
      <c r="F780" s="16" t="s">
        <v>21</v>
      </c>
      <c r="G780" s="17" t="s">
        <v>880</v>
      </c>
      <c r="H780" s="17" t="s">
        <v>2029</v>
      </c>
      <c r="I780" s="13" t="s">
        <v>2968</v>
      </c>
      <c r="J780" s="23" t="str">
        <f>HYPERLINK("CorLog\GHA\Kumasi RTO\20150424 GHA Kumasi RTO DC-41 No 1 (Twi) (USD 595,317) (WHQ-to-GHA).docx", "DC-41 No 1 (Twi) (USD 595,317)")</f>
        <v>DC-41 No 1 (Twi) (USD 595,317)</v>
      </c>
      <c r="K780" s="23"/>
      <c r="L780" s="19"/>
      <c r="M780" s="20"/>
      <c r="N780" s="21" t="s">
        <v>2969</v>
      </c>
    </row>
    <row r="781" spans="1:14">
      <c r="A781" s="12" t="s">
        <v>821</v>
      </c>
      <c r="B781" s="13" t="s">
        <v>827</v>
      </c>
      <c r="C781" s="14" t="s">
        <v>2970</v>
      </c>
      <c r="D781" s="15">
        <v>42117.769884259258</v>
      </c>
      <c r="E781" s="16" t="s">
        <v>21</v>
      </c>
      <c r="F781" s="16" t="s">
        <v>21</v>
      </c>
      <c r="G781" s="17" t="s">
        <v>790</v>
      </c>
      <c r="H781" s="17" t="s">
        <v>2895</v>
      </c>
      <c r="I781" s="13" t="s">
        <v>2971</v>
      </c>
      <c r="J781" s="23" t="str">
        <f>HYPERLINK("CorLog\GHA\BEX\20150423 GHA BEX Bethel Frontage - Chain link fence (GHA-to-GHA).msg", "Bethel Frontage - Chain link fence")</f>
        <v>Bethel Frontage - Chain link fence</v>
      </c>
      <c r="K781" s="25"/>
      <c r="L781" s="19"/>
      <c r="M781" s="20"/>
      <c r="N781" s="21" t="s">
        <v>2972</v>
      </c>
    </row>
    <row r="782" spans="1:14">
      <c r="A782" s="12" t="s">
        <v>837</v>
      </c>
      <c r="B782" s="13" t="s">
        <v>750</v>
      </c>
      <c r="C782" s="14" t="s">
        <v>2973</v>
      </c>
      <c r="D782" s="15">
        <v>42117.704212962963</v>
      </c>
      <c r="E782" s="16" t="s">
        <v>18</v>
      </c>
      <c r="F782" s="16" t="s">
        <v>16</v>
      </c>
      <c r="G782" s="17" t="s">
        <v>838</v>
      </c>
      <c r="H782" s="17" t="s">
        <v>851</v>
      </c>
      <c r="I782" s="13" t="s">
        <v>2974</v>
      </c>
      <c r="J782" s="23" t="str">
        <f>HYPERLINK("CorLog\ZMB\Choma RTO\20150423 ZMB Choma RTO DCP Results - 21 April, 2015 RESIDENCE (ZMB-to-RDC).msg", "DCP Results - 21 April, 2015 RESIDENCE")</f>
        <v>DCP Results - 21 April, 2015 RESIDENCE</v>
      </c>
      <c r="K782" s="25" t="s">
        <v>1243</v>
      </c>
      <c r="L782" s="19"/>
      <c r="M782" s="20"/>
      <c r="N782" s="21" t="s">
        <v>2975</v>
      </c>
    </row>
    <row r="783" spans="1:14">
      <c r="A783" s="12" t="s">
        <v>757</v>
      </c>
      <c r="B783" s="13" t="s">
        <v>750</v>
      </c>
      <c r="C783" s="14" t="s">
        <v>2886</v>
      </c>
      <c r="D783" s="15">
        <v>42117.688738425924</v>
      </c>
      <c r="E783" s="16" t="s">
        <v>21</v>
      </c>
      <c r="F783" s="16" t="s">
        <v>16</v>
      </c>
      <c r="G783" s="17" t="s">
        <v>857</v>
      </c>
      <c r="H783" s="17" t="s">
        <v>2976</v>
      </c>
      <c r="I783" s="13" t="s">
        <v>2977</v>
      </c>
      <c r="J783" s="23" t="str">
        <f>HYPERLINK("CorLog\GHA\Kikam RTO\20150423 GHA Kikam RTO Building Permit Drawings (PDF) (GHA-to-RDC).msg", "Building Permit Drawings (PDF)")</f>
        <v>Building Permit Drawings (PDF)</v>
      </c>
      <c r="K783" s="25"/>
      <c r="L783" s="19"/>
      <c r="M783" s="20"/>
      <c r="N783" s="21" t="s">
        <v>2978</v>
      </c>
    </row>
    <row r="784" spans="1:14">
      <c r="A784" s="12" t="s">
        <v>2979</v>
      </c>
      <c r="B784" s="13" t="s">
        <v>718</v>
      </c>
      <c r="C784" s="14" t="s">
        <v>2980</v>
      </c>
      <c r="D784" s="15">
        <v>42117.576898148145</v>
      </c>
      <c r="E784" s="16" t="s">
        <v>18</v>
      </c>
      <c r="F784" s="16" t="s">
        <v>16</v>
      </c>
      <c r="G784" s="17" t="s">
        <v>838</v>
      </c>
      <c r="H784" s="17" t="s">
        <v>851</v>
      </c>
      <c r="I784" s="13" t="s">
        <v>2981</v>
      </c>
      <c r="J784" s="23" t="str">
        <f>HYPERLINK("CorLog\ZMB\Choma RTO\20150423 ZMB Choma RTO DCP Results - 21 April, 2015 (ZMB-to-RDC).msg", "DCP Results - 21 April, 2015")</f>
        <v>DCP Results - 21 April, 2015</v>
      </c>
      <c r="K784" s="25" t="s">
        <v>1270</v>
      </c>
      <c r="L784" s="19"/>
      <c r="M784" s="20"/>
      <c r="N784" s="21" t="s">
        <v>2982</v>
      </c>
    </row>
    <row r="785" spans="1:14">
      <c r="A785" s="12" t="s">
        <v>827</v>
      </c>
      <c r="B785" s="13" t="s">
        <v>718</v>
      </c>
      <c r="C785" s="14" t="s">
        <v>2983</v>
      </c>
      <c r="D785" s="15">
        <v>42117.546782407408</v>
      </c>
      <c r="E785" s="16" t="s">
        <v>21</v>
      </c>
      <c r="F785" s="16" t="s">
        <v>16</v>
      </c>
      <c r="G785" s="17" t="s">
        <v>730</v>
      </c>
      <c r="H785" s="17" t="s">
        <v>1066</v>
      </c>
      <c r="I785" s="13" t="s">
        <v>2984</v>
      </c>
      <c r="J785" s="23" t="str">
        <f>HYPERLINK("CorLog\GHA\Baatsona SKE\20150423 GHA Baatsona SKE Obtaining Building Permit (GHA-to-RDC).msg", "Obtaining Building Permit")</f>
        <v>Obtaining Building Permit</v>
      </c>
      <c r="K785" s="25"/>
      <c r="L785" s="19"/>
      <c r="M785" s="20"/>
      <c r="N785" s="21" t="s">
        <v>2985</v>
      </c>
    </row>
    <row r="786" spans="1:14">
      <c r="A786" s="12" t="s">
        <v>827</v>
      </c>
      <c r="B786" s="13" t="s">
        <v>718</v>
      </c>
      <c r="C786" s="14" t="s">
        <v>2986</v>
      </c>
      <c r="D786" s="15">
        <v>42117.543206018519</v>
      </c>
      <c r="E786" s="16" t="s">
        <v>21</v>
      </c>
      <c r="F786" s="16" t="s">
        <v>16</v>
      </c>
      <c r="G786" s="17" t="s">
        <v>730</v>
      </c>
      <c r="H786" s="17" t="s">
        <v>731</v>
      </c>
      <c r="I786" s="13" t="s">
        <v>2962</v>
      </c>
      <c r="J786" s="23" t="str">
        <f>HYPERLINK("CorLog\GHA\Baatsona SKE\20150423 GHA Baatsona SKE DC-41 -1 RESUBMITTAL; REVISED 23 4 2015 (GHA-to-RDC).msg", "DC-41 -1 RESUBMITTAL; REVISED 23 4 2015")</f>
        <v>DC-41 -1 RESUBMITTAL; REVISED 23 4 2015</v>
      </c>
      <c r="K786" s="25" t="s">
        <v>1499</v>
      </c>
      <c r="L786" s="19"/>
      <c r="M786" s="20"/>
      <c r="N786" s="21" t="s">
        <v>2987</v>
      </c>
    </row>
    <row r="787" spans="1:14">
      <c r="A787" s="12" t="s">
        <v>811</v>
      </c>
      <c r="B787" s="13" t="s">
        <v>749</v>
      </c>
      <c r="C787" s="14" t="s">
        <v>2988</v>
      </c>
      <c r="D787" s="15">
        <v>42117.491377314815</v>
      </c>
      <c r="E787" s="16" t="s">
        <v>23</v>
      </c>
      <c r="F787" s="16" t="s">
        <v>16</v>
      </c>
      <c r="G787" s="17" t="s">
        <v>802</v>
      </c>
      <c r="H787" s="17" t="s">
        <v>759</v>
      </c>
      <c r="I787" s="13" t="s">
        <v>2989</v>
      </c>
      <c r="J787" s="18" t="str">
        <f>HYPERLINK("CorLog\ZWE\Bulawayo RTO\20150423 ZWE Bulawayo RTO Dish Washer Requirement (ZWE-to-RDC).msg", "Dish Washer Requirement")</f>
        <v>Dish Washer Requirement</v>
      </c>
      <c r="K787" s="22"/>
      <c r="L787" s="19"/>
      <c r="M787" s="20"/>
      <c r="N787" s="21" t="s">
        <v>2990</v>
      </c>
    </row>
    <row r="788" spans="1:14">
      <c r="A788" s="12" t="s">
        <v>750</v>
      </c>
      <c r="B788" s="13" t="s">
        <v>757</v>
      </c>
      <c r="C788" s="14" t="s">
        <v>2991</v>
      </c>
      <c r="D788" s="15">
        <v>42117.462488425925</v>
      </c>
      <c r="E788" s="16" t="s">
        <v>16</v>
      </c>
      <c r="F788" s="16" t="s">
        <v>21</v>
      </c>
      <c r="G788" s="17" t="s">
        <v>758</v>
      </c>
      <c r="H788" s="17" t="s">
        <v>851</v>
      </c>
      <c r="I788" s="13" t="s">
        <v>2992</v>
      </c>
      <c r="J788" s="23" t="str">
        <f>HYPERLINK("CorLog\GHA\Viepe RTO\20150423 GHA Viepe RTO DCP Tests Office Building FOOTING 2015-04-22 (RDC-to-GHA).msg", "DCP Tests Office Building FOOTING 2015-04-22")</f>
        <v>DCP Tests Office Building FOOTING 2015-04-22</v>
      </c>
      <c r="K788" s="25" t="s">
        <v>1270</v>
      </c>
      <c r="L788" s="19"/>
      <c r="M788" s="20"/>
      <c r="N788" s="21" t="s">
        <v>2993</v>
      </c>
    </row>
    <row r="789" spans="1:14">
      <c r="A789" s="12" t="s">
        <v>965</v>
      </c>
      <c r="B789" s="13" t="s">
        <v>717</v>
      </c>
      <c r="C789" s="14" t="s">
        <v>2994</v>
      </c>
      <c r="D789" s="15">
        <v>42117.460914351854</v>
      </c>
      <c r="E789" s="16" t="s">
        <v>16</v>
      </c>
      <c r="F789" s="16" t="s">
        <v>16</v>
      </c>
      <c r="G789" s="17" t="s">
        <v>1344</v>
      </c>
      <c r="H789" s="17" t="s">
        <v>2995</v>
      </c>
      <c r="I789" s="13" t="s">
        <v>2996</v>
      </c>
      <c r="J789" s="23" t="str">
        <f>HYPERLINK("CorLog\CMR\Branch\20150423 CMR Branch New Branch BIO systems - Tanzania version ZY849 (RDC-to-RDC).msg", "New Branch BIO systems - Tanzania version ZY849")</f>
        <v>New Branch BIO systems - Tanzania version ZY849</v>
      </c>
      <c r="K789" s="25"/>
      <c r="L789" s="19"/>
      <c r="M789" s="20"/>
      <c r="N789" s="21" t="s">
        <v>2997</v>
      </c>
    </row>
    <row r="790" spans="1:14">
      <c r="A790" s="12" t="s">
        <v>749</v>
      </c>
      <c r="B790" s="13" t="s">
        <v>724</v>
      </c>
      <c r="C790" s="14" t="s">
        <v>2998</v>
      </c>
      <c r="D790" s="15">
        <v>42117.393275462964</v>
      </c>
      <c r="E790" s="16" t="s">
        <v>16</v>
      </c>
      <c r="F790" s="16" t="s">
        <v>16</v>
      </c>
      <c r="G790" s="17" t="s">
        <v>1544</v>
      </c>
      <c r="H790" s="17" t="s">
        <v>1544</v>
      </c>
      <c r="I790" s="13" t="s">
        <v>2999</v>
      </c>
      <c r="J790" s="23" t="str">
        <f>HYPERLINK("CorLog\SALTO\20150423 SALTO 2015-04-23 Salto wireless NOT LOOKING GOOD (RDC-to-RDC).msg", "2015-04-23 Salto wireless NOT LOOKING GOOD")</f>
        <v>2015-04-23 Salto wireless NOT LOOKING GOOD</v>
      </c>
      <c r="K790" s="25"/>
      <c r="L790" s="19"/>
      <c r="M790" s="20"/>
      <c r="N790" s="21" t="s">
        <v>3000</v>
      </c>
    </row>
    <row r="791" spans="1:14">
      <c r="A791" s="12" t="s">
        <v>771</v>
      </c>
      <c r="B791" s="13" t="s">
        <v>750</v>
      </c>
      <c r="C791" s="14" t="s">
        <v>2616</v>
      </c>
      <c r="D791" s="15">
        <v>42117.128645833334</v>
      </c>
      <c r="E791" s="16" t="s">
        <v>17</v>
      </c>
      <c r="F791" s="16" t="s">
        <v>16</v>
      </c>
      <c r="G791" s="17" t="s">
        <v>790</v>
      </c>
      <c r="H791" s="17" t="s">
        <v>2774</v>
      </c>
      <c r="I791" s="13" t="s">
        <v>3001</v>
      </c>
      <c r="J791" s="23" t="str">
        <f>HYPERLINK("CorLog\GHA\BEX\20150423 GHA BEX Memo Standard Finishes--Bethel Res Rooms (WDC-to-RDC).msg", "Memo Standard Finishes--Bethel Res Rooms")</f>
        <v>Memo Standard Finishes--Bethel Res Rooms</v>
      </c>
      <c r="K791" s="25" t="s">
        <v>1211</v>
      </c>
      <c r="L791" s="19"/>
      <c r="M791" s="20"/>
      <c r="N791" s="21" t="s">
        <v>3002</v>
      </c>
    </row>
    <row r="792" spans="1:14">
      <c r="A792" s="12" t="s">
        <v>817</v>
      </c>
      <c r="B792" s="13"/>
      <c r="C792" s="14"/>
      <c r="D792" s="15">
        <v>42117</v>
      </c>
      <c r="E792" s="16" t="s">
        <v>15</v>
      </c>
      <c r="F792" s="16" t="s">
        <v>14</v>
      </c>
      <c r="G792" s="17" t="s">
        <v>1320</v>
      </c>
      <c r="H792" s="17" t="s">
        <v>995</v>
      </c>
      <c r="I792" s="13" t="s">
        <v>3003</v>
      </c>
      <c r="J792" s="23" t="str">
        <f>HYPERLINK("CorLog\MDG\LDC\20150423 MDG LDC Projects Overseer Report (ZAF-to-MDG).docx", "Projects Overseer Report")</f>
        <v>Projects Overseer Report</v>
      </c>
      <c r="K792" s="23" t="str">
        <f>HYPERLINK("CorLog\MDG\LDC\20150423 MDG LDC Projects Overseer Report (ZAF-to-MDG).zip", "Zipped")</f>
        <v>Zipped</v>
      </c>
      <c r="L792" s="19"/>
      <c r="M792" s="20"/>
      <c r="N792" s="21" t="s">
        <v>3004</v>
      </c>
    </row>
    <row r="793" spans="1:14">
      <c r="A793" s="12" t="s">
        <v>3005</v>
      </c>
      <c r="B793" s="13"/>
      <c r="C793" s="14"/>
      <c r="D793" s="15">
        <v>42117</v>
      </c>
      <c r="E793" s="16" t="s">
        <v>15</v>
      </c>
      <c r="F793" s="16" t="s">
        <v>22</v>
      </c>
      <c r="G793" s="17" t="s">
        <v>913</v>
      </c>
      <c r="H793" s="17" t="s">
        <v>984</v>
      </c>
      <c r="I793" s="13" t="s">
        <v>3006</v>
      </c>
      <c r="J793" s="23" t="str">
        <f>HYPERLINK("CorLog\COD\Branch\20150423 COD Branch Roof repairs, leaking (ZAF-to-COD).docx", "Roof repairs, leaking")</f>
        <v>Roof repairs, leaking</v>
      </c>
      <c r="K793" s="23"/>
      <c r="L793" s="19"/>
      <c r="M793" s="20"/>
      <c r="N793" s="21" t="s">
        <v>3007</v>
      </c>
    </row>
    <row r="794" spans="1:14">
      <c r="A794" s="12" t="s">
        <v>964</v>
      </c>
      <c r="B794" s="13" t="s">
        <v>827</v>
      </c>
      <c r="C794" s="14" t="s">
        <v>3008</v>
      </c>
      <c r="D794" s="15">
        <v>42116.921307870369</v>
      </c>
      <c r="E794" s="16" t="s">
        <v>16</v>
      </c>
      <c r="F794" s="16" t="s">
        <v>21</v>
      </c>
      <c r="G794" s="17" t="s">
        <v>790</v>
      </c>
      <c r="H794" s="17" t="s">
        <v>3009</v>
      </c>
      <c r="I794" s="13" t="s">
        <v>3010</v>
      </c>
      <c r="J794" s="23" t="str">
        <f>HYPERLINK("CorLog\GHA\BEX\20150422 GHA BEX Power House Commissioning (RDC-to-GHA).msg", "Power House Commissioning")</f>
        <v>Power House Commissioning</v>
      </c>
      <c r="K794" s="25" t="s">
        <v>1211</v>
      </c>
      <c r="L794" s="19"/>
      <c r="M794" s="20"/>
      <c r="N794" s="21" t="s">
        <v>3011</v>
      </c>
    </row>
    <row r="795" spans="1:14">
      <c r="A795" s="12" t="s">
        <v>2872</v>
      </c>
      <c r="B795" s="13" t="s">
        <v>717</v>
      </c>
      <c r="C795" s="14" t="s">
        <v>3012</v>
      </c>
      <c r="D795" s="15">
        <v>42116.791886574072</v>
      </c>
      <c r="E795" s="16" t="s">
        <v>17</v>
      </c>
      <c r="F795" s="16" t="s">
        <v>16</v>
      </c>
      <c r="G795" s="17" t="s">
        <v>28</v>
      </c>
      <c r="H795" s="17" t="s">
        <v>1858</v>
      </c>
      <c r="I795" s="13" t="s">
        <v>3013</v>
      </c>
      <c r="J795" s="18" t="str">
        <f>HYPERLINK("CorLog\LDC\20150422 LDC Passive ventilation in Standard Kingdom Hall design - in Africa (WDC-to-RDC).msg", "Passive ventilation in Standard Kingdom Hall design - in Africa")</f>
        <v>Passive ventilation in Standard Kingdom Hall design - in Africa</v>
      </c>
      <c r="K795" s="22" t="s">
        <v>721</v>
      </c>
      <c r="L795" s="19"/>
      <c r="M795" s="20"/>
      <c r="N795" s="21" t="s">
        <v>3014</v>
      </c>
    </row>
    <row r="796" spans="1:14">
      <c r="A796" s="12" t="s">
        <v>1160</v>
      </c>
      <c r="B796" s="13" t="s">
        <v>742</v>
      </c>
      <c r="C796" s="14" t="s">
        <v>3015</v>
      </c>
      <c r="D796" s="15">
        <v>42116.697893518518</v>
      </c>
      <c r="E796" s="16" t="s">
        <v>20</v>
      </c>
      <c r="F796" s="16" t="s">
        <v>16</v>
      </c>
      <c r="G796" s="17" t="s">
        <v>30</v>
      </c>
      <c r="H796" s="17" t="s">
        <v>1858</v>
      </c>
      <c r="I796" s="13" t="s">
        <v>3016</v>
      </c>
      <c r="J796" s="23" t="str">
        <f>HYPERLINK("CorLog\ALL\20150422 ALL Standard Kingdom Hall Design - in Africa (Heating and Cooling) (MOZ-to-).msg", "Standard Kingdom Hall Design - in Africa (Heating and Cooling)")</f>
        <v>Standard Kingdom Hall Design - in Africa (Heating and Cooling)</v>
      </c>
      <c r="K796" s="25" t="s">
        <v>1211</v>
      </c>
      <c r="L796" s="19"/>
      <c r="M796" s="20"/>
      <c r="N796" s="21" t="s">
        <v>3017</v>
      </c>
    </row>
    <row r="797" spans="1:14">
      <c r="A797" s="12" t="s">
        <v>964</v>
      </c>
      <c r="B797" s="13" t="s">
        <v>827</v>
      </c>
      <c r="C797" s="14" t="s">
        <v>3018</v>
      </c>
      <c r="D797" s="15">
        <v>42116.610729166663</v>
      </c>
      <c r="E797" s="16" t="s">
        <v>16</v>
      </c>
      <c r="F797" s="16" t="s">
        <v>21</v>
      </c>
      <c r="G797" s="17" t="s">
        <v>790</v>
      </c>
      <c r="H797" s="17" t="s">
        <v>791</v>
      </c>
      <c r="I797" s="13" t="s">
        <v>3019</v>
      </c>
      <c r="J797" s="23" t="str">
        <f>HYPERLINK("CorLog\GHA\BEX\20150422 GHA BEX Commissioning Queries on LYNC (RDC-to-GHA).msg", "Commissioning Queries on LYNC")</f>
        <v>Commissioning Queries on LYNC</v>
      </c>
      <c r="K797" s="25" t="s">
        <v>1243</v>
      </c>
      <c r="L797" s="19"/>
      <c r="M797" s="20"/>
      <c r="N797" s="21" t="s">
        <v>3020</v>
      </c>
    </row>
    <row r="798" spans="1:14">
      <c r="A798" s="12" t="s">
        <v>1337</v>
      </c>
      <c r="B798" s="13" t="s">
        <v>718</v>
      </c>
      <c r="C798" s="14" t="s">
        <v>3021</v>
      </c>
      <c r="D798" s="15">
        <v>42116.433287037034</v>
      </c>
      <c r="E798" s="16" t="s">
        <v>18</v>
      </c>
      <c r="F798" s="16" t="s">
        <v>16</v>
      </c>
      <c r="G798" s="17" t="s">
        <v>885</v>
      </c>
      <c r="H798" s="17" t="s">
        <v>3022</v>
      </c>
      <c r="I798" s="13" t="s">
        <v>3023</v>
      </c>
      <c r="J798" s="23" t="str">
        <f>HYPERLINK("CorLog\ZMB\Kabompo RTO\20150422 ZMB Kabompo RTO The case of the mysterious Missing Light poles (ZMB-to-RDC).msg", "The case of the mysterious Missing Light poles")</f>
        <v>The case of the mysterious Missing Light poles</v>
      </c>
      <c r="K798" s="25" t="s">
        <v>1211</v>
      </c>
      <c r="L798" s="19"/>
      <c r="M798" s="20"/>
      <c r="N798" s="21" t="s">
        <v>3024</v>
      </c>
    </row>
    <row r="799" spans="1:14">
      <c r="A799" s="12" t="s">
        <v>2016</v>
      </c>
      <c r="B799" s="13" t="s">
        <v>771</v>
      </c>
      <c r="C799" s="14" t="s">
        <v>3025</v>
      </c>
      <c r="D799" s="15">
        <v>42116.086805555555</v>
      </c>
      <c r="E799" s="16" t="s">
        <v>16</v>
      </c>
      <c r="F799" s="16" t="s">
        <v>17</v>
      </c>
      <c r="G799" s="17" t="s">
        <v>1432</v>
      </c>
      <c r="H799" s="17" t="s">
        <v>3026</v>
      </c>
      <c r="I799" s="13" t="s">
        <v>3027</v>
      </c>
      <c r="J799" s="23" t="str">
        <f>HYPERLINK("CorLog\COD\LDC\20150422 COD LDC Brazzaville MH Request for direction (RDC-to-WDC).msg", "Brazzaville MH Request for direction")</f>
        <v>Brazzaville MH Request for direction</v>
      </c>
      <c r="K799" s="25" t="s">
        <v>2761</v>
      </c>
      <c r="L799" s="19"/>
      <c r="M799" s="20"/>
      <c r="N799" s="21" t="s">
        <v>3028</v>
      </c>
    </row>
    <row r="800" spans="1:14">
      <c r="A800" s="12" t="s">
        <v>2101</v>
      </c>
      <c r="B800" s="13"/>
      <c r="C800" s="14"/>
      <c r="D800" s="15">
        <v>42116</v>
      </c>
      <c r="E800" s="16" t="s">
        <v>15</v>
      </c>
      <c r="F800" s="16" t="s">
        <v>30</v>
      </c>
      <c r="G800" s="17" t="s">
        <v>28</v>
      </c>
      <c r="H800" s="17" t="s">
        <v>3029</v>
      </c>
      <c r="I800" s="13" t="s">
        <v>3030</v>
      </c>
      <c r="J800" s="23" t="str">
        <f>HYPERLINK("CorLog\LDC\20150422 LDC LDC Operations and Maintenance Desk (ZAF-to-ALL).docx", "LDC Operations and Maintenance Desk")</f>
        <v>LDC Operations and Maintenance Desk</v>
      </c>
      <c r="K800" s="23"/>
      <c r="L800" s="19"/>
      <c r="M800" s="20"/>
      <c r="N800" s="21" t="s">
        <v>3031</v>
      </c>
    </row>
    <row r="801" spans="1:14">
      <c r="A801" s="12" t="s">
        <v>1043</v>
      </c>
      <c r="B801" s="13"/>
      <c r="C801" s="14"/>
      <c r="D801" s="15">
        <v>42116</v>
      </c>
      <c r="E801" s="16" t="s">
        <v>25</v>
      </c>
      <c r="F801" s="16" t="s">
        <v>23</v>
      </c>
      <c r="G801" s="17" t="s">
        <v>1752</v>
      </c>
      <c r="H801" s="17" t="s">
        <v>2029</v>
      </c>
      <c r="I801" s="13" t="s">
        <v>3032</v>
      </c>
      <c r="J801" s="23" t="str">
        <f>HYPERLINK("CorLog\ZWE\Chiredzi RTO\20150422 ZWE Chiredzi RTO DC-41 No 1 Zimbabwe Chiredzi RTO (USD 38,539) (WHQ-to-ZWE).docx", "DC-41 No 1 Zimbabwe Chiredzi RTO (USD 38,539)")</f>
        <v>DC-41 No 1 Zimbabwe Chiredzi RTO (USD 38,539)</v>
      </c>
      <c r="K801" s="23"/>
      <c r="L801" s="19"/>
      <c r="M801" s="20"/>
      <c r="N801" s="21" t="s">
        <v>3033</v>
      </c>
    </row>
    <row r="802" spans="1:14">
      <c r="A802" s="12" t="s">
        <v>874</v>
      </c>
      <c r="B802" s="13"/>
      <c r="C802" s="14"/>
      <c r="D802" s="15">
        <v>42116</v>
      </c>
      <c r="E802" s="16" t="s">
        <v>25</v>
      </c>
      <c r="F802" s="16" t="s">
        <v>34</v>
      </c>
      <c r="G802" s="17" t="s">
        <v>719</v>
      </c>
      <c r="H802" s="17" t="s">
        <v>3034</v>
      </c>
      <c r="I802" s="13" t="s">
        <v>3035</v>
      </c>
      <c r="J802" s="23" t="str">
        <f>HYPERLINK("CorLog\Reference\20150422 Reference Use of Congregation-Owned Property (WHQ-to-MWI).doc", "Use of Congregation-Owned Property")</f>
        <v>Use of Congregation-Owned Property</v>
      </c>
      <c r="K802" s="23"/>
      <c r="L802" s="19"/>
      <c r="M802" s="20"/>
      <c r="N802" s="21" t="s">
        <v>3036</v>
      </c>
    </row>
    <row r="803" spans="1:14">
      <c r="A803" s="12" t="s">
        <v>874</v>
      </c>
      <c r="B803" s="13"/>
      <c r="C803" s="14"/>
      <c r="D803" s="15">
        <v>42116</v>
      </c>
      <c r="E803" s="16" t="s">
        <v>25</v>
      </c>
      <c r="F803" s="16" t="s">
        <v>21</v>
      </c>
      <c r="G803" s="17" t="s">
        <v>880</v>
      </c>
      <c r="H803" s="17" t="s">
        <v>1015</v>
      </c>
      <c r="I803" s="13" t="s">
        <v>3037</v>
      </c>
      <c r="J803" s="23" t="str">
        <f>HYPERLINK("CorLog\GHA\Kumasi RTO\20150422 GHA Kumasi RTO Proposed Purchase for Kumasi (Twi) Remote Translation Office (WHQ-to-GHA).doc", "Proposed Purchase for Kumasi (Twi) Remote Translation Office")</f>
        <v>Proposed Purchase for Kumasi (Twi) Remote Translation Office</v>
      </c>
      <c r="K803" s="23"/>
      <c r="L803" s="19" t="s">
        <v>3038</v>
      </c>
      <c r="M803" s="20"/>
      <c r="N803" s="21" t="s">
        <v>3039</v>
      </c>
    </row>
    <row r="804" spans="1:14">
      <c r="A804" s="12" t="s">
        <v>750</v>
      </c>
      <c r="B804" s="13" t="s">
        <v>718</v>
      </c>
      <c r="C804" s="14"/>
      <c r="D804" s="15">
        <v>42115.719293981485</v>
      </c>
      <c r="E804" s="16" t="s">
        <v>16</v>
      </c>
      <c r="F804" s="16" t="s">
        <v>16</v>
      </c>
      <c r="G804" s="17" t="s">
        <v>738</v>
      </c>
      <c r="H804" s="17" t="s">
        <v>1195</v>
      </c>
      <c r="I804" s="13" t="s">
        <v>3040</v>
      </c>
      <c r="J804" s="23" t="str">
        <f>HYPERLINK("CorLog\GHA\BEX 2\20150421 GHA BEX 2 Conceptual Design Review (RDC-to-RDC).msg", "Conceptual Design Review")</f>
        <v>Conceptual Design Review</v>
      </c>
      <c r="K804" s="25"/>
      <c r="L804" s="19"/>
      <c r="M804" s="20"/>
      <c r="N804" s="21" t="s">
        <v>3041</v>
      </c>
    </row>
    <row r="805" spans="1:14">
      <c r="A805" s="12" t="s">
        <v>750</v>
      </c>
      <c r="B805" s="13" t="s">
        <v>718</v>
      </c>
      <c r="C805" s="14" t="s">
        <v>742</v>
      </c>
      <c r="D805" s="15">
        <v>42115.717395833337</v>
      </c>
      <c r="E805" s="16" t="s">
        <v>16</v>
      </c>
      <c r="F805" s="16" t="s">
        <v>16</v>
      </c>
      <c r="G805" s="17" t="s">
        <v>738</v>
      </c>
      <c r="H805" s="17" t="s">
        <v>759</v>
      </c>
      <c r="I805" s="13" t="s">
        <v>3042</v>
      </c>
      <c r="J805" s="23" t="str">
        <f>HYPERLINK("CorLog\GHA\BEX 2\20150421 GHA BEX 2 Review of Open Channel Concept Design (PDFs) (RDC-to-RDC).msg", "Review of Open Channel Concept Design (PDFs)")</f>
        <v>Review of Open Channel Concept Design (PDFs)</v>
      </c>
      <c r="K805" s="25" t="s">
        <v>1243</v>
      </c>
      <c r="L805" s="19"/>
      <c r="M805" s="20"/>
      <c r="N805" s="21" t="s">
        <v>3043</v>
      </c>
    </row>
    <row r="806" spans="1:14">
      <c r="A806" s="12" t="s">
        <v>750</v>
      </c>
      <c r="B806" s="13" t="s">
        <v>718</v>
      </c>
      <c r="C806" s="14"/>
      <c r="D806" s="15">
        <v>42115.627569444441</v>
      </c>
      <c r="E806" s="16" t="s">
        <v>16</v>
      </c>
      <c r="F806" s="16" t="s">
        <v>16</v>
      </c>
      <c r="G806" s="17" t="s">
        <v>738</v>
      </c>
      <c r="H806" s="17" t="s">
        <v>1846</v>
      </c>
      <c r="I806" s="13" t="s">
        <v>3044</v>
      </c>
      <c r="J806" s="18" t="str">
        <f>HYPERLINK("CorLog\GHA\BEX 2\20150421 GHA BEX 2 Answers needed for phase 2 CDP &amp; design (Answer for Q 1,2,3,4) (RDC-to-RDC).msg", "Answers needed for phase 2 CDP &amp; design (Answer for Q 1,2,3,4)")</f>
        <v>Answers needed for phase 2 CDP &amp; design (Answer for Q 1,2,3,4)</v>
      </c>
      <c r="K806" s="22"/>
      <c r="L806" s="19"/>
      <c r="M806" s="20"/>
      <c r="N806" s="21" t="s">
        <v>3045</v>
      </c>
    </row>
    <row r="807" spans="1:14">
      <c r="A807" s="12" t="s">
        <v>1187</v>
      </c>
      <c r="B807" s="13" t="s">
        <v>750</v>
      </c>
      <c r="C807" s="14" t="s">
        <v>718</v>
      </c>
      <c r="D807" s="15">
        <v>42115.585370370369</v>
      </c>
      <c r="E807" s="16" t="s">
        <v>15</v>
      </c>
      <c r="F807" s="16" t="s">
        <v>16</v>
      </c>
      <c r="G807" s="17" t="s">
        <v>738</v>
      </c>
      <c r="H807" s="17" t="s">
        <v>3046</v>
      </c>
      <c r="I807" s="13" t="s">
        <v>3047</v>
      </c>
      <c r="J807" s="18" t="str">
        <f>HYPERLINK("CorLog\GHA\BEX 2\20150421 GHA BEX 2 WSP SW Quote (Variation 1) (ZAF-to-RDC).msg", "WSP SW Quote (Variation 1)")</f>
        <v>WSP SW Quote (Variation 1)</v>
      </c>
      <c r="K807" s="22"/>
      <c r="L807" s="19"/>
      <c r="M807" s="20"/>
      <c r="N807" s="21" t="s">
        <v>3048</v>
      </c>
    </row>
    <row r="808" spans="1:14">
      <c r="A808" s="12" t="s">
        <v>1818</v>
      </c>
      <c r="B808" s="13" t="s">
        <v>718</v>
      </c>
      <c r="C808" s="14"/>
      <c r="D808" s="15">
        <v>42115.561678240738</v>
      </c>
      <c r="E808" s="16" t="s">
        <v>16</v>
      </c>
      <c r="F808" s="16" t="s">
        <v>16</v>
      </c>
      <c r="G808" s="17" t="s">
        <v>1874</v>
      </c>
      <c r="H808" s="17" t="s">
        <v>1105</v>
      </c>
      <c r="I808" s="13" t="s">
        <v>3049</v>
      </c>
      <c r="J808" s="23" t="str">
        <f>HYPERLINK("CorLog\ZMB\Petauke RTO\20150421 ZMB Petauke RTO Percolation test explanations and locations (RDC-to-RDC).msg", "Percolation test explanations and locations")</f>
        <v>Percolation test explanations and locations</v>
      </c>
      <c r="K808" s="25" t="s">
        <v>1211</v>
      </c>
      <c r="L808" s="19"/>
      <c r="M808" s="20"/>
      <c r="N808" s="21" t="s">
        <v>3050</v>
      </c>
    </row>
    <row r="809" spans="1:14">
      <c r="A809" s="12" t="s">
        <v>750</v>
      </c>
      <c r="B809" s="13" t="s">
        <v>1761</v>
      </c>
      <c r="C809" s="14"/>
      <c r="D809" s="15">
        <v>42115.539097222223</v>
      </c>
      <c r="E809" s="16" t="s">
        <v>16</v>
      </c>
      <c r="F809" s="16" t="s">
        <v>16</v>
      </c>
      <c r="G809" s="17" t="s">
        <v>987</v>
      </c>
      <c r="H809" s="17" t="s">
        <v>3051</v>
      </c>
      <c r="I809" s="13" t="s">
        <v>3052</v>
      </c>
      <c r="J809" s="18" t="str">
        <f>HYPERLINK("CorLog\MOZ\Massinga RTO\20150421 MOZ Massinga RTO May Jehovah be praised! (RDC-to-RDC).msg", "May Jehovah be praised!")</f>
        <v>May Jehovah be praised!</v>
      </c>
      <c r="K809" s="22"/>
      <c r="L809" s="19"/>
      <c r="M809" s="20"/>
      <c r="N809" s="21" t="s">
        <v>3053</v>
      </c>
    </row>
    <row r="810" spans="1:14">
      <c r="A810" s="12" t="s">
        <v>718</v>
      </c>
      <c r="B810" s="13" t="s">
        <v>1529</v>
      </c>
      <c r="C810" s="14" t="s">
        <v>2077</v>
      </c>
      <c r="D810" s="15">
        <v>42115.501388888886</v>
      </c>
      <c r="E810" s="16" t="s">
        <v>16</v>
      </c>
      <c r="F810" s="16" t="s">
        <v>18</v>
      </c>
      <c r="G810" s="17" t="s">
        <v>946</v>
      </c>
      <c r="H810" s="17" t="s">
        <v>829</v>
      </c>
      <c r="I810" s="13" t="s">
        <v>3054</v>
      </c>
      <c r="J810" s="23" t="str">
        <f>HYPERLINK("CorLog\ZMB\Mongu RTO\20150421 ZMB Mongu RTO RDC review of NLBR 11350 FOR SPIRAL DUCT AND 90 DEG ELBOWS 100MM (RDC-to-ZMB).msg", "RDC review of NLBR 11350 FOR SPIRAL DUCT AND 90 DEG ELBOWS 100MM")</f>
        <v>RDC review of NLBR 11350 FOR SPIRAL DUCT AND 90 DEG ELBOWS 100MM</v>
      </c>
      <c r="K810" s="25" t="s">
        <v>1243</v>
      </c>
      <c r="L810" s="19"/>
      <c r="M810" s="20"/>
      <c r="N810" s="21" t="s">
        <v>3055</v>
      </c>
    </row>
    <row r="811" spans="1:14">
      <c r="A811" s="12" t="s">
        <v>718</v>
      </c>
      <c r="B811" s="13" t="s">
        <v>1484</v>
      </c>
      <c r="C811" s="14" t="s">
        <v>3056</v>
      </c>
      <c r="D811" s="15">
        <v>42115.488194444442</v>
      </c>
      <c r="E811" s="16" t="s">
        <v>16</v>
      </c>
      <c r="F811" s="16" t="s">
        <v>18</v>
      </c>
      <c r="G811" s="17" t="s">
        <v>1070</v>
      </c>
      <c r="H811" s="17" t="s">
        <v>1037</v>
      </c>
      <c r="I811" s="13" t="s">
        <v>3057</v>
      </c>
      <c r="J811" s="23" t="str">
        <f>HYPERLINK("CorLog\ZMB\Katete RTO\20150421 ZMB Katete RTO AC unit in the Maintenance, Home Office (YES) (RDC-to-ZMB).msg", "AC unit in the Maintenance, Home Office (YES)")</f>
        <v>AC unit in the Maintenance, Home Office (YES)</v>
      </c>
      <c r="K811" s="25"/>
      <c r="L811" s="19"/>
      <c r="M811" s="20"/>
      <c r="N811" s="21" t="s">
        <v>3058</v>
      </c>
    </row>
    <row r="812" spans="1:14">
      <c r="A812" s="12" t="s">
        <v>1160</v>
      </c>
      <c r="B812" s="13" t="s">
        <v>1761</v>
      </c>
      <c r="C812" s="14"/>
      <c r="D812" s="15">
        <v>42115.426215277781</v>
      </c>
      <c r="E812" s="16" t="s">
        <v>20</v>
      </c>
      <c r="F812" s="16" t="s">
        <v>16</v>
      </c>
      <c r="G812" s="17" t="s">
        <v>987</v>
      </c>
      <c r="H812" s="17" t="s">
        <v>3051</v>
      </c>
      <c r="I812" s="13" t="s">
        <v>3052</v>
      </c>
      <c r="J812" s="23" t="str">
        <f>HYPERLINK("CorLog\MOZ\Massinga RTO\20150421 MOZ Massinga RTO May Jehovah be praised! (MOZ-to-RDC).msg", "May Jehovah be praised!")</f>
        <v>May Jehovah be praised!</v>
      </c>
      <c r="K812" s="25"/>
      <c r="L812" s="19"/>
      <c r="M812" s="20"/>
      <c r="N812" s="21" t="s">
        <v>3059</v>
      </c>
    </row>
    <row r="813" spans="1:14">
      <c r="A813" s="12" t="s">
        <v>718</v>
      </c>
      <c r="B813" s="13" t="s">
        <v>742</v>
      </c>
      <c r="C813" s="14" t="s">
        <v>3060</v>
      </c>
      <c r="D813" s="15">
        <v>42115.418368055558</v>
      </c>
      <c r="E813" s="16" t="s">
        <v>16</v>
      </c>
      <c r="F813" s="16" t="s">
        <v>16</v>
      </c>
      <c r="G813" s="17" t="s">
        <v>738</v>
      </c>
      <c r="H813" s="17" t="s">
        <v>3061</v>
      </c>
      <c r="I813" s="13" t="s">
        <v>3062</v>
      </c>
      <c r="J813" s="18" t="str">
        <f>HYPERLINK("CorLog\GHA\BEX 2\20150421 GHA BEX 2 Early procurement of laundry kitchen equipment (RDC-to-RDC).msg", "Early procurement of laundry kitchen equipment")</f>
        <v>Early procurement of laundry kitchen equipment</v>
      </c>
      <c r="K813" s="22"/>
      <c r="L813" s="19"/>
      <c r="M813" s="20"/>
      <c r="N813" s="21" t="s">
        <v>3063</v>
      </c>
    </row>
    <row r="814" spans="1:14">
      <c r="A814" s="12" t="s">
        <v>718</v>
      </c>
      <c r="B814" s="13" t="s">
        <v>827</v>
      </c>
      <c r="C814" s="14" t="s">
        <v>3064</v>
      </c>
      <c r="D814" s="15">
        <v>42115.404861111114</v>
      </c>
      <c r="E814" s="16" t="s">
        <v>16</v>
      </c>
      <c r="F814" s="16" t="s">
        <v>21</v>
      </c>
      <c r="G814" s="17" t="s">
        <v>790</v>
      </c>
      <c r="H814" s="17" t="s">
        <v>829</v>
      </c>
      <c r="I814" s="13" t="s">
        <v>3065</v>
      </c>
      <c r="J814" s="23" t="str">
        <f>HYPERLINK("CorLog\GHA\BEX\20150421 GHA BEX RDC review of NLBR Package -46 SUBMITTAL (56454 Revised) (RDC-to-GHA).msg", "RDC review of NLBR Package -46 SUBMITTAL (56454 Revised)")</f>
        <v>RDC review of NLBR Package -46 SUBMITTAL (56454 Revised)</v>
      </c>
      <c r="K814" s="25" t="s">
        <v>1211</v>
      </c>
      <c r="L814" s="19"/>
      <c r="M814" s="20"/>
      <c r="N814" s="21" t="s">
        <v>3066</v>
      </c>
    </row>
    <row r="815" spans="1:14">
      <c r="A815" s="12" t="s">
        <v>795</v>
      </c>
      <c r="B815" s="13" t="s">
        <v>3067</v>
      </c>
      <c r="C815" s="14" t="s">
        <v>3068</v>
      </c>
      <c r="D815" s="15">
        <v>42115.401562500003</v>
      </c>
      <c r="E815" s="16" t="s">
        <v>16</v>
      </c>
      <c r="F815" s="16" t="s">
        <v>18</v>
      </c>
      <c r="G815" s="17" t="s">
        <v>946</v>
      </c>
      <c r="H815" s="17" t="s">
        <v>3069</v>
      </c>
      <c r="I815" s="13" t="s">
        <v>3070</v>
      </c>
      <c r="J815" s="23" t="str">
        <f>HYPERLINK("CorLog\ZMB\Mongu RTO\20150421 ZMB Mongu RTO Vacuum breaker on solar geysers (RDC-to-ZMB).msg", "Vacuum breaker on solar geysers")</f>
        <v>Vacuum breaker on solar geysers</v>
      </c>
      <c r="K815" s="25"/>
      <c r="L815" s="19"/>
      <c r="M815" s="20"/>
      <c r="N815" s="21" t="s">
        <v>3071</v>
      </c>
    </row>
    <row r="816" spans="1:14">
      <c r="A816" s="12" t="s">
        <v>718</v>
      </c>
      <c r="B816" s="13" t="s">
        <v>1969</v>
      </c>
      <c r="C816" s="14" t="s">
        <v>3072</v>
      </c>
      <c r="D816" s="15">
        <v>42115.37777777778</v>
      </c>
      <c r="E816" s="16" t="s">
        <v>16</v>
      </c>
      <c r="F816" s="16" t="s">
        <v>22</v>
      </c>
      <c r="G816" s="17" t="s">
        <v>2627</v>
      </c>
      <c r="H816" s="17" t="s">
        <v>1040</v>
      </c>
      <c r="I816" s="13" t="s">
        <v>3073</v>
      </c>
      <c r="J816" s="23" t="str">
        <f>HYPERLINK("CorLog\COD\Kamina RTO\20150421 COD Kamina RTO FS S-102-S2, Gable wall options (RDC-to-COD).msg", "FS S-102-S2, Gable wall options")</f>
        <v>FS S-102-S2, Gable wall options</v>
      </c>
      <c r="K816" s="25" t="s">
        <v>1211</v>
      </c>
      <c r="L816" s="19"/>
      <c r="M816" s="20"/>
      <c r="N816" s="21" t="s">
        <v>3074</v>
      </c>
    </row>
    <row r="817" spans="1:14">
      <c r="A817" s="12" t="s">
        <v>832</v>
      </c>
      <c r="B817" s="13" t="s">
        <v>737</v>
      </c>
      <c r="C817" s="14" t="s">
        <v>1757</v>
      </c>
      <c r="D817" s="15">
        <v>42115.36954861111</v>
      </c>
      <c r="E817" s="16" t="s">
        <v>21</v>
      </c>
      <c r="F817" s="16" t="s">
        <v>21</v>
      </c>
      <c r="G817" s="17" t="s">
        <v>738</v>
      </c>
      <c r="H817" s="17" t="s">
        <v>3075</v>
      </c>
      <c r="I817" s="13" t="s">
        <v>3076</v>
      </c>
      <c r="J817" s="18" t="str">
        <f>HYPERLINK("CorLog\GHA\BEX 2\20150421 GHA BEX 2 kitchen upgrade plan (GHA-to-GHA).msg", "kitchen upgrade plan")</f>
        <v>kitchen upgrade plan</v>
      </c>
      <c r="K817" s="22"/>
      <c r="L817" s="19"/>
      <c r="M817" s="20"/>
      <c r="N817" s="21" t="s">
        <v>3077</v>
      </c>
    </row>
    <row r="818" spans="1:14">
      <c r="A818" s="12" t="s">
        <v>1069</v>
      </c>
      <c r="B818" s="13" t="s">
        <v>718</v>
      </c>
      <c r="C818" s="14" t="s">
        <v>3078</v>
      </c>
      <c r="D818" s="15">
        <v>42115.332280092596</v>
      </c>
      <c r="E818" s="16" t="s">
        <v>18</v>
      </c>
      <c r="F818" s="16" t="s">
        <v>16</v>
      </c>
      <c r="G818" s="17" t="s">
        <v>1874</v>
      </c>
      <c r="H818" s="17" t="s">
        <v>1105</v>
      </c>
      <c r="I818" s="13" t="s">
        <v>3079</v>
      </c>
      <c r="J818" s="23" t="str">
        <f>HYPERLINK("CorLog\ZMB\Petauke RTO\20150421 ZMB Petauke RTO Initial soil test results (ZMB-to-RDC).msg", "Initial soil test results")</f>
        <v>Initial soil test results</v>
      </c>
      <c r="K818" s="25"/>
      <c r="L818" s="19"/>
      <c r="M818" s="20"/>
      <c r="N818" s="21" t="s">
        <v>3080</v>
      </c>
    </row>
    <row r="819" spans="1:14">
      <c r="A819" s="12" t="s">
        <v>718</v>
      </c>
      <c r="B819" s="13" t="s">
        <v>827</v>
      </c>
      <c r="C819" s="14" t="s">
        <v>3081</v>
      </c>
      <c r="D819" s="15">
        <v>42115.300694444442</v>
      </c>
      <c r="E819" s="16" t="s">
        <v>16</v>
      </c>
      <c r="F819" s="16" t="s">
        <v>21</v>
      </c>
      <c r="G819" s="17" t="s">
        <v>790</v>
      </c>
      <c r="H819" s="17" t="s">
        <v>781</v>
      </c>
      <c r="I819" s="13" t="s">
        <v>3082</v>
      </c>
      <c r="J819" s="23" t="str">
        <f>HYPERLINK("CorLog\GHA\BEX\20150421 GHA BEX Additional temp (10) ten-room temp residence (APPROVED) (RDC-to-GHA).msg", "Additional temp (10) ten-room temp residence (APPROVED)")</f>
        <v>Additional temp (10) ten-room temp residence (APPROVED)</v>
      </c>
      <c r="K819" s="25"/>
      <c r="L819" s="19" t="s">
        <v>3083</v>
      </c>
      <c r="M819" s="20"/>
      <c r="N819" s="21" t="s">
        <v>3084</v>
      </c>
    </row>
    <row r="820" spans="1:14">
      <c r="A820" s="12" t="s">
        <v>717</v>
      </c>
      <c r="B820" s="13" t="s">
        <v>724</v>
      </c>
      <c r="C820" s="14" t="s">
        <v>3085</v>
      </c>
      <c r="D820" s="15">
        <v>42115.292430555557</v>
      </c>
      <c r="E820" s="16" t="s">
        <v>16</v>
      </c>
      <c r="F820" s="16" t="s">
        <v>16</v>
      </c>
      <c r="G820" s="17" t="s">
        <v>719</v>
      </c>
      <c r="H820" s="17" t="s">
        <v>2573</v>
      </c>
      <c r="I820" s="13" t="s">
        <v>3086</v>
      </c>
      <c r="J820" s="18" t="str">
        <f>HYPERLINK("CorLog\Reference\20150421 Reference NGA COTC (RDC-to-RDC).msg", "NGA COTC")</f>
        <v>NGA COTC</v>
      </c>
      <c r="K820" s="22" t="s">
        <v>721</v>
      </c>
      <c r="L820" s="19"/>
      <c r="M820" s="20"/>
      <c r="N820" s="21" t="s">
        <v>3087</v>
      </c>
    </row>
    <row r="821" spans="1:14">
      <c r="A821" s="12" t="s">
        <v>718</v>
      </c>
      <c r="B821" s="13" t="s">
        <v>742</v>
      </c>
      <c r="C821" s="14"/>
      <c r="D821" s="15">
        <v>42115.289039351854</v>
      </c>
      <c r="E821" s="16" t="s">
        <v>16</v>
      </c>
      <c r="F821" s="16" t="s">
        <v>16</v>
      </c>
      <c r="G821" s="17" t="s">
        <v>2863</v>
      </c>
      <c r="H821" s="17" t="s">
        <v>3088</v>
      </c>
      <c r="I821" s="13" t="s">
        <v>3089</v>
      </c>
      <c r="J821" s="18" t="str">
        <f>HYPERLINK("CorLog\COD\Brazzaville MH\20150421 COD Brazzaville MH Review of Cost Plan (RDC-to-RDC).msg", "Review of Cost Plan")</f>
        <v>Review of Cost Plan</v>
      </c>
      <c r="K821" s="22"/>
      <c r="L821" s="19"/>
      <c r="M821" s="20"/>
      <c r="N821" s="21" t="s">
        <v>3090</v>
      </c>
    </row>
    <row r="822" spans="1:14">
      <c r="A822" s="12" t="s">
        <v>1043</v>
      </c>
      <c r="B822" s="13"/>
      <c r="C822" s="14"/>
      <c r="D822" s="15">
        <v>42115</v>
      </c>
      <c r="E822" s="16" t="s">
        <v>25</v>
      </c>
      <c r="F822" s="16" t="s">
        <v>23</v>
      </c>
      <c r="G822" s="17" t="s">
        <v>926</v>
      </c>
      <c r="H822" s="17" t="s">
        <v>2029</v>
      </c>
      <c r="I822" s="13" t="s">
        <v>3091</v>
      </c>
      <c r="J822" s="23" t="str">
        <f>HYPERLINK("CorLog\ZWE\Branch\20150421 ZWE Branch DC-41 No 1 Zimbabwe Construction Yard (USD 8,507) (WHQ-to-ZWE).docx", "DC-41 No 1 Zimbabwe Construction Yard (USD 8,507)")</f>
        <v>DC-41 No 1 Zimbabwe Construction Yard (USD 8,507)</v>
      </c>
      <c r="K822" s="23"/>
      <c r="L822" s="19"/>
      <c r="M822" s="20"/>
      <c r="N822" s="21" t="s">
        <v>3092</v>
      </c>
    </row>
    <row r="823" spans="1:14">
      <c r="A823" s="12" t="s">
        <v>1043</v>
      </c>
      <c r="B823" s="13"/>
      <c r="C823" s="14"/>
      <c r="D823" s="15">
        <v>42115</v>
      </c>
      <c r="E823" s="16" t="s">
        <v>25</v>
      </c>
      <c r="F823" s="16" t="s">
        <v>19</v>
      </c>
      <c r="G823" s="17" t="s">
        <v>1134</v>
      </c>
      <c r="H823" s="17" t="s">
        <v>2029</v>
      </c>
      <c r="I823" s="13" t="s">
        <v>3093</v>
      </c>
      <c r="J823" s="23" t="str">
        <f>HYPERLINK("CorLog\AGO\Lubango RTO\20150421 AGO Lubango RTO DC-41 No 1 Angola RTO Lubango (Nyaneka) Property (WHQ-to-AGO).docx", "DC-41 No 1 Angola RTO Lubango (Nyaneka) Property")</f>
        <v>DC-41 No 1 Angola RTO Lubango (Nyaneka) Property</v>
      </c>
      <c r="K823" s="23"/>
      <c r="L823" s="19"/>
      <c r="M823" s="20"/>
      <c r="N823" s="21" t="s">
        <v>3094</v>
      </c>
    </row>
    <row r="824" spans="1:14">
      <c r="A824" s="12" t="s">
        <v>771</v>
      </c>
      <c r="B824" s="13" t="s">
        <v>998</v>
      </c>
      <c r="C824" s="14" t="s">
        <v>718</v>
      </c>
      <c r="D824" s="15">
        <v>42114.965405092589</v>
      </c>
      <c r="E824" s="16" t="s">
        <v>17</v>
      </c>
      <c r="F824" s="16" t="s">
        <v>17</v>
      </c>
      <c r="G824" s="17" t="s">
        <v>790</v>
      </c>
      <c r="H824" s="17" t="s">
        <v>781</v>
      </c>
      <c r="I824" s="13" t="s">
        <v>3095</v>
      </c>
      <c r="J824" s="23" t="str">
        <f>HYPERLINK("CorLog\GHA\BEX\20150420 GHA BEX Additional temp ten-room residence (WDC-to-WDC).msg", "Additional temp ten-room residence")</f>
        <v>Additional temp ten-room residence</v>
      </c>
      <c r="K824" s="25"/>
      <c r="L824" s="19" t="s">
        <v>3096</v>
      </c>
      <c r="M824" s="20"/>
      <c r="N824" s="21" t="s">
        <v>3097</v>
      </c>
    </row>
    <row r="825" spans="1:14">
      <c r="A825" s="12" t="s">
        <v>718</v>
      </c>
      <c r="B825" s="13" t="s">
        <v>827</v>
      </c>
      <c r="C825" s="14"/>
      <c r="D825" s="15">
        <v>42114.775694444441</v>
      </c>
      <c r="E825" s="16" t="s">
        <v>16</v>
      </c>
      <c r="F825" s="16" t="s">
        <v>21</v>
      </c>
      <c r="G825" s="17" t="s">
        <v>790</v>
      </c>
      <c r="H825" s="17" t="s">
        <v>3098</v>
      </c>
      <c r="I825" s="13" t="s">
        <v>3099</v>
      </c>
      <c r="J825" s="23" t="str">
        <f>HYPERLINK("CorLog\GHA\BEX\20150420 GHA BEX Final Project Financial Report AO-9 for GHA-0013 (draft edit) (RDC-to-GHA).msg", "Final Project Financial Report AO-9 for GHA-0013 (draft edit)")</f>
        <v>Final Project Financial Report AO-9 for GHA-0013 (draft edit)</v>
      </c>
      <c r="K825" s="25" t="s">
        <v>1211</v>
      </c>
      <c r="L825" s="19"/>
      <c r="M825" s="20"/>
      <c r="N825" s="21" t="s">
        <v>3100</v>
      </c>
    </row>
    <row r="826" spans="1:14">
      <c r="A826" s="12" t="s">
        <v>756</v>
      </c>
      <c r="B826" s="13" t="s">
        <v>827</v>
      </c>
      <c r="C826" s="14" t="s">
        <v>3101</v>
      </c>
      <c r="D826" s="15">
        <v>42114.705740740741</v>
      </c>
      <c r="E826" s="16" t="s">
        <v>16</v>
      </c>
      <c r="F826" s="16" t="s">
        <v>21</v>
      </c>
      <c r="G826" s="17" t="s">
        <v>738</v>
      </c>
      <c r="H826" s="17" t="s">
        <v>3102</v>
      </c>
      <c r="I826" s="13" t="s">
        <v>3103</v>
      </c>
      <c r="J826" s="23" t="str">
        <f>HYPERLINK("CorLog\GHA\BEX 2\20150420 GHA BEX 2 CDP Meeting Minutes 2015-04-16 AV Floor Plan Review (RDC-to-GHA).msg", "CDP Meeting Minutes 2015-04-16 AV Floor Plan Review")</f>
        <v>CDP Meeting Minutes 2015-04-16 AV Floor Plan Review</v>
      </c>
      <c r="K826" s="25" t="s">
        <v>1211</v>
      </c>
      <c r="L826" s="19"/>
      <c r="M826" s="20"/>
      <c r="N826" s="21" t="s">
        <v>3104</v>
      </c>
    </row>
    <row r="827" spans="1:14">
      <c r="A827" s="12" t="s">
        <v>1258</v>
      </c>
      <c r="B827" s="13" t="s">
        <v>3105</v>
      </c>
      <c r="C827" s="14" t="s">
        <v>3106</v>
      </c>
      <c r="D827" s="15">
        <v>42114.69332175926</v>
      </c>
      <c r="E827" s="16" t="s">
        <v>16</v>
      </c>
      <c r="F827" s="16" t="s">
        <v>21</v>
      </c>
      <c r="G827" s="17" t="s">
        <v>790</v>
      </c>
      <c r="H827" s="17" t="s">
        <v>829</v>
      </c>
      <c r="I827" s="13" t="s">
        <v>2938</v>
      </c>
      <c r="J827" s="23" t="str">
        <f>HYPERLINK("CorLog\GHA\BEX\20150420 GHA BEX RFQ BEX Ceiling Tile Materials RQ- 447331 (ZAF RDC to comment on alternative) (RDC-to-GHA).msg", "RFQ BEX Ceiling Tile Materials RQ- 447331 (ZAF RDC to comment on alternative)")</f>
        <v>RFQ BEX Ceiling Tile Materials RQ- 447331 (ZAF RDC to comment on alternative)</v>
      </c>
      <c r="K827" s="25" t="s">
        <v>1499</v>
      </c>
      <c r="L827" s="19"/>
      <c r="M827" s="20"/>
      <c r="N827" s="21" t="s">
        <v>3107</v>
      </c>
    </row>
    <row r="828" spans="1:14">
      <c r="A828" s="12" t="s">
        <v>771</v>
      </c>
      <c r="B828" s="13" t="s">
        <v>750</v>
      </c>
      <c r="C828" s="14" t="s">
        <v>3108</v>
      </c>
      <c r="D828" s="15">
        <v>42114.584016203706</v>
      </c>
      <c r="E828" s="16" t="s">
        <v>17</v>
      </c>
      <c r="F828" s="16" t="s">
        <v>16</v>
      </c>
      <c r="G828" s="17" t="s">
        <v>738</v>
      </c>
      <c r="H828" s="17" t="s">
        <v>1895</v>
      </c>
      <c r="I828" s="13" t="s">
        <v>3109</v>
      </c>
      <c r="J828" s="18" t="str">
        <f>HYPERLINK("CorLog\GHA\BEX 2\20150420 GHA BEX 2 WHQ Approve Translation into Twi (Akuapem) and Twi (Asante) (WDC-to-RDC).msg", "WHQ Approve Translation into Twi (Akuapem) and Twi (Asante)")</f>
        <v>WHQ Approve Translation into Twi (Akuapem) and Twi (Asante)</v>
      </c>
      <c r="K828" s="22"/>
      <c r="L828" s="19"/>
      <c r="M828" s="20"/>
      <c r="N828" s="21" t="s">
        <v>3110</v>
      </c>
    </row>
    <row r="829" spans="1:14">
      <c r="A829" s="12" t="s">
        <v>718</v>
      </c>
      <c r="B829" s="13" t="s">
        <v>3111</v>
      </c>
      <c r="C829" s="14"/>
      <c r="D829" s="15">
        <v>42114.562175925923</v>
      </c>
      <c r="E829" s="16" t="s">
        <v>16</v>
      </c>
      <c r="F829" s="16"/>
      <c r="G829" s="17" t="s">
        <v>2050</v>
      </c>
      <c r="H829" s="17" t="s">
        <v>2242</v>
      </c>
      <c r="I829" s="13" t="s">
        <v>3112</v>
      </c>
      <c r="J829" s="18" t="str">
        <f>HYPERLINK("CorLog\Info\20150420 Info WDC Group Photos (RDC-to-).msg", "WDC Group Photos")</f>
        <v>WDC Group Photos</v>
      </c>
      <c r="K829" s="22"/>
      <c r="L829" s="19"/>
      <c r="M829" s="20"/>
      <c r="N829" s="21" t="s">
        <v>3113</v>
      </c>
    </row>
    <row r="830" spans="1:14">
      <c r="A830" s="12" t="s">
        <v>718</v>
      </c>
      <c r="B830" s="13" t="s">
        <v>3114</v>
      </c>
      <c r="C830" s="14" t="s">
        <v>3115</v>
      </c>
      <c r="D830" s="15">
        <v>42114.560416666667</v>
      </c>
      <c r="E830" s="16" t="s">
        <v>16</v>
      </c>
      <c r="F830" s="16"/>
      <c r="G830" s="17" t="s">
        <v>823</v>
      </c>
      <c r="H830" s="17" t="s">
        <v>829</v>
      </c>
      <c r="I830" s="13" t="s">
        <v>3116</v>
      </c>
      <c r="J830" s="23" t="str">
        <f>HYPERLINK("CorLog\GHA\LDC\20150420 GHA LDC GHA Requisition Number 57476 ; Wall Plates and Washers (RDC-to-).msg", "GHA Requisition Number 57476 ; Wall Plates and Washers")</f>
        <v>GHA Requisition Number 57476 ; Wall Plates and Washers</v>
      </c>
      <c r="K830" s="25" t="s">
        <v>1211</v>
      </c>
      <c r="L830" s="19"/>
      <c r="M830" s="20"/>
      <c r="N830" s="21" t="s">
        <v>3117</v>
      </c>
    </row>
    <row r="831" spans="1:14">
      <c r="A831" s="12" t="s">
        <v>750</v>
      </c>
      <c r="B831" s="13" t="s">
        <v>718</v>
      </c>
      <c r="C831" s="14" t="s">
        <v>3118</v>
      </c>
      <c r="D831" s="15">
        <v>42114.542650462965</v>
      </c>
      <c r="E831" s="16" t="s">
        <v>16</v>
      </c>
      <c r="F831" s="16" t="s">
        <v>16</v>
      </c>
      <c r="G831" s="17" t="s">
        <v>1874</v>
      </c>
      <c r="H831" s="17" t="s">
        <v>1105</v>
      </c>
      <c r="I831" s="13" t="s">
        <v>1875</v>
      </c>
      <c r="J831" s="23" t="str">
        <f>HYPERLINK("CorLog\ZMB\Petauke RTO\20150420 ZMB Petauke RTO Initial soil test results (STRUCT Reply) (RDC-to-RDC).msg", "Initial soil test results (STRUCT Reply)")</f>
        <v>Initial soil test results (STRUCT Reply)</v>
      </c>
      <c r="K831" s="25"/>
      <c r="L831" s="19"/>
      <c r="M831" s="20"/>
      <c r="N831" s="21" t="s">
        <v>3119</v>
      </c>
    </row>
    <row r="832" spans="1:14">
      <c r="A832" s="12" t="s">
        <v>718</v>
      </c>
      <c r="B832" s="13" t="s">
        <v>1529</v>
      </c>
      <c r="C832" s="14"/>
      <c r="D832" s="15">
        <v>42114.533229166664</v>
      </c>
      <c r="E832" s="16" t="s">
        <v>16</v>
      </c>
      <c r="F832" s="16" t="s">
        <v>18</v>
      </c>
      <c r="G832" s="17" t="s">
        <v>946</v>
      </c>
      <c r="H832" s="17" t="s">
        <v>3120</v>
      </c>
      <c r="I832" s="13" t="s">
        <v>3121</v>
      </c>
      <c r="J832" s="18" t="str">
        <f>HYPERLINK("CorLog\ZMB\Mongu RTO\20150420 ZMB Mongu RTO Q Attending Pioneer School in your home country (RDC-to-ZMB).msg", "Q Attending Pioneer School in your home country")</f>
        <v>Q Attending Pioneer School in your home country</v>
      </c>
      <c r="K832" s="22"/>
      <c r="L832" s="19"/>
      <c r="M832" s="20"/>
      <c r="N832" s="21" t="s">
        <v>3122</v>
      </c>
    </row>
    <row r="833" spans="1:14">
      <c r="A833" s="12" t="s">
        <v>806</v>
      </c>
      <c r="B833" s="13" t="s">
        <v>718</v>
      </c>
      <c r="C833" s="14"/>
      <c r="D833" s="15">
        <v>42114.528703703705</v>
      </c>
      <c r="E833" s="16" t="s">
        <v>15</v>
      </c>
      <c r="F833" s="16" t="s">
        <v>16</v>
      </c>
      <c r="G833" s="17" t="s">
        <v>966</v>
      </c>
      <c r="H833" s="17" t="s">
        <v>808</v>
      </c>
      <c r="I833" s="13" t="s">
        <v>3123</v>
      </c>
      <c r="J833" s="23" t="str">
        <f>HYPERLINK("CorLog\MDG\Branch\20150420 MDG Branch Madagascar - MDG-4418 Inverter ($706 01) (ZAF-to-RDC).msg", "Madagascar - MDG-4418 Inverter ($706 01)")</f>
        <v>Madagascar - MDG-4418 Inverter ($706 01)</v>
      </c>
      <c r="K833" s="25" t="s">
        <v>1211</v>
      </c>
      <c r="L833" s="19"/>
      <c r="M833" s="20"/>
      <c r="N833" s="21" t="s">
        <v>3124</v>
      </c>
    </row>
    <row r="834" spans="1:14">
      <c r="A834" s="12" t="s">
        <v>724</v>
      </c>
      <c r="B834" s="13" t="s">
        <v>718</v>
      </c>
      <c r="C834" s="14" t="s">
        <v>1176</v>
      </c>
      <c r="D834" s="15">
        <v>42114.519155092596</v>
      </c>
      <c r="E834" s="16" t="s">
        <v>16</v>
      </c>
      <c r="F834" s="16" t="s">
        <v>16</v>
      </c>
      <c r="G834" s="17" t="s">
        <v>1320</v>
      </c>
      <c r="H834" s="17" t="s">
        <v>725</v>
      </c>
      <c r="I834" s="13" t="s">
        <v>3125</v>
      </c>
      <c r="J834" s="18" t="str">
        <f>HYPERLINK("CorLog\MDG\LDC\20150420 MDG LDC Cost of RTO maintenance (RDC-to-RDC).msg", "Cost of RTO maintenance")</f>
        <v>Cost of RTO maintenance</v>
      </c>
      <c r="K834" s="22"/>
      <c r="L834" s="19"/>
      <c r="M834" s="20"/>
      <c r="N834" s="21" t="s">
        <v>3126</v>
      </c>
    </row>
    <row r="835" spans="1:14">
      <c r="A835" s="12" t="s">
        <v>718</v>
      </c>
      <c r="B835" s="13" t="s">
        <v>777</v>
      </c>
      <c r="C835" s="14" t="s">
        <v>3127</v>
      </c>
      <c r="D835" s="15">
        <v>42114.482638888891</v>
      </c>
      <c r="E835" s="16" t="s">
        <v>16</v>
      </c>
      <c r="F835" s="16" t="s">
        <v>18</v>
      </c>
      <c r="G835" s="17" t="s">
        <v>719</v>
      </c>
      <c r="H835" s="17" t="s">
        <v>1382</v>
      </c>
      <c r="I835" s="13" t="s">
        <v>3128</v>
      </c>
      <c r="J835" s="23" t="str">
        <f>HYPERLINK("CorLog\Reference\20150420 Reference New AH Operations Guidelines (RDC-to-ZMB).msg", "New AH Operations Guidelines")</f>
        <v>New AH Operations Guidelines</v>
      </c>
      <c r="K835" s="25" t="s">
        <v>1270</v>
      </c>
      <c r="L835" s="19"/>
      <c r="M835" s="20"/>
      <c r="N835" s="21" t="s">
        <v>3129</v>
      </c>
    </row>
    <row r="836" spans="1:14">
      <c r="A836" s="12" t="s">
        <v>1181</v>
      </c>
      <c r="B836" s="13" t="s">
        <v>718</v>
      </c>
      <c r="C836" s="14" t="s">
        <v>3130</v>
      </c>
      <c r="D836" s="15">
        <v>42114.47284722222</v>
      </c>
      <c r="E836" s="16" t="s">
        <v>16</v>
      </c>
      <c r="F836" s="16" t="s">
        <v>16</v>
      </c>
      <c r="G836" s="17" t="s">
        <v>885</v>
      </c>
      <c r="H836" s="17" t="s">
        <v>2412</v>
      </c>
      <c r="I836" s="13" t="s">
        <v>3131</v>
      </c>
      <c r="J836" s="23" t="str">
        <f>HYPERLINK("CorLog\ZMB\Kabompo RTO\20150420 ZMB Kabompo RTO Electrolux Steamer oven 20150402 (RDC-to-RDC).msg", "Electrolux Steamer oven 20150402")</f>
        <v>Electrolux Steamer oven 20150402</v>
      </c>
      <c r="K836" s="25" t="s">
        <v>1482</v>
      </c>
      <c r="L836" s="19"/>
      <c r="M836" s="20"/>
      <c r="N836" s="21" t="s">
        <v>3132</v>
      </c>
    </row>
    <row r="837" spans="1:14">
      <c r="A837" s="12" t="s">
        <v>750</v>
      </c>
      <c r="B837" s="13" t="s">
        <v>718</v>
      </c>
      <c r="C837" s="14" t="s">
        <v>742</v>
      </c>
      <c r="D837" s="15">
        <v>42114.438680555555</v>
      </c>
      <c r="E837" s="16" t="s">
        <v>16</v>
      </c>
      <c r="F837" s="16" t="s">
        <v>16</v>
      </c>
      <c r="G837" s="17" t="s">
        <v>3133</v>
      </c>
      <c r="H837" s="17" t="s">
        <v>2384</v>
      </c>
      <c r="I837" s="13" t="s">
        <v>3134</v>
      </c>
      <c r="J837" s="23" t="str">
        <f>HYPERLINK("CorLog\GHA\Somanya RTO\20150420 GHA Somanya RTO Google Earth KMZ; Somanya AH Options; ASSESS (RDC-to-RDC).msg", "Google Earth KMZ; Somanya AH Options; ASSESS")</f>
        <v>Google Earth KMZ; Somanya AH Options; ASSESS</v>
      </c>
      <c r="K837" s="25"/>
      <c r="L837" s="19"/>
      <c r="M837" s="20"/>
      <c r="N837" s="21" t="s">
        <v>3135</v>
      </c>
    </row>
    <row r="838" spans="1:14">
      <c r="A838" s="12" t="s">
        <v>1069</v>
      </c>
      <c r="B838" s="13" t="s">
        <v>718</v>
      </c>
      <c r="C838" s="14" t="s">
        <v>3136</v>
      </c>
      <c r="D838" s="15">
        <v>42111.759039351855</v>
      </c>
      <c r="E838" s="16" t="s">
        <v>18</v>
      </c>
      <c r="F838" s="16" t="s">
        <v>16</v>
      </c>
      <c r="G838" s="17" t="s">
        <v>1070</v>
      </c>
      <c r="H838" s="17" t="s">
        <v>961</v>
      </c>
      <c r="I838" s="13" t="s">
        <v>3137</v>
      </c>
      <c r="J838" s="23" t="str">
        <f>HYPERLINK("CorLog\ZMB\Katete\20150417 ZMB Katete Petauke Soils Survey (ZMB-to-RDC).msg", "Petauke Soils Survey")</f>
        <v>Petauke Soils Survey</v>
      </c>
      <c r="K838" s="25" t="s">
        <v>1243</v>
      </c>
      <c r="L838" s="19"/>
      <c r="M838" s="20"/>
      <c r="N838" s="21" t="s">
        <v>3138</v>
      </c>
    </row>
    <row r="839" spans="1:14">
      <c r="A839" s="12" t="s">
        <v>842</v>
      </c>
      <c r="B839" s="13" t="s">
        <v>750</v>
      </c>
      <c r="C839" s="14" t="s">
        <v>3139</v>
      </c>
      <c r="D839" s="15">
        <v>42111.755555555559</v>
      </c>
      <c r="E839" s="16" t="s">
        <v>21</v>
      </c>
      <c r="F839" s="16" t="s">
        <v>16</v>
      </c>
      <c r="G839" s="17" t="s">
        <v>738</v>
      </c>
      <c r="H839" s="17" t="s">
        <v>947</v>
      </c>
      <c r="I839" s="13" t="s">
        <v>3140</v>
      </c>
      <c r="J839" s="23" t="str">
        <f>HYPERLINK("CorLog\GHA\BEX 2\20150417 GHA BEX 2 CIVIL - Truck Dimensions Needed (GHA-to-RDC).msg", "CIVIL - Truck Dimensions Needed")</f>
        <v>CIVIL - Truck Dimensions Needed</v>
      </c>
      <c r="K839" s="25" t="s">
        <v>1243</v>
      </c>
      <c r="L839" s="19"/>
      <c r="M839" s="20"/>
      <c r="N839" s="21" t="s">
        <v>3141</v>
      </c>
    </row>
    <row r="840" spans="1:14">
      <c r="A840" s="12" t="s">
        <v>750</v>
      </c>
      <c r="B840" s="13" t="s">
        <v>1796</v>
      </c>
      <c r="C840" s="14" t="s">
        <v>1768</v>
      </c>
      <c r="D840" s="15">
        <v>42111.612349537034</v>
      </c>
      <c r="E840" s="16" t="s">
        <v>16</v>
      </c>
      <c r="F840" s="16" t="s">
        <v>15</v>
      </c>
      <c r="G840" s="17" t="s">
        <v>3142</v>
      </c>
      <c r="H840" s="17" t="s">
        <v>2412</v>
      </c>
      <c r="I840" s="13" t="s">
        <v>3143</v>
      </c>
      <c r="J840" s="23" t="str">
        <f>HYPERLINK("CorLog\SAF\LDC Polokwane RTO\20150417 SAF LDC Polokwane RTO WORKFLOW MEETING (incl EQUIPMENT) (RDC-to-ZAF).msg", "WORKFLOW MEETING (incl EQUIPMENT)")</f>
        <v>WORKFLOW MEETING (incl EQUIPMENT)</v>
      </c>
      <c r="K840" s="25"/>
      <c r="L840" s="19"/>
      <c r="M840" s="20"/>
      <c r="N840" s="21" t="s">
        <v>3144</v>
      </c>
    </row>
    <row r="841" spans="1:14">
      <c r="A841" s="12" t="s">
        <v>717</v>
      </c>
      <c r="B841" s="13" t="s">
        <v>1052</v>
      </c>
      <c r="C841" s="14" t="s">
        <v>3145</v>
      </c>
      <c r="D841" s="15">
        <v>42111.598819444444</v>
      </c>
      <c r="E841" s="16" t="s">
        <v>16</v>
      </c>
      <c r="F841" s="16" t="s">
        <v>17</v>
      </c>
      <c r="G841" s="17" t="s">
        <v>2050</v>
      </c>
      <c r="H841" s="17" t="s">
        <v>3051</v>
      </c>
      <c r="I841" s="13" t="s">
        <v>3146</v>
      </c>
      <c r="J841" s="18" t="str">
        <f>HYPERLINK("CorLog\Info\20150417 Info NGA COTC Thank you (RDC-to-WDC).msg", "NGA COTC Thank you")</f>
        <v>NGA COTC Thank you</v>
      </c>
      <c r="K841" s="22"/>
      <c r="L841" s="19"/>
      <c r="M841" s="20"/>
      <c r="N841" s="21" t="s">
        <v>3147</v>
      </c>
    </row>
    <row r="842" spans="1:14">
      <c r="A842" s="12" t="s">
        <v>724</v>
      </c>
      <c r="B842" s="13" t="s">
        <v>1052</v>
      </c>
      <c r="C842" s="14" t="s">
        <v>718</v>
      </c>
      <c r="D842" s="15">
        <v>42111.568831018521</v>
      </c>
      <c r="E842" s="16" t="s">
        <v>16</v>
      </c>
      <c r="F842" s="16" t="s">
        <v>17</v>
      </c>
      <c r="G842" s="17" t="s">
        <v>2133</v>
      </c>
      <c r="H842" s="17" t="s">
        <v>1015</v>
      </c>
      <c r="I842" s="13" t="s">
        <v>2346</v>
      </c>
      <c r="J842" s="18" t="str">
        <f>HYPERLINK("CorLog\ZMB\Kasama RTO\20150417 ZMB Kasama RTO Property Options in Kasama for the Cibema RTO (RDC-to-WDC).msg", "Property Options in Kasama for the Cibema RTO")</f>
        <v>Property Options in Kasama for the Cibema RTO</v>
      </c>
      <c r="K842" s="22"/>
      <c r="L842" s="19"/>
      <c r="M842" s="20"/>
      <c r="N842" s="21" t="s">
        <v>3148</v>
      </c>
    </row>
    <row r="843" spans="1:14">
      <c r="A843" s="12" t="s">
        <v>756</v>
      </c>
      <c r="B843" s="13" t="s">
        <v>718</v>
      </c>
      <c r="C843" s="14" t="s">
        <v>3149</v>
      </c>
      <c r="D843" s="15">
        <v>42111.510370370372</v>
      </c>
      <c r="E843" s="16" t="s">
        <v>16</v>
      </c>
      <c r="F843" s="16" t="s">
        <v>16</v>
      </c>
      <c r="G843" s="17" t="s">
        <v>738</v>
      </c>
      <c r="H843" s="17" t="s">
        <v>3102</v>
      </c>
      <c r="I843" s="13" t="s">
        <v>3150</v>
      </c>
      <c r="J843" s="18" t="str">
        <f>HYPERLINK("CorLog\GHA\BEX 2\20150417 GHA BEX 2 Meeting Minutes 2015-04-16 AV Floor Plan Review (RDC-to-RDC).msg", "Meeting Minutes 2015-04-16 AV Floor Plan Review")</f>
        <v>Meeting Minutes 2015-04-16 AV Floor Plan Review</v>
      </c>
      <c r="K843" s="22"/>
      <c r="L843" s="19"/>
      <c r="M843" s="20"/>
      <c r="N843" s="21" t="s">
        <v>3151</v>
      </c>
    </row>
    <row r="844" spans="1:14">
      <c r="A844" s="12" t="s">
        <v>718</v>
      </c>
      <c r="B844" s="13" t="s">
        <v>842</v>
      </c>
      <c r="C844" s="14" t="s">
        <v>3152</v>
      </c>
      <c r="D844" s="15">
        <v>42111.50277777778</v>
      </c>
      <c r="E844" s="16" t="s">
        <v>16</v>
      </c>
      <c r="F844" s="16" t="s">
        <v>21</v>
      </c>
      <c r="G844" s="17" t="s">
        <v>790</v>
      </c>
      <c r="H844" s="17" t="s">
        <v>1687</v>
      </c>
      <c r="I844" s="13" t="s">
        <v>3153</v>
      </c>
      <c r="J844" s="23" t="str">
        <f>HYPERLINK("CorLog\GHA\BEX\20150417 GHA BEX Residence Bldgs; Concrete Plinth under cabinets (NO) (RDC-to-GHA).msg", "Residence Bldgs; Concrete Plinth under cabinets (NO)")</f>
        <v>Residence Bldgs; Concrete Plinth under cabinets (NO)</v>
      </c>
      <c r="K844" s="25" t="s">
        <v>1270</v>
      </c>
      <c r="L844" s="19"/>
      <c r="M844" s="20"/>
      <c r="N844" s="21" t="s">
        <v>3154</v>
      </c>
    </row>
    <row r="845" spans="1:14">
      <c r="A845" s="12" t="s">
        <v>3155</v>
      </c>
      <c r="B845" s="13" t="s">
        <v>795</v>
      </c>
      <c r="C845" s="14" t="s">
        <v>718</v>
      </c>
      <c r="D845" s="15">
        <v>42111.498680555553</v>
      </c>
      <c r="E845" s="16" t="s">
        <v>15</v>
      </c>
      <c r="F845" s="16" t="s">
        <v>16</v>
      </c>
      <c r="G845" s="17" t="s">
        <v>738</v>
      </c>
      <c r="H845" s="17" t="s">
        <v>3156</v>
      </c>
      <c r="I845" s="13" t="s">
        <v>3157</v>
      </c>
      <c r="J845" s="18" t="str">
        <f>HYPERLINK("CorLog\GHA\BEX 2\20150417 GHA BEX 2 Detailled Mech &amp; HVAC engineering proposal (ZAF-to-RDC).msg", "Detailled Mech &amp; HVAC engineering proposal")</f>
        <v>Detailled Mech &amp; HVAC engineering proposal</v>
      </c>
      <c r="K845" s="22"/>
      <c r="L845" s="19"/>
      <c r="M845" s="20"/>
      <c r="N845" s="21" t="s">
        <v>3158</v>
      </c>
    </row>
    <row r="846" spans="1:14">
      <c r="A846" s="12" t="s">
        <v>718</v>
      </c>
      <c r="B846" s="13" t="s">
        <v>750</v>
      </c>
      <c r="C846" s="14"/>
      <c r="D846" s="15">
        <v>42111.497557870367</v>
      </c>
      <c r="E846" s="16" t="s">
        <v>16</v>
      </c>
      <c r="F846" s="16" t="s">
        <v>16</v>
      </c>
      <c r="G846" s="17" t="s">
        <v>838</v>
      </c>
      <c r="H846" s="17" t="s">
        <v>3159</v>
      </c>
      <c r="I846" s="13" t="s">
        <v>3160</v>
      </c>
      <c r="J846" s="18" t="str">
        <f>HYPERLINK("CorLog\ZMB\Choma RTO\20150417 ZMB Choma RTO G5 material photos (RDC-to-RDC).msg", "G5 material photos")</f>
        <v>G5 material photos</v>
      </c>
      <c r="K846" s="22"/>
      <c r="L846" s="19"/>
      <c r="M846" s="20"/>
      <c r="N846" s="21" t="s">
        <v>3161</v>
      </c>
    </row>
    <row r="847" spans="1:14">
      <c r="A847" s="12" t="s">
        <v>757</v>
      </c>
      <c r="B847" s="13" t="s">
        <v>718</v>
      </c>
      <c r="C847" s="14" t="s">
        <v>1757</v>
      </c>
      <c r="D847" s="15">
        <v>42111.453333333331</v>
      </c>
      <c r="E847" s="16" t="s">
        <v>21</v>
      </c>
      <c r="F847" s="16" t="s">
        <v>16</v>
      </c>
      <c r="G847" s="17" t="s">
        <v>738</v>
      </c>
      <c r="H847" s="17" t="s">
        <v>1846</v>
      </c>
      <c r="I847" s="13" t="s">
        <v>3042</v>
      </c>
      <c r="J847" s="23" t="str">
        <f>HYPERLINK("CorLog\GHA\BEX 2\20150417 GHA BEX 2 Review of Open Channel Concept Design (PDFs) (GHA-to-RDC).msg", "Review of Open Channel Concept Design (PDFs)")</f>
        <v>Review of Open Channel Concept Design (PDFs)</v>
      </c>
      <c r="K847" s="25" t="s">
        <v>1243</v>
      </c>
      <c r="L847" s="19"/>
      <c r="M847" s="20"/>
      <c r="N847" s="21" t="s">
        <v>3162</v>
      </c>
    </row>
    <row r="848" spans="1:14">
      <c r="A848" s="12" t="s">
        <v>717</v>
      </c>
      <c r="B848" s="13" t="s">
        <v>718</v>
      </c>
      <c r="C848" s="14" t="s">
        <v>3163</v>
      </c>
      <c r="D848" s="15">
        <v>42111.392893518518</v>
      </c>
      <c r="E848" s="16" t="s">
        <v>16</v>
      </c>
      <c r="F848" s="16" t="s">
        <v>16</v>
      </c>
      <c r="G848" s="17" t="s">
        <v>719</v>
      </c>
      <c r="H848" s="17" t="s">
        <v>719</v>
      </c>
      <c r="I848" s="13" t="s">
        <v>3164</v>
      </c>
      <c r="J848" s="23" t="str">
        <f>HYPERLINK("CorLog\Reference\20150417 Reference ACRONYMS at COTC (RDC-to-RDC).msg", "ACRONYMS at COTC")</f>
        <v>ACRONYMS at COTC</v>
      </c>
      <c r="K848" s="25" t="s">
        <v>1211</v>
      </c>
      <c r="L848" s="19"/>
      <c r="M848" s="20"/>
      <c r="N848" s="21" t="s">
        <v>3165</v>
      </c>
    </row>
    <row r="849" spans="1:14">
      <c r="A849" s="12" t="s">
        <v>3166</v>
      </c>
      <c r="B849" s="13"/>
      <c r="C849" s="14"/>
      <c r="D849" s="15">
        <v>42111</v>
      </c>
      <c r="E849" s="16" t="s">
        <v>25</v>
      </c>
      <c r="F849" s="16" t="s">
        <v>21</v>
      </c>
      <c r="G849" s="17" t="s">
        <v>3167</v>
      </c>
      <c r="H849" s="17" t="s">
        <v>1895</v>
      </c>
      <c r="I849" s="13" t="s">
        <v>3168</v>
      </c>
      <c r="J849" s="18" t="str">
        <f>HYPERLINK("CorLog\GHA\Dagaare RTO\20150417 GHA Dagaare RTO Request for a Permanent Dagaare Translation Team (WHQ-to-GHA).docx", "Request for a Permanent Dagaare Translation Team")</f>
        <v>Request for a Permanent Dagaare Translation Team</v>
      </c>
      <c r="K849" s="18" t="str">
        <f>HYPERLINK("CorLog\GHA\Dagaare RTO\20150417 GHA Dagaare RTO Request for a Permanent Dagaare Translation Team (WHQ-to-GHA).zip", "Zipped (1)")</f>
        <v>Zipped (1)</v>
      </c>
      <c r="L849" s="19" t="s">
        <v>3169</v>
      </c>
      <c r="M849" s="20"/>
      <c r="N849" s="21" t="s">
        <v>3170</v>
      </c>
    </row>
    <row r="850" spans="1:14">
      <c r="A850" s="12" t="s">
        <v>3171</v>
      </c>
      <c r="B850" s="13"/>
      <c r="C850" s="14"/>
      <c r="D850" s="15">
        <v>42111</v>
      </c>
      <c r="E850" s="16" t="s">
        <v>25</v>
      </c>
      <c r="F850" s="16" t="s">
        <v>21</v>
      </c>
      <c r="G850" s="17" t="s">
        <v>1470</v>
      </c>
      <c r="H850" s="17" t="s">
        <v>1000</v>
      </c>
      <c r="I850" s="13" t="s">
        <v>3172</v>
      </c>
      <c r="J850" s="23" t="str">
        <f>HYPERLINK("CorLog\GHA\RTO Projects\20150417 GHA RTO Projects Approve Translation into Twi (Akuapem) and Twi (Asante) (WHQ-to-GHA).docx", "Approve Translation into Twi (Akuapem) and Twi (Asante)")</f>
        <v>Approve Translation into Twi (Akuapem) and Twi (Asante)</v>
      </c>
      <c r="K850" s="23"/>
      <c r="L850" s="19"/>
      <c r="M850" s="20"/>
      <c r="N850" s="21" t="s">
        <v>3173</v>
      </c>
    </row>
    <row r="851" spans="1:14">
      <c r="A851" s="12" t="s">
        <v>718</v>
      </c>
      <c r="B851" s="13" t="s">
        <v>837</v>
      </c>
      <c r="C851" s="14"/>
      <c r="D851" s="15">
        <v>42110.732638888891</v>
      </c>
      <c r="E851" s="16" t="s">
        <v>16</v>
      </c>
      <c r="F851" s="16" t="s">
        <v>18</v>
      </c>
      <c r="G851" s="17" t="s">
        <v>838</v>
      </c>
      <c r="H851" s="17" t="s">
        <v>1861</v>
      </c>
      <c r="I851" s="13" t="s">
        <v>3174</v>
      </c>
      <c r="J851" s="23" t="str">
        <f>HYPERLINK("CorLog\ZMB\Choma RTO\20150416 ZMB Choma RTO NLBR Draft -10360 A V Doors (DEU INC;17673) (RDC-to-ZMB).msg", "NLBR Draft -10360 A V Doors (DEU INC;17673)")</f>
        <v>NLBR Draft -10360 A V Doors (DEU INC;17673)</v>
      </c>
      <c r="K851" s="25" t="s">
        <v>1211</v>
      </c>
      <c r="L851" s="19"/>
      <c r="M851" s="20"/>
      <c r="N851" s="21" t="s">
        <v>3175</v>
      </c>
    </row>
    <row r="852" spans="1:14">
      <c r="A852" s="12" t="s">
        <v>718</v>
      </c>
      <c r="B852" s="13" t="s">
        <v>2431</v>
      </c>
      <c r="C852" s="14" t="s">
        <v>3176</v>
      </c>
      <c r="D852" s="15">
        <v>42110.717361111114</v>
      </c>
      <c r="E852" s="16" t="s">
        <v>16</v>
      </c>
      <c r="F852" s="16" t="s">
        <v>22</v>
      </c>
      <c r="G852" s="17" t="s">
        <v>785</v>
      </c>
      <c r="H852" s="17" t="s">
        <v>851</v>
      </c>
      <c r="I852" s="13" t="s">
        <v>3177</v>
      </c>
      <c r="J852" s="23" t="str">
        <f>HYPERLINK("CorLog\COD\Lubumbashi RTO\20150416 COD Lubumbashi RTO Earth works contract vs DCP testing (RDC-to-COD).msg", "Earth works contract vs DCP testing")</f>
        <v>Earth works contract vs DCP testing</v>
      </c>
      <c r="K852" s="25"/>
      <c r="L852" s="19"/>
      <c r="M852" s="20"/>
      <c r="N852" s="21" t="s">
        <v>3178</v>
      </c>
    </row>
    <row r="853" spans="1:14">
      <c r="A853" s="12" t="s">
        <v>718</v>
      </c>
      <c r="B853" s="13" t="s">
        <v>750</v>
      </c>
      <c r="C853" s="14" t="s">
        <v>3179</v>
      </c>
      <c r="D853" s="15">
        <v>42110.703252314815</v>
      </c>
      <c r="E853" s="16" t="s">
        <v>16</v>
      </c>
      <c r="F853" s="16" t="s">
        <v>16</v>
      </c>
      <c r="G853" s="17" t="s">
        <v>838</v>
      </c>
      <c r="H853" s="17" t="s">
        <v>3180</v>
      </c>
      <c r="I853" s="13" t="s">
        <v>3181</v>
      </c>
      <c r="J853" s="23" t="str">
        <f>HYPERLINK("CorLog\ZMB\Choma RTO\20150416 ZMB Choma RTO Photos of new style wall caps (RDC-to-RDC).msg", "Photos of new style wall caps")</f>
        <v>Photos of new style wall caps</v>
      </c>
      <c r="K853" s="25" t="s">
        <v>1211</v>
      </c>
      <c r="L853" s="19"/>
      <c r="M853" s="20"/>
      <c r="N853" s="21" t="s">
        <v>3182</v>
      </c>
    </row>
    <row r="854" spans="1:14">
      <c r="A854" s="12" t="s">
        <v>998</v>
      </c>
      <c r="B854" s="13" t="s">
        <v>3183</v>
      </c>
      <c r="C854" s="14"/>
      <c r="D854" s="15">
        <v>42110.671134259261</v>
      </c>
      <c r="E854" s="16" t="s">
        <v>17</v>
      </c>
      <c r="F854" s="16" t="s">
        <v>36</v>
      </c>
      <c r="G854" s="17" t="s">
        <v>767</v>
      </c>
      <c r="H854" s="17" t="s">
        <v>768</v>
      </c>
      <c r="I854" s="13" t="s">
        <v>3184</v>
      </c>
      <c r="J854" s="18" t="str">
        <f>HYPERLINK("CorLog\SEN\Branch\20150416 SEN Branch SEN FEV Notes 2015-04-15 docx (WDC-to-SEN).msg", "SEN FEV Notes 2015-04-15 docx")</f>
        <v>SEN FEV Notes 2015-04-15 docx</v>
      </c>
      <c r="K854" s="22"/>
      <c r="L854" s="19"/>
      <c r="M854" s="20"/>
      <c r="N854" s="21" t="s">
        <v>1407</v>
      </c>
    </row>
    <row r="855" spans="1:14">
      <c r="A855" s="12" t="s">
        <v>718</v>
      </c>
      <c r="B855" s="13" t="s">
        <v>717</v>
      </c>
      <c r="C855" s="14"/>
      <c r="D855" s="15">
        <v>42110.578472222223</v>
      </c>
      <c r="E855" s="16" t="s">
        <v>16</v>
      </c>
      <c r="F855" s="16" t="s">
        <v>16</v>
      </c>
      <c r="G855" s="17" t="s">
        <v>1941</v>
      </c>
      <c r="H855" s="17" t="s">
        <v>1000</v>
      </c>
      <c r="I855" s="13" t="s">
        <v>3185</v>
      </c>
      <c r="J855" s="23" t="str">
        <f>HYPERLINK("CorLog\COD\RTO Projects\20150416 COD RTO Projects List of current projects (RDC-to-RDC).msg", "List of current projects")</f>
        <v>List of current projects</v>
      </c>
      <c r="K855" s="25" t="s">
        <v>1243</v>
      </c>
      <c r="L855" s="19"/>
      <c r="M855" s="20"/>
      <c r="N855" s="21" t="s">
        <v>3186</v>
      </c>
    </row>
    <row r="856" spans="1:14">
      <c r="A856" s="12" t="s">
        <v>718</v>
      </c>
      <c r="B856" s="13" t="s">
        <v>757</v>
      </c>
      <c r="C856" s="14" t="s">
        <v>3187</v>
      </c>
      <c r="D856" s="15">
        <v>42110.57372685185</v>
      </c>
      <c r="E856" s="16" t="s">
        <v>16</v>
      </c>
      <c r="F856" s="16" t="s">
        <v>21</v>
      </c>
      <c r="G856" s="17" t="s">
        <v>880</v>
      </c>
      <c r="H856" s="17" t="s">
        <v>731</v>
      </c>
      <c r="I856" s="13" t="s">
        <v>3188</v>
      </c>
      <c r="J856" s="23" t="str">
        <f>HYPERLINK("CorLog\GHA\Kumasi RTO\20150416 GHA Kumasi RTO DC-41 1 &amp; 2 to be entered in Admin (RDC-to-GHA).msg", "DC-41 1 &amp; 2 to be entered in Admin")</f>
        <v>DC-41 1 &amp; 2 to be entered in Admin</v>
      </c>
      <c r="K856" s="25" t="s">
        <v>1274</v>
      </c>
      <c r="L856" s="19"/>
      <c r="M856" s="20"/>
      <c r="N856" s="21" t="s">
        <v>3189</v>
      </c>
    </row>
    <row r="857" spans="1:14">
      <c r="A857" s="12" t="s">
        <v>718</v>
      </c>
      <c r="B857" s="13" t="s">
        <v>742</v>
      </c>
      <c r="C857" s="14"/>
      <c r="D857" s="15">
        <v>42110.562280092592</v>
      </c>
      <c r="E857" s="16" t="s">
        <v>16</v>
      </c>
      <c r="F857" s="16" t="s">
        <v>16</v>
      </c>
      <c r="G857" s="17" t="s">
        <v>738</v>
      </c>
      <c r="H857" s="17" t="s">
        <v>3061</v>
      </c>
      <c r="I857" s="13" t="s">
        <v>3190</v>
      </c>
      <c r="J857" s="18" t="str">
        <f>HYPERLINK("CorLog\GHA\BEX 2\20150416 GHA BEX 2 Early procurement of kitchen &amp; laundry equipment (RDC-to-RDC).msg", "Early procurement of kitchen &amp; laundry equipment")</f>
        <v>Early procurement of kitchen &amp; laundry equipment</v>
      </c>
      <c r="K857" s="22"/>
      <c r="L857" s="19"/>
      <c r="M857" s="20"/>
      <c r="N857" s="21" t="s">
        <v>3191</v>
      </c>
    </row>
    <row r="858" spans="1:14">
      <c r="A858" s="12" t="s">
        <v>718</v>
      </c>
      <c r="B858" s="13" t="s">
        <v>1653</v>
      </c>
      <c r="C858" s="14" t="s">
        <v>3192</v>
      </c>
      <c r="D858" s="15">
        <v>42110.282280092593</v>
      </c>
      <c r="E858" s="16" t="s">
        <v>16</v>
      </c>
      <c r="F858" s="16" t="s">
        <v>21</v>
      </c>
      <c r="G858" s="17" t="s">
        <v>3193</v>
      </c>
      <c r="H858" s="17" t="s">
        <v>867</v>
      </c>
      <c r="I858" s="13" t="s">
        <v>3194</v>
      </c>
      <c r="J858" s="18" t="str">
        <f>HYPERLINK("CorLog\GHA\Bolgatanga RTO\20150416 GHA Bolgatanga RTO Cost of ISP; how to budget RTOs (RDC-to-GHA).msg", "Cost of ISP; how to budget RTOs")</f>
        <v>Cost of ISP; how to budget RTOs</v>
      </c>
      <c r="K858" s="22"/>
      <c r="L858" s="19"/>
      <c r="M858" s="20"/>
      <c r="N858" s="21" t="s">
        <v>3195</v>
      </c>
    </row>
    <row r="859" spans="1:14">
      <c r="A859" s="12" t="s">
        <v>837</v>
      </c>
      <c r="B859" s="13" t="s">
        <v>895</v>
      </c>
      <c r="C859" s="14" t="s">
        <v>3196</v>
      </c>
      <c r="D859" s="15">
        <v>42109.796469907407</v>
      </c>
      <c r="E859" s="16" t="s">
        <v>18</v>
      </c>
      <c r="F859" s="16" t="s">
        <v>18</v>
      </c>
      <c r="G859" s="17" t="s">
        <v>838</v>
      </c>
      <c r="H859" s="17" t="s">
        <v>829</v>
      </c>
      <c r="I859" s="13" t="s">
        <v>3197</v>
      </c>
      <c r="J859" s="23" t="str">
        <f>HYPERLINK("CorLog\ZMB\Choma RTO\20150415 ZMB Choma RTO NLBR 6295 and 6291 for choma (ZMB-to-ZMB).msg", "NLBR 6295 and 6291 for choma")</f>
        <v>NLBR 6295 and 6291 for choma</v>
      </c>
      <c r="K859" s="25" t="s">
        <v>1211</v>
      </c>
      <c r="L859" s="19"/>
      <c r="M859" s="20"/>
      <c r="N859" s="21" t="s">
        <v>3198</v>
      </c>
    </row>
    <row r="860" spans="1:14">
      <c r="A860" s="12" t="s">
        <v>724</v>
      </c>
      <c r="B860" s="13" t="s">
        <v>998</v>
      </c>
      <c r="C860" s="14" t="s">
        <v>3199</v>
      </c>
      <c r="D860" s="15">
        <v>42109.762245370373</v>
      </c>
      <c r="E860" s="16" t="s">
        <v>16</v>
      </c>
      <c r="F860" s="16" t="s">
        <v>17</v>
      </c>
      <c r="G860" s="17" t="s">
        <v>2133</v>
      </c>
      <c r="H860" s="17" t="s">
        <v>1015</v>
      </c>
      <c r="I860" s="13" t="s">
        <v>2346</v>
      </c>
      <c r="J860" s="18" t="str">
        <f>HYPERLINK("CorLog\ZMB\Kasama RTO\20150415 ZMB Kasama RTO Property Options in Kasama for the Cibema RTO (RDC-to-WDC).msg", "Property Options in Kasama for the Cibema RTO")</f>
        <v>Property Options in Kasama for the Cibema RTO</v>
      </c>
      <c r="K860" s="22"/>
      <c r="L860" s="19"/>
      <c r="M860" s="20"/>
      <c r="N860" s="21" t="s">
        <v>3200</v>
      </c>
    </row>
    <row r="861" spans="1:14">
      <c r="A861" s="12" t="s">
        <v>724</v>
      </c>
      <c r="B861" s="13" t="s">
        <v>1160</v>
      </c>
      <c r="C861" s="14"/>
      <c r="D861" s="15">
        <v>42109.681770833333</v>
      </c>
      <c r="E861" s="16" t="s">
        <v>16</v>
      </c>
      <c r="F861" s="16" t="s">
        <v>20</v>
      </c>
      <c r="G861" s="17" t="s">
        <v>2951</v>
      </c>
      <c r="H861" s="17" t="s">
        <v>3201</v>
      </c>
      <c r="I861" s="13" t="s">
        <v>3202</v>
      </c>
      <c r="J861" s="23" t="str">
        <f>HYPERLINK("CorLog\UGA\LDC\20150415 UGA LDC Kingdom Hall maintenance query (RDC-to-MOZ).msg", "Kingdom Hall maintenance query")</f>
        <v>Kingdom Hall maintenance query</v>
      </c>
      <c r="K861" s="25" t="s">
        <v>1243</v>
      </c>
      <c r="L861" s="19" t="s">
        <v>3203</v>
      </c>
      <c r="M861" s="20"/>
      <c r="N861" s="21" t="s">
        <v>3204</v>
      </c>
    </row>
    <row r="862" spans="1:14">
      <c r="A862" s="12" t="s">
        <v>842</v>
      </c>
      <c r="B862" s="13" t="s">
        <v>750</v>
      </c>
      <c r="C862" s="14" t="s">
        <v>3205</v>
      </c>
      <c r="D862" s="15">
        <v>42109.653090277781</v>
      </c>
      <c r="E862" s="16" t="s">
        <v>21</v>
      </c>
      <c r="F862" s="16" t="s">
        <v>16</v>
      </c>
      <c r="G862" s="17" t="s">
        <v>758</v>
      </c>
      <c r="H862" s="17" t="s">
        <v>1105</v>
      </c>
      <c r="I862" s="13" t="s">
        <v>2760</v>
      </c>
      <c r="J862" s="23" t="str">
        <f>HYPERLINK("CorLog\GHA\Viepe RTO\20150415 GHA Viepe RTO Laterite Test (Updated with new test results from SCS lab) (GHA-to-RDC).msg", "Laterite Test (Updated with new test results from SCS lab)")</f>
        <v>Laterite Test (Updated with new test results from SCS lab)</v>
      </c>
      <c r="K862" s="25" t="s">
        <v>3206</v>
      </c>
      <c r="L862" s="19"/>
      <c r="M862" s="20"/>
      <c r="N862" s="21" t="s">
        <v>3207</v>
      </c>
    </row>
    <row r="863" spans="1:14">
      <c r="A863" s="12" t="s">
        <v>842</v>
      </c>
      <c r="B863" s="13" t="s">
        <v>718</v>
      </c>
      <c r="C863" s="14" t="s">
        <v>827</v>
      </c>
      <c r="D863" s="15">
        <v>42109.636747685188</v>
      </c>
      <c r="E863" s="16" t="s">
        <v>21</v>
      </c>
      <c r="F863" s="16" t="s">
        <v>16</v>
      </c>
      <c r="G863" s="17" t="s">
        <v>738</v>
      </c>
      <c r="H863" s="17" t="s">
        <v>3208</v>
      </c>
      <c r="I863" s="13" t="s">
        <v>3209</v>
      </c>
      <c r="J863" s="23" t="str">
        <f>HYPERLINK("CorLog\GHA\BEX 2\20150415 GHA BEX 2 Kitchen equipment for Phase 2 (Information for PO) (GHA-to-RDC).msg", "Kitchen equipment for Phase 2 (Information for PO)")</f>
        <v>Kitchen equipment for Phase 2 (Information for PO)</v>
      </c>
      <c r="K863" s="25" t="s">
        <v>1243</v>
      </c>
      <c r="L863" s="19"/>
      <c r="M863" s="20"/>
      <c r="N863" s="21" t="s">
        <v>3210</v>
      </c>
    </row>
    <row r="864" spans="1:14">
      <c r="A864" s="12" t="s">
        <v>1181</v>
      </c>
      <c r="B864" s="13" t="s">
        <v>718</v>
      </c>
      <c r="C864" s="14"/>
      <c r="D864" s="15">
        <v>42109.559479166666</v>
      </c>
      <c r="E864" s="16" t="s">
        <v>16</v>
      </c>
      <c r="F864" s="16" t="s">
        <v>16</v>
      </c>
      <c r="G864" s="17" t="s">
        <v>3211</v>
      </c>
      <c r="H864" s="17" t="s">
        <v>3212</v>
      </c>
      <c r="I864" s="13" t="s">
        <v>3134</v>
      </c>
      <c r="J864" s="23" t="str">
        <f>HYPERLINK("CorLog\GHA\Dangme RTO\20150415 GHA Dangme RTO Google Earth KMZ; Somanya AH Options; ASSESS (RDC-to-RDC).msg", "Google Earth KMZ; Somanya AH Options; ASSESS")</f>
        <v>Google Earth KMZ; Somanya AH Options; ASSESS</v>
      </c>
      <c r="K864" s="25"/>
      <c r="L864" s="19"/>
      <c r="M864" s="20"/>
      <c r="N864" s="21" t="s">
        <v>3213</v>
      </c>
    </row>
    <row r="865" spans="1:14">
      <c r="A865" s="12" t="s">
        <v>718</v>
      </c>
      <c r="B865" s="13" t="s">
        <v>895</v>
      </c>
      <c r="C865" s="14" t="s">
        <v>724</v>
      </c>
      <c r="D865" s="15">
        <v>42109.551388888889</v>
      </c>
      <c r="E865" s="16" t="s">
        <v>16</v>
      </c>
      <c r="F865" s="16" t="s">
        <v>18</v>
      </c>
      <c r="G865" s="17" t="s">
        <v>2751</v>
      </c>
      <c r="H865" s="17" t="s">
        <v>1015</v>
      </c>
      <c r="I865" s="13" t="s">
        <v>2752</v>
      </c>
      <c r="J865" s="23" t="str">
        <f>HYPERLINK("CorLog\ZMB\Kasempa RTO\20150415 ZMB Kasempa RTO Translators unhappy with purchased location (RDC-to-ZMB).msg", "Translators unhappy with purchased location")</f>
        <v>Translators unhappy with purchased location</v>
      </c>
      <c r="K865" s="25" t="s">
        <v>1270</v>
      </c>
      <c r="L865" s="19"/>
      <c r="M865" s="20"/>
      <c r="N865" s="21" t="s">
        <v>3214</v>
      </c>
    </row>
    <row r="866" spans="1:14">
      <c r="A866" s="12" t="s">
        <v>718</v>
      </c>
      <c r="B866" s="13" t="s">
        <v>3215</v>
      </c>
      <c r="C866" s="14" t="s">
        <v>3216</v>
      </c>
      <c r="D866" s="15">
        <v>42109.456944444442</v>
      </c>
      <c r="E866" s="16" t="s">
        <v>16</v>
      </c>
      <c r="F866" s="16" t="s">
        <v>21</v>
      </c>
      <c r="G866" s="17" t="s">
        <v>738</v>
      </c>
      <c r="H866" s="17" t="s">
        <v>1846</v>
      </c>
      <c r="I866" s="13" t="s">
        <v>3040</v>
      </c>
      <c r="J866" s="23" t="str">
        <f>HYPERLINK("CorLog\GHA\BEX 2\20150415 GHA BEX 2 Conceptual Design Review (RDC-to-GHA).msg", "Conceptual Design Review")</f>
        <v>Conceptual Design Review</v>
      </c>
      <c r="K866" s="25" t="s">
        <v>1211</v>
      </c>
      <c r="L866" s="19"/>
      <c r="M866" s="20"/>
      <c r="N866" s="21" t="s">
        <v>3217</v>
      </c>
    </row>
    <row r="867" spans="1:14">
      <c r="A867" s="12" t="s">
        <v>750</v>
      </c>
      <c r="B867" s="13" t="s">
        <v>1176</v>
      </c>
      <c r="C867" s="14" t="s">
        <v>3218</v>
      </c>
      <c r="D867" s="15">
        <v>42109.381921296299</v>
      </c>
      <c r="E867" s="16" t="s">
        <v>16</v>
      </c>
      <c r="F867" s="16" t="s">
        <v>16</v>
      </c>
      <c r="G867" s="17" t="s">
        <v>979</v>
      </c>
      <c r="H867" s="17" t="s">
        <v>759</v>
      </c>
      <c r="I867" s="13" t="s">
        <v>3219</v>
      </c>
      <c r="J867" s="18" t="str">
        <f>HYPERLINK("CorLog\RTO\Projects\20150415 RTO Projects Simplification - Additional Points (SOLAR GEYSER Shift) (RDC-to-RDC).msg", "Simplification - Additional Points (SOLAR GEYSER Shift)")</f>
        <v>Simplification - Additional Points (SOLAR GEYSER Shift)</v>
      </c>
      <c r="K867" s="22" t="s">
        <v>747</v>
      </c>
      <c r="L867" s="19"/>
      <c r="M867" s="20"/>
      <c r="N867" s="21" t="s">
        <v>3220</v>
      </c>
    </row>
    <row r="868" spans="1:14">
      <c r="A868" s="12" t="s">
        <v>795</v>
      </c>
      <c r="B868" s="13" t="s">
        <v>3067</v>
      </c>
      <c r="C868" s="14" t="s">
        <v>718</v>
      </c>
      <c r="D868" s="15">
        <v>42109.36619212963</v>
      </c>
      <c r="E868" s="16" t="s">
        <v>16</v>
      </c>
      <c r="F868" s="16" t="s">
        <v>18</v>
      </c>
      <c r="G868" s="17" t="s">
        <v>946</v>
      </c>
      <c r="H868" s="17" t="s">
        <v>1489</v>
      </c>
      <c r="I868" s="13" t="s">
        <v>3221</v>
      </c>
      <c r="J868" s="23" t="str">
        <f>HYPERLINK("CorLog\ZMB\Mongu RTO\20150415 ZMB Mongu RTO PPR on roof to solar (RDC-to-ZMB).msg", "PPR on roof to solar")</f>
        <v>PPR on roof to solar</v>
      </c>
      <c r="K868" s="25"/>
      <c r="L868" s="19"/>
      <c r="M868" s="20"/>
      <c r="N868" s="21" t="s">
        <v>3222</v>
      </c>
    </row>
    <row r="869" spans="1:14">
      <c r="A869" s="12" t="s">
        <v>749</v>
      </c>
      <c r="B869" s="13" t="s">
        <v>3223</v>
      </c>
      <c r="C869" s="14" t="s">
        <v>3224</v>
      </c>
      <c r="D869" s="15">
        <v>42109.365335648145</v>
      </c>
      <c r="E869" s="16" t="s">
        <v>16</v>
      </c>
      <c r="F869" s="16" t="s">
        <v>23</v>
      </c>
      <c r="G869" s="17" t="s">
        <v>1752</v>
      </c>
      <c r="H869" s="17" t="s">
        <v>731</v>
      </c>
      <c r="I869" s="13" t="s">
        <v>3225</v>
      </c>
      <c r="J869" s="18" t="str">
        <f>HYPERLINK("CorLog\ZWE\Chiredzi RTO\20150415 ZWE Chiredzi RTO DC41 REVIEW COMMENTS (RDC-to-ZWE).msg", "DC41 REVIEW COMMENTS")</f>
        <v>DC41 REVIEW COMMENTS</v>
      </c>
      <c r="K869" s="22" t="s">
        <v>3226</v>
      </c>
      <c r="L869" s="19"/>
      <c r="M869" s="20"/>
      <c r="N869" s="21" t="s">
        <v>3227</v>
      </c>
    </row>
    <row r="870" spans="1:14">
      <c r="A870" s="12" t="s">
        <v>750</v>
      </c>
      <c r="B870" s="13" t="s">
        <v>2872</v>
      </c>
      <c r="C870" s="14" t="s">
        <v>3228</v>
      </c>
      <c r="D870" s="15">
        <v>42109.347500000003</v>
      </c>
      <c r="E870" s="16" t="s">
        <v>16</v>
      </c>
      <c r="F870" s="16" t="s">
        <v>17</v>
      </c>
      <c r="G870" s="17" t="s">
        <v>719</v>
      </c>
      <c r="H870" s="17" t="s">
        <v>759</v>
      </c>
      <c r="I870" s="13" t="s">
        <v>3229</v>
      </c>
      <c r="J870" s="18" t="str">
        <f>HYPERLINK("CorLog\Reference\20150415 Reference Double Story - RTO Approved Layout (RDC-to-WDC).msg", "Double Story - RTO Approved Layout")</f>
        <v>Double Story - RTO Approved Layout</v>
      </c>
      <c r="K870" s="22"/>
      <c r="L870" s="19"/>
      <c r="M870" s="20"/>
      <c r="N870" s="21" t="s">
        <v>3230</v>
      </c>
    </row>
    <row r="871" spans="1:14">
      <c r="A871" s="12" t="s">
        <v>837</v>
      </c>
      <c r="B871" s="13" t="s">
        <v>718</v>
      </c>
      <c r="C871" s="14"/>
      <c r="D871" s="15">
        <v>42108.874513888892</v>
      </c>
      <c r="E871" s="16" t="s">
        <v>18</v>
      </c>
      <c r="F871" s="16" t="s">
        <v>16</v>
      </c>
      <c r="G871" s="17" t="s">
        <v>838</v>
      </c>
      <c r="H871" s="17" t="s">
        <v>2333</v>
      </c>
      <c r="I871" s="13" t="s">
        <v>3231</v>
      </c>
      <c r="J871" s="23" t="str">
        <f>HYPERLINK("CorLog\ZMB\Choma RTO\20150414 ZMB Choma RTO Trades certification example (ZMB-to-RDC).msg", "Trades certification example")</f>
        <v>Trades certification example</v>
      </c>
      <c r="K871" s="25" t="s">
        <v>1270</v>
      </c>
      <c r="L871" s="19"/>
      <c r="M871" s="20"/>
      <c r="N871" s="21" t="s">
        <v>3232</v>
      </c>
    </row>
    <row r="872" spans="1:14">
      <c r="A872" s="12" t="s">
        <v>718</v>
      </c>
      <c r="B872" s="13" t="s">
        <v>3233</v>
      </c>
      <c r="C872" s="14" t="s">
        <v>3234</v>
      </c>
      <c r="D872" s="15">
        <v>42108.784722222219</v>
      </c>
      <c r="E872" s="16" t="s">
        <v>16</v>
      </c>
      <c r="F872" s="16" t="s">
        <v>36</v>
      </c>
      <c r="G872" s="17" t="s">
        <v>1091</v>
      </c>
      <c r="H872" s="17" t="s">
        <v>1227</v>
      </c>
      <c r="I872" s="13" t="s">
        <v>3235</v>
      </c>
      <c r="J872" s="23" t="str">
        <f>HYPERLINK("CorLog\SEN\LDC\20150414 SEN LDC Video Equipment for AH (RDC Review OK) (RDC-to-SEN).msg", "Video Equipment for AH (RDC Review OK)")</f>
        <v>Video Equipment for AH (RDC Review OK)</v>
      </c>
      <c r="K872" s="25" t="s">
        <v>1499</v>
      </c>
      <c r="L872" s="19"/>
      <c r="M872" s="20"/>
      <c r="N872" s="21" t="s">
        <v>3236</v>
      </c>
    </row>
    <row r="873" spans="1:14">
      <c r="A873" s="12" t="s">
        <v>718</v>
      </c>
      <c r="B873" s="13" t="s">
        <v>1337</v>
      </c>
      <c r="C873" s="14" t="s">
        <v>724</v>
      </c>
      <c r="D873" s="15">
        <v>42108.769444444442</v>
      </c>
      <c r="E873" s="16" t="s">
        <v>16</v>
      </c>
      <c r="F873" s="16" t="s">
        <v>18</v>
      </c>
      <c r="G873" s="17" t="s">
        <v>885</v>
      </c>
      <c r="H873" s="17" t="s">
        <v>829</v>
      </c>
      <c r="I873" s="13" t="s">
        <v>3237</v>
      </c>
      <c r="J873" s="23" t="str">
        <f>HYPERLINK("CorLog\ZMB\Kabompo RTO\20150414 ZMB Kabompo RTO RDC review of NLBR Fibreless wool 20150414 (RDC-to-ZMB).msg", "RDC review of NLBR Fibreless wool 20150414")</f>
        <v>RDC review of NLBR Fibreless wool 20150414</v>
      </c>
      <c r="K873" s="25" t="s">
        <v>1211</v>
      </c>
      <c r="L873" s="19"/>
      <c r="M873" s="20"/>
      <c r="N873" s="21" t="s">
        <v>3238</v>
      </c>
    </row>
    <row r="874" spans="1:14">
      <c r="A874" s="12" t="s">
        <v>718</v>
      </c>
      <c r="B874" s="13" t="s">
        <v>1529</v>
      </c>
      <c r="C874" s="14" t="s">
        <v>3239</v>
      </c>
      <c r="D874" s="15">
        <v>42108.761111111111</v>
      </c>
      <c r="E874" s="16" t="s">
        <v>16</v>
      </c>
      <c r="F874" s="16" t="s">
        <v>18</v>
      </c>
      <c r="G874" s="17" t="s">
        <v>946</v>
      </c>
      <c r="H874" s="17" t="s">
        <v>947</v>
      </c>
      <c r="I874" s="13" t="s">
        <v>3240</v>
      </c>
      <c r="J874" s="23" t="str">
        <f>HYPERLINK("CorLog\ZMB\Mongu RTO\20150414 ZMB Mongu RTO Recommend Paving up to Utility Building for better access to Tuffa tanks etc (APPROVED) (RDC-to-ZMB).msg", "Recommend Paving up to Utility Building for better access to Tuffa tanks etc (APPROVED)")</f>
        <v>Recommend Paving up to Utility Building for better access to Tuffa tanks etc (APPROVED)</v>
      </c>
      <c r="K874" s="25"/>
      <c r="L874" s="19"/>
      <c r="M874" s="20"/>
      <c r="N874" s="21" t="s">
        <v>3241</v>
      </c>
    </row>
    <row r="875" spans="1:14">
      <c r="A875" s="12" t="s">
        <v>718</v>
      </c>
      <c r="B875" s="13" t="s">
        <v>1529</v>
      </c>
      <c r="C875" s="14" t="s">
        <v>3242</v>
      </c>
      <c r="D875" s="15">
        <v>42108.754861111112</v>
      </c>
      <c r="E875" s="16" t="s">
        <v>16</v>
      </c>
      <c r="F875" s="16" t="s">
        <v>18</v>
      </c>
      <c r="G875" s="17" t="s">
        <v>946</v>
      </c>
      <c r="H875" s="17" t="s">
        <v>829</v>
      </c>
      <c r="I875" s="13" t="s">
        <v>3243</v>
      </c>
      <c r="J875" s="23" t="str">
        <f>HYPERLINK("CorLog\ZMB\Mongu RTO\20150414 ZMB Mongu RTO RDC review of NLBR Misc Items - Draft 10976 (RDC-to-ZMB).msg", "RDC review of NLBR Misc Items - Draft 10976")</f>
        <v>RDC review of NLBR Misc Items - Draft 10976</v>
      </c>
      <c r="K875" s="25" t="s">
        <v>1211</v>
      </c>
      <c r="L875" s="19"/>
      <c r="M875" s="20"/>
      <c r="N875" s="21" t="s">
        <v>3244</v>
      </c>
    </row>
    <row r="876" spans="1:14">
      <c r="A876" s="12" t="s">
        <v>750</v>
      </c>
      <c r="B876" s="13" t="s">
        <v>1761</v>
      </c>
      <c r="C876" s="14"/>
      <c r="D876" s="15">
        <v>42108.739722222221</v>
      </c>
      <c r="E876" s="16" t="s">
        <v>16</v>
      </c>
      <c r="F876" s="16" t="s">
        <v>16</v>
      </c>
      <c r="G876" s="17" t="s">
        <v>979</v>
      </c>
      <c r="H876" s="17" t="s">
        <v>791</v>
      </c>
      <c r="I876" s="13" t="s">
        <v>3245</v>
      </c>
      <c r="J876" s="23" t="str">
        <f>HYPERLINK("CorLog\RTO\Projects\20150414 RTO Projects 'Lessons Learned' RTOs - Massinga &amp; Chintheche (RDC-to-RDC).msg", "'Lessons Learned' RTOs - Massinga &amp; Chintheche")</f>
        <v>'Lessons Learned' RTOs - Massinga &amp; Chintheche</v>
      </c>
      <c r="K876" s="25" t="s">
        <v>1243</v>
      </c>
      <c r="L876" s="19"/>
      <c r="M876" s="20"/>
      <c r="N876" s="21" t="s">
        <v>3246</v>
      </c>
    </row>
    <row r="877" spans="1:14">
      <c r="A877" s="12" t="s">
        <v>750</v>
      </c>
      <c r="B877" s="13" t="s">
        <v>1181</v>
      </c>
      <c r="C877" s="14" t="s">
        <v>3247</v>
      </c>
      <c r="D877" s="15">
        <v>42108.729513888888</v>
      </c>
      <c r="E877" s="16" t="s">
        <v>16</v>
      </c>
      <c r="F877" s="16" t="s">
        <v>16</v>
      </c>
      <c r="G877" s="17" t="s">
        <v>3248</v>
      </c>
      <c r="H877" s="17" t="s">
        <v>1707</v>
      </c>
      <c r="I877" s="13" t="s">
        <v>3249</v>
      </c>
      <c r="J877" s="23" t="str">
        <f>HYPERLINK("CorLog\MWI\Chintheche RTO\20150414 MWI Chintheche RTO Noise Levels dBa in Rec Studio (RDC-to-RDC).msg", "Noise Levels dBa in Rec Studio")</f>
        <v>Noise Levels dBa in Rec Studio</v>
      </c>
      <c r="K877" s="25"/>
      <c r="L877" s="19"/>
      <c r="M877" s="20"/>
      <c r="N877" s="21" t="s">
        <v>3250</v>
      </c>
    </row>
    <row r="878" spans="1:14">
      <c r="A878" s="12" t="s">
        <v>718</v>
      </c>
      <c r="B878" s="13" t="s">
        <v>742</v>
      </c>
      <c r="C878" s="14"/>
      <c r="D878" s="15">
        <v>42108.69363425926</v>
      </c>
      <c r="E878" s="16" t="s">
        <v>16</v>
      </c>
      <c r="F878" s="16" t="s">
        <v>16</v>
      </c>
      <c r="G878" s="17" t="s">
        <v>864</v>
      </c>
      <c r="H878" s="17" t="s">
        <v>3251</v>
      </c>
      <c r="I878" s="13" t="s">
        <v>3252</v>
      </c>
      <c r="J878" s="18" t="str">
        <f>HYPERLINK("CorLog\COD\Choral Studio\20150414 COD Choral Studio Smaller recording rooms proposal (type A) (RDC-to-RDC).msg", "Smaller recording rooms proposal (type A)")</f>
        <v>Smaller recording rooms proposal (type A)</v>
      </c>
      <c r="K878" s="22"/>
      <c r="L878" s="19"/>
      <c r="M878" s="20"/>
      <c r="N878" s="21" t="s">
        <v>3253</v>
      </c>
    </row>
    <row r="879" spans="1:14">
      <c r="A879" s="12" t="s">
        <v>750</v>
      </c>
      <c r="B879" s="13" t="s">
        <v>757</v>
      </c>
      <c r="C879" s="14" t="s">
        <v>3254</v>
      </c>
      <c r="D879" s="15">
        <v>42108.627141203702</v>
      </c>
      <c r="E879" s="16" t="s">
        <v>16</v>
      </c>
      <c r="F879" s="16" t="s">
        <v>21</v>
      </c>
      <c r="G879" s="17" t="s">
        <v>758</v>
      </c>
      <c r="H879" s="17" t="s">
        <v>3255</v>
      </c>
      <c r="I879" s="13" t="s">
        <v>3256</v>
      </c>
      <c r="J879" s="23" t="str">
        <f>HYPERLINK("CorLog\GHA\Viepe RTO\20150414 GHA Viepe RTO Fill Material Needed - Under footings and SOG (RDC-to-GHA).msg", "Fill Material Needed - Under footings and SOG")</f>
        <v>Fill Material Needed - Under footings and SOG</v>
      </c>
      <c r="K879" s="25" t="s">
        <v>3257</v>
      </c>
      <c r="L879" s="19"/>
      <c r="M879" s="20"/>
      <c r="N879" s="21" t="s">
        <v>3258</v>
      </c>
    </row>
    <row r="880" spans="1:14">
      <c r="A880" s="12" t="s">
        <v>718</v>
      </c>
      <c r="B880" s="13" t="s">
        <v>2541</v>
      </c>
      <c r="C880" s="14"/>
      <c r="D880" s="15">
        <v>42108.465277777781</v>
      </c>
      <c r="E880" s="16" t="s">
        <v>16</v>
      </c>
      <c r="F880" s="16" t="s">
        <v>15</v>
      </c>
      <c r="G880" s="17" t="s">
        <v>719</v>
      </c>
      <c r="H880" s="17" t="s">
        <v>2242</v>
      </c>
      <c r="I880" s="13" t="s">
        <v>3259</v>
      </c>
      <c r="J880" s="23" t="str">
        <f>HYPERLINK("CorLog\Reference\20150414 Reference Symon Bent Passport photo (RDC-to-ZAF).msg", "Symon Bent Passport photo")</f>
        <v>Symon Bent Passport photo</v>
      </c>
      <c r="K880" s="25" t="s">
        <v>1211</v>
      </c>
      <c r="L880" s="19"/>
      <c r="M880" s="20"/>
      <c r="N880" s="21" t="s">
        <v>3260</v>
      </c>
    </row>
    <row r="881" spans="1:14">
      <c r="A881" s="12" t="s">
        <v>3261</v>
      </c>
      <c r="B881" s="13" t="s">
        <v>718</v>
      </c>
      <c r="C881" s="14"/>
      <c r="D881" s="15">
        <v>42108.376932870371</v>
      </c>
      <c r="E881" s="16"/>
      <c r="F881" s="16" t="s">
        <v>16</v>
      </c>
      <c r="G881" s="17" t="s">
        <v>2050</v>
      </c>
      <c r="H881" s="17" t="s">
        <v>2242</v>
      </c>
      <c r="I881" s="13" t="s">
        <v>3262</v>
      </c>
      <c r="J881" s="18" t="str">
        <f>HYPERLINK("CorLog\Info\20150414 Info Passport photo, Symon (-to-RDC).msg", "Passport photo, Symon")</f>
        <v>Passport photo, Symon</v>
      </c>
      <c r="K881" s="22"/>
      <c r="L881" s="19"/>
      <c r="M881" s="20"/>
      <c r="N881" s="21" t="s">
        <v>3263</v>
      </c>
    </row>
    <row r="882" spans="1:14">
      <c r="A882" s="12" t="s">
        <v>717</v>
      </c>
      <c r="B882" s="13" t="s">
        <v>742</v>
      </c>
      <c r="C882" s="14" t="s">
        <v>718</v>
      </c>
      <c r="D882" s="15">
        <v>42108.214189814818</v>
      </c>
      <c r="E882" s="16" t="s">
        <v>16</v>
      </c>
      <c r="F882" s="16" t="s">
        <v>16</v>
      </c>
      <c r="G882" s="17" t="s">
        <v>1849</v>
      </c>
      <c r="H882" s="17" t="s">
        <v>2384</v>
      </c>
      <c r="I882" s="13" t="s">
        <v>3264</v>
      </c>
      <c r="J882" s="18" t="str">
        <f>HYPERLINK("CorLog\AGO\Luanda South AH\20150414 AGO Luanda South AH Status update (RDC-to-RDC).msg", "Status update")</f>
        <v>Status update</v>
      </c>
      <c r="K882" s="22"/>
      <c r="L882" s="19"/>
      <c r="M882" s="20"/>
      <c r="N882" s="21" t="s">
        <v>3265</v>
      </c>
    </row>
    <row r="883" spans="1:14">
      <c r="A883" s="12" t="s">
        <v>3266</v>
      </c>
      <c r="B883" s="13"/>
      <c r="C883" s="14"/>
      <c r="D883" s="15">
        <v>42108</v>
      </c>
      <c r="E883" s="16" t="s">
        <v>21</v>
      </c>
      <c r="F883" s="16" t="s">
        <v>25</v>
      </c>
      <c r="G883" s="17" t="s">
        <v>1470</v>
      </c>
      <c r="H883" s="17" t="s">
        <v>3267</v>
      </c>
      <c r="I883" s="13" t="s">
        <v>3268</v>
      </c>
      <c r="J883" s="23" t="str">
        <f>HYPERLINK("CorLog\GHA\RTO Projects\20150414 GHA RTO Projects Requesting Whisperrooms and Recording Workstations for new RTOs (GHA-to-WHQ).docx", "Requesting Whisperrooms and Recording Workstations for new RTOs")</f>
        <v>Requesting Whisperrooms and Recording Workstations for new RTOs</v>
      </c>
      <c r="K883" s="23"/>
      <c r="L883" s="19"/>
      <c r="M883" s="20"/>
      <c r="N883" s="21" t="s">
        <v>3269</v>
      </c>
    </row>
    <row r="884" spans="1:14">
      <c r="A884" s="12" t="s">
        <v>778</v>
      </c>
      <c r="B884" s="13" t="s">
        <v>3270</v>
      </c>
      <c r="C884" s="14" t="s">
        <v>3271</v>
      </c>
      <c r="D884" s="15">
        <v>42107.714884259258</v>
      </c>
      <c r="E884" s="16" t="s">
        <v>17</v>
      </c>
      <c r="F884" s="16" t="s">
        <v>29</v>
      </c>
      <c r="G884" s="17" t="s">
        <v>2022</v>
      </c>
      <c r="H884" s="17" t="s">
        <v>3272</v>
      </c>
      <c r="I884" s="13" t="s">
        <v>3273</v>
      </c>
      <c r="J884" s="23" t="str">
        <f>HYPERLINK("CorLog\Directive\20150413 Directive DC-61 CCM template, open close in prayer (WDC-to-DEU).msg", "DC-61 CCM template, open close in prayer")</f>
        <v>DC-61 CCM template, open close in prayer</v>
      </c>
      <c r="K884" s="25" t="s">
        <v>1211</v>
      </c>
      <c r="L884" s="19"/>
      <c r="M884" s="20"/>
      <c r="N884" s="21" t="s">
        <v>3274</v>
      </c>
    </row>
    <row r="885" spans="1:14">
      <c r="A885" s="12" t="s">
        <v>795</v>
      </c>
      <c r="B885" s="13" t="s">
        <v>718</v>
      </c>
      <c r="C885" s="14" t="s">
        <v>717</v>
      </c>
      <c r="D885" s="15">
        <v>42107.692141203705</v>
      </c>
      <c r="E885" s="16" t="s">
        <v>16</v>
      </c>
      <c r="F885" s="16" t="s">
        <v>16</v>
      </c>
      <c r="G885" s="17" t="s">
        <v>785</v>
      </c>
      <c r="H885" s="17" t="s">
        <v>3275</v>
      </c>
      <c r="I885" s="13" t="s">
        <v>3276</v>
      </c>
      <c r="J885" s="23" t="str">
        <f>HYPERLINK("CorLog\COD\Lubumbashi RTO\20150413 COD Lubumbashi RTO Status of water treatment system from UK (RDC-to-RDC).msg", "Status of water treatment system from UK")</f>
        <v>Status of water treatment system from UK</v>
      </c>
      <c r="K885" s="25" t="s">
        <v>1211</v>
      </c>
      <c r="L885" s="19"/>
      <c r="M885" s="20"/>
      <c r="N885" s="21" t="s">
        <v>3277</v>
      </c>
    </row>
    <row r="886" spans="1:14">
      <c r="A886" s="12" t="s">
        <v>718</v>
      </c>
      <c r="B886" s="13" t="s">
        <v>1653</v>
      </c>
      <c r="C886" s="14" t="s">
        <v>3278</v>
      </c>
      <c r="D886" s="15">
        <v>42107.659722222219</v>
      </c>
      <c r="E886" s="16" t="s">
        <v>16</v>
      </c>
      <c r="F886" s="16" t="s">
        <v>21</v>
      </c>
      <c r="G886" s="17" t="s">
        <v>823</v>
      </c>
      <c r="H886" s="17" t="s">
        <v>2207</v>
      </c>
      <c r="I886" s="13" t="s">
        <v>3279</v>
      </c>
      <c r="J886" s="23" t="str">
        <f>HYPERLINK("CorLog\GHA\LDC\20150413 GHA LDC TECHNICAL REVIEW GHA DC-41 Ghana AH Swedru DC-41 approved (RDC-to-GHA).msg", "Ghana AH Swedru DC-41 approved")</f>
        <v>Ghana AH Swedru DC-41 approved</v>
      </c>
      <c r="K886" s="25" t="s">
        <v>1270</v>
      </c>
      <c r="L886" s="19"/>
      <c r="M886" s="20"/>
      <c r="N886" s="21" t="s">
        <v>3280</v>
      </c>
    </row>
    <row r="887" spans="1:14">
      <c r="A887" s="12" t="s">
        <v>718</v>
      </c>
      <c r="B887" s="13" t="s">
        <v>1069</v>
      </c>
      <c r="C887" s="14" t="s">
        <v>1399</v>
      </c>
      <c r="D887" s="15">
        <v>42107.656944444447</v>
      </c>
      <c r="E887" s="16" t="s">
        <v>16</v>
      </c>
      <c r="F887" s="16" t="s">
        <v>18</v>
      </c>
      <c r="G887" s="17" t="s">
        <v>1070</v>
      </c>
      <c r="H887" s="17" t="s">
        <v>829</v>
      </c>
      <c r="I887" s="13" t="s">
        <v>3281</v>
      </c>
      <c r="J887" s="23" t="str">
        <f>HYPERLINK("CorLog\ZMB\Katete RTO\20150413 ZMB Katete RTO RDC review of Draft NLBR; REQ 520-11145; Wheelbarrow Tires and Chairs; 2015 0413 (RDC-to-ZMB).msg", "RDC review of Draft NLBR; REQ 520-11145; Wheelbarrow Tires and Chairs; 2015 0413")</f>
        <v>RDC review of Draft NLBR; REQ 520-11145; Wheelbarrow Tires and Chairs; 2015 0413</v>
      </c>
      <c r="K887" s="25" t="s">
        <v>1211</v>
      </c>
      <c r="L887" s="19"/>
      <c r="M887" s="20"/>
      <c r="N887" s="21" t="s">
        <v>3282</v>
      </c>
    </row>
    <row r="888" spans="1:14">
      <c r="A888" s="12" t="s">
        <v>749</v>
      </c>
      <c r="B888" s="13" t="s">
        <v>717</v>
      </c>
      <c r="C888" s="14" t="s">
        <v>3283</v>
      </c>
      <c r="D888" s="15">
        <v>42107.614421296297</v>
      </c>
      <c r="E888" s="16" t="s">
        <v>16</v>
      </c>
      <c r="F888" s="16" t="s">
        <v>16</v>
      </c>
      <c r="G888" s="17" t="s">
        <v>802</v>
      </c>
      <c r="H888" s="17" t="s">
        <v>759</v>
      </c>
      <c r="I888" s="13" t="s">
        <v>3284</v>
      </c>
      <c r="J888" s="18" t="str">
        <f>HYPERLINK("CorLog\ZWE\Bulawayo RTO\20150413 ZWE Bulawayo RTO 2015-04-13 ZWE07 Bulawayo RES Building and Laundry Requirements (RDC-to-RDC).msg", "2015-04-13 ZWE07 Bulawayo RES Building and Laundry Requirements")</f>
        <v>2015-04-13 ZWE07 Bulawayo RES Building and Laundry Requirements</v>
      </c>
      <c r="K888" s="22"/>
      <c r="L888" s="19"/>
      <c r="M888" s="20"/>
      <c r="N888" s="21" t="s">
        <v>3285</v>
      </c>
    </row>
    <row r="889" spans="1:14">
      <c r="A889" s="12" t="s">
        <v>2320</v>
      </c>
      <c r="B889" s="13" t="s">
        <v>717</v>
      </c>
      <c r="C889" s="14" t="s">
        <v>3286</v>
      </c>
      <c r="D889" s="15">
        <v>42107.587685185186</v>
      </c>
      <c r="E889" s="16" t="s">
        <v>23</v>
      </c>
      <c r="F889" s="16" t="s">
        <v>16</v>
      </c>
      <c r="G889" s="17" t="s">
        <v>813</v>
      </c>
      <c r="H889" s="17" t="s">
        <v>2784</v>
      </c>
      <c r="I889" s="13" t="s">
        <v>3287</v>
      </c>
      <c r="J889" s="23" t="str">
        <f>HYPERLINK("CorLog\ZWE\LDC\20150413 ZWE LDC Zimbabwe KH Standard drawings (ZWE-to-RDC).msg", "Zimbabwe KH Standard drawings")</f>
        <v>Zimbabwe KH Standard drawings</v>
      </c>
      <c r="K889" s="25" t="s">
        <v>1499</v>
      </c>
      <c r="L889" s="19"/>
      <c r="M889" s="20"/>
      <c r="N889" s="21" t="s">
        <v>3288</v>
      </c>
    </row>
    <row r="890" spans="1:14">
      <c r="A890" s="12" t="s">
        <v>750</v>
      </c>
      <c r="B890" s="13" t="s">
        <v>1818</v>
      </c>
      <c r="C890" s="14" t="s">
        <v>3289</v>
      </c>
      <c r="D890" s="15">
        <v>42107.484606481485</v>
      </c>
      <c r="E890" s="16" t="s">
        <v>16</v>
      </c>
      <c r="F890" s="16" t="s">
        <v>16</v>
      </c>
      <c r="G890" s="17" t="s">
        <v>979</v>
      </c>
      <c r="H890" s="17" t="s">
        <v>1277</v>
      </c>
      <c r="I890" s="13" t="s">
        <v>3290</v>
      </c>
      <c r="J890" s="23" t="str">
        <f>HYPERLINK("CorLog\RTO\Projects\20150413 RTO Projects BIO System - e-mails back and forth (RDC-to-RDC).msg", "BIO System - e-mails back and forth")</f>
        <v>BIO System - e-mails back and forth</v>
      </c>
      <c r="K890" s="25"/>
      <c r="L890" s="19"/>
      <c r="M890" s="20"/>
      <c r="N890" s="21" t="s">
        <v>3291</v>
      </c>
    </row>
    <row r="891" spans="1:14">
      <c r="A891" s="12" t="s">
        <v>724</v>
      </c>
      <c r="B891" s="13" t="s">
        <v>3292</v>
      </c>
      <c r="C891" s="14" t="s">
        <v>3293</v>
      </c>
      <c r="D891" s="15">
        <v>42106.951331018521</v>
      </c>
      <c r="E891" s="16" t="s">
        <v>16</v>
      </c>
      <c r="F891" s="16" t="s">
        <v>38</v>
      </c>
      <c r="G891" s="17" t="s">
        <v>30</v>
      </c>
      <c r="H891" s="17" t="s">
        <v>871</v>
      </c>
      <c r="I891" s="13" t="s">
        <v>3294</v>
      </c>
      <c r="J891" s="23" t="str">
        <f>HYPERLINK("CorLog\ALL\20150412 ALL Bathroom Trailers Draft JW ORG Postings (RDC-to-HKG).msg", "Bathroom Trailers Draft JW ORG Postings")</f>
        <v>Bathroom Trailers Draft JW ORG Postings</v>
      </c>
      <c r="K891" s="25" t="s">
        <v>1499</v>
      </c>
      <c r="L891" s="19"/>
      <c r="M891" s="20"/>
      <c r="N891" s="21" t="s">
        <v>3295</v>
      </c>
    </row>
    <row r="892" spans="1:14">
      <c r="A892" s="12" t="s">
        <v>3296</v>
      </c>
      <c r="B892" s="13" t="s">
        <v>717</v>
      </c>
      <c r="C892" s="14" t="s">
        <v>3297</v>
      </c>
      <c r="D892" s="15">
        <v>42105.239085648151</v>
      </c>
      <c r="E892" s="16" t="s">
        <v>15</v>
      </c>
      <c r="F892" s="16" t="s">
        <v>16</v>
      </c>
      <c r="G892" s="17" t="s">
        <v>719</v>
      </c>
      <c r="H892" s="17" t="s">
        <v>1305</v>
      </c>
      <c r="I892" s="13" t="s">
        <v>3298</v>
      </c>
      <c r="J892" s="23" t="str">
        <f>HYPERLINK("CorLog\Reference\20150411 Reference Unmanaged Laptop Specifications and Usage (ZAF-to-RDC).msg", "Unmanaged Laptop Specifications and Usage")</f>
        <v>Unmanaged Laptop Specifications and Usage</v>
      </c>
      <c r="K892" s="25" t="s">
        <v>1211</v>
      </c>
      <c r="L892" s="19"/>
      <c r="M892" s="20"/>
      <c r="N892" s="21" t="s">
        <v>3299</v>
      </c>
    </row>
    <row r="893" spans="1:14">
      <c r="A893" s="12" t="s">
        <v>718</v>
      </c>
      <c r="B893" s="13" t="s">
        <v>827</v>
      </c>
      <c r="C893" s="14" t="s">
        <v>3300</v>
      </c>
      <c r="D893" s="15">
        <v>42104.679166666669</v>
      </c>
      <c r="E893" s="16" t="s">
        <v>16</v>
      </c>
      <c r="F893" s="16" t="s">
        <v>21</v>
      </c>
      <c r="G893" s="17" t="s">
        <v>738</v>
      </c>
      <c r="H893" s="17" t="s">
        <v>1819</v>
      </c>
      <c r="I893" s="13" t="s">
        <v>3042</v>
      </c>
      <c r="J893" s="23" t="str">
        <f>HYPERLINK("CorLog\GHA\BEX 2\20150410 GHA BEX 2 Review of Open Channel Concept Design (PDFs) (RDC-to-GHA).msg", "Review of Open Channel Concept Design (PDFs)")</f>
        <v>Review of Open Channel Concept Design (PDFs)</v>
      </c>
      <c r="K893" s="25" t="s">
        <v>1369</v>
      </c>
      <c r="L893" s="19"/>
      <c r="M893" s="20"/>
      <c r="N893" s="21" t="s">
        <v>3301</v>
      </c>
    </row>
    <row r="894" spans="1:14">
      <c r="A894" s="12" t="s">
        <v>757</v>
      </c>
      <c r="B894" s="13" t="s">
        <v>718</v>
      </c>
      <c r="C894" s="14" t="s">
        <v>3302</v>
      </c>
      <c r="D894" s="15">
        <v>42104.657349537039</v>
      </c>
      <c r="E894" s="16" t="s">
        <v>21</v>
      </c>
      <c r="F894" s="16" t="s">
        <v>16</v>
      </c>
      <c r="G894" s="17" t="s">
        <v>1470</v>
      </c>
      <c r="H894" s="17" t="s">
        <v>3303</v>
      </c>
      <c r="I894" s="13" t="s">
        <v>3304</v>
      </c>
      <c r="J894" s="23" t="str">
        <f>HYPERLINK("CorLog\GHA\RTO Projects\20150410 GHA RTO Projects Use of Wood Trusses instead of Mitek (Possible) (GHA-to-RDC).msg", "Use of Wood Trusses instead of Mitek (Possible)")</f>
        <v>Use of Wood Trusses instead of Mitek (Possible)</v>
      </c>
      <c r="K894" s="25"/>
      <c r="L894" s="19"/>
      <c r="M894" s="20"/>
      <c r="N894" s="21" t="s">
        <v>3305</v>
      </c>
    </row>
    <row r="895" spans="1:14">
      <c r="A895" s="12" t="s">
        <v>718</v>
      </c>
      <c r="B895" s="13" t="s">
        <v>757</v>
      </c>
      <c r="C895" s="14" t="s">
        <v>3302</v>
      </c>
      <c r="D895" s="15">
        <v>42104.593055555553</v>
      </c>
      <c r="E895" s="16" t="s">
        <v>16</v>
      </c>
      <c r="F895" s="16" t="s">
        <v>21</v>
      </c>
      <c r="G895" s="17" t="s">
        <v>1470</v>
      </c>
      <c r="H895" s="17" t="s">
        <v>3303</v>
      </c>
      <c r="I895" s="13" t="s">
        <v>3304</v>
      </c>
      <c r="J895" s="23" t="str">
        <f>HYPERLINK("CorLog\GHA\RTO Projects\20150410 GHA RTO Projects Use of Wood Trusses instead of Mitek (Possible) (RDC-to-GHA).msg", "Use of Wood Trusses instead of Mitek (Possible)")</f>
        <v>Use of Wood Trusses instead of Mitek (Possible)</v>
      </c>
      <c r="K895" s="25"/>
      <c r="L895" s="19"/>
      <c r="M895" s="20"/>
      <c r="N895" s="21" t="s">
        <v>3306</v>
      </c>
    </row>
    <row r="896" spans="1:14">
      <c r="A896" s="12" t="s">
        <v>750</v>
      </c>
      <c r="B896" s="13" t="s">
        <v>1069</v>
      </c>
      <c r="C896" s="14" t="s">
        <v>3307</v>
      </c>
      <c r="D896" s="15">
        <v>42104.580752314818</v>
      </c>
      <c r="E896" s="16" t="s">
        <v>16</v>
      </c>
      <c r="F896" s="16" t="s">
        <v>18</v>
      </c>
      <c r="G896" s="17" t="s">
        <v>1070</v>
      </c>
      <c r="H896" s="17" t="s">
        <v>851</v>
      </c>
      <c r="I896" s="13" t="s">
        <v>3308</v>
      </c>
      <c r="J896" s="23" t="str">
        <f>HYPERLINK("CorLog\ZMB\Katete RTO\20150410 ZMB Katete RTO Office Slab DCP 20150407 (RDC-to-ZMB).msg", "Office Slab DCP 20150407")</f>
        <v>Office Slab DCP 20150407</v>
      </c>
      <c r="K896" s="25" t="s">
        <v>1211</v>
      </c>
      <c r="L896" s="19"/>
      <c r="M896" s="20"/>
      <c r="N896" s="21" t="s">
        <v>3309</v>
      </c>
    </row>
    <row r="897" spans="1:14">
      <c r="A897" s="12" t="s">
        <v>718</v>
      </c>
      <c r="B897" s="13" t="s">
        <v>842</v>
      </c>
      <c r="C897" s="14" t="s">
        <v>3310</v>
      </c>
      <c r="D897" s="15">
        <v>42104.490972222222</v>
      </c>
      <c r="E897" s="16" t="s">
        <v>16</v>
      </c>
      <c r="F897" s="16" t="s">
        <v>21</v>
      </c>
      <c r="G897" s="17" t="s">
        <v>738</v>
      </c>
      <c r="H897" s="17" t="s">
        <v>867</v>
      </c>
      <c r="I897" s="13" t="s">
        <v>3311</v>
      </c>
      <c r="J897" s="18" t="str">
        <f>HYPERLINK("CorLog\GHA\BEX 2\20150410 GHA BEX 2 Swimming Pool Quotation Needed (RDC-to-GHA).msg", "Swimming Pool Quotation Needed")</f>
        <v>Swimming Pool Quotation Needed</v>
      </c>
      <c r="K897" s="22"/>
      <c r="L897" s="19"/>
      <c r="M897" s="20"/>
      <c r="N897" s="21" t="s">
        <v>3312</v>
      </c>
    </row>
    <row r="898" spans="1:14">
      <c r="A898" s="12" t="s">
        <v>750</v>
      </c>
      <c r="B898" s="13" t="s">
        <v>718</v>
      </c>
      <c r="C898" s="14" t="s">
        <v>3313</v>
      </c>
      <c r="D898" s="15">
        <v>42104.490856481483</v>
      </c>
      <c r="E898" s="16" t="s">
        <v>16</v>
      </c>
      <c r="F898" s="16" t="s">
        <v>16</v>
      </c>
      <c r="G898" s="17" t="s">
        <v>738</v>
      </c>
      <c r="H898" s="17" t="s">
        <v>3314</v>
      </c>
      <c r="I898" s="13" t="s">
        <v>3315</v>
      </c>
      <c r="J898" s="23" t="str">
        <f>HYPERLINK("CorLog\GHA\BEX 2\20150410 GHA BEX 2 CIVIL - Additional Info for WSP (Sidewalks; Trucks; Precast) (RDC-to-RDC).msg", "CIVIL - Additional Info for WSP (Sidewalks; Trucks; Precast)")</f>
        <v>CIVIL - Additional Info for WSP (Sidewalks; Trucks; Precast)</v>
      </c>
      <c r="K898" s="25"/>
      <c r="L898" s="19"/>
      <c r="M898" s="20"/>
      <c r="N898" s="21" t="s">
        <v>3316</v>
      </c>
    </row>
    <row r="899" spans="1:14">
      <c r="A899" s="12" t="s">
        <v>964</v>
      </c>
      <c r="B899" s="13" t="s">
        <v>717</v>
      </c>
      <c r="C899" s="14" t="s">
        <v>3317</v>
      </c>
      <c r="D899" s="15">
        <v>42104.48877314815</v>
      </c>
      <c r="E899" s="16" t="s">
        <v>16</v>
      </c>
      <c r="F899" s="16" t="s">
        <v>16</v>
      </c>
      <c r="G899" s="17" t="s">
        <v>30</v>
      </c>
      <c r="H899" s="17" t="s">
        <v>764</v>
      </c>
      <c r="I899" s="13" t="s">
        <v>2280</v>
      </c>
      <c r="J899" s="23" t="str">
        <f>HYPERLINK("CorLog\ALL\20150410 ALL Video Systems for Kingdom Halls (RDC-to-RDC).msg", "Video Systems for Kingdom Halls")</f>
        <v>Video Systems for Kingdom Halls</v>
      </c>
      <c r="K899" s="25" t="s">
        <v>1243</v>
      </c>
      <c r="L899" s="19"/>
      <c r="M899" s="20"/>
      <c r="N899" s="21" t="s">
        <v>3318</v>
      </c>
    </row>
    <row r="900" spans="1:14">
      <c r="A900" s="12" t="s">
        <v>718</v>
      </c>
      <c r="B900" s="13" t="s">
        <v>1069</v>
      </c>
      <c r="C900" s="14" t="s">
        <v>3319</v>
      </c>
      <c r="D900" s="15">
        <v>42104.484722222223</v>
      </c>
      <c r="E900" s="16" t="s">
        <v>16</v>
      </c>
      <c r="F900" s="16" t="s">
        <v>18</v>
      </c>
      <c r="G900" s="17" t="s">
        <v>1070</v>
      </c>
      <c r="H900" s="17" t="s">
        <v>867</v>
      </c>
      <c r="I900" s="13" t="s">
        <v>3320</v>
      </c>
      <c r="J900" s="23" t="str">
        <f>HYPERLINK("CorLog\ZMB\Katete RTO\20150410 ZMB Katete RTO Order mattresses and beds not in approved budget (RDC-to-ZMB).msg", "Order mattresses and beds not in approved budget")</f>
        <v>Order mattresses and beds not in approved budget</v>
      </c>
      <c r="K900" s="25"/>
      <c r="L900" s="19"/>
      <c r="M900" s="20"/>
      <c r="N900" s="21" t="s">
        <v>3321</v>
      </c>
    </row>
    <row r="901" spans="1:14">
      <c r="A901" s="12" t="s">
        <v>1181</v>
      </c>
      <c r="B901" s="13" t="s">
        <v>1176</v>
      </c>
      <c r="C901" s="14" t="s">
        <v>3322</v>
      </c>
      <c r="D901" s="15">
        <v>42104.479664351849</v>
      </c>
      <c r="E901" s="16" t="s">
        <v>16</v>
      </c>
      <c r="F901" s="16" t="s">
        <v>16</v>
      </c>
      <c r="G901" s="17" t="s">
        <v>979</v>
      </c>
      <c r="H901" s="17" t="s">
        <v>759</v>
      </c>
      <c r="I901" s="13" t="s">
        <v>3323</v>
      </c>
      <c r="J901" s="23" t="str">
        <f>HYPERLINK("CorLog\RTO\Projects\20150410 RTO Projects Simplification - Additional Points (RDC-to-RDC).msg", "Simplification - Additional Points")</f>
        <v>Simplification - Additional Points</v>
      </c>
      <c r="K901" s="25" t="s">
        <v>1243</v>
      </c>
      <c r="L901" s="19"/>
      <c r="M901" s="20"/>
      <c r="N901" s="21" t="s">
        <v>3324</v>
      </c>
    </row>
    <row r="902" spans="1:14">
      <c r="A902" s="12" t="s">
        <v>1069</v>
      </c>
      <c r="B902" s="13" t="s">
        <v>750</v>
      </c>
      <c r="C902" s="14" t="s">
        <v>3307</v>
      </c>
      <c r="D902" s="15">
        <v>42104.472187500003</v>
      </c>
      <c r="E902" s="16" t="s">
        <v>18</v>
      </c>
      <c r="F902" s="16" t="s">
        <v>16</v>
      </c>
      <c r="G902" s="17" t="s">
        <v>1070</v>
      </c>
      <c r="H902" s="17" t="s">
        <v>851</v>
      </c>
      <c r="I902" s="13" t="s">
        <v>3308</v>
      </c>
      <c r="J902" s="23" t="str">
        <f>HYPERLINK("CorLog\ZMB\Katete RTO\20150410 ZMB Katete RTO Office Slab DCP 20150407 (ZMB-to-RDC).msg", "Office Slab DCP 20150407")</f>
        <v>Office Slab DCP 20150407</v>
      </c>
      <c r="K902" s="25" t="s">
        <v>1243</v>
      </c>
      <c r="L902" s="19"/>
      <c r="M902" s="20"/>
      <c r="N902" s="21" t="s">
        <v>3325</v>
      </c>
    </row>
    <row r="903" spans="1:14">
      <c r="A903" s="12" t="s">
        <v>3223</v>
      </c>
      <c r="B903" s="13" t="s">
        <v>717</v>
      </c>
      <c r="C903" s="14" t="s">
        <v>3326</v>
      </c>
      <c r="D903" s="15">
        <v>42104.379305555558</v>
      </c>
      <c r="E903" s="16" t="s">
        <v>23</v>
      </c>
      <c r="F903" s="16" t="s">
        <v>16</v>
      </c>
      <c r="G903" s="17" t="s">
        <v>1752</v>
      </c>
      <c r="H903" s="17" t="s">
        <v>731</v>
      </c>
      <c r="I903" s="13" t="s">
        <v>3327</v>
      </c>
      <c r="J903" s="23" t="str">
        <f>HYPERLINK("CorLog\ZWE\Chiredzi RTO\20150410 ZWE Chiredzi RTO Draft DC-41 for review (ZWE-to-RDC).msg", "Draft DC-41 for review")</f>
        <v>Draft DC-41 for review</v>
      </c>
      <c r="K903" s="25" t="s">
        <v>1499</v>
      </c>
      <c r="L903" s="19"/>
      <c r="M903" s="20"/>
      <c r="N903" s="21" t="s">
        <v>3328</v>
      </c>
    </row>
    <row r="904" spans="1:14">
      <c r="A904" s="12" t="s">
        <v>718</v>
      </c>
      <c r="B904" s="13" t="s">
        <v>1529</v>
      </c>
      <c r="C904" s="14" t="s">
        <v>3329</v>
      </c>
      <c r="D904" s="15">
        <v>42104.371527777781</v>
      </c>
      <c r="E904" s="16" t="s">
        <v>16</v>
      </c>
      <c r="F904" s="16" t="s">
        <v>18</v>
      </c>
      <c r="G904" s="17" t="s">
        <v>946</v>
      </c>
      <c r="H904" s="17" t="s">
        <v>3330</v>
      </c>
      <c r="I904" s="13" t="s">
        <v>3331</v>
      </c>
      <c r="J904" s="23" t="str">
        <f>HYPERLINK("CorLog\ZMB\Mongu RTO\20150410 ZMB Mongu RTO Tuffa Tanks Wiring Diagrams (RDC-to-ZMB).msg", "Tuffa Tanks Wiring Diagrams")</f>
        <v>Tuffa Tanks Wiring Diagrams</v>
      </c>
      <c r="K904" s="25" t="s">
        <v>1274</v>
      </c>
      <c r="L904" s="19"/>
      <c r="M904" s="20"/>
      <c r="N904" s="21" t="s">
        <v>3332</v>
      </c>
    </row>
    <row r="905" spans="1:14">
      <c r="A905" s="12" t="s">
        <v>718</v>
      </c>
      <c r="B905" s="13" t="s">
        <v>757</v>
      </c>
      <c r="C905" s="14" t="s">
        <v>3333</v>
      </c>
      <c r="D905" s="15">
        <v>42104.369444444441</v>
      </c>
      <c r="E905" s="16" t="s">
        <v>16</v>
      </c>
      <c r="F905" s="16" t="s">
        <v>21</v>
      </c>
      <c r="G905" s="17" t="s">
        <v>758</v>
      </c>
      <c r="H905" s="17" t="s">
        <v>803</v>
      </c>
      <c r="I905" s="13" t="s">
        <v>3334</v>
      </c>
      <c r="J905" s="23" t="str">
        <f>HYPERLINK("CorLog\GHA\Viepe RTO\20150410 GHA Viepe RTO FS S-304 - Detail description corrected (RDC-to-GHA).msg", "FS S-304 - Detail description corrected")</f>
        <v>FS S-304 - Detail description corrected</v>
      </c>
      <c r="K905" s="25" t="s">
        <v>1211</v>
      </c>
      <c r="L905" s="19"/>
      <c r="M905" s="20"/>
      <c r="N905" s="21" t="s">
        <v>3335</v>
      </c>
    </row>
    <row r="906" spans="1:14">
      <c r="A906" s="12" t="s">
        <v>718</v>
      </c>
      <c r="B906" s="13" t="s">
        <v>717</v>
      </c>
      <c r="C906" s="14" t="s">
        <v>3336</v>
      </c>
      <c r="D906" s="15">
        <v>42104.339583333334</v>
      </c>
      <c r="E906" s="16" t="s">
        <v>16</v>
      </c>
      <c r="F906" s="16" t="s">
        <v>16</v>
      </c>
      <c r="G906" s="17" t="s">
        <v>2627</v>
      </c>
      <c r="H906" s="17" t="s">
        <v>867</v>
      </c>
      <c r="I906" s="13" t="s">
        <v>3337</v>
      </c>
      <c r="J906" s="23" t="str">
        <f>HYPERLINK("CorLog\COD\Kamina RTO\20150410 COD Kamina RTO Budget Analysis for March 2015 (RDC-to-RDC).msg", "Budget Analysis for March 2015")</f>
        <v>Budget Analysis for March 2015</v>
      </c>
      <c r="K906" s="25" t="s">
        <v>1211</v>
      </c>
      <c r="L906" s="19"/>
      <c r="M906" s="20"/>
      <c r="N906" s="21" t="s">
        <v>3338</v>
      </c>
    </row>
    <row r="907" spans="1:14">
      <c r="A907" s="12" t="s">
        <v>795</v>
      </c>
      <c r="B907" s="13" t="s">
        <v>1418</v>
      </c>
      <c r="C907" s="14"/>
      <c r="D907" s="15">
        <v>42104.328761574077</v>
      </c>
      <c r="E907" s="16" t="s">
        <v>16</v>
      </c>
      <c r="F907" s="16" t="s">
        <v>16</v>
      </c>
      <c r="G907" s="17" t="s">
        <v>979</v>
      </c>
      <c r="H907" s="17" t="s">
        <v>1178</v>
      </c>
      <c r="I907" s="13" t="s">
        <v>3331</v>
      </c>
      <c r="J907" s="23" t="str">
        <f>HYPERLINK("CorLog\RTO\Projects\20150410 RTO Projects Tuffa Tanks Wiring Diagrams (RDC-to-RDC).msg", "Tuffa Tanks Wiring Diagrams")</f>
        <v>Tuffa Tanks Wiring Diagrams</v>
      </c>
      <c r="K907" s="25" t="s">
        <v>1211</v>
      </c>
      <c r="L907" s="19"/>
      <c r="M907" s="20"/>
      <c r="N907" s="21" t="s">
        <v>3339</v>
      </c>
    </row>
    <row r="908" spans="1:14">
      <c r="A908" s="12" t="s">
        <v>718</v>
      </c>
      <c r="B908" s="13" t="s">
        <v>2787</v>
      </c>
      <c r="C908" s="14"/>
      <c r="D908" s="15">
        <v>42104.320833333331</v>
      </c>
      <c r="E908" s="16" t="s">
        <v>16</v>
      </c>
      <c r="F908" s="16" t="s">
        <v>14</v>
      </c>
      <c r="G908" s="17" t="s">
        <v>30</v>
      </c>
      <c r="H908" s="17" t="s">
        <v>764</v>
      </c>
      <c r="I908" s="13" t="s">
        <v>2280</v>
      </c>
      <c r="J908" s="23" t="str">
        <f>HYPERLINK("CorLog\ALL\20150410 ALL Video Systems for Kingdom Halls (RDC-to-MDG).msg", "Video Systems for Kingdom Halls")</f>
        <v>Video Systems for Kingdom Halls</v>
      </c>
      <c r="K908" s="25" t="s">
        <v>1243</v>
      </c>
      <c r="L908" s="19"/>
      <c r="M908" s="20"/>
      <c r="N908" s="21" t="s">
        <v>3340</v>
      </c>
    </row>
    <row r="909" spans="1:14">
      <c r="A909" s="12" t="s">
        <v>842</v>
      </c>
      <c r="B909" s="13" t="s">
        <v>718</v>
      </c>
      <c r="C909" s="14" t="s">
        <v>1757</v>
      </c>
      <c r="D909" s="15">
        <v>42103.734259259261</v>
      </c>
      <c r="E909" s="16" t="s">
        <v>21</v>
      </c>
      <c r="F909" s="16" t="s">
        <v>16</v>
      </c>
      <c r="G909" s="17" t="s">
        <v>738</v>
      </c>
      <c r="H909" s="17" t="s">
        <v>1195</v>
      </c>
      <c r="I909" s="13" t="s">
        <v>3044</v>
      </c>
      <c r="J909" s="23" t="str">
        <f>HYPERLINK("CorLog\GHA\BEX 2\20150409 GHA BEX 2 Answers needed for phase 2 CDP &amp; design (Answer for Q 1,2,3,4) (GHA-to-RDC).msg", "Answers needed for phase 2 CDP &amp; design (Answer for Q 1,2,3,4)")</f>
        <v>Answers needed for phase 2 CDP &amp; design (Answer for Q 1,2,3,4)</v>
      </c>
      <c r="K909" s="25" t="s">
        <v>1274</v>
      </c>
      <c r="L909" s="19"/>
      <c r="M909" s="20"/>
      <c r="N909" s="21" t="s">
        <v>3341</v>
      </c>
    </row>
    <row r="910" spans="1:14">
      <c r="A910" s="12" t="s">
        <v>998</v>
      </c>
      <c r="B910" s="13" t="s">
        <v>1003</v>
      </c>
      <c r="C910" s="14"/>
      <c r="D910" s="15">
        <v>42103.705972222226</v>
      </c>
      <c r="E910" s="16" t="s">
        <v>17</v>
      </c>
      <c r="F910" s="16" t="s">
        <v>22</v>
      </c>
      <c r="G910" s="17" t="s">
        <v>1927</v>
      </c>
      <c r="H910" s="17" t="s">
        <v>2288</v>
      </c>
      <c r="I910" s="13" t="s">
        <v>3342</v>
      </c>
      <c r="J910" s="23" t="str">
        <f>HYPERLINK("CorLog\COD\Kabinda RTO\20150409 COD Kabinda RTO PWG Meeting notes (WDC-to-COD).msg", "PWG Meeting notes")</f>
        <v>PWG Meeting notes</v>
      </c>
      <c r="K910" s="25" t="s">
        <v>1211</v>
      </c>
      <c r="L910" s="19"/>
      <c r="M910" s="20"/>
      <c r="N910" s="21" t="s">
        <v>1142</v>
      </c>
    </row>
    <row r="911" spans="1:14">
      <c r="A911" s="12" t="s">
        <v>1160</v>
      </c>
      <c r="B911" s="13" t="s">
        <v>964</v>
      </c>
      <c r="C911" s="14" t="s">
        <v>3343</v>
      </c>
      <c r="D911" s="15">
        <v>42103.652743055558</v>
      </c>
      <c r="E911" s="16" t="s">
        <v>20</v>
      </c>
      <c r="F911" s="16" t="s">
        <v>16</v>
      </c>
      <c r="G911" s="17" t="s">
        <v>30</v>
      </c>
      <c r="H911" s="17" t="s">
        <v>3344</v>
      </c>
      <c r="I911" s="13" t="s">
        <v>3345</v>
      </c>
      <c r="J911" s="23" t="str">
        <f>HYPERLINK("CorLog\ALL\20150409 ALL CAF-Video Systems for Kingdom Halls (MOZ-to-RDC).msg", "CAF-Video Systems for Kingdom Halls")</f>
        <v>CAF-Video Systems for Kingdom Halls</v>
      </c>
      <c r="K911" s="25" t="s">
        <v>1243</v>
      </c>
      <c r="L911" s="19"/>
      <c r="M911" s="20"/>
      <c r="N911" s="21" t="s">
        <v>3346</v>
      </c>
    </row>
    <row r="912" spans="1:14">
      <c r="A912" s="12" t="s">
        <v>806</v>
      </c>
      <c r="B912" s="13" t="s">
        <v>1176</v>
      </c>
      <c r="C912" s="14" t="s">
        <v>3347</v>
      </c>
      <c r="D912" s="15">
        <v>42103.648182870369</v>
      </c>
      <c r="E912" s="16" t="s">
        <v>15</v>
      </c>
      <c r="F912" s="16" t="s">
        <v>16</v>
      </c>
      <c r="G912" s="17" t="s">
        <v>807</v>
      </c>
      <c r="H912" s="17" t="s">
        <v>808</v>
      </c>
      <c r="I912" s="13" t="s">
        <v>3348</v>
      </c>
      <c r="J912" s="18" t="str">
        <f>HYPERLINK("CorLog\GHA\Branch\20150409 GHA Branch GHA-4758 Angle valves ( $3,024 00) (ZAF-to-RDC).msg", "GHA-4758 Angle valves ( $3,024 00)")</f>
        <v>GHA-4758 Angle valves ( $3,024 00)</v>
      </c>
      <c r="K912" s="22"/>
      <c r="L912" s="19"/>
      <c r="M912" s="20"/>
      <c r="N912" s="21" t="s">
        <v>3349</v>
      </c>
    </row>
    <row r="913" spans="1:14">
      <c r="A913" s="12"/>
      <c r="B913" s="13"/>
      <c r="C913" s="14"/>
      <c r="D913" s="15">
        <v>42103.608854166669</v>
      </c>
      <c r="E913" s="16" t="s">
        <v>17</v>
      </c>
      <c r="F913" s="16" t="s">
        <v>21</v>
      </c>
      <c r="G913" s="17" t="s">
        <v>3350</v>
      </c>
      <c r="H913" s="17" t="s">
        <v>3351</v>
      </c>
      <c r="I913" s="13" t="s">
        <v>3352</v>
      </c>
      <c r="J913" s="23" t="str">
        <f>HYPERLINK("CorLog\GHA\GSL RTO\20150409 GHA GSL RTO Request to relocate the Ghanaian Sign Language to Kumasi is approved GHAETP02 (WDC-to-GHA).docx", "Request to relocate the Ghanaian Sign Language to Kumasi is approved GHAETP02")</f>
        <v>Request to relocate the Ghanaian Sign Language to Kumasi is approved GHAETP02</v>
      </c>
      <c r="K913" s="25"/>
      <c r="L913" s="19"/>
      <c r="M913" s="20"/>
      <c r="N913" s="21"/>
    </row>
    <row r="914" spans="1:14">
      <c r="A914" s="12" t="s">
        <v>3353</v>
      </c>
      <c r="B914" s="13" t="s">
        <v>3354</v>
      </c>
      <c r="C914" s="14"/>
      <c r="D914" s="15">
        <v>42103.593078703707</v>
      </c>
      <c r="E914" s="16" t="s">
        <v>15</v>
      </c>
      <c r="F914" s="16" t="s">
        <v>15</v>
      </c>
      <c r="G914" s="17" t="s">
        <v>719</v>
      </c>
      <c r="H914" s="17" t="s">
        <v>719</v>
      </c>
      <c r="I914" s="13" t="s">
        <v>3355</v>
      </c>
      <c r="J914" s="23" t="str">
        <f>HYPERLINK("CorLog\Reference\20150409 Reference New Telephone Ranges in ZAF Branch (ZAF-to-ZAF).msg", "New Telephone Ranges in ZAF Branch")</f>
        <v>New Telephone Ranges in ZAF Branch</v>
      </c>
      <c r="K914" s="25"/>
      <c r="L914" s="19"/>
      <c r="M914" s="20"/>
      <c r="N914" s="21" t="s">
        <v>3356</v>
      </c>
    </row>
    <row r="915" spans="1:14">
      <c r="A915" s="12" t="s">
        <v>717</v>
      </c>
      <c r="B915" s="13" t="s">
        <v>1977</v>
      </c>
      <c r="C915" s="14" t="s">
        <v>3357</v>
      </c>
      <c r="D915" s="15">
        <v>42103.582662037035</v>
      </c>
      <c r="E915" s="16" t="s">
        <v>16</v>
      </c>
      <c r="F915" s="16" t="s">
        <v>19</v>
      </c>
      <c r="G915" s="17" t="s">
        <v>1314</v>
      </c>
      <c r="H915" s="17" t="s">
        <v>829</v>
      </c>
      <c r="I915" s="13" t="s">
        <v>3358</v>
      </c>
      <c r="J915" s="23" t="str">
        <f>HYPERLINK("CorLog\AGO\LDC\20150409 AGO LDC Podiums &amp; Contribution Boxes Draft NLBR for review (RDC-to-AGO).msg", "Podiums &amp; Contribution Boxes Draft NLBR for review")</f>
        <v>Podiums &amp; Contribution Boxes Draft NLBR for review</v>
      </c>
      <c r="K915" s="25" t="s">
        <v>1243</v>
      </c>
      <c r="L915" s="19"/>
      <c r="M915" s="20"/>
      <c r="N915" s="21" t="s">
        <v>3359</v>
      </c>
    </row>
    <row r="916" spans="1:14">
      <c r="A916" s="12" t="s">
        <v>718</v>
      </c>
      <c r="B916" s="13" t="s">
        <v>1484</v>
      </c>
      <c r="C916" s="14" t="s">
        <v>3360</v>
      </c>
      <c r="D916" s="15">
        <v>42103.496527777781</v>
      </c>
      <c r="E916" s="16" t="s">
        <v>16</v>
      </c>
      <c r="F916" s="16" t="s">
        <v>18</v>
      </c>
      <c r="G916" s="17" t="s">
        <v>1070</v>
      </c>
      <c r="H916" s="17" t="s">
        <v>3361</v>
      </c>
      <c r="I916" s="13" t="s">
        <v>3362</v>
      </c>
      <c r="J916" s="23" t="str">
        <f>HYPERLINK("CorLog\ZMB\Katete RTO\20150409 ZMB Katete RTO Water test and AC commissioning (RDC-to-ZMB).msg", "Water test and AC commissioning")</f>
        <v>Water test and AC commissioning</v>
      </c>
      <c r="K916" s="25"/>
      <c r="L916" s="19"/>
      <c r="M916" s="20"/>
      <c r="N916" s="21" t="s">
        <v>3363</v>
      </c>
    </row>
    <row r="917" spans="1:14">
      <c r="A917" s="12" t="s">
        <v>749</v>
      </c>
      <c r="B917" s="13" t="s">
        <v>3364</v>
      </c>
      <c r="C917" s="14" t="s">
        <v>3365</v>
      </c>
      <c r="D917" s="15">
        <v>42103.391412037039</v>
      </c>
      <c r="E917" s="16" t="s">
        <v>16</v>
      </c>
      <c r="F917" s="16" t="s">
        <v>23</v>
      </c>
      <c r="G917" s="17" t="s">
        <v>926</v>
      </c>
      <c r="H917" s="17" t="s">
        <v>3366</v>
      </c>
      <c r="I917" s="13" t="s">
        <v>3367</v>
      </c>
      <c r="J917" s="23" t="str">
        <f>HYPERLINK("CorLog\ZWE\Branch\20150409 ZWE Branch Dining Room Renovation BROADCASTING Speakers only (RDC-to-ZWE).msg", "Dining Room Renovation BROADCASTING Speakers only")</f>
        <v>Dining Room Renovation BROADCASTING Speakers only</v>
      </c>
      <c r="K917" s="25" t="s">
        <v>1211</v>
      </c>
      <c r="L917" s="19"/>
      <c r="M917" s="20"/>
      <c r="N917" s="21" t="s">
        <v>3368</v>
      </c>
    </row>
    <row r="918" spans="1:14">
      <c r="A918" s="12" t="s">
        <v>2673</v>
      </c>
      <c r="B918" s="13" t="s">
        <v>718</v>
      </c>
      <c r="C918" s="14" t="s">
        <v>723</v>
      </c>
      <c r="D918" s="15">
        <v>42103.360231481478</v>
      </c>
      <c r="E918" s="16" t="s">
        <v>16</v>
      </c>
      <c r="F918" s="16" t="s">
        <v>16</v>
      </c>
      <c r="G918" s="17" t="s">
        <v>880</v>
      </c>
      <c r="H918" s="17" t="s">
        <v>731</v>
      </c>
      <c r="I918" s="13" t="s">
        <v>3369</v>
      </c>
      <c r="J918" s="23" t="str">
        <f>HYPERLINK("CorLog\GHA\Kumasi RTO\20150409 Ghana RTO Kumasi (Tw) (RDC-to-RDC).msg", "Ghana RTO Kumasi (Tw)")</f>
        <v>Ghana RTO Kumasi (Tw)</v>
      </c>
      <c r="K918" s="25" t="s">
        <v>1369</v>
      </c>
      <c r="L918" s="19"/>
      <c r="M918" s="20"/>
      <c r="N918" s="21" t="s">
        <v>3370</v>
      </c>
    </row>
    <row r="919" spans="1:14">
      <c r="A919" s="12" t="s">
        <v>718</v>
      </c>
      <c r="B919" s="13" t="s">
        <v>837</v>
      </c>
      <c r="C919" s="14" t="s">
        <v>3371</v>
      </c>
      <c r="D919" s="15">
        <v>42103.328472222223</v>
      </c>
      <c r="E919" s="16" t="s">
        <v>16</v>
      </c>
      <c r="F919" s="16" t="s">
        <v>18</v>
      </c>
      <c r="G919" s="17" t="s">
        <v>838</v>
      </c>
      <c r="H919" s="17" t="s">
        <v>1489</v>
      </c>
      <c r="I919" s="13" t="s">
        <v>3372</v>
      </c>
      <c r="J919" s="23" t="str">
        <f>HYPERLINK("CorLog\ZMB\Choma RTO\20150409 ZMB Choma RTO Braided Hose for Wash Basins (RDC-to-ZMB).msg", "Braided Hose for Wash Basins")</f>
        <v>Braided Hose for Wash Basins</v>
      </c>
      <c r="K919" s="25" t="s">
        <v>1243</v>
      </c>
      <c r="L919" s="19"/>
      <c r="M919" s="20"/>
      <c r="N919" s="21" t="s">
        <v>3373</v>
      </c>
    </row>
    <row r="920" spans="1:14">
      <c r="A920" s="12" t="s">
        <v>718</v>
      </c>
      <c r="B920" s="13" t="s">
        <v>750</v>
      </c>
      <c r="C920" s="14" t="s">
        <v>1258</v>
      </c>
      <c r="D920" s="15">
        <v>42103.233020833337</v>
      </c>
      <c r="E920" s="16" t="s">
        <v>16</v>
      </c>
      <c r="F920" s="16" t="s">
        <v>16</v>
      </c>
      <c r="G920" s="17" t="s">
        <v>738</v>
      </c>
      <c r="H920" s="17" t="s">
        <v>3374</v>
      </c>
      <c r="I920" s="13" t="s">
        <v>3375</v>
      </c>
      <c r="J920" s="18" t="str">
        <f>HYPERLINK("CorLog\GHA\BEX 2\20150409 GHA BEX 2 Storm Water control at front of property (Quotation from JOB360) (RDC-to-RDC).msg", "Storm Water control at front of property (Quotation from JOB360)")</f>
        <v>Storm Water control at front of property (Quotation from JOB360)</v>
      </c>
      <c r="K920" s="22"/>
      <c r="L920" s="19"/>
      <c r="M920" s="20"/>
      <c r="N920" s="21" t="s">
        <v>3376</v>
      </c>
    </row>
    <row r="921" spans="1:14">
      <c r="A921" s="12" t="s">
        <v>1818</v>
      </c>
      <c r="B921" s="13" t="s">
        <v>750</v>
      </c>
      <c r="C921" s="14" t="s">
        <v>3377</v>
      </c>
      <c r="D921" s="15">
        <v>42103.011747685188</v>
      </c>
      <c r="E921" s="16" t="s">
        <v>16</v>
      </c>
      <c r="F921" s="16" t="s">
        <v>16</v>
      </c>
      <c r="G921" s="17" t="s">
        <v>738</v>
      </c>
      <c r="H921" s="17" t="s">
        <v>3314</v>
      </c>
      <c r="I921" s="13" t="s">
        <v>3378</v>
      </c>
      <c r="J921" s="23" t="str">
        <f>HYPERLINK("CorLog\GHA\BEX 2\20150409 GHA BEX 2 CIVIL Info for WSP - Folder (RDC-to-RDC).msg", "CIVIL Info for WSP - Folder")</f>
        <v>CIVIL Info for WSP - Folder</v>
      </c>
      <c r="K921" s="25" t="s">
        <v>2761</v>
      </c>
      <c r="L921" s="19"/>
      <c r="M921" s="20"/>
      <c r="N921" s="21" t="s">
        <v>3379</v>
      </c>
    </row>
    <row r="922" spans="1:14">
      <c r="A922" s="12" t="s">
        <v>842</v>
      </c>
      <c r="B922" s="13" t="s">
        <v>718</v>
      </c>
      <c r="C922" s="14"/>
      <c r="D922" s="15">
        <v>42102.816284722219</v>
      </c>
      <c r="E922" s="16" t="s">
        <v>21</v>
      </c>
      <c r="F922" s="16" t="s">
        <v>16</v>
      </c>
      <c r="G922" s="17" t="s">
        <v>730</v>
      </c>
      <c r="H922" s="17" t="s">
        <v>953</v>
      </c>
      <c r="I922" s="13" t="s">
        <v>3380</v>
      </c>
      <c r="J922" s="23" t="str">
        <f>HYPERLINK("CorLog\GHA\Baatsona SKE\20150408 GHA Baatsona SKE CONTRACTOR RECCOMENDATION; PACKAGE FOR REVIEW (GHA-to-RDC).msg", "CONTRACTOR RECCOMENDATION; PACKAGE FOR REVIEW")</f>
        <v>CONTRACTOR RECCOMENDATION; PACKAGE FOR REVIEW</v>
      </c>
      <c r="K922" s="25" t="s">
        <v>1482</v>
      </c>
      <c r="L922" s="19"/>
      <c r="M922" s="20"/>
      <c r="N922" s="21" t="s">
        <v>3381</v>
      </c>
    </row>
    <row r="923" spans="1:14">
      <c r="A923" s="12" t="s">
        <v>1529</v>
      </c>
      <c r="B923" s="13" t="s">
        <v>718</v>
      </c>
      <c r="C923" s="14" t="s">
        <v>1530</v>
      </c>
      <c r="D923" s="15">
        <v>42102.599756944444</v>
      </c>
      <c r="E923" s="16" t="s">
        <v>18</v>
      </c>
      <c r="F923" s="16" t="s">
        <v>16</v>
      </c>
      <c r="G923" s="17" t="s">
        <v>946</v>
      </c>
      <c r="H923" s="17" t="s">
        <v>3382</v>
      </c>
      <c r="I923" s="13" t="s">
        <v>3383</v>
      </c>
      <c r="J923" s="23" t="str">
        <f>HYPERLINK("CorLog\ZMB\Mongu RTO\20150408 ZMB Mongu RTO Completion Date Commissioning Handover Next Project Personnel Vacations (ZMB-to-RDC).msg", "Completion Date Commissioning Handover Next Project Personnel Vacations")</f>
        <v>Completion Date Commissioning Handover Next Project Personnel Vacations</v>
      </c>
      <c r="K923" s="25"/>
      <c r="L923" s="19"/>
      <c r="M923" s="20"/>
      <c r="N923" s="21" t="s">
        <v>3384</v>
      </c>
    </row>
    <row r="924" spans="1:14">
      <c r="A924" s="12" t="s">
        <v>750</v>
      </c>
      <c r="B924" s="13" t="s">
        <v>1451</v>
      </c>
      <c r="C924" s="14" t="s">
        <v>3385</v>
      </c>
      <c r="D924" s="15">
        <v>42102.475231481483</v>
      </c>
      <c r="E924" s="16" t="s">
        <v>16</v>
      </c>
      <c r="F924" s="16" t="s">
        <v>952</v>
      </c>
      <c r="G924" s="17" t="s">
        <v>738</v>
      </c>
      <c r="H924" s="17" t="s">
        <v>3386</v>
      </c>
      <c r="I924" s="13" t="s">
        <v>3378</v>
      </c>
      <c r="J924" s="18" t="str">
        <f>HYPERLINK("CorLog\GHA\BEX 2\20150408 GHA BEX 2 CIVIL Info for WSP - Folder (RDC-to-WSP).msg", "CIVIL Info for WSP - Folder")</f>
        <v>CIVIL Info for WSP - Folder</v>
      </c>
      <c r="K924" s="22"/>
      <c r="L924" s="19"/>
      <c r="M924" s="20"/>
      <c r="N924" s="21" t="s">
        <v>3387</v>
      </c>
    </row>
    <row r="925" spans="1:14">
      <c r="A925" s="12" t="s">
        <v>750</v>
      </c>
      <c r="B925" s="13" t="s">
        <v>998</v>
      </c>
      <c r="C925" s="14" t="s">
        <v>3388</v>
      </c>
      <c r="D925" s="15">
        <v>42102.426562499997</v>
      </c>
      <c r="E925" s="16" t="s">
        <v>16</v>
      </c>
      <c r="F925" s="16" t="s">
        <v>17</v>
      </c>
      <c r="G925" s="17" t="s">
        <v>738</v>
      </c>
      <c r="H925" s="17" t="s">
        <v>1195</v>
      </c>
      <c r="I925" s="13" t="s">
        <v>3389</v>
      </c>
      <c r="J925" s="23" t="str">
        <f>HYPERLINK("CorLog\GHA\BEX 2\20150408 GHA BEX 2 CDP Update ADJUSTED LT BEX Staffing Figures (REV 2; 2015-04-08) (RDC-to-WDC).msg", "CDP Update ADJUSTED LT BEX Staffing Figures (REV 2; 2015-04-08)")</f>
        <v>CDP Update ADJUSTED LT BEX Staffing Figures (REV 2; 2015-04-08)</v>
      </c>
      <c r="K925" s="25" t="s">
        <v>1211</v>
      </c>
      <c r="L925" s="19"/>
      <c r="M925" s="20"/>
      <c r="N925" s="21" t="s">
        <v>3390</v>
      </c>
    </row>
    <row r="926" spans="1:14">
      <c r="A926" s="12" t="s">
        <v>718</v>
      </c>
      <c r="B926" s="13" t="s">
        <v>750</v>
      </c>
      <c r="C926" s="14"/>
      <c r="D926" s="15">
        <v>42102.294861111113</v>
      </c>
      <c r="E926" s="16" t="s">
        <v>16</v>
      </c>
      <c r="F926" s="16" t="s">
        <v>16</v>
      </c>
      <c r="G926" s="17" t="s">
        <v>738</v>
      </c>
      <c r="H926" s="17" t="s">
        <v>1195</v>
      </c>
      <c r="I926" s="13" t="s">
        <v>3391</v>
      </c>
      <c r="J926" s="18" t="str">
        <f>HYPERLINK("CorLog\GHA\BEX 2\20150408 GHA BEX 2 Mtg Minutes -- Service Centre needs on floor plans (RDC-to-RDC).msg", "Mtg Minutes -- Service Centre needs on floor plans")</f>
        <v>Mtg Minutes -- Service Centre needs on floor plans</v>
      </c>
      <c r="K926" s="22"/>
      <c r="L926" s="19"/>
      <c r="M926" s="20"/>
      <c r="N926" s="21" t="s">
        <v>3392</v>
      </c>
    </row>
    <row r="927" spans="1:14">
      <c r="A927" s="12" t="s">
        <v>750</v>
      </c>
      <c r="B927" s="13" t="s">
        <v>1258</v>
      </c>
      <c r="C927" s="14" t="s">
        <v>718</v>
      </c>
      <c r="D927" s="15">
        <v>42102.279699074075</v>
      </c>
      <c r="E927" s="16" t="s">
        <v>16</v>
      </c>
      <c r="F927" s="16" t="s">
        <v>16</v>
      </c>
      <c r="G927" s="17" t="s">
        <v>738</v>
      </c>
      <c r="H927" s="17" t="s">
        <v>1195</v>
      </c>
      <c r="I927" s="13" t="s">
        <v>3393</v>
      </c>
      <c r="J927" s="18" t="str">
        <f>HYPERLINK("CorLog\GHA\BEX 2\20150408 GHA BEX 2 CDP UpdateADJUSTED LT BEX Staffing Figures (RDC-to-RDC).msg", "CDP UpdateADJUSTED LT BEX Staffing Figures")</f>
        <v>CDP UpdateADJUSTED LT BEX Staffing Figures</v>
      </c>
      <c r="K927" s="22"/>
      <c r="L927" s="19"/>
      <c r="M927" s="20"/>
      <c r="N927" s="21" t="s">
        <v>3394</v>
      </c>
    </row>
    <row r="928" spans="1:14">
      <c r="A928" s="12" t="s">
        <v>718</v>
      </c>
      <c r="B928" s="13" t="s">
        <v>1069</v>
      </c>
      <c r="C928" s="14" t="s">
        <v>1399</v>
      </c>
      <c r="D928" s="15">
        <v>42102.268750000003</v>
      </c>
      <c r="E928" s="16" t="s">
        <v>16</v>
      </c>
      <c r="F928" s="16" t="s">
        <v>18</v>
      </c>
      <c r="G928" s="17" t="s">
        <v>1070</v>
      </c>
      <c r="H928" s="17" t="s">
        <v>829</v>
      </c>
      <c r="I928" s="13" t="s">
        <v>3395</v>
      </c>
      <c r="J928" s="23" t="str">
        <f>HYPERLINK("CorLog\ZMB\Katete RTO\20150408 ZMB Katete RTO RDC review of Draft NLBR; REQ 520-11130; Electrical Order -3; 20150402 (RDC-to-ZMB).msg", "RDC review of Draft NLBR; REQ 520-11130; Electrical Order -3; 20150402")</f>
        <v>RDC review of Draft NLBR; REQ 520-11130; Electrical Order -3; 20150402</v>
      </c>
      <c r="K928" s="25" t="s">
        <v>1274</v>
      </c>
      <c r="L928" s="19"/>
      <c r="M928" s="20"/>
      <c r="N928" s="21" t="s">
        <v>3396</v>
      </c>
    </row>
    <row r="929" spans="1:14">
      <c r="A929" s="12" t="s">
        <v>718</v>
      </c>
      <c r="B929" s="13" t="s">
        <v>795</v>
      </c>
      <c r="C929" s="14" t="s">
        <v>750</v>
      </c>
      <c r="D929" s="15">
        <v>42101.606249999997</v>
      </c>
      <c r="E929" s="16" t="s">
        <v>16</v>
      </c>
      <c r="F929" s="16" t="s">
        <v>16</v>
      </c>
      <c r="G929" s="17" t="s">
        <v>738</v>
      </c>
      <c r="H929" s="17" t="s">
        <v>3397</v>
      </c>
      <c r="I929" s="13" t="s">
        <v>3398</v>
      </c>
      <c r="J929" s="23" t="str">
        <f>HYPERLINK("CorLog\GHA\BEX 2\20150407 GHA BEX 2 Enviroware Mtg 2015-04-07 for Mech Design Eng (RDC-to-RDC).msg", "Enviroware Mtg 2015-04-07 for Mech Design Eng")</f>
        <v>Enviroware Mtg 2015-04-07 for Mech Design Eng</v>
      </c>
      <c r="K929" s="25" t="s">
        <v>1243</v>
      </c>
      <c r="L929" s="19"/>
      <c r="M929" s="20"/>
      <c r="N929" s="21" t="s">
        <v>3399</v>
      </c>
    </row>
    <row r="930" spans="1:14">
      <c r="A930" s="12" t="s">
        <v>718</v>
      </c>
      <c r="B930" s="13" t="s">
        <v>972</v>
      </c>
      <c r="C930" s="14" t="s">
        <v>3400</v>
      </c>
      <c r="D930" s="15">
        <v>42101.568749999999</v>
      </c>
      <c r="E930" s="16" t="s">
        <v>16</v>
      </c>
      <c r="F930" s="16" t="s">
        <v>18</v>
      </c>
      <c r="G930" s="17" t="s">
        <v>790</v>
      </c>
      <c r="H930" s="17" t="s">
        <v>1178</v>
      </c>
      <c r="I930" s="13" t="s">
        <v>3401</v>
      </c>
      <c r="J930" s="23" t="str">
        <f>HYPERLINK("CorLog\GHA\BEX\20150407 GHA BEX Diesel Filter Question (RDC-to-ZMB).msg", "Diesel Filter Question")</f>
        <v>Diesel Filter Question</v>
      </c>
      <c r="K930" s="25" t="s">
        <v>1499</v>
      </c>
      <c r="L930" s="19"/>
      <c r="M930" s="20"/>
      <c r="N930" s="21" t="s">
        <v>3402</v>
      </c>
    </row>
    <row r="931" spans="1:14">
      <c r="A931" s="12" t="s">
        <v>718</v>
      </c>
      <c r="B931" s="13" t="s">
        <v>1167</v>
      </c>
      <c r="C931" s="14" t="s">
        <v>3403</v>
      </c>
      <c r="D931" s="15">
        <v>42101.564583333333</v>
      </c>
      <c r="E931" s="16" t="s">
        <v>16</v>
      </c>
      <c r="F931" s="16" t="s">
        <v>22</v>
      </c>
      <c r="G931" s="17" t="s">
        <v>1169</v>
      </c>
      <c r="H931" s="17" t="s">
        <v>2688</v>
      </c>
      <c r="I931" s="13" t="s">
        <v>3404</v>
      </c>
      <c r="J931" s="23" t="str">
        <f>HYPERLINK("CorLog\COD\Kikwit RTO\20150407 COD Kikwit RTO Locations of underground pipes - Dwg drawings (RDC-to-COD).msg", "Locations of underground pipes - Dwg drawings")</f>
        <v>Locations of underground pipes - Dwg drawings</v>
      </c>
      <c r="K931" s="25" t="s">
        <v>1211</v>
      </c>
      <c r="L931" s="19"/>
      <c r="M931" s="20"/>
      <c r="N931" s="21" t="s">
        <v>3405</v>
      </c>
    </row>
    <row r="932" spans="1:14">
      <c r="A932" s="12" t="s">
        <v>750</v>
      </c>
      <c r="B932" s="13" t="s">
        <v>724</v>
      </c>
      <c r="C932" s="14" t="s">
        <v>3406</v>
      </c>
      <c r="D932" s="15">
        <v>42101.405300925922</v>
      </c>
      <c r="E932" s="16" t="s">
        <v>16</v>
      </c>
      <c r="F932" s="16" t="s">
        <v>16</v>
      </c>
      <c r="G932" s="17" t="s">
        <v>3248</v>
      </c>
      <c r="H932" s="17" t="s">
        <v>791</v>
      </c>
      <c r="I932" s="13" t="s">
        <v>3407</v>
      </c>
      <c r="J932" s="23" t="str">
        <f>HYPERLINK("CorLog\MWI\Chinteche RTO\20150407 MWI Chinteche RTO CV Report - MA Comments in BLUE (RDC-to-RDC).msg", "CV Report - MA Comments in BLUE")</f>
        <v>CV Report - MA Comments in BLUE</v>
      </c>
      <c r="K932" s="25" t="s">
        <v>1211</v>
      </c>
      <c r="L932" s="19" t="s">
        <v>3408</v>
      </c>
      <c r="M932" s="20"/>
      <c r="N932" s="21" t="s">
        <v>3409</v>
      </c>
    </row>
    <row r="933" spans="1:14">
      <c r="A933" s="12" t="s">
        <v>3410</v>
      </c>
      <c r="B933" s="13" t="s">
        <v>3292</v>
      </c>
      <c r="C933" s="14" t="s">
        <v>3411</v>
      </c>
      <c r="D933" s="15">
        <v>42101.206990740742</v>
      </c>
      <c r="E933" s="16" t="s">
        <v>38</v>
      </c>
      <c r="F933" s="16" t="s">
        <v>38</v>
      </c>
      <c r="G933" s="17" t="s">
        <v>1775</v>
      </c>
      <c r="H933" s="17" t="s">
        <v>2848</v>
      </c>
      <c r="I933" s="13" t="s">
        <v>3412</v>
      </c>
      <c r="J933" s="18" t="str">
        <f>HYPERLINK("CorLog\ZMB\Mpongwe RTO\20150407 ZMB Mpongwe RTO Inquiry Zambia Mpongwe RTO (Incident No 12229) (HKG-to-HKG).msg", "Inquiry Zambia Mpongwe RTO (Incident No 12229)")</f>
        <v>Inquiry Zambia Mpongwe RTO (Incident No 12229)</v>
      </c>
      <c r="K933" s="22" t="s">
        <v>721</v>
      </c>
      <c r="L933" s="19"/>
      <c r="M933" s="20"/>
      <c r="N933" s="21" t="s">
        <v>3413</v>
      </c>
    </row>
    <row r="934" spans="1:14">
      <c r="A934" s="12" t="s">
        <v>717</v>
      </c>
      <c r="B934" s="13" t="s">
        <v>3223</v>
      </c>
      <c r="C934" s="14" t="s">
        <v>3414</v>
      </c>
      <c r="D934" s="15">
        <v>42100.937696759262</v>
      </c>
      <c r="E934" s="16" t="s">
        <v>16</v>
      </c>
      <c r="F934" s="16" t="s">
        <v>23</v>
      </c>
      <c r="G934" s="17" t="s">
        <v>1752</v>
      </c>
      <c r="H934" s="17" t="s">
        <v>1140</v>
      </c>
      <c r="I934" s="13" t="s">
        <v>3415</v>
      </c>
      <c r="J934" s="23" t="str">
        <f>HYPERLINK("CorLog\ZWE\Chiredzi RTO\20150406 ZWE Chiredzi RTO New RTO location (RDC-to-ZWE).msg", "New RTO location")</f>
        <v>New RTO location</v>
      </c>
      <c r="K934" s="25" t="s">
        <v>1626</v>
      </c>
      <c r="L934" s="19"/>
      <c r="M934" s="20"/>
      <c r="N934" s="21" t="s">
        <v>3416</v>
      </c>
    </row>
    <row r="935" spans="1:14">
      <c r="A935" s="12" t="s">
        <v>717</v>
      </c>
      <c r="B935" s="13" t="s">
        <v>1090</v>
      </c>
      <c r="C935" s="14" t="s">
        <v>3417</v>
      </c>
      <c r="D935" s="15">
        <v>42100.893206018518</v>
      </c>
      <c r="E935" s="16" t="s">
        <v>16</v>
      </c>
      <c r="F935" s="16" t="s">
        <v>36</v>
      </c>
      <c r="G935" s="17" t="s">
        <v>1091</v>
      </c>
      <c r="H935" s="17" t="s">
        <v>3034</v>
      </c>
      <c r="I935" s="13" t="s">
        <v>3418</v>
      </c>
      <c r="J935" s="23" t="str">
        <f>HYPERLINK("CorLog\SEN\LDC\20150406 SEN LDC Plot for Bamako North West KH (RDC-to-SEN).msg", "Plot for Bamako North West KH")</f>
        <v>Plot for Bamako North West KH</v>
      </c>
      <c r="K935" s="25"/>
      <c r="L935" s="19"/>
      <c r="M935" s="20"/>
      <c r="N935" s="21" t="s">
        <v>3419</v>
      </c>
    </row>
    <row r="936" spans="1:14">
      <c r="A936" s="12" t="s">
        <v>717</v>
      </c>
      <c r="B936" s="13" t="s">
        <v>1090</v>
      </c>
      <c r="C936" s="14" t="s">
        <v>3420</v>
      </c>
      <c r="D936" s="15">
        <v>42100.881631944445</v>
      </c>
      <c r="E936" s="16" t="s">
        <v>16</v>
      </c>
      <c r="F936" s="16" t="s">
        <v>36</v>
      </c>
      <c r="G936" s="17" t="s">
        <v>3421</v>
      </c>
      <c r="H936" s="17" t="s">
        <v>1140</v>
      </c>
      <c r="I936" s="13" t="s">
        <v>3422</v>
      </c>
      <c r="J936" s="23" t="str">
        <f>HYPERLINK("CorLog\MLI\Bambara RTO\20150406 MLI Bambara RTO Advice rented house for small team (RDC-to-SEN).msg", "Advice rented house for small team")</f>
        <v>Advice rented house for small team</v>
      </c>
      <c r="K936" s="25"/>
      <c r="L936" s="19" t="s">
        <v>3423</v>
      </c>
      <c r="M936" s="20"/>
      <c r="N936" s="21" t="s">
        <v>3424</v>
      </c>
    </row>
    <row r="937" spans="1:14">
      <c r="A937" s="12" t="s">
        <v>750</v>
      </c>
      <c r="B937" s="13" t="s">
        <v>718</v>
      </c>
      <c r="C937" s="14"/>
      <c r="D937" s="15">
        <v>42100.660127314812</v>
      </c>
      <c r="E937" s="16" t="s">
        <v>16</v>
      </c>
      <c r="F937" s="16" t="s">
        <v>16</v>
      </c>
      <c r="G937" s="17" t="s">
        <v>738</v>
      </c>
      <c r="H937" s="17" t="s">
        <v>1195</v>
      </c>
      <c r="I937" s="13" t="s">
        <v>3425</v>
      </c>
      <c r="J937" s="18" t="str">
        <f>HYPERLINK("CorLog\GHA\BEX 2\20150406 GHA BEX 2 CDP - Electrical Update (RDC-to-RDC).msg", "CDP - Electrical Update")</f>
        <v>CDP - Electrical Update</v>
      </c>
      <c r="K937" s="22"/>
      <c r="L937" s="19"/>
      <c r="M937" s="20"/>
      <c r="N937" s="21" t="s">
        <v>3426</v>
      </c>
    </row>
    <row r="938" spans="1:14">
      <c r="A938" s="12"/>
      <c r="B938" s="13"/>
      <c r="C938" s="14"/>
      <c r="D938" s="15">
        <v>42100.60738425926</v>
      </c>
      <c r="E938" s="16" t="s">
        <v>17</v>
      </c>
      <c r="F938" s="16" t="s">
        <v>16</v>
      </c>
      <c r="G938" s="17" t="s">
        <v>719</v>
      </c>
      <c r="H938" s="17" t="s">
        <v>3427</v>
      </c>
      <c r="I938" s="13" t="s">
        <v>3428</v>
      </c>
      <c r="J938" s="23" t="str">
        <f>HYPERLINK("CorLog\Reference\20150406 Reference DC-71 Nov 2014 (WDC-to-RDC).xlsx", "DC-71 Nov 2014")</f>
        <v>DC-71 Nov 2014</v>
      </c>
      <c r="K938" s="25"/>
      <c r="L938" s="19"/>
      <c r="M938" s="20"/>
      <c r="N938" s="21"/>
    </row>
    <row r="939" spans="1:14">
      <c r="A939" s="12" t="s">
        <v>1237</v>
      </c>
      <c r="B939" s="13" t="s">
        <v>3429</v>
      </c>
      <c r="C939" s="14" t="s">
        <v>3430</v>
      </c>
      <c r="D939" s="15">
        <v>42100.587523148148</v>
      </c>
      <c r="E939" s="16" t="s">
        <v>15</v>
      </c>
      <c r="F939" s="16" t="s">
        <v>15</v>
      </c>
      <c r="G939" s="17" t="s">
        <v>979</v>
      </c>
      <c r="H939" s="17" t="s">
        <v>2379</v>
      </c>
      <c r="I939" s="13" t="s">
        <v>3431</v>
      </c>
      <c r="J939" s="23" t="str">
        <f>HYPERLINK("CorLog\RTO\Projects\20150406 RTO Projects GHA RTO-shipping (ZAF-to-ZAF).msg", "GHA RTO-shipping")</f>
        <v>GHA RTO-shipping</v>
      </c>
      <c r="K939" s="25"/>
      <c r="L939" s="19"/>
      <c r="M939" s="20"/>
      <c r="N939" s="21" t="s">
        <v>3432</v>
      </c>
    </row>
    <row r="940" spans="1:14">
      <c r="A940" s="12" t="s">
        <v>718</v>
      </c>
      <c r="B940" s="13" t="s">
        <v>1052</v>
      </c>
      <c r="C940" s="14"/>
      <c r="D940" s="15">
        <v>42100.425902777781</v>
      </c>
      <c r="E940" s="16" t="s">
        <v>16</v>
      </c>
      <c r="F940" s="16" t="s">
        <v>17</v>
      </c>
      <c r="G940" s="17" t="s">
        <v>730</v>
      </c>
      <c r="H940" s="17" t="s">
        <v>781</v>
      </c>
      <c r="I940" s="13" t="s">
        <v>3433</v>
      </c>
      <c r="J940" s="23" t="str">
        <f>HYPERLINK("CorLog\GHA\Baatsona SKE\20150406 GHA Baatsona SKE Construction Personnel Request (DC-51) (RDC-to-WDC).msg", "Construction Personnel Request (DC-51)")</f>
        <v>Construction Personnel Request (DC-51)</v>
      </c>
      <c r="K940" s="25" t="s">
        <v>1243</v>
      </c>
      <c r="L940" s="19"/>
      <c r="M940" s="20"/>
      <c r="N940" s="21" t="s">
        <v>3434</v>
      </c>
    </row>
    <row r="941" spans="1:14">
      <c r="A941" s="12" t="s">
        <v>750</v>
      </c>
      <c r="B941" s="13" t="s">
        <v>1167</v>
      </c>
      <c r="C941" s="14" t="s">
        <v>3435</v>
      </c>
      <c r="D941" s="15">
        <v>42100.41065972222</v>
      </c>
      <c r="E941" s="16" t="s">
        <v>16</v>
      </c>
      <c r="F941" s="16" t="s">
        <v>22</v>
      </c>
      <c r="G941" s="17" t="s">
        <v>1169</v>
      </c>
      <c r="H941" s="17" t="s">
        <v>851</v>
      </c>
      <c r="I941" s="13" t="s">
        <v>3436</v>
      </c>
      <c r="J941" s="23" t="str">
        <f>HYPERLINK("CorLog\COD\Kikwit RTO\20150406 COD Kikwit RTO DCP under OFFICE footing (end) (RDC-to-COD).msg", "DCP under OFFICE footing (end)")</f>
        <v>DCP under OFFICE footing (end)</v>
      </c>
      <c r="K941" s="25"/>
      <c r="L941" s="19"/>
      <c r="M941" s="20"/>
      <c r="N941" s="21" t="s">
        <v>3437</v>
      </c>
    </row>
    <row r="942" spans="1:14">
      <c r="A942" s="12" t="s">
        <v>718</v>
      </c>
      <c r="B942" s="13" t="s">
        <v>1529</v>
      </c>
      <c r="C942" s="14" t="s">
        <v>3438</v>
      </c>
      <c r="D942" s="15">
        <v>42100.383333333331</v>
      </c>
      <c r="E942" s="16" t="s">
        <v>16</v>
      </c>
      <c r="F942" s="16" t="s">
        <v>18</v>
      </c>
      <c r="G942" s="17" t="s">
        <v>946</v>
      </c>
      <c r="H942" s="17" t="s">
        <v>1178</v>
      </c>
      <c r="I942" s="13" t="s">
        <v>3439</v>
      </c>
      <c r="J942" s="23" t="str">
        <f>HYPERLINK("CorLog\ZMB\Mongu RTO\20150406 ZMB Mongu RTO Generator Exhaust direction (RDC-to-ZMB).msg", "Generator Exhaust direction")</f>
        <v>Generator Exhaust direction</v>
      </c>
      <c r="K942" s="25" t="s">
        <v>1499</v>
      </c>
      <c r="L942" s="19"/>
      <c r="M942" s="20"/>
      <c r="N942" s="21" t="s">
        <v>3440</v>
      </c>
    </row>
    <row r="943" spans="1:14">
      <c r="A943" s="12"/>
      <c r="B943" s="13"/>
      <c r="C943" s="14"/>
      <c r="D943" s="15">
        <v>42099.894074074073</v>
      </c>
      <c r="E943" s="16" t="s">
        <v>18</v>
      </c>
      <c r="F943" s="16" t="s">
        <v>16</v>
      </c>
      <c r="G943" s="17" t="s">
        <v>999</v>
      </c>
      <c r="H943" s="17" t="s">
        <v>1000</v>
      </c>
      <c r="I943" s="13" t="s">
        <v>3441</v>
      </c>
      <c r="J943" s="23" t="str">
        <f>HYPERLINK("CorLog\ZMB\Branch\20150405 ZMB Branch Future Branch Needs (ZMB-to-RDC).docx", "Future Branch Needs")</f>
        <v>Future Branch Needs</v>
      </c>
      <c r="K943" s="25"/>
      <c r="L943" s="19"/>
      <c r="M943" s="20"/>
      <c r="N943" s="21"/>
    </row>
    <row r="944" spans="1:14">
      <c r="A944" s="12" t="s">
        <v>3442</v>
      </c>
      <c r="B944" s="13" t="s">
        <v>717</v>
      </c>
      <c r="C944" s="14" t="s">
        <v>3443</v>
      </c>
      <c r="D944" s="15">
        <v>42098.558275462965</v>
      </c>
      <c r="E944" s="16" t="s">
        <v>29</v>
      </c>
      <c r="F944" s="16" t="s">
        <v>16</v>
      </c>
      <c r="G944" s="17" t="s">
        <v>719</v>
      </c>
      <c r="H944" s="17" t="s">
        <v>3444</v>
      </c>
      <c r="I944" s="13" t="s">
        <v>3445</v>
      </c>
      <c r="J944" s="23" t="str">
        <f>HYPERLINK("CorLog\Reference\20150404 Reference COTC Seating Arrangement (Instructors) (DEU-to-RDC).msg", "COTC Seating Arrangement (Instructors)")</f>
        <v>COTC Seating Arrangement (Instructors)</v>
      </c>
      <c r="K944" s="25" t="s">
        <v>1211</v>
      </c>
      <c r="L944" s="19"/>
      <c r="M944" s="20"/>
      <c r="N944" s="21" t="s">
        <v>3446</v>
      </c>
    </row>
    <row r="945" spans="1:14">
      <c r="A945" s="12" t="s">
        <v>717</v>
      </c>
      <c r="B945" s="13" t="s">
        <v>724</v>
      </c>
      <c r="C945" s="14" t="s">
        <v>3447</v>
      </c>
      <c r="D945" s="15">
        <v>42098.555543981478</v>
      </c>
      <c r="E945" s="16" t="s">
        <v>16</v>
      </c>
      <c r="F945" s="16" t="s">
        <v>16</v>
      </c>
      <c r="G945" s="17" t="s">
        <v>30</v>
      </c>
      <c r="H945" s="17" t="s">
        <v>2573</v>
      </c>
      <c r="I945" s="13" t="s">
        <v>3445</v>
      </c>
      <c r="J945" s="23" t="str">
        <f>HYPERLINK("CorLog\ALL\20150404 ALL COTC Seating Arrangement (Instructors) (RDC-to-RDC).msg", "COTC Seating Arrangement (Instructors)")</f>
        <v>COTC Seating Arrangement (Instructors)</v>
      </c>
      <c r="K945" s="25" t="s">
        <v>1211</v>
      </c>
      <c r="L945" s="19"/>
      <c r="M945" s="20"/>
      <c r="N945" s="21" t="s">
        <v>3448</v>
      </c>
    </row>
    <row r="946" spans="1:14">
      <c r="A946" s="12" t="s">
        <v>778</v>
      </c>
      <c r="B946" s="13" t="s">
        <v>724</v>
      </c>
      <c r="C946" s="14"/>
      <c r="D946" s="15">
        <v>42097.631655092591</v>
      </c>
      <c r="E946" s="16" t="s">
        <v>17</v>
      </c>
      <c r="F946" s="16" t="s">
        <v>16</v>
      </c>
      <c r="G946" s="17" t="s">
        <v>790</v>
      </c>
      <c r="H946" s="17" t="s">
        <v>781</v>
      </c>
      <c r="I946" s="13" t="s">
        <v>3449</v>
      </c>
      <c r="J946" s="23" t="str">
        <f>HYPERLINK("CorLog\GHA\BEX\20150403 GHA BEX Upcoming Personnel Needs (WDC-to-RDC).msg", "Upcoming Personnel Needs")</f>
        <v>Upcoming Personnel Needs</v>
      </c>
      <c r="K946" s="25" t="s">
        <v>1369</v>
      </c>
      <c r="L946" s="19" t="s">
        <v>3450</v>
      </c>
      <c r="M946" s="20"/>
      <c r="N946" s="21" t="s">
        <v>3451</v>
      </c>
    </row>
    <row r="947" spans="1:14">
      <c r="A947" s="12" t="s">
        <v>1069</v>
      </c>
      <c r="B947" s="13" t="s">
        <v>1560</v>
      </c>
      <c r="C947" s="14" t="s">
        <v>3452</v>
      </c>
      <c r="D947" s="15">
        <v>42097.551377314812</v>
      </c>
      <c r="E947" s="16" t="s">
        <v>18</v>
      </c>
      <c r="F947" s="16" t="s">
        <v>15</v>
      </c>
      <c r="G947" s="17" t="s">
        <v>1070</v>
      </c>
      <c r="H947" s="17" t="s">
        <v>3453</v>
      </c>
      <c r="I947" s="13" t="s">
        <v>3454</v>
      </c>
      <c r="J947" s="23" t="str">
        <f>HYPERLINK("CorLog\ZMB\Katete RTO\20150403 ZMB Katete RTO 3 Awning on Office building (ZMB-to-ZAF).msg", "3 Awning on Office building")</f>
        <v>3 Awning on Office building</v>
      </c>
      <c r="K947" s="25"/>
      <c r="L947" s="19"/>
      <c r="M947" s="20"/>
      <c r="N947" s="21" t="s">
        <v>3455</v>
      </c>
    </row>
    <row r="948" spans="1:14">
      <c r="A948" s="12" t="s">
        <v>1073</v>
      </c>
      <c r="B948" s="13"/>
      <c r="C948" s="14"/>
      <c r="D948" s="15">
        <v>42097</v>
      </c>
      <c r="E948" s="16" t="s">
        <v>17</v>
      </c>
      <c r="F948" s="16" t="s">
        <v>30</v>
      </c>
      <c r="G948" s="17" t="s">
        <v>719</v>
      </c>
      <c r="H948" s="17" t="s">
        <v>3456</v>
      </c>
      <c r="I948" s="13" t="s">
        <v>3457</v>
      </c>
      <c r="J948" s="23" t="str">
        <f>HYPERLINK("CorLog\Reference\20150403 Reference LED Video Display Standard for Enclosed Assembly Halls in Developed Lands (WDC-to-ALL).doc", "LED Video Display Standard for Enclosed Assembly Halls in Developed Lands")</f>
        <v>LED Video Display Standard for Enclosed Assembly Halls in Developed Lands</v>
      </c>
      <c r="K948" s="23" t="str">
        <f>HYPERLINK("CorLog\Reference\20150403 Reference LED Video Display Standard for Enclosed Assembly Halls in Developed Lands (WDC-to-ALL).zip", "Zipped")</f>
        <v>Zipped</v>
      </c>
      <c r="L948" s="19"/>
      <c r="M948" s="20"/>
      <c r="N948" s="21" t="s">
        <v>3458</v>
      </c>
    </row>
    <row r="949" spans="1:14">
      <c r="A949" s="12" t="s">
        <v>718</v>
      </c>
      <c r="B949" s="13" t="s">
        <v>837</v>
      </c>
      <c r="C949" s="14" t="s">
        <v>1011</v>
      </c>
      <c r="D949" s="15">
        <v>42096.779409722221</v>
      </c>
      <c r="E949" s="16" t="s">
        <v>16</v>
      </c>
      <c r="F949" s="16" t="s">
        <v>18</v>
      </c>
      <c r="G949" s="17" t="s">
        <v>838</v>
      </c>
      <c r="H949" s="17" t="s">
        <v>829</v>
      </c>
      <c r="I949" s="13" t="s">
        <v>3459</v>
      </c>
      <c r="J949" s="23" t="str">
        <f>HYPERLINK("CorLog\ZMB\Choma RTO\20150402 ZMB Choma RTO RDC review of NLBR Draft Mech -7 10406 (RDC-to-ZMB).msg", "RDC review of NLBR Draft Mech -7 10406")</f>
        <v>RDC review of NLBR Draft Mech -7 10406</v>
      </c>
      <c r="K949" s="25" t="s">
        <v>1211</v>
      </c>
      <c r="L949" s="19"/>
      <c r="M949" s="20"/>
      <c r="N949" s="21" t="s">
        <v>3460</v>
      </c>
    </row>
    <row r="950" spans="1:14">
      <c r="A950" s="12" t="s">
        <v>718</v>
      </c>
      <c r="B950" s="13" t="s">
        <v>2431</v>
      </c>
      <c r="C950" s="14" t="s">
        <v>3461</v>
      </c>
      <c r="D950" s="15">
        <v>42096.655555555553</v>
      </c>
      <c r="E950" s="16" t="s">
        <v>16</v>
      </c>
      <c r="F950" s="16" t="s">
        <v>22</v>
      </c>
      <c r="G950" s="17" t="s">
        <v>785</v>
      </c>
      <c r="H950" s="17" t="s">
        <v>803</v>
      </c>
      <c r="I950" s="13" t="s">
        <v>3462</v>
      </c>
      <c r="J950" s="23" t="str">
        <f>HYPERLINK("CorLog\COD\Lubumbashi RTO\20150402 COD Lubumbashi RTO AutoCAD civil drawings (RDC-to-COD).msg", "AutoCAD civil drawings")</f>
        <v>AutoCAD civil drawings</v>
      </c>
      <c r="K950" s="25" t="s">
        <v>1211</v>
      </c>
      <c r="L950" s="19"/>
      <c r="M950" s="20"/>
      <c r="N950" s="21" t="s">
        <v>3463</v>
      </c>
    </row>
    <row r="951" spans="1:14">
      <c r="A951" s="12" t="s">
        <v>837</v>
      </c>
      <c r="B951" s="13" t="s">
        <v>718</v>
      </c>
      <c r="C951" s="14" t="s">
        <v>3464</v>
      </c>
      <c r="D951" s="15">
        <v>42096.624155092592</v>
      </c>
      <c r="E951" s="16" t="s">
        <v>18</v>
      </c>
      <c r="F951" s="16" t="s">
        <v>16</v>
      </c>
      <c r="G951" s="17" t="s">
        <v>838</v>
      </c>
      <c r="H951" s="17" t="s">
        <v>2223</v>
      </c>
      <c r="I951" s="13" t="s">
        <v>3465</v>
      </c>
      <c r="J951" s="23" t="str">
        <f>HYPERLINK("H:\RDC\Engineering\Projects\EPC's\SYB\CorLog\ZMB\Choma RTO\20150402 ZMB Choma RTO Bending Schedules 12m Length Query (ZMB-to-RDC).msg", "Bending Schedules 12m Length Query")</f>
        <v>Bending Schedules 12m Length Query</v>
      </c>
      <c r="K951" s="25"/>
      <c r="L951" s="19"/>
      <c r="M951" s="20"/>
      <c r="N951" s="21" t="s">
        <v>3466</v>
      </c>
    </row>
    <row r="952" spans="1:14">
      <c r="A952" s="12" t="s">
        <v>718</v>
      </c>
      <c r="B952" s="13" t="s">
        <v>837</v>
      </c>
      <c r="C952" s="14" t="s">
        <v>1011</v>
      </c>
      <c r="D952" s="15">
        <v>42096.600844907407</v>
      </c>
      <c r="E952" s="16" t="s">
        <v>16</v>
      </c>
      <c r="F952" s="16" t="s">
        <v>18</v>
      </c>
      <c r="G952" s="17" t="s">
        <v>838</v>
      </c>
      <c r="H952" s="17" t="s">
        <v>829</v>
      </c>
      <c r="I952" s="13" t="s">
        <v>3467</v>
      </c>
      <c r="J952" s="23" t="str">
        <f>HYPERLINK("H:\RDC\Engineering\Projects\EPC's\SYB\CorLog\ZMB\Choma RTO\20150402 ZMB Choma RTO NLBR Draft for ZAF aluminum doors and windows (RDC-to-ZMB).msg", "NLBR Draft for ZAF aluminum doors and windows")</f>
        <v>NLBR Draft for ZAF aluminum doors and windows</v>
      </c>
      <c r="K952" s="25" t="s">
        <v>1211</v>
      </c>
      <c r="L952" s="19"/>
      <c r="M952" s="20"/>
      <c r="N952" s="21" t="s">
        <v>3468</v>
      </c>
    </row>
    <row r="953" spans="1:14">
      <c r="A953" s="12" t="s">
        <v>718</v>
      </c>
      <c r="B953" s="13" t="s">
        <v>837</v>
      </c>
      <c r="C953" s="14" t="s">
        <v>3469</v>
      </c>
      <c r="D953" s="15">
        <v>42096.597731481481</v>
      </c>
      <c r="E953" s="16" t="s">
        <v>16</v>
      </c>
      <c r="F953" s="16" t="s">
        <v>18</v>
      </c>
      <c r="G953" s="17" t="s">
        <v>838</v>
      </c>
      <c r="H953" s="17" t="s">
        <v>725</v>
      </c>
      <c r="I953" s="13" t="s">
        <v>3470</v>
      </c>
      <c r="J953" s="23" t="str">
        <f>HYPERLINK("H:\RDC\Engineering\Projects\EPC's\SYB\CorLog\ZMB\Choma RTO\20150402 ZMB Choma RTO how to count hours for those being trained (RDC-to-ZMB).msg", "how to count hours for those being trained")</f>
        <v>how to count hours for those being trained</v>
      </c>
      <c r="K953" s="25"/>
      <c r="L953" s="19"/>
      <c r="M953" s="20"/>
      <c r="N953" s="21" t="s">
        <v>3471</v>
      </c>
    </row>
    <row r="954" spans="1:14">
      <c r="A954" s="12" t="s">
        <v>718</v>
      </c>
      <c r="B954" s="13" t="s">
        <v>837</v>
      </c>
      <c r="C954" s="14" t="s">
        <v>1011</v>
      </c>
      <c r="D954" s="15">
        <v>42096.595289351855</v>
      </c>
      <c r="E954" s="16" t="s">
        <v>16</v>
      </c>
      <c r="F954" s="16" t="s">
        <v>18</v>
      </c>
      <c r="G954" s="17" t="s">
        <v>838</v>
      </c>
      <c r="H954" s="17" t="s">
        <v>829</v>
      </c>
      <c r="I954" s="13" t="s">
        <v>3472</v>
      </c>
      <c r="J954" s="23" t="str">
        <f>HYPERLINK("H:\RDC\Engineering\Projects\EPC's\SYB\CorLog\ZMB\Choma RTO\20150402 ZMB Choma RTO RDC review of NLBR A V Doors from Germany revised Draft (RDC-to-ZMB).msg", "RDC review of NLBR A V Doors from Germany revised Draft")</f>
        <v>RDC review of NLBR A V Doors from Germany revised Draft</v>
      </c>
      <c r="K954" s="25" t="s">
        <v>1243</v>
      </c>
      <c r="L954" s="19"/>
      <c r="M954" s="20"/>
      <c r="N954" s="21" t="s">
        <v>3473</v>
      </c>
    </row>
    <row r="955" spans="1:14">
      <c r="A955" s="12" t="s">
        <v>750</v>
      </c>
      <c r="B955" s="13" t="s">
        <v>718</v>
      </c>
      <c r="C955" s="14"/>
      <c r="D955" s="15">
        <v>42096.479710648149</v>
      </c>
      <c r="E955" s="16" t="s">
        <v>16</v>
      </c>
      <c r="F955" s="16" t="s">
        <v>16</v>
      </c>
      <c r="G955" s="17" t="s">
        <v>738</v>
      </c>
      <c r="H955" s="17" t="s">
        <v>927</v>
      </c>
      <c r="I955" s="13" t="s">
        <v>3474</v>
      </c>
      <c r="J955" s="23" t="str">
        <f>HYPERLINK("CorLog\GHA\BEX 2\20150402 GHA BEX 2 Target Dates - April 1, 2015 (RDC-to-RDC).msg", "Target Dates - April 1, 2015")</f>
        <v>Target Dates - April 1, 2015</v>
      </c>
      <c r="K955" s="25" t="s">
        <v>1211</v>
      </c>
      <c r="L955" s="19"/>
      <c r="M955" s="20"/>
      <c r="N955" s="21" t="s">
        <v>3475</v>
      </c>
    </row>
    <row r="956" spans="1:14">
      <c r="A956" s="12" t="s">
        <v>964</v>
      </c>
      <c r="B956" s="13" t="s">
        <v>718</v>
      </c>
      <c r="C956" s="14" t="s">
        <v>3476</v>
      </c>
      <c r="D956" s="15">
        <v>42096.443136574075</v>
      </c>
      <c r="E956" s="16" t="s">
        <v>16</v>
      </c>
      <c r="F956" s="16" t="s">
        <v>16</v>
      </c>
      <c r="G956" s="17" t="s">
        <v>790</v>
      </c>
      <c r="H956" s="17" t="s">
        <v>886</v>
      </c>
      <c r="I956" s="13" t="s">
        <v>3477</v>
      </c>
      <c r="J956" s="23" t="str">
        <f>HYPERLINK("CorLog\GHA\BEX\20150402 GHA BEX Electrical Query; Position of Outlet in the Residence Room Bathroom (RDC-to-RDC).msg", "Electrical Query; Position of Outlet in the Residence Room Bathroom")</f>
        <v>Electrical Query; Position of Outlet in the Residence Room Bathroom</v>
      </c>
      <c r="K956" s="25" t="s">
        <v>1211</v>
      </c>
      <c r="L956" s="19"/>
      <c r="M956" s="20"/>
      <c r="N956" s="21" t="s">
        <v>3478</v>
      </c>
    </row>
    <row r="957" spans="1:14">
      <c r="A957" s="12" t="s">
        <v>718</v>
      </c>
      <c r="B957" s="13" t="s">
        <v>750</v>
      </c>
      <c r="C957" s="14" t="s">
        <v>3313</v>
      </c>
      <c r="D957" s="15">
        <v>42096.407638888886</v>
      </c>
      <c r="E957" s="16" t="s">
        <v>16</v>
      </c>
      <c r="F957" s="16" t="s">
        <v>16</v>
      </c>
      <c r="G957" s="17" t="s">
        <v>738</v>
      </c>
      <c r="H957" s="17" t="s">
        <v>2192</v>
      </c>
      <c r="I957" s="13" t="s">
        <v>3479</v>
      </c>
      <c r="J957" s="23" t="str">
        <f>HYPERLINK("CorLog\GHA\BEX 2\20150402 GHA BEX 2 Civil, Mtg with WSP Apr 2, 2015 (RDC-to-RDC).msg", "Civil, Mtg with WSP Apr 2, 2015")</f>
        <v>Civil, Mtg with WSP Apr 2, 2015</v>
      </c>
      <c r="K957" s="25" t="s">
        <v>1243</v>
      </c>
      <c r="L957" s="19"/>
      <c r="M957" s="20"/>
      <c r="N957" s="21" t="s">
        <v>3480</v>
      </c>
    </row>
    <row r="958" spans="1:14">
      <c r="A958" s="12" t="s">
        <v>718</v>
      </c>
      <c r="B958" s="13" t="s">
        <v>1547</v>
      </c>
      <c r="C958" s="14" t="s">
        <v>964</v>
      </c>
      <c r="D958" s="15">
        <v>42096.344444444447</v>
      </c>
      <c r="E958" s="16" t="s">
        <v>16</v>
      </c>
      <c r="F958" s="16" t="s">
        <v>14</v>
      </c>
      <c r="G958" s="17" t="s">
        <v>1662</v>
      </c>
      <c r="H958" s="17" t="s">
        <v>3481</v>
      </c>
      <c r="I958" s="13" t="s">
        <v>3482</v>
      </c>
      <c r="J958" s="23" t="str">
        <f>HYPERLINK("CorLog\MDG\Toliara RTO\20150402 MDG Toliara RTO RDC review of NLBR for SDMO generators (RDC-to-MDG).msg", "RDC review of NLBR for SDMO generators")</f>
        <v>RDC review of NLBR for SDMO generators</v>
      </c>
      <c r="K958" s="25" t="s">
        <v>1211</v>
      </c>
      <c r="L958" s="19"/>
      <c r="M958" s="20"/>
      <c r="N958" s="21" t="s">
        <v>3483</v>
      </c>
    </row>
    <row r="959" spans="1:14">
      <c r="A959" s="12" t="s">
        <v>2417</v>
      </c>
      <c r="B959" s="13"/>
      <c r="C959" s="14"/>
      <c r="D959" s="15">
        <v>42096</v>
      </c>
      <c r="E959" s="16" t="s">
        <v>16</v>
      </c>
      <c r="F959" s="16" t="s">
        <v>21</v>
      </c>
      <c r="G959" s="17" t="s">
        <v>790</v>
      </c>
      <c r="H959" s="17" t="s">
        <v>791</v>
      </c>
      <c r="I959" s="13" t="s">
        <v>3484</v>
      </c>
      <c r="J959" s="23" t="str">
        <f>HYPERLINK("CorLog\GHA\BEX\20150402 GHA BEX Recommendation for Revised Construction Committees (RDC-to-GHA).docx", "Recommendation for Revised Construction Committees")</f>
        <v>Recommendation for Revised Construction Committees</v>
      </c>
      <c r="K959" s="23"/>
      <c r="L959" s="19"/>
      <c r="M959" s="20"/>
      <c r="N959" s="21" t="s">
        <v>3485</v>
      </c>
    </row>
    <row r="960" spans="1:14">
      <c r="A960" s="12" t="s">
        <v>827</v>
      </c>
      <c r="B960" s="13" t="s">
        <v>832</v>
      </c>
      <c r="C960" s="14" t="s">
        <v>3486</v>
      </c>
      <c r="D960" s="15">
        <v>42095.703136574077</v>
      </c>
      <c r="E960" s="16" t="s">
        <v>21</v>
      </c>
      <c r="F960" s="16" t="s">
        <v>21</v>
      </c>
      <c r="G960" s="17" t="s">
        <v>790</v>
      </c>
      <c r="H960" s="17" t="s">
        <v>1524</v>
      </c>
      <c r="I960" s="13" t="s">
        <v>3487</v>
      </c>
      <c r="J960" s="23" t="str">
        <f>HYPERLINK("CorLog\GHA\BEX\20150401 GHA BEX Bros Ryan and Arthur Invited at CC (GHA-to-GHA).msg", "Bros Ryan and Arthur Invited at CC")</f>
        <v>Bros Ryan and Arthur Invited at CC</v>
      </c>
      <c r="K960" s="25"/>
      <c r="L960" s="19"/>
      <c r="M960" s="20"/>
      <c r="N960" s="21" t="s">
        <v>3488</v>
      </c>
    </row>
    <row r="961" spans="1:14">
      <c r="A961" s="12" t="s">
        <v>718</v>
      </c>
      <c r="B961" s="13" t="s">
        <v>827</v>
      </c>
      <c r="C961" s="14" t="s">
        <v>3489</v>
      </c>
      <c r="D961" s="15">
        <v>42095.689351851855</v>
      </c>
      <c r="E961" s="16" t="s">
        <v>16</v>
      </c>
      <c r="F961" s="16" t="s">
        <v>21</v>
      </c>
      <c r="G961" s="17" t="s">
        <v>790</v>
      </c>
      <c r="H961" s="17" t="s">
        <v>886</v>
      </c>
      <c r="I961" s="13" t="s">
        <v>3490</v>
      </c>
      <c r="J961" s="23" t="str">
        <f>HYPERLINK("CorLog\GHA\BEX\20150401 GHA BEX Residence Bldg Corridor Push Switch (RDC-to-GHA).msg", "Residence Bldg Corridor Push Switch")</f>
        <v>Residence Bldg Corridor Push Switch</v>
      </c>
      <c r="K961" s="25"/>
      <c r="L961" s="19"/>
      <c r="M961" s="20"/>
      <c r="N961" s="21" t="s">
        <v>3491</v>
      </c>
    </row>
    <row r="962" spans="1:14">
      <c r="A962" s="12" t="s">
        <v>718</v>
      </c>
      <c r="B962" s="13" t="s">
        <v>837</v>
      </c>
      <c r="C962" s="14" t="s">
        <v>3492</v>
      </c>
      <c r="D962" s="15">
        <v>42095.68822916667</v>
      </c>
      <c r="E962" s="16" t="s">
        <v>16</v>
      </c>
      <c r="F962" s="16" t="s">
        <v>18</v>
      </c>
      <c r="G962" s="17" t="s">
        <v>838</v>
      </c>
      <c r="H962" s="17" t="s">
        <v>851</v>
      </c>
      <c r="I962" s="13" t="s">
        <v>3493</v>
      </c>
      <c r="J962" s="23" t="str">
        <f>HYPERLINK("CorLog\ZMB\Choma RTO\20150401 ZMB Choma RTO DCP Test Results - Commuter, Office &amp; Utility Buildings (RDC-to-ZMB).msg", "DCP Test Results - Commuter, Office &amp; Utility Buildings")</f>
        <v>DCP Test Results - Commuter, Office &amp; Utility Buildings</v>
      </c>
      <c r="K962" s="25" t="s">
        <v>1499</v>
      </c>
      <c r="L962" s="19"/>
      <c r="M962" s="20"/>
      <c r="N962" s="21" t="s">
        <v>3494</v>
      </c>
    </row>
    <row r="963" spans="1:14">
      <c r="A963" s="12" t="s">
        <v>827</v>
      </c>
      <c r="B963" s="13" t="s">
        <v>3495</v>
      </c>
      <c r="C963" s="14" t="s">
        <v>3496</v>
      </c>
      <c r="D963" s="15">
        <v>42095.684317129628</v>
      </c>
      <c r="E963" s="16" t="s">
        <v>21</v>
      </c>
      <c r="F963" s="16" t="s">
        <v>21</v>
      </c>
      <c r="G963" s="17" t="s">
        <v>790</v>
      </c>
      <c r="H963" s="17" t="s">
        <v>725</v>
      </c>
      <c r="I963" s="13" t="s">
        <v>3497</v>
      </c>
      <c r="J963" s="23" t="str">
        <f>HYPERLINK("CorLog\GHA\BEX\20150401 GHA BEX CC Meeting Action Item (GHA-to-GHA).msg", "CC Meeting Action Item")</f>
        <v>CC Meeting Action Item</v>
      </c>
      <c r="K963" s="25"/>
      <c r="L963" s="19"/>
      <c r="M963" s="20"/>
      <c r="N963" s="21" t="s">
        <v>3498</v>
      </c>
    </row>
    <row r="964" spans="1:14">
      <c r="A964" s="12" t="s">
        <v>964</v>
      </c>
      <c r="B964" s="13" t="s">
        <v>3499</v>
      </c>
      <c r="C964" s="14" t="s">
        <v>3500</v>
      </c>
      <c r="D964" s="15">
        <v>42095.634282407409</v>
      </c>
      <c r="E964" s="16" t="s">
        <v>16</v>
      </c>
      <c r="F964" s="16" t="s">
        <v>26</v>
      </c>
      <c r="G964" s="17" t="s">
        <v>790</v>
      </c>
      <c r="H964" s="17" t="s">
        <v>3501</v>
      </c>
      <c r="I964" s="13" t="s">
        <v>3502</v>
      </c>
      <c r="J964" s="23" t="str">
        <f>HYPERLINK("CorLog\GHA\BEX\20150401 GHA BEX GHA 04 - Schneider Power Factor Control unit (RDC-to-GBR).msg", "GHA 04 - Schneider Power Factor Control unit")</f>
        <v>GHA 04 - Schneider Power Factor Control unit</v>
      </c>
      <c r="K964" s="25" t="s">
        <v>1243</v>
      </c>
      <c r="L964" s="19"/>
      <c r="M964" s="20"/>
      <c r="N964" s="21" t="s">
        <v>3503</v>
      </c>
    </row>
    <row r="965" spans="1:14">
      <c r="A965" s="12" t="s">
        <v>3215</v>
      </c>
      <c r="B965" s="13" t="s">
        <v>718</v>
      </c>
      <c r="C965" s="14" t="s">
        <v>3504</v>
      </c>
      <c r="D965" s="15">
        <v>42094.655590277776</v>
      </c>
      <c r="E965" s="16" t="s">
        <v>21</v>
      </c>
      <c r="F965" s="16" t="s">
        <v>16</v>
      </c>
      <c r="G965" s="17" t="s">
        <v>790</v>
      </c>
      <c r="H965" s="17" t="s">
        <v>1524</v>
      </c>
      <c r="I965" s="13" t="s">
        <v>3505</v>
      </c>
      <c r="J965" s="23" t="str">
        <f>HYPERLINK("CorLog\GHA\BEX\20150331 GHA BEX Draft recommedation for CCs (-to-RDC).msg", "Draft recommedation for CCs")</f>
        <v>Draft recommedation for CCs</v>
      </c>
      <c r="K965" s="25" t="s">
        <v>1211</v>
      </c>
      <c r="L965" s="19"/>
      <c r="M965" s="20"/>
      <c r="N965" s="21" t="s">
        <v>3506</v>
      </c>
    </row>
    <row r="966" spans="1:14">
      <c r="A966" s="12" t="s">
        <v>718</v>
      </c>
      <c r="B966" s="13" t="s">
        <v>750</v>
      </c>
      <c r="C966" s="14"/>
      <c r="D966" s="15">
        <v>42094.609710648147</v>
      </c>
      <c r="E966" s="16" t="s">
        <v>16</v>
      </c>
      <c r="F966" s="16" t="s">
        <v>16</v>
      </c>
      <c r="G966" s="17" t="s">
        <v>738</v>
      </c>
      <c r="H966" s="17" t="s">
        <v>3507</v>
      </c>
      <c r="I966" s="13" t="s">
        <v>3508</v>
      </c>
      <c r="J966" s="18" t="str">
        <f>HYPERLINK("CorLog\GHA\BEX 2\20150331 GHA BEX 2 Security Grating Removed by Storm (RDC-to-RDC).msg", "Security Grating Removed by Storm")</f>
        <v>Security Grating Removed by Storm</v>
      </c>
      <c r="K966" s="22"/>
      <c r="L966" s="19"/>
      <c r="M966" s="20"/>
      <c r="N966" s="21" t="s">
        <v>3509</v>
      </c>
    </row>
    <row r="967" spans="1:14">
      <c r="A967" s="12" t="s">
        <v>718</v>
      </c>
      <c r="B967" s="13" t="s">
        <v>777</v>
      </c>
      <c r="C967" s="14" t="s">
        <v>3510</v>
      </c>
      <c r="D967" s="15">
        <v>42094.606446759259</v>
      </c>
      <c r="E967" s="16" t="s">
        <v>16</v>
      </c>
      <c r="F967" s="16" t="s">
        <v>18</v>
      </c>
      <c r="G967" s="17" t="s">
        <v>885</v>
      </c>
      <c r="H967" s="17" t="s">
        <v>791</v>
      </c>
      <c r="I967" s="13" t="s">
        <v>3511</v>
      </c>
      <c r="J967" s="23" t="str">
        <f>HYPERLINK("CorLog\ZMB\Kabompo RTO\20150331 ZMB Kabompo RTO Commissioning arrival dates (RDC-to-ZMB).msg", "Commissioning arrival dates")</f>
        <v>Commissioning arrival dates</v>
      </c>
      <c r="K967" s="25" t="s">
        <v>1243</v>
      </c>
      <c r="L967" s="19"/>
      <c r="M967" s="20"/>
      <c r="N967" s="21" t="s">
        <v>3512</v>
      </c>
    </row>
    <row r="968" spans="1:14">
      <c r="A968" s="12" t="s">
        <v>3513</v>
      </c>
      <c r="B968" s="13"/>
      <c r="C968" s="14"/>
      <c r="D968" s="15">
        <v>42094</v>
      </c>
      <c r="E968" s="16" t="s">
        <v>21</v>
      </c>
      <c r="F968" s="16" t="s">
        <v>15</v>
      </c>
      <c r="G968" s="17" t="s">
        <v>738</v>
      </c>
      <c r="H968" s="17" t="s">
        <v>3208</v>
      </c>
      <c r="I968" s="13" t="s">
        <v>3514</v>
      </c>
      <c r="J968" s="23" t="str">
        <f>HYPERLINK("CorLog\GHA\BEX 2\20150331 GHA BEX 2 Expansion of Ghana Kitchen (GHA-to-ZAF).docx", "Expansion of Ghana Kitchen")</f>
        <v>Expansion of Ghana Kitchen</v>
      </c>
      <c r="K968" s="23" t="str">
        <f>HYPERLINK("CorLog\GHA\BEX 2\20150331 GHA BEX 2 Expansion of Ghana Kitchen (GHA-to-ZAF).zip", "Zipped")</f>
        <v>Zipped</v>
      </c>
      <c r="L968" s="19"/>
      <c r="M968" s="20"/>
      <c r="N968" s="21" t="s">
        <v>3515</v>
      </c>
    </row>
    <row r="969" spans="1:14">
      <c r="A969" s="12" t="s">
        <v>718</v>
      </c>
      <c r="B969" s="13" t="s">
        <v>1969</v>
      </c>
      <c r="C969" s="14" t="s">
        <v>3516</v>
      </c>
      <c r="D969" s="15">
        <v>42093.706724537034</v>
      </c>
      <c r="E969" s="16" t="s">
        <v>16</v>
      </c>
      <c r="F969" s="16" t="s">
        <v>22</v>
      </c>
      <c r="G969" s="17" t="s">
        <v>2627</v>
      </c>
      <c r="H969" s="17" t="s">
        <v>1178</v>
      </c>
      <c r="I969" s="13" t="s">
        <v>3517</v>
      </c>
      <c r="J969" s="23" t="str">
        <f>HYPERLINK("CorLog\COD\Kamina RTO\20150330 COD Kamina RTO Generator Diesel supply line, controls, level switches (RDC-to-COD).msg", "Generator Diesel supply line, controls, level switches")</f>
        <v>Generator Diesel supply line, controls, level switches</v>
      </c>
      <c r="K969" s="25" t="s">
        <v>1243</v>
      </c>
      <c r="L969" s="19"/>
      <c r="M969" s="20"/>
      <c r="N969" s="21" t="s">
        <v>3518</v>
      </c>
    </row>
    <row r="970" spans="1:14">
      <c r="A970" s="12" t="s">
        <v>1069</v>
      </c>
      <c r="B970" s="13" t="s">
        <v>718</v>
      </c>
      <c r="C970" s="14"/>
      <c r="D970" s="15">
        <v>42093.699363425927</v>
      </c>
      <c r="E970" s="16" t="s">
        <v>18</v>
      </c>
      <c r="F970" s="16" t="s">
        <v>16</v>
      </c>
      <c r="G970" s="17" t="s">
        <v>1070</v>
      </c>
      <c r="H970" s="17" t="s">
        <v>1565</v>
      </c>
      <c r="I970" s="13" t="s">
        <v>3519</v>
      </c>
      <c r="J970" s="23" t="str">
        <f>HYPERLINK("CorLog\ZMB\Katete RTO\20150330 ZMB Katete RTO 5th porch off conference room (ZMB-to-RDC).msg", "5th porch off conference room")</f>
        <v>5th porch off conference room</v>
      </c>
      <c r="K970" s="25"/>
      <c r="L970" s="19"/>
      <c r="M970" s="20"/>
      <c r="N970" s="21" t="s">
        <v>3520</v>
      </c>
    </row>
    <row r="971" spans="1:14">
      <c r="A971" s="12" t="s">
        <v>718</v>
      </c>
      <c r="B971" s="13" t="s">
        <v>837</v>
      </c>
      <c r="C971" s="14" t="s">
        <v>3521</v>
      </c>
      <c r="D971" s="15">
        <v>42093.692974537036</v>
      </c>
      <c r="E971" s="16" t="s">
        <v>16</v>
      </c>
      <c r="F971" s="16" t="s">
        <v>18</v>
      </c>
      <c r="G971" s="17" t="s">
        <v>838</v>
      </c>
      <c r="H971" s="17" t="s">
        <v>829</v>
      </c>
      <c r="I971" s="13" t="s">
        <v>3522</v>
      </c>
      <c r="J971" s="23" t="str">
        <f>HYPERLINK("CorLog\ZMB\Choma RTO\20150330 ZMB Choma RTO RDC review of NLBR 10424 Cookchill equipment (RDC-to-ZMB).msg", "RDC review of NLBR 10424 Cookchill equipment")</f>
        <v>RDC review of NLBR 10424 Cookchill equipment</v>
      </c>
      <c r="K971" s="25" t="s">
        <v>1270</v>
      </c>
      <c r="L971" s="19"/>
      <c r="M971" s="20"/>
      <c r="N971" s="21" t="s">
        <v>3523</v>
      </c>
    </row>
    <row r="972" spans="1:14">
      <c r="A972" s="12" t="s">
        <v>750</v>
      </c>
      <c r="B972" s="13" t="s">
        <v>771</v>
      </c>
      <c r="C972" s="14" t="s">
        <v>3524</v>
      </c>
      <c r="D972" s="15">
        <v>42093.577673611115</v>
      </c>
      <c r="E972" s="16" t="s">
        <v>16</v>
      </c>
      <c r="F972" s="16" t="s">
        <v>17</v>
      </c>
      <c r="G972" s="17" t="s">
        <v>738</v>
      </c>
      <c r="H972" s="17" t="s">
        <v>1195</v>
      </c>
      <c r="I972" s="13" t="s">
        <v>3525</v>
      </c>
      <c r="J972" s="23" t="str">
        <f>HYPERLINK("CorLog\GHA\BEX 2\20150330 GHA BEX 2 CDP Update ADJUSTED LT BEX Staffing Figures (RDC-to-WDC).msg", "CDP Update ADJUSTED LT BEX Staffing Figures")</f>
        <v>CDP Update ADJUSTED LT BEX Staffing Figures</v>
      </c>
      <c r="K972" s="25" t="s">
        <v>1243</v>
      </c>
      <c r="L972" s="19"/>
      <c r="M972" s="20"/>
      <c r="N972" s="21" t="s">
        <v>3526</v>
      </c>
    </row>
    <row r="973" spans="1:14">
      <c r="A973" s="12" t="s">
        <v>718</v>
      </c>
      <c r="B973" s="13" t="s">
        <v>1337</v>
      </c>
      <c r="C973" s="14" t="s">
        <v>3527</v>
      </c>
      <c r="D973" s="15">
        <v>42093.412731481483</v>
      </c>
      <c r="E973" s="16" t="s">
        <v>16</v>
      </c>
      <c r="F973" s="16" t="s">
        <v>18</v>
      </c>
      <c r="G973" s="17" t="s">
        <v>885</v>
      </c>
      <c r="H973" s="17" t="s">
        <v>1178</v>
      </c>
      <c r="I973" s="13" t="s">
        <v>3528</v>
      </c>
      <c r="J973" s="23" t="str">
        <f>HYPERLINK("CorLog\ZMB\Kabompo RTO\20150330 ZMB Kabompo RTO Gensets;Diesel Float for each tank, where to terminate wire on Tuff Tank controls (RDC-to-ZMB).msg", "Gensets;Diesel Float for each tank, where to terminate wire on Tuff Tank controls")</f>
        <v>Gensets;Diesel Float for each tank, where to terminate wire on Tuff Tank controls</v>
      </c>
      <c r="K973" s="25" t="s">
        <v>1274</v>
      </c>
      <c r="L973" s="19"/>
      <c r="M973" s="20"/>
      <c r="N973" s="21" t="s">
        <v>3529</v>
      </c>
    </row>
    <row r="974" spans="1:14">
      <c r="A974" s="12" t="s">
        <v>1258</v>
      </c>
      <c r="B974" s="13" t="s">
        <v>750</v>
      </c>
      <c r="C974" s="14" t="s">
        <v>3530</v>
      </c>
      <c r="D974" s="15">
        <v>42093.377476851849</v>
      </c>
      <c r="E974" s="16" t="s">
        <v>16</v>
      </c>
      <c r="F974" s="16" t="s">
        <v>16</v>
      </c>
      <c r="G974" s="17" t="s">
        <v>738</v>
      </c>
      <c r="H974" s="17" t="s">
        <v>3531</v>
      </c>
      <c r="I974" s="13" t="s">
        <v>3532</v>
      </c>
      <c r="J974" s="23" t="str">
        <f>HYPERLINK("CorLog\GHA\BEX 2\20150330 GHA BEX 2 CDP Update; Decrease in personnel due to Twi moveout (RDC-to-RDC).msg", "CDP Update; Decrease in personnel due to Twi moveout")</f>
        <v>CDP Update; Decrease in personnel due to Twi moveout</v>
      </c>
      <c r="K974" s="25"/>
      <c r="L974" s="19"/>
      <c r="M974" s="20"/>
      <c r="N974" s="21" t="s">
        <v>3533</v>
      </c>
    </row>
    <row r="975" spans="1:14">
      <c r="A975" s="12" t="s">
        <v>718</v>
      </c>
      <c r="B975" s="13" t="s">
        <v>827</v>
      </c>
      <c r="C975" s="14" t="s">
        <v>3534</v>
      </c>
      <c r="D975" s="15">
        <v>42093.343472222223</v>
      </c>
      <c r="E975" s="16" t="s">
        <v>16</v>
      </c>
      <c r="F975" s="16" t="s">
        <v>21</v>
      </c>
      <c r="G975" s="17" t="s">
        <v>790</v>
      </c>
      <c r="H975" s="17" t="s">
        <v>829</v>
      </c>
      <c r="I975" s="13" t="s">
        <v>3535</v>
      </c>
      <c r="J975" s="23" t="str">
        <f>HYPERLINK("CorLog\GHA\BEX\20150330 GHA BEX RDC review of NLBR Package -45- SUBMITTAL (RDC-to-GHA).msg", "RDC review of NLBR Package -45- SUBMITTAL")</f>
        <v>RDC review of NLBR Package -45- SUBMITTAL</v>
      </c>
      <c r="K975" s="25" t="s">
        <v>1243</v>
      </c>
      <c r="L975" s="19"/>
      <c r="M975" s="20"/>
      <c r="N975" s="21" t="s">
        <v>3536</v>
      </c>
    </row>
    <row r="976" spans="1:14">
      <c r="A976" s="12" t="s">
        <v>750</v>
      </c>
      <c r="B976" s="13" t="s">
        <v>3215</v>
      </c>
      <c r="C976" s="14" t="s">
        <v>3537</v>
      </c>
      <c r="D976" s="15">
        <v>42092.79446759259</v>
      </c>
      <c r="E976" s="16" t="s">
        <v>16</v>
      </c>
      <c r="F976" s="16" t="s">
        <v>21</v>
      </c>
      <c r="G976" s="17" t="s">
        <v>738</v>
      </c>
      <c r="H976" s="17" t="s">
        <v>3538</v>
      </c>
      <c r="I976" s="13" t="s">
        <v>3539</v>
      </c>
      <c r="J976" s="23" t="str">
        <f>HYPERLINK("CorLog\GHA\BEX 2\20150329 GHA BEX 2 Confirmation of Residence Layout - 'New' vs 'Traditional' (RDC-to-GHA).msg", "Confirmation of Residence Layout - 'New' vs 'Traditional'")</f>
        <v>Confirmation of Residence Layout - 'New' vs 'Traditional'</v>
      </c>
      <c r="K976" s="25"/>
      <c r="L976" s="19"/>
      <c r="M976" s="20"/>
      <c r="N976" s="21" t="s">
        <v>3540</v>
      </c>
    </row>
    <row r="977" spans="1:14">
      <c r="A977" s="12" t="s">
        <v>771</v>
      </c>
      <c r="B977" s="13" t="s">
        <v>3215</v>
      </c>
      <c r="C977" s="14" t="s">
        <v>3541</v>
      </c>
      <c r="D977" s="15">
        <v>42092.521874999999</v>
      </c>
      <c r="E977" s="16" t="s">
        <v>17</v>
      </c>
      <c r="F977" s="16" t="s">
        <v>21</v>
      </c>
      <c r="G977" s="17" t="s">
        <v>3193</v>
      </c>
      <c r="H977" s="17" t="s">
        <v>1895</v>
      </c>
      <c r="I977" s="13" t="s">
        <v>3542</v>
      </c>
      <c r="J977" s="23" t="str">
        <f>HYPERLINK("CorLog\GHA\Bolgatanga RTO\20150329 GHA Bolgatanga RTO Reply Bolgatanga Request approval (WDC-to-GHA).msg", "Reply Bolgatanga Request approval")</f>
        <v>Reply Bolgatanga Request approval</v>
      </c>
      <c r="K977" s="25"/>
      <c r="L977" s="19"/>
      <c r="M977" s="20"/>
      <c r="N977" s="21" t="s">
        <v>3543</v>
      </c>
    </row>
    <row r="978" spans="1:14">
      <c r="A978" s="12" t="s">
        <v>2195</v>
      </c>
      <c r="B978" s="13" t="s">
        <v>806</v>
      </c>
      <c r="C978" s="14"/>
      <c r="D978" s="15">
        <v>42091.048877314817</v>
      </c>
      <c r="E978" s="16" t="s">
        <v>935</v>
      </c>
      <c r="F978" s="16" t="s">
        <v>15</v>
      </c>
      <c r="G978" s="17" t="s">
        <v>807</v>
      </c>
      <c r="H978" s="17" t="s">
        <v>848</v>
      </c>
      <c r="I978" s="13" t="s">
        <v>3544</v>
      </c>
      <c r="J978" s="23" t="str">
        <f>HYPERLINK("CorLog\GHA\Branch\20150328 GHA Branch GHA-4726 Stoves ($7,136 38) (GPD-to-ZAF).msg", "GHA-4726 Stoves ($7,136 38)")</f>
        <v>GHA-4726 Stoves ($7,136 38)</v>
      </c>
      <c r="K978" s="25"/>
      <c r="L978" s="19"/>
      <c r="M978" s="20"/>
      <c r="N978" s="21" t="s">
        <v>3545</v>
      </c>
    </row>
    <row r="979" spans="1:14">
      <c r="A979" s="12" t="s">
        <v>717</v>
      </c>
      <c r="B979" s="13" t="s">
        <v>718</v>
      </c>
      <c r="C979" s="14" t="s">
        <v>3546</v>
      </c>
      <c r="D979" s="15">
        <v>42090.651307870372</v>
      </c>
      <c r="E979" s="16" t="s">
        <v>16</v>
      </c>
      <c r="F979" s="16" t="s">
        <v>16</v>
      </c>
      <c r="G979" s="17" t="s">
        <v>864</v>
      </c>
      <c r="H979" s="17" t="s">
        <v>3251</v>
      </c>
      <c r="I979" s="13" t="s">
        <v>3252</v>
      </c>
      <c r="J979" s="18" t="str">
        <f>HYPERLINK("CorLog\COD\Choral Studio\20150327 COD Choral Studio Smaller recording rooms proposal (type A) (RDC-to-RDC).msg", "Smaller recording rooms proposal (type A)")</f>
        <v>Smaller recording rooms proposal (type A)</v>
      </c>
      <c r="K979" s="22"/>
      <c r="L979" s="19"/>
      <c r="M979" s="20"/>
      <c r="N979" s="21" t="s">
        <v>3547</v>
      </c>
    </row>
    <row r="980" spans="1:14">
      <c r="A980" s="12" t="s">
        <v>750</v>
      </c>
      <c r="B980" s="13" t="s">
        <v>1337</v>
      </c>
      <c r="C980" s="14" t="s">
        <v>3548</v>
      </c>
      <c r="D980" s="15">
        <v>42090.486458333333</v>
      </c>
      <c r="E980" s="16" t="s">
        <v>16</v>
      </c>
      <c r="F980" s="16" t="s">
        <v>18</v>
      </c>
      <c r="G980" s="17" t="s">
        <v>885</v>
      </c>
      <c r="H980" s="17" t="s">
        <v>851</v>
      </c>
      <c r="I980" s="13" t="s">
        <v>3549</v>
      </c>
      <c r="J980" s="23" t="str">
        <f>HYPERLINK("CorLog\ZMB\Kabompo RTO\20150327 ZMB Kabompo RTO DCP Carpark Slab #7 -9; -10; HARD SPOTS (RDC-to-ZMB).msg", "DCP Carpark Slab #7 -9; -10; HARD SPOTS")</f>
        <v>DCP Carpark Slab #7 -9; -10; HARD SPOTS</v>
      </c>
      <c r="K980" s="25" t="s">
        <v>1211</v>
      </c>
      <c r="L980" s="19"/>
      <c r="M980" s="20"/>
      <c r="N980" s="21" t="s">
        <v>3550</v>
      </c>
    </row>
    <row r="981" spans="1:14">
      <c r="A981" s="12" t="s">
        <v>718</v>
      </c>
      <c r="B981" s="13" t="s">
        <v>1069</v>
      </c>
      <c r="C981" s="14" t="s">
        <v>1399</v>
      </c>
      <c r="D981" s="15">
        <v>42090.389548611114</v>
      </c>
      <c r="E981" s="16" t="s">
        <v>16</v>
      </c>
      <c r="F981" s="16" t="s">
        <v>18</v>
      </c>
      <c r="G981" s="17" t="s">
        <v>1070</v>
      </c>
      <c r="H981" s="17" t="s">
        <v>829</v>
      </c>
      <c r="I981" s="13" t="s">
        <v>3551</v>
      </c>
      <c r="J981" s="23" t="str">
        <f>HYPERLINK("CorLog\ZMB\Katete RTO\20150327 ZMB Katete RTO RDC review of Draft NLBR; REQ 520-10989; UPvc Ceiling and Cove; 20150325 (RDC-to-ZMB).msg", "RDC review of Draft NLBR; REQ 520-10989; UPvc Ceiling and Cove; 20150325")</f>
        <v>RDC review of Draft NLBR; REQ 520-10989; UPvc Ceiling and Cove; 20150325</v>
      </c>
      <c r="K981" s="25" t="s">
        <v>1211</v>
      </c>
      <c r="L981" s="19"/>
      <c r="M981" s="20"/>
      <c r="N981" s="21" t="s">
        <v>3552</v>
      </c>
    </row>
    <row r="982" spans="1:14">
      <c r="A982" s="12" t="s">
        <v>718</v>
      </c>
      <c r="B982" s="13" t="s">
        <v>837</v>
      </c>
      <c r="C982" s="14"/>
      <c r="D982" s="15">
        <v>42090.381493055553</v>
      </c>
      <c r="E982" s="16" t="s">
        <v>16</v>
      </c>
      <c r="F982" s="16" t="s">
        <v>18</v>
      </c>
      <c r="G982" s="17" t="s">
        <v>838</v>
      </c>
      <c r="H982" s="17" t="s">
        <v>3553</v>
      </c>
      <c r="I982" s="13" t="s">
        <v>3554</v>
      </c>
      <c r="J982" s="18" t="str">
        <f>HYPERLINK("CorLog\ZMB\Choma RTO\20150327 ZMB Choma RTO Approval to build simple block accommodation (RDC-to-ZMB).msg", "Approval to build simple block accommodation")</f>
        <v>Approval to build simple block accommodation</v>
      </c>
      <c r="K982" s="22"/>
      <c r="L982" s="19"/>
      <c r="M982" s="20"/>
      <c r="N982" s="21" t="s">
        <v>3555</v>
      </c>
    </row>
    <row r="983" spans="1:14">
      <c r="A983" s="12" t="s">
        <v>3556</v>
      </c>
      <c r="B983" s="13" t="s">
        <v>718</v>
      </c>
      <c r="C983" s="14" t="s">
        <v>3557</v>
      </c>
      <c r="D983" s="15">
        <v>42090.353726851848</v>
      </c>
      <c r="E983" s="16" t="s">
        <v>15</v>
      </c>
      <c r="F983" s="16" t="s">
        <v>16</v>
      </c>
      <c r="G983" s="17" t="s">
        <v>838</v>
      </c>
      <c r="H983" s="17" t="s">
        <v>1367</v>
      </c>
      <c r="I983" s="13" t="s">
        <v>3558</v>
      </c>
      <c r="J983" s="23" t="str">
        <f>HYPERLINK("CorLog\ZMB\Choma RTO\20150327 ZMB Choma RTO Silikon instead of Dektite (ZAF-to-RDC).msg", "Silikon instead of Dektite")</f>
        <v>Silikon instead of Dektite</v>
      </c>
      <c r="K983" s="25" t="s">
        <v>1211</v>
      </c>
      <c r="L983" s="19"/>
      <c r="M983" s="20"/>
      <c r="N983" s="21" t="s">
        <v>3559</v>
      </c>
    </row>
    <row r="984" spans="1:14">
      <c r="A984" s="12" t="s">
        <v>750</v>
      </c>
      <c r="B984" s="13" t="s">
        <v>3215</v>
      </c>
      <c r="C984" s="14" t="s">
        <v>2616</v>
      </c>
      <c r="D984" s="15">
        <v>42090.341226851851</v>
      </c>
      <c r="E984" s="16" t="s">
        <v>16</v>
      </c>
      <c r="F984" s="16" t="s">
        <v>21</v>
      </c>
      <c r="G984" s="17" t="s">
        <v>880</v>
      </c>
      <c r="H984" s="17" t="s">
        <v>1015</v>
      </c>
      <c r="I984" s="13" t="s">
        <v>3560</v>
      </c>
      <c r="J984" s="23" t="str">
        <f>HYPERLINK("CorLog\GHA\Kumasi RTO\20150327 GHA Kumasi RTO Budget Delay Letter of Intent to Secure Property (RDC-to-GHA).msg", "Budget Delay Letter of Intent to Secure Property")</f>
        <v>Budget Delay Letter of Intent to Secure Property</v>
      </c>
      <c r="K984" s="25"/>
      <c r="L984" s="19"/>
      <c r="M984" s="20"/>
      <c r="N984" s="21" t="s">
        <v>3561</v>
      </c>
    </row>
    <row r="985" spans="1:14">
      <c r="A985" s="12" t="s">
        <v>718</v>
      </c>
      <c r="B985" s="13" t="s">
        <v>1258</v>
      </c>
      <c r="C985" s="14"/>
      <c r="D985" s="15">
        <v>42089.806296296294</v>
      </c>
      <c r="E985" s="16" t="s">
        <v>16</v>
      </c>
      <c r="F985" s="16" t="s">
        <v>16</v>
      </c>
      <c r="G985" s="17" t="s">
        <v>790</v>
      </c>
      <c r="H985" s="17" t="s">
        <v>3075</v>
      </c>
      <c r="I985" s="13" t="s">
        <v>3562</v>
      </c>
      <c r="J985" s="23" t="str">
        <f>HYPERLINK("CorLog\GHA\BEX\20150326 GHA BEX Photo Report Freezer Container (RDC-to-RDC).msg", "Photo Report Freezer Container")</f>
        <v>Photo Report Freezer Container</v>
      </c>
      <c r="K985" s="25" t="s">
        <v>1211</v>
      </c>
      <c r="L985" s="19"/>
      <c r="M985" s="20"/>
      <c r="N985" s="21" t="s">
        <v>3563</v>
      </c>
    </row>
    <row r="986" spans="1:14">
      <c r="A986" s="12" t="s">
        <v>718</v>
      </c>
      <c r="B986" s="13" t="s">
        <v>837</v>
      </c>
      <c r="C986" s="14" t="s">
        <v>1076</v>
      </c>
      <c r="D986" s="15">
        <v>42089.768750000003</v>
      </c>
      <c r="E986" s="16" t="s">
        <v>16</v>
      </c>
      <c r="F986" s="16" t="s">
        <v>18</v>
      </c>
      <c r="G986" s="17" t="s">
        <v>838</v>
      </c>
      <c r="H986" s="17" t="s">
        <v>829</v>
      </c>
      <c r="I986" s="13" t="s">
        <v>3564</v>
      </c>
      <c r="J986" s="23" t="str">
        <f>HYPERLINK("CorLog\ZMB\Choma RTO\20150326 ZMB Choma RTO RDC review of HK china door NLBR 10419 Inc. 4996 (Ref. 3908) (RDC-to-ZMB).msg", "RDC review of HK china door NLBR 10419 Inc. 4996 (Ref. 3908)")</f>
        <v>RDC review of HK china door NLBR 10419 Inc. 4996 (Ref. 3908)</v>
      </c>
      <c r="K986" s="25" t="s">
        <v>1274</v>
      </c>
      <c r="L986" s="19"/>
      <c r="M986" s="20"/>
      <c r="N986" s="21" t="s">
        <v>3565</v>
      </c>
    </row>
    <row r="987" spans="1:14">
      <c r="A987" s="12" t="s">
        <v>718</v>
      </c>
      <c r="B987" s="13" t="s">
        <v>837</v>
      </c>
      <c r="C987" s="14" t="s">
        <v>1011</v>
      </c>
      <c r="D987" s="15">
        <v>42089.765162037038</v>
      </c>
      <c r="E987" s="16" t="s">
        <v>16</v>
      </c>
      <c r="F987" s="16" t="s">
        <v>18</v>
      </c>
      <c r="G987" s="17" t="s">
        <v>838</v>
      </c>
      <c r="H987" s="17" t="s">
        <v>829</v>
      </c>
      <c r="I987" s="13" t="s">
        <v>3566</v>
      </c>
      <c r="J987" s="23" t="str">
        <f>HYPERLINK("CorLog\ZMB\Choma RTO\20150326 ZMB Choma RTO RDC review of Draft NLBR 10414for Cabinets from China (RDC-to-ZMB).msg", "RDC review of Draft NLBR 10414for Cabinets from China")</f>
        <v>RDC review of Draft NLBR 10414for Cabinets from China</v>
      </c>
      <c r="K987" s="25" t="s">
        <v>1211</v>
      </c>
      <c r="L987" s="19"/>
      <c r="M987" s="20"/>
      <c r="N987" s="21" t="s">
        <v>3567</v>
      </c>
    </row>
    <row r="988" spans="1:14">
      <c r="A988" s="12" t="s">
        <v>718</v>
      </c>
      <c r="B988" s="13" t="s">
        <v>837</v>
      </c>
      <c r="C988" s="14" t="s">
        <v>1011</v>
      </c>
      <c r="D988" s="15">
        <v>42089.740057870367</v>
      </c>
      <c r="E988" s="16" t="s">
        <v>16</v>
      </c>
      <c r="F988" s="16" t="s">
        <v>18</v>
      </c>
      <c r="G988" s="17" t="s">
        <v>838</v>
      </c>
      <c r="H988" s="17" t="s">
        <v>829</v>
      </c>
      <c r="I988" s="13" t="s">
        <v>3568</v>
      </c>
      <c r="J988" s="23" t="str">
        <f>HYPERLINK("CorLog\ZMB\Choma RTO\20150326 ZMB Choma RTO RDC review of NLBR revised mech -1,2,3,4,5 (RDC-to-ZMB).msg", "RDC review of NLBR revised mech -1,2,3,4,5")</f>
        <v>RDC review of NLBR revised mech -1,2,3,4,5</v>
      </c>
      <c r="K988" s="25" t="s">
        <v>1499</v>
      </c>
      <c r="L988" s="19"/>
      <c r="M988" s="20"/>
      <c r="N988" s="21" t="s">
        <v>3569</v>
      </c>
    </row>
    <row r="989" spans="1:14">
      <c r="A989" s="12" t="s">
        <v>718</v>
      </c>
      <c r="B989" s="13" t="s">
        <v>837</v>
      </c>
      <c r="C989" s="14" t="s">
        <v>1011</v>
      </c>
      <c r="D989" s="15">
        <v>42089.736921296295</v>
      </c>
      <c r="E989" s="16" t="s">
        <v>16</v>
      </c>
      <c r="F989" s="16" t="s">
        <v>18</v>
      </c>
      <c r="G989" s="17" t="s">
        <v>838</v>
      </c>
      <c r="H989" s="17" t="s">
        <v>829</v>
      </c>
      <c r="I989" s="13" t="s">
        <v>3570</v>
      </c>
      <c r="J989" s="23" t="str">
        <f>HYPERLINK("CorLog\ZMB\CHOMA RTO\20150326 ZMB CHOMA RTO RDC review of NLBR FOR ALUMINUM DOORS AND WINDOWS, TUFFA TANKS,ORENCO FILTER, A V DOORS, WHISPERROOM (RDC-to-ZMB).msg", "RDC review of NLBR FOR ALUMINUM DOORS AND WINDOWS, TUFFA TANKS,ORENCO FILTER, A V DOORS, WHISPERROOM")</f>
        <v>RDC review of NLBR FOR ALUMINUM DOORS AND WINDOWS, TUFFA TANKS,ORENCO FILTER, A V DOORS, WHISPERROOM</v>
      </c>
      <c r="K989" s="25" t="s">
        <v>1211</v>
      </c>
      <c r="L989" s="19"/>
      <c r="M989" s="20"/>
      <c r="N989" s="21" t="s">
        <v>3571</v>
      </c>
    </row>
    <row r="990" spans="1:14">
      <c r="A990" s="12" t="s">
        <v>718</v>
      </c>
      <c r="B990" s="13" t="s">
        <v>1357</v>
      </c>
      <c r="C990" s="14" t="s">
        <v>3572</v>
      </c>
      <c r="D990" s="15">
        <v>42089.716782407406</v>
      </c>
      <c r="E990" s="16" t="s">
        <v>16</v>
      </c>
      <c r="F990" s="16" t="s">
        <v>17</v>
      </c>
      <c r="G990" s="17" t="s">
        <v>823</v>
      </c>
      <c r="H990" s="17" t="s">
        <v>2384</v>
      </c>
      <c r="I990" s="13" t="s">
        <v>3573</v>
      </c>
      <c r="J990" s="18" t="str">
        <f>HYPERLINK("CorLog\GHA\LDC\20150326 GHA LDC Nilkalmal AH plastic chairs (RDC-to-WDC).msg", "Nilkalmal AH plastic chairs")</f>
        <v>Nilkalmal AH plastic chairs</v>
      </c>
      <c r="K990" s="22"/>
      <c r="L990" s="19"/>
      <c r="M990" s="20"/>
      <c r="N990" s="21" t="s">
        <v>3574</v>
      </c>
    </row>
    <row r="991" spans="1:14">
      <c r="A991" s="12" t="s">
        <v>718</v>
      </c>
      <c r="B991" s="13" t="s">
        <v>1529</v>
      </c>
      <c r="C991" s="14" t="s">
        <v>3575</v>
      </c>
      <c r="D991" s="15">
        <v>42089.656122685185</v>
      </c>
      <c r="E991" s="16" t="s">
        <v>16</v>
      </c>
      <c r="F991" s="16" t="s">
        <v>18</v>
      </c>
      <c r="G991" s="17" t="s">
        <v>946</v>
      </c>
      <c r="H991" s="17" t="s">
        <v>854</v>
      </c>
      <c r="I991" s="13" t="s">
        <v>3576</v>
      </c>
      <c r="J991" s="23" t="str">
        <f>HYPERLINK("CorLog\ZMB\Mongu RTO\20150326 ZMB Mongu RTO Utility Structure Posts Best way to Correct Angle (RDC-to-ZMB).msg", "Utility Structure Posts Best way to Correct Angle")</f>
        <v>Utility Structure Posts Best way to Correct Angle</v>
      </c>
      <c r="K991" s="25" t="s">
        <v>1270</v>
      </c>
      <c r="L991" s="19"/>
      <c r="M991" s="20"/>
      <c r="N991" s="21" t="s">
        <v>3577</v>
      </c>
    </row>
    <row r="992" spans="1:14">
      <c r="A992" s="12" t="s">
        <v>964</v>
      </c>
      <c r="B992" s="13" t="s">
        <v>718</v>
      </c>
      <c r="C992" s="14"/>
      <c r="D992" s="15">
        <v>42089.654664351852</v>
      </c>
      <c r="E992" s="16" t="s">
        <v>16</v>
      </c>
      <c r="F992" s="16" t="s">
        <v>16</v>
      </c>
      <c r="G992" s="17" t="s">
        <v>1662</v>
      </c>
      <c r="H992" s="17" t="s">
        <v>1178</v>
      </c>
      <c r="I992" s="13" t="s">
        <v>3578</v>
      </c>
      <c r="J992" s="23" t="str">
        <f>HYPERLINK("CorLog\MDG\Toliara RTO\20150326 MDG Toliara RTO Need for larger 30kVA generators (RDC-to-RDC).msg", "Need for larger 30kVA generators")</f>
        <v>Need for larger 30kVA generators</v>
      </c>
      <c r="K992" s="25" t="s">
        <v>1270</v>
      </c>
      <c r="L992" s="19"/>
      <c r="M992" s="20"/>
      <c r="N992" s="21" t="s">
        <v>3579</v>
      </c>
    </row>
    <row r="993" spans="1:14">
      <c r="A993" s="12" t="s">
        <v>750</v>
      </c>
      <c r="B993" s="13" t="s">
        <v>1167</v>
      </c>
      <c r="C993" s="14" t="s">
        <v>3580</v>
      </c>
      <c r="D993" s="15">
        <v>42089.557685185187</v>
      </c>
      <c r="E993" s="16" t="s">
        <v>16</v>
      </c>
      <c r="F993" s="16" t="s">
        <v>22</v>
      </c>
      <c r="G993" s="17" t="s">
        <v>1169</v>
      </c>
      <c r="H993" s="17" t="s">
        <v>3581</v>
      </c>
      <c r="I993" s="13" t="s">
        <v>3582</v>
      </c>
      <c r="J993" s="23" t="str">
        <f>HYPERLINK("CorLog\COD\Kikwit RTO\20150326 COD Kikwit RTO Concrete Blinding Layer (RDC-to-COD).msg", "Concrete Blinding Layer")</f>
        <v>Concrete Blinding Layer</v>
      </c>
      <c r="K993" s="25" t="s">
        <v>1211</v>
      </c>
      <c r="L993" s="19"/>
      <c r="M993" s="20"/>
      <c r="N993" s="21" t="s">
        <v>3583</v>
      </c>
    </row>
    <row r="994" spans="1:14">
      <c r="A994" s="12" t="s">
        <v>718</v>
      </c>
      <c r="B994" s="13" t="s">
        <v>1052</v>
      </c>
      <c r="C994" s="14" t="s">
        <v>750</v>
      </c>
      <c r="D994" s="15">
        <v>42089.448217592595</v>
      </c>
      <c r="E994" s="16" t="s">
        <v>16</v>
      </c>
      <c r="F994" s="16" t="s">
        <v>17</v>
      </c>
      <c r="G994" s="17" t="s">
        <v>1470</v>
      </c>
      <c r="H994" s="17" t="s">
        <v>1000</v>
      </c>
      <c r="I994" s="13" t="s">
        <v>1471</v>
      </c>
      <c r="J994" s="23" t="str">
        <f>HYPERLINK("CorLog\GHA\RTO Projects\20150326 GHA RTO Projects Fante and Ahanta Translation Teams - March 10, 2015 (RDC-to-WDC).msg", "Fante and Ahanta Translation Teams - March 10, 2015")</f>
        <v>Fante and Ahanta Translation Teams - March 10, 2015</v>
      </c>
      <c r="K994" s="25" t="s">
        <v>1211</v>
      </c>
      <c r="L994" s="19"/>
      <c r="M994" s="20"/>
      <c r="N994" s="21" t="s">
        <v>3584</v>
      </c>
    </row>
    <row r="995" spans="1:14">
      <c r="A995" s="12"/>
      <c r="B995" s="13"/>
      <c r="C995" s="14"/>
      <c r="D995" s="15">
        <v>42088.868321759262</v>
      </c>
      <c r="E995" s="16" t="s">
        <v>17</v>
      </c>
      <c r="F995" s="16" t="s">
        <v>16</v>
      </c>
      <c r="G995" s="17" t="s">
        <v>864</v>
      </c>
      <c r="H995" s="17" t="s">
        <v>1707</v>
      </c>
      <c r="I995" s="13" t="s">
        <v>3585</v>
      </c>
      <c r="J995" s="18" t="str">
        <f>HYPERLINK("CorLog\COD\Choral Studio\20150325 COD Choral Studio Congo Choral Studio Notes 2015-03-19; Design (WDC-to-RDC).docx", "Congo Choral Studio Notes 2015-03-19; Design")</f>
        <v>Congo Choral Studio Notes 2015-03-19; Design</v>
      </c>
      <c r="K995" s="18" t="str">
        <f>HYPERLINK("CorLog\COD\Choral Studio\20150325 COD Choral Studio Congo Choral Studio Notes 2015-03-19; Design (WDC-to-RDC).zip", "Zipped (2)")</f>
        <v>Zipped (2)</v>
      </c>
      <c r="L995" s="19"/>
      <c r="M995" s="20"/>
      <c r="N995" s="21"/>
    </row>
    <row r="996" spans="1:14">
      <c r="A996" s="12" t="s">
        <v>1181</v>
      </c>
      <c r="B996" s="13" t="s">
        <v>750</v>
      </c>
      <c r="C996" s="14" t="s">
        <v>718</v>
      </c>
      <c r="D996" s="15">
        <v>42088.685370370367</v>
      </c>
      <c r="E996" s="16" t="s">
        <v>16</v>
      </c>
      <c r="F996" s="16" t="s">
        <v>16</v>
      </c>
      <c r="G996" s="17" t="s">
        <v>3211</v>
      </c>
      <c r="H996" s="17" t="s">
        <v>3586</v>
      </c>
      <c r="I996" s="13" t="s">
        <v>3134</v>
      </c>
      <c r="J996" s="18" t="str">
        <f>HYPERLINK("CorLog\GHA\Dangme RTO\20150325 GHA Dangme RTO Google Earth KMZ; Somanya AH Options; ASSESS (RDC-to-RDC).msg", "Google Earth KMZ; Somanya AH Options; ASSESS")</f>
        <v>Google Earth KMZ; Somanya AH Options; ASSESS</v>
      </c>
      <c r="K996" s="22" t="s">
        <v>1033</v>
      </c>
      <c r="L996" s="19"/>
      <c r="M996" s="20"/>
      <c r="N996" s="21" t="s">
        <v>3587</v>
      </c>
    </row>
    <row r="997" spans="1:14">
      <c r="A997" s="12" t="s">
        <v>718</v>
      </c>
      <c r="B997" s="13" t="s">
        <v>757</v>
      </c>
      <c r="C997" s="14" t="s">
        <v>3588</v>
      </c>
      <c r="D997" s="15">
        <v>42088.647812499999</v>
      </c>
      <c r="E997" s="16" t="s">
        <v>16</v>
      </c>
      <c r="F997" s="16" t="s">
        <v>21</v>
      </c>
      <c r="G997" s="17" t="s">
        <v>738</v>
      </c>
      <c r="H997" s="17" t="s">
        <v>2179</v>
      </c>
      <c r="I997" s="13" t="s">
        <v>3589</v>
      </c>
      <c r="J997" s="23" t="str">
        <f>HYPERLINK("CorLog\GHA\BEX 2\20150325 GHA BEX 2 Use of Soilguard termite treatment products, instead of Premise (RDC-to-GHA).msg", "Use of Soilguard termite treatment products, instead of Premise")</f>
        <v>Use of Soilguard termite treatment products, instead of Premise</v>
      </c>
      <c r="K997" s="25" t="s">
        <v>1369</v>
      </c>
      <c r="L997" s="19"/>
      <c r="M997" s="20"/>
      <c r="N997" s="21" t="s">
        <v>3590</v>
      </c>
    </row>
    <row r="998" spans="1:14">
      <c r="A998" s="12" t="s">
        <v>718</v>
      </c>
      <c r="B998" s="13" t="s">
        <v>1069</v>
      </c>
      <c r="C998" s="14" t="s">
        <v>1399</v>
      </c>
      <c r="D998" s="15">
        <v>42088.49050925926</v>
      </c>
      <c r="E998" s="16" t="s">
        <v>16</v>
      </c>
      <c r="F998" s="16" t="s">
        <v>18</v>
      </c>
      <c r="G998" s="17" t="s">
        <v>1070</v>
      </c>
      <c r="H998" s="17" t="s">
        <v>829</v>
      </c>
      <c r="I998" s="13" t="s">
        <v>3591</v>
      </c>
      <c r="J998" s="23" t="str">
        <f>HYPERLINK("CorLog\ZMB\Katete RTO\20150325 ZMB Katete RTO RDC Review of Draft NLBR; REQ 520-10987; Manhole Covers; 20150325 (RDC-to-ZMB).msg", "RDC Review of Draft NLBR; REQ 520-10987; Manhole Covers; 20150325")</f>
        <v>RDC Review of Draft NLBR; REQ 520-10987; Manhole Covers; 20150325</v>
      </c>
      <c r="K998" s="25" t="s">
        <v>1211</v>
      </c>
      <c r="L998" s="19"/>
      <c r="M998" s="20"/>
      <c r="N998" s="21" t="s">
        <v>3592</v>
      </c>
    </row>
    <row r="999" spans="1:14">
      <c r="A999" s="12" t="s">
        <v>750</v>
      </c>
      <c r="B999" s="13" t="s">
        <v>1167</v>
      </c>
      <c r="C999" s="14" t="s">
        <v>3435</v>
      </c>
      <c r="D999" s="15">
        <v>42087.770648148151</v>
      </c>
      <c r="E999" s="16" t="s">
        <v>16</v>
      </c>
      <c r="F999" s="16" t="s">
        <v>22</v>
      </c>
      <c r="G999" s="17" t="s">
        <v>1169</v>
      </c>
      <c r="H999" s="17" t="s">
        <v>851</v>
      </c>
      <c r="I999" s="13" t="s">
        <v>3593</v>
      </c>
      <c r="J999" s="23" t="str">
        <f>HYPERLINK("CorLog\COD\Kikwit RTO\20150324 COD Kikwit RTO DCP under OFFICE footing (RDC-to-COD).msg", "DCP under OFFICE footing")</f>
        <v>DCP under OFFICE footing</v>
      </c>
      <c r="K999" s="25" t="s">
        <v>1270</v>
      </c>
      <c r="L999" s="19"/>
      <c r="M999" s="20"/>
      <c r="N999" s="21" t="s">
        <v>3594</v>
      </c>
    </row>
    <row r="1000" spans="1:14">
      <c r="A1000" s="12" t="s">
        <v>842</v>
      </c>
      <c r="B1000" s="13" t="s">
        <v>718</v>
      </c>
      <c r="C1000" s="14" t="s">
        <v>827</v>
      </c>
      <c r="D1000" s="15">
        <v>42087.684351851851</v>
      </c>
      <c r="E1000" s="16" t="s">
        <v>21</v>
      </c>
      <c r="F1000" s="16" t="s">
        <v>16</v>
      </c>
      <c r="G1000" s="17" t="s">
        <v>738</v>
      </c>
      <c r="H1000" s="17" t="s">
        <v>3595</v>
      </c>
      <c r="I1000" s="13" t="s">
        <v>3375</v>
      </c>
      <c r="J1000" s="23" t="str">
        <f>HYPERLINK("CorLog\GHA\BEX 2\20150324 GHA BEX 2 Storm Water control at front of property (Quotation from JOB360) (GHA-to-RDC).msg", "Storm Water control at front of property (Quotation from JOB360)")</f>
        <v>Storm Water control at front of property (Quotation from JOB360)</v>
      </c>
      <c r="K1000" s="25" t="s">
        <v>1211</v>
      </c>
      <c r="L1000" s="19"/>
      <c r="M1000" s="20"/>
      <c r="N1000" s="21" t="s">
        <v>3596</v>
      </c>
    </row>
    <row r="1001" spans="1:14">
      <c r="A1001" s="12" t="s">
        <v>750</v>
      </c>
      <c r="B1001" s="13" t="s">
        <v>1258</v>
      </c>
      <c r="C1001" s="14" t="s">
        <v>718</v>
      </c>
      <c r="D1001" s="15">
        <v>42087.597118055557</v>
      </c>
      <c r="E1001" s="16" t="s">
        <v>16</v>
      </c>
      <c r="F1001" s="16" t="s">
        <v>16</v>
      </c>
      <c r="G1001" s="17" t="s">
        <v>880</v>
      </c>
      <c r="H1001" s="17" t="s">
        <v>759</v>
      </c>
      <c r="I1001" s="13" t="s">
        <v>3597</v>
      </c>
      <c r="J1001" s="23" t="str">
        <f>HYPERLINK("CorLog\GHA\Kumasi RTO\20150324 GHA Kumasi RTO Layout Proposal (RDC Comments) (RDC-to-RDC).msg", "Layout Proposal (RDC Comments)")</f>
        <v>Layout Proposal (RDC Comments)</v>
      </c>
      <c r="K1001" s="25" t="s">
        <v>1274</v>
      </c>
      <c r="L1001" s="19"/>
      <c r="M1001" s="20"/>
      <c r="N1001" s="21" t="s">
        <v>3598</v>
      </c>
    </row>
    <row r="1002" spans="1:14">
      <c r="A1002" s="12" t="s">
        <v>750</v>
      </c>
      <c r="B1002" s="13" t="s">
        <v>821</v>
      </c>
      <c r="C1002" s="14" t="s">
        <v>3599</v>
      </c>
      <c r="D1002" s="15">
        <v>42087.58017361111</v>
      </c>
      <c r="E1002" s="16" t="s">
        <v>16</v>
      </c>
      <c r="F1002" s="16" t="s">
        <v>21</v>
      </c>
      <c r="G1002" s="17" t="s">
        <v>880</v>
      </c>
      <c r="H1002" s="17" t="s">
        <v>1131</v>
      </c>
      <c r="I1002" s="13" t="s">
        <v>3600</v>
      </c>
      <c r="J1002" s="23" t="str">
        <f>HYPERLINK("CorLog\GHA\Kumasi RTO\20150324 GHA Kumasi RTO What next, RDC comments (RDC-to-GHA).msg", "What next, RDC comments")</f>
        <v>What next, RDC comments</v>
      </c>
      <c r="K1002" s="25" t="s">
        <v>1274</v>
      </c>
      <c r="L1002" s="19"/>
      <c r="M1002" s="20"/>
      <c r="N1002" s="21" t="s">
        <v>3601</v>
      </c>
    </row>
    <row r="1003" spans="1:14">
      <c r="A1003" s="12" t="s">
        <v>718</v>
      </c>
      <c r="B1003" s="13" t="s">
        <v>723</v>
      </c>
      <c r="C1003" s="14" t="s">
        <v>724</v>
      </c>
      <c r="D1003" s="15">
        <v>42087.555902777778</v>
      </c>
      <c r="E1003" s="16" t="s">
        <v>16</v>
      </c>
      <c r="F1003" s="16" t="s">
        <v>16</v>
      </c>
      <c r="G1003" s="17" t="s">
        <v>823</v>
      </c>
      <c r="H1003" s="17" t="s">
        <v>2207</v>
      </c>
      <c r="I1003" s="13" t="s">
        <v>3602</v>
      </c>
      <c r="J1003" s="18" t="str">
        <f>HYPERLINK("CorLog\GHA\LDC\20150324 GHA LDC Swedru AH DC-41 Review (RDC-to-RDC).msg", "Swedru AH DC-41 Review")</f>
        <v>Swedru AH DC-41 Review</v>
      </c>
      <c r="K1003" s="22"/>
      <c r="L1003" s="19"/>
      <c r="M1003" s="20"/>
      <c r="N1003" s="21" t="s">
        <v>3603</v>
      </c>
    </row>
    <row r="1004" spans="1:14">
      <c r="A1004" s="12" t="s">
        <v>806</v>
      </c>
      <c r="B1004" s="13" t="s">
        <v>718</v>
      </c>
      <c r="C1004" s="14"/>
      <c r="D1004" s="15">
        <v>42086.917303240742</v>
      </c>
      <c r="E1004" s="16" t="s">
        <v>15</v>
      </c>
      <c r="F1004" s="16" t="s">
        <v>16</v>
      </c>
      <c r="G1004" s="17" t="s">
        <v>1320</v>
      </c>
      <c r="H1004" s="17" t="s">
        <v>3604</v>
      </c>
      <c r="I1004" s="13" t="s">
        <v>3605</v>
      </c>
      <c r="J1004" s="23" t="str">
        <f>HYPERLINK("CorLog\MDG\LDC\20150323 MDG LDC Madagascar - MDG-4400 Land Cruiser ($49,036 32) (ZAF-to-RDC).msg", "Madagascar - MDG-4400 Land Cruiser ($49,036 32)")</f>
        <v>Madagascar - MDG-4400 Land Cruiser ($49,036 32)</v>
      </c>
      <c r="K1004" s="25" t="s">
        <v>1270</v>
      </c>
      <c r="L1004" s="19"/>
      <c r="M1004" s="20"/>
      <c r="N1004" s="21" t="s">
        <v>3606</v>
      </c>
    </row>
    <row r="1005" spans="1:14">
      <c r="A1005" s="12" t="s">
        <v>718</v>
      </c>
      <c r="B1005" s="13" t="s">
        <v>972</v>
      </c>
      <c r="C1005" s="14" t="s">
        <v>724</v>
      </c>
      <c r="D1005" s="15">
        <v>42086.592361111114</v>
      </c>
      <c r="E1005" s="16" t="s">
        <v>16</v>
      </c>
      <c r="F1005" s="16" t="s">
        <v>18</v>
      </c>
      <c r="G1005" s="17" t="s">
        <v>2133</v>
      </c>
      <c r="H1005" s="17" t="s">
        <v>2403</v>
      </c>
      <c r="I1005" s="13" t="s">
        <v>3607</v>
      </c>
      <c r="J1005" s="23" t="str">
        <f>HYPERLINK("CorLog\ZMB\Kasama RTO\20150323 ZMB Kasama RTO RDC review of Property Evaluation DC-31s (responses) (RDC-to-ZMB).msg", "RDC review of Property Evaluation DC-31s (responses)")</f>
        <v>RDC review of Property Evaluation DC-31s (responses)</v>
      </c>
      <c r="K1005" s="25" t="s">
        <v>1626</v>
      </c>
      <c r="L1005" s="19"/>
      <c r="M1005" s="20"/>
      <c r="N1005" s="21" t="s">
        <v>3608</v>
      </c>
    </row>
    <row r="1006" spans="1:14">
      <c r="A1006" s="12" t="s">
        <v>718</v>
      </c>
      <c r="B1006" s="13" t="s">
        <v>1069</v>
      </c>
      <c r="C1006" s="14" t="s">
        <v>2802</v>
      </c>
      <c r="D1006" s="15">
        <v>42086.579756944448</v>
      </c>
      <c r="E1006" s="16" t="s">
        <v>16</v>
      </c>
      <c r="F1006" s="16" t="s">
        <v>18</v>
      </c>
      <c r="G1006" s="17" t="s">
        <v>1070</v>
      </c>
      <c r="H1006" s="17" t="s">
        <v>829</v>
      </c>
      <c r="I1006" s="13" t="s">
        <v>3609</v>
      </c>
      <c r="J1006" s="23" t="str">
        <f>HYPERLINK("CorLog\ZMB\Katete RTO\20150323 ZMB Katete RTO Draft NLBR; REQ 520-10803; Replacement NLBR for AVR; 20150313 +D-IMP (RDC-to-ZMB).msg", "Draft NLBR; REQ 520-10803; Replacement NLBR for AVR; 20150313 +D-IMP")</f>
        <v>Draft NLBR; REQ 520-10803; Replacement NLBR for AVR; 20150313 +D-IMP</v>
      </c>
      <c r="K1006" s="25" t="s">
        <v>1211</v>
      </c>
      <c r="L1006" s="19"/>
      <c r="M1006" s="20"/>
      <c r="N1006" s="21" t="s">
        <v>3610</v>
      </c>
    </row>
    <row r="1007" spans="1:14">
      <c r="A1007" s="12" t="s">
        <v>757</v>
      </c>
      <c r="B1007" s="13" t="s">
        <v>750</v>
      </c>
      <c r="C1007" s="14" t="s">
        <v>1362</v>
      </c>
      <c r="D1007" s="15">
        <v>42086.457187499997</v>
      </c>
      <c r="E1007" s="16" t="s">
        <v>21</v>
      </c>
      <c r="F1007" s="16" t="s">
        <v>16</v>
      </c>
      <c r="G1007" s="17" t="s">
        <v>3133</v>
      </c>
      <c r="H1007" s="17" t="s">
        <v>3611</v>
      </c>
      <c r="I1007" s="13" t="s">
        <v>3612</v>
      </c>
      <c r="J1007" s="23" t="str">
        <f>HYPERLINK("CorLog\GHA\Somanya RTO\20150323 GHA Somanya RTO Soil Test, Fence Design (GHA-to-RDC).msg", "Soil Test, Fence Design")</f>
        <v>Soil Test, Fence Design</v>
      </c>
      <c r="K1007" s="25" t="s">
        <v>1270</v>
      </c>
      <c r="L1007" s="19"/>
      <c r="M1007" s="20"/>
      <c r="N1007" s="21" t="s">
        <v>3613</v>
      </c>
    </row>
    <row r="1008" spans="1:14">
      <c r="A1008" s="12" t="s">
        <v>718</v>
      </c>
      <c r="B1008" s="13" t="s">
        <v>3114</v>
      </c>
      <c r="C1008" s="14" t="s">
        <v>3614</v>
      </c>
      <c r="D1008" s="15">
        <v>42086.436111111114</v>
      </c>
      <c r="E1008" s="16" t="s">
        <v>16</v>
      </c>
      <c r="F1008" s="16" t="s">
        <v>21</v>
      </c>
      <c r="G1008" s="17" t="s">
        <v>823</v>
      </c>
      <c r="H1008" s="17" t="s">
        <v>3615</v>
      </c>
      <c r="I1008" s="13" t="s">
        <v>3616</v>
      </c>
      <c r="J1008" s="23" t="str">
        <f>HYPERLINK("CorLog\GHA\LDC\20150323 GHA LDC RDC review of NLBR for KH signs (RDC-to-GHA).msg", "RDC review of NLBR  for KH signs")</f>
        <v>RDC review of NLBR  for KH signs</v>
      </c>
      <c r="K1008" s="25" t="s">
        <v>1211</v>
      </c>
      <c r="L1008" s="19"/>
      <c r="M1008" s="20"/>
      <c r="N1008" s="21" t="s">
        <v>3617</v>
      </c>
    </row>
    <row r="1009" spans="1:14">
      <c r="A1009" s="12" t="s">
        <v>750</v>
      </c>
      <c r="B1009" s="13" t="s">
        <v>1818</v>
      </c>
      <c r="C1009" s="14" t="s">
        <v>3618</v>
      </c>
      <c r="D1009" s="15">
        <v>42086.400266203702</v>
      </c>
      <c r="E1009" s="16" t="s">
        <v>16</v>
      </c>
      <c r="F1009" s="16" t="s">
        <v>16</v>
      </c>
      <c r="G1009" s="17" t="s">
        <v>790</v>
      </c>
      <c r="H1009" s="17" t="s">
        <v>947</v>
      </c>
      <c r="I1009" s="13" t="s">
        <v>3619</v>
      </c>
      <c r="J1009" s="18" t="str">
        <f>HYPERLINK("CorLog\GHA\BEX\20150323 GHA BEX Utilities (Status of conduit installation) (RESEARCH INFO) (RDC-to-RDC).msg", "Utilities (Status of conduit installation) (RESEARCH INFO)")</f>
        <v>Utilities (Status of conduit installation) (RESEARCH INFO)</v>
      </c>
      <c r="K1009" s="22"/>
      <c r="L1009" s="19"/>
      <c r="M1009" s="20"/>
      <c r="N1009" s="21" t="s">
        <v>3620</v>
      </c>
    </row>
    <row r="1010" spans="1:14">
      <c r="A1010" s="12" t="s">
        <v>750</v>
      </c>
      <c r="B1010" s="13" t="s">
        <v>998</v>
      </c>
      <c r="C1010" s="14" t="s">
        <v>718</v>
      </c>
      <c r="D1010" s="15">
        <v>42083.870289351849</v>
      </c>
      <c r="E1010" s="16" t="s">
        <v>16</v>
      </c>
      <c r="F1010" s="16" t="s">
        <v>17</v>
      </c>
      <c r="G1010" s="17" t="s">
        <v>3211</v>
      </c>
      <c r="H1010" s="17" t="s">
        <v>1000</v>
      </c>
      <c r="I1010" s="13" t="s">
        <v>3621</v>
      </c>
      <c r="J1010" s="23" t="str">
        <f>HYPERLINK("CorLog\GHA\Dangme RTO\20150320 GHA Dangme RTO Agenda 2015-03-19 docx (RDC-to-WDC).msg", "Agenda 2015-03-19 docx")</f>
        <v>Agenda 2015-03-19 docx</v>
      </c>
      <c r="K1010" s="25" t="s">
        <v>1211</v>
      </c>
      <c r="L1010" s="19"/>
      <c r="M1010" s="20"/>
      <c r="N1010" s="21" t="s">
        <v>3622</v>
      </c>
    </row>
    <row r="1011" spans="1:14">
      <c r="A1011" s="12" t="s">
        <v>998</v>
      </c>
      <c r="B1011" s="13" t="s">
        <v>750</v>
      </c>
      <c r="C1011" s="14" t="s">
        <v>718</v>
      </c>
      <c r="D1011" s="15">
        <v>42083.831585648149</v>
      </c>
      <c r="E1011" s="16" t="s">
        <v>17</v>
      </c>
      <c r="F1011" s="16" t="s">
        <v>16</v>
      </c>
      <c r="G1011" s="17" t="s">
        <v>738</v>
      </c>
      <c r="H1011" s="17" t="s">
        <v>1195</v>
      </c>
      <c r="I1011" s="13" t="s">
        <v>3623</v>
      </c>
      <c r="J1011" s="23" t="str">
        <f>HYPERLINK("CorLog\GHA\BEX 2\20150320 GHA BEX 2 CDP - Culvert Update (WDC-to-RDC).msg", "CDP - Culvert Update")</f>
        <v>CDP - Culvert Update</v>
      </c>
      <c r="K1011" s="25" t="s">
        <v>1243</v>
      </c>
      <c r="L1011" s="19"/>
      <c r="M1011" s="20"/>
      <c r="N1011" s="21" t="s">
        <v>3624</v>
      </c>
    </row>
    <row r="1012" spans="1:14">
      <c r="A1012" s="12" t="s">
        <v>2920</v>
      </c>
      <c r="B1012" s="13" t="s">
        <v>3625</v>
      </c>
      <c r="C1012" s="14"/>
      <c r="D1012" s="15">
        <v>42083.598645833335</v>
      </c>
      <c r="E1012" s="16" t="s">
        <v>15</v>
      </c>
      <c r="F1012" s="16" t="s">
        <v>15</v>
      </c>
      <c r="G1012" s="17" t="s">
        <v>719</v>
      </c>
      <c r="H1012" s="17" t="s">
        <v>781</v>
      </c>
      <c r="I1012" s="13" t="s">
        <v>3626</v>
      </c>
      <c r="J1012" s="23" t="str">
        <f>HYPERLINK("CorLog\Reference\20150320 Reference Applying to be Bethelites in foreign countries (ZAF-to-ZAF).msg", "Applying to be Bethelites in foreign countries")</f>
        <v>Applying to be Bethelites in foreign countries</v>
      </c>
      <c r="K1012" s="25" t="s">
        <v>1211</v>
      </c>
      <c r="L1012" s="19" t="s">
        <v>3627</v>
      </c>
      <c r="M1012" s="20"/>
      <c r="N1012" s="21" t="s">
        <v>3628</v>
      </c>
    </row>
    <row r="1013" spans="1:14">
      <c r="A1013" s="12" t="s">
        <v>750</v>
      </c>
      <c r="B1013" s="13" t="s">
        <v>757</v>
      </c>
      <c r="C1013" s="14" t="s">
        <v>3629</v>
      </c>
      <c r="D1013" s="15">
        <v>42083.595254629632</v>
      </c>
      <c r="E1013" s="16" t="s">
        <v>16</v>
      </c>
      <c r="F1013" s="16" t="s">
        <v>21</v>
      </c>
      <c r="G1013" s="17" t="s">
        <v>880</v>
      </c>
      <c r="H1013" s="17" t="s">
        <v>759</v>
      </c>
      <c r="I1013" s="13" t="s">
        <v>3597</v>
      </c>
      <c r="J1013" s="23" t="str">
        <f>HYPERLINK("CorLog\GHA\Kumasi RTO\20150320 GHA Kumasi RTO Layout Proposal (RDC Comments) (RDC-to-GHA).msg", "Layout Proposal (RDC Comments)")</f>
        <v>Layout Proposal (RDC Comments)</v>
      </c>
      <c r="K1013" s="25" t="s">
        <v>1274</v>
      </c>
      <c r="L1013" s="19"/>
      <c r="M1013" s="20"/>
      <c r="N1013" s="21" t="s">
        <v>3630</v>
      </c>
    </row>
    <row r="1014" spans="1:14">
      <c r="A1014" s="12" t="s">
        <v>718</v>
      </c>
      <c r="B1014" s="13" t="s">
        <v>3631</v>
      </c>
      <c r="C1014" s="14" t="s">
        <v>3632</v>
      </c>
      <c r="D1014" s="15">
        <v>42083.532766203702</v>
      </c>
      <c r="E1014" s="16" t="s">
        <v>16</v>
      </c>
      <c r="F1014" s="16" t="s">
        <v>18</v>
      </c>
      <c r="G1014" s="17" t="s">
        <v>999</v>
      </c>
      <c r="H1014" s="17" t="s">
        <v>3633</v>
      </c>
      <c r="I1014" s="13" t="s">
        <v>3634</v>
      </c>
      <c r="J1014" s="18" t="str">
        <f>HYPERLINK("CorLog\ZMB\Branch\20150320 ZMB Branch Multi-split AC replacement project -- draft DC-41 (RDC-to-ZMB).msg", "Multi-split AC replacement project -- draft DC-41")</f>
        <v>Multi-split AC replacement project -- draft DC-41</v>
      </c>
      <c r="K1014" s="22"/>
      <c r="L1014" s="19"/>
      <c r="M1014" s="20"/>
      <c r="N1014" s="21" t="s">
        <v>3635</v>
      </c>
    </row>
    <row r="1015" spans="1:14">
      <c r="A1015" s="12" t="s">
        <v>750</v>
      </c>
      <c r="B1015" s="13" t="s">
        <v>1521</v>
      </c>
      <c r="C1015" s="14" t="s">
        <v>3636</v>
      </c>
      <c r="D1015" s="15">
        <v>42083.448379629626</v>
      </c>
      <c r="E1015" s="16" t="s">
        <v>16</v>
      </c>
      <c r="F1015" s="16" t="s">
        <v>18</v>
      </c>
      <c r="G1015" s="17" t="s">
        <v>1070</v>
      </c>
      <c r="H1015" s="17" t="s">
        <v>851</v>
      </c>
      <c r="I1015" s="13" t="s">
        <v>3637</v>
      </c>
      <c r="J1015" s="23" t="str">
        <f>HYPERLINK("CorLog\ZMB\Katete RTO\20150320 ZMB Katete RTO Residence DCP Under slab 20150115 (RDC-to-ZMB).msg", "Residence DCP Under slab 20150115")</f>
        <v>Residence DCP Under slab 20150115</v>
      </c>
      <c r="K1015" s="25"/>
      <c r="L1015" s="19"/>
      <c r="M1015" s="20"/>
      <c r="N1015" s="21" t="s">
        <v>3638</v>
      </c>
    </row>
    <row r="1016" spans="1:14">
      <c r="A1016" s="12" t="s">
        <v>916</v>
      </c>
      <c r="B1016" s="13" t="s">
        <v>837</v>
      </c>
      <c r="C1016" s="14" t="s">
        <v>1710</v>
      </c>
      <c r="D1016" s="15">
        <v>42083.354664351849</v>
      </c>
      <c r="E1016" s="16" t="s">
        <v>16</v>
      </c>
      <c r="F1016" s="16" t="s">
        <v>18</v>
      </c>
      <c r="G1016" s="17" t="s">
        <v>838</v>
      </c>
      <c r="H1016" s="17" t="s">
        <v>851</v>
      </c>
      <c r="I1016" s="13" t="s">
        <v>3639</v>
      </c>
      <c r="J1016" s="23" t="str">
        <f>HYPERLINK("CorLog\ZMB\Choma RTO\20150320 ZMB Choma RTO DCP Test Results - Commuter, Office and Utility Buildings (RDC-to-ZMB).msg", "DCP Test Results - Commuter, Office and Utility Buildings")</f>
        <v>DCP Test Results - Commuter, Office and Utility Buildings</v>
      </c>
      <c r="K1016" s="25" t="s">
        <v>1270</v>
      </c>
      <c r="L1016" s="19"/>
      <c r="M1016" s="20"/>
      <c r="N1016" s="21" t="s">
        <v>3640</v>
      </c>
    </row>
    <row r="1017" spans="1:14">
      <c r="A1017" s="12" t="s">
        <v>998</v>
      </c>
      <c r="B1017" s="13" t="s">
        <v>771</v>
      </c>
      <c r="C1017" s="14"/>
      <c r="D1017" s="15">
        <v>42082.789293981485</v>
      </c>
      <c r="E1017" s="16" t="s">
        <v>17</v>
      </c>
      <c r="F1017" s="16" t="s">
        <v>17</v>
      </c>
      <c r="G1017" s="17" t="s">
        <v>864</v>
      </c>
      <c r="H1017" s="17" t="s">
        <v>1707</v>
      </c>
      <c r="I1017" s="13" t="s">
        <v>3641</v>
      </c>
      <c r="J1017" s="18" t="str">
        <f>HYPERLINK("CorLog\COD\Choral Studio\20150319 COD Choral Studio Congo Choral Studio Notes 2015-03-19 docx (WDC-to-WDC).msg", "Congo Choral Studio Notes 2015-03-19 docx")</f>
        <v>Congo Choral Studio Notes 2015-03-19 docx</v>
      </c>
      <c r="K1017" s="22"/>
      <c r="L1017" s="19"/>
      <c r="M1017" s="20"/>
      <c r="N1017" s="21" t="s">
        <v>3642</v>
      </c>
    </row>
    <row r="1018" spans="1:14">
      <c r="A1018" s="12" t="s">
        <v>717</v>
      </c>
      <c r="B1018" s="13" t="s">
        <v>750</v>
      </c>
      <c r="C1018" s="14" t="s">
        <v>718</v>
      </c>
      <c r="D1018" s="15">
        <v>42082.640104166669</v>
      </c>
      <c r="E1018" s="16" t="s">
        <v>16</v>
      </c>
      <c r="F1018" s="16" t="s">
        <v>16</v>
      </c>
      <c r="G1018" s="17" t="s">
        <v>2627</v>
      </c>
      <c r="H1018" s="17" t="s">
        <v>1489</v>
      </c>
      <c r="I1018" s="13" t="s">
        <v>3643</v>
      </c>
      <c r="J1018" s="23" t="str">
        <f>HYPERLINK("CorLog\COD\Kamina RTO\20150319 COD Kamina RTO Toilet connection problem in Residence building (RDC-to-RDC).msg", "Toilet connection problem in Residence building")</f>
        <v>Toilet connection problem in Residence building</v>
      </c>
      <c r="K1018" s="25" t="s">
        <v>1270</v>
      </c>
      <c r="L1018" s="19"/>
      <c r="M1018" s="20"/>
      <c r="N1018" s="21" t="s">
        <v>3644</v>
      </c>
    </row>
    <row r="1019" spans="1:14">
      <c r="A1019" s="12" t="s">
        <v>827</v>
      </c>
      <c r="B1019" s="13" t="s">
        <v>718</v>
      </c>
      <c r="C1019" s="14" t="s">
        <v>842</v>
      </c>
      <c r="D1019" s="15">
        <v>42082.62537037037</v>
      </c>
      <c r="E1019" s="16" t="s">
        <v>21</v>
      </c>
      <c r="F1019" s="16" t="s">
        <v>16</v>
      </c>
      <c r="G1019" s="17" t="s">
        <v>738</v>
      </c>
      <c r="H1019" s="17" t="s">
        <v>3645</v>
      </c>
      <c r="I1019" s="13" t="s">
        <v>3646</v>
      </c>
      <c r="J1019" s="18" t="str">
        <f>HYPERLINK("CorLog\GHA\BEX 2\20150319 GHA BEX 2 Solar PV panels Roofs Proposal (GHA-to-RDC).msg", "Solar PV panels Roofs Proposal")</f>
        <v>Solar PV panels Roofs Proposal</v>
      </c>
      <c r="K1019" s="22"/>
      <c r="L1019" s="19"/>
      <c r="M1019" s="20"/>
      <c r="N1019" s="21" t="s">
        <v>3647</v>
      </c>
    </row>
    <row r="1020" spans="1:14">
      <c r="A1020" s="12" t="s">
        <v>3648</v>
      </c>
      <c r="B1020" s="13" t="s">
        <v>795</v>
      </c>
      <c r="C1020" s="14" t="s">
        <v>3649</v>
      </c>
      <c r="D1020" s="15">
        <v>42082.203518518516</v>
      </c>
      <c r="E1020" s="16"/>
      <c r="F1020" s="16" t="s">
        <v>16</v>
      </c>
      <c r="G1020" s="17" t="s">
        <v>738</v>
      </c>
      <c r="H1020" s="17" t="s">
        <v>2057</v>
      </c>
      <c r="I1020" s="13" t="s">
        <v>3650</v>
      </c>
      <c r="J1020" s="18" t="str">
        <f>HYPERLINK("CorLog\GHA\BEX 2\20150319 GHA BEX 2 WWTF changing media of trickling filter, Lilliput (-to-RDC).msg", "WWTF changing media of trickling filter, Lilliput")</f>
        <v>WWTF changing media of trickling filter, Lilliput</v>
      </c>
      <c r="K1020" s="22"/>
      <c r="L1020" s="19"/>
      <c r="M1020" s="20"/>
      <c r="N1020" s="21" t="s">
        <v>3651</v>
      </c>
    </row>
    <row r="1021" spans="1:14">
      <c r="A1021" s="12" t="s">
        <v>964</v>
      </c>
      <c r="B1021" s="13" t="s">
        <v>827</v>
      </c>
      <c r="C1021" s="14" t="s">
        <v>3652</v>
      </c>
      <c r="D1021" s="15">
        <v>42081.598449074074</v>
      </c>
      <c r="E1021" s="16" t="s">
        <v>16</v>
      </c>
      <c r="F1021" s="16" t="s">
        <v>21</v>
      </c>
      <c r="G1021" s="17" t="s">
        <v>790</v>
      </c>
      <c r="H1021" s="17" t="s">
        <v>3330</v>
      </c>
      <c r="I1021" s="13" t="s">
        <v>3653</v>
      </c>
      <c r="J1021" s="23" t="str">
        <f>HYPERLINK("CorLog\GHA\BEX\20150318 GHA BEX Area 23 - Queries PFC, Logo, Gen Start (RDC-to-GHA).msg", "Area 23 - Queries PFC, Logo, Gen Start")</f>
        <v>Area 23 - Queries PFC, Logo, Gen Start</v>
      </c>
      <c r="K1021" s="25" t="s">
        <v>1499</v>
      </c>
      <c r="L1021" s="19"/>
      <c r="M1021" s="20"/>
      <c r="N1021" s="21" t="s">
        <v>3654</v>
      </c>
    </row>
    <row r="1022" spans="1:14">
      <c r="A1022" s="12" t="s">
        <v>827</v>
      </c>
      <c r="B1022" s="13" t="s">
        <v>718</v>
      </c>
      <c r="C1022" s="14" t="s">
        <v>842</v>
      </c>
      <c r="D1022" s="15">
        <v>42081.550833333335</v>
      </c>
      <c r="E1022" s="16" t="s">
        <v>21</v>
      </c>
      <c r="F1022" s="16" t="s">
        <v>16</v>
      </c>
      <c r="G1022" s="17" t="s">
        <v>790</v>
      </c>
      <c r="H1022" s="17" t="s">
        <v>1622</v>
      </c>
      <c r="I1022" s="13" t="s">
        <v>3655</v>
      </c>
      <c r="J1022" s="23" t="str">
        <f>HYPERLINK("CorLog\GHA\BEX\20150318 GHA BEX Request for Extra On-Site Accommodation (GHA-to-RDC).msg", "Request for Extra On-Site Accommodation")</f>
        <v>Request for Extra On-Site Accommodation</v>
      </c>
      <c r="K1022" s="25" t="s">
        <v>1270</v>
      </c>
      <c r="L1022" s="19"/>
      <c r="M1022" s="20"/>
      <c r="N1022" s="21" t="s">
        <v>3656</v>
      </c>
    </row>
    <row r="1023" spans="1:14">
      <c r="A1023" s="12" t="s">
        <v>1176</v>
      </c>
      <c r="B1023" s="13" t="s">
        <v>916</v>
      </c>
      <c r="C1023" s="14" t="s">
        <v>1710</v>
      </c>
      <c r="D1023" s="15">
        <v>42081.419861111113</v>
      </c>
      <c r="E1023" s="16" t="s">
        <v>16</v>
      </c>
      <c r="F1023" s="16" t="s">
        <v>16</v>
      </c>
      <c r="G1023" s="17" t="s">
        <v>790</v>
      </c>
      <c r="H1023" s="17" t="s">
        <v>3657</v>
      </c>
      <c r="I1023" s="13" t="s">
        <v>3658</v>
      </c>
      <c r="J1023" s="23" t="str">
        <f>HYPERLINK("CorLog\GHA\BEX\20150318 GHA BEX QUERY; Mitek Roof; Fall protection placement (recommended solution) (RDC-to-RDC).msg", "QUERY; Mitek Roof; Fall protection placement (recommended solution)")</f>
        <v>QUERY; Mitek Roof; Fall protection placement (recommended solution)</v>
      </c>
      <c r="K1023" s="25" t="s">
        <v>1270</v>
      </c>
      <c r="L1023" s="19"/>
      <c r="M1023" s="20"/>
      <c r="N1023" s="21" t="s">
        <v>3659</v>
      </c>
    </row>
    <row r="1024" spans="1:14">
      <c r="A1024" s="12" t="s">
        <v>750</v>
      </c>
      <c r="B1024" s="13" t="s">
        <v>1451</v>
      </c>
      <c r="C1024" s="14" t="s">
        <v>3660</v>
      </c>
      <c r="D1024" s="15">
        <v>42081.373252314814</v>
      </c>
      <c r="E1024" s="16" t="s">
        <v>16</v>
      </c>
      <c r="F1024" s="16" t="s">
        <v>952</v>
      </c>
      <c r="G1024" s="17" t="s">
        <v>738</v>
      </c>
      <c r="H1024" s="17" t="s">
        <v>1311</v>
      </c>
      <c r="I1024" s="13" t="s">
        <v>3661</v>
      </c>
      <c r="J1024" s="23" t="str">
        <f>HYPERLINK("CorLog\GHA\BEX 2\20150318 GHA BEX 2 WSP Account 1 (50% Topo Fees) PROOF OF PAYMENT (RDC-to-WSP).msg", "WSP Account 1 (50% Topo Fees) PROOF OF PAYMENT")</f>
        <v>WSP Account 1 (50% Topo Fees) PROOF OF PAYMENT</v>
      </c>
      <c r="K1024" s="25" t="s">
        <v>1243</v>
      </c>
      <c r="L1024" s="19"/>
      <c r="M1024" s="20"/>
      <c r="N1024" s="21" t="s">
        <v>3662</v>
      </c>
    </row>
    <row r="1025" spans="1:14">
      <c r="A1025" s="12" t="s">
        <v>1818</v>
      </c>
      <c r="B1025" s="13" t="s">
        <v>972</v>
      </c>
      <c r="C1025" s="14" t="s">
        <v>3663</v>
      </c>
      <c r="D1025" s="15">
        <v>42081.354618055557</v>
      </c>
      <c r="E1025" s="16" t="s">
        <v>16</v>
      </c>
      <c r="F1025" s="16" t="s">
        <v>18</v>
      </c>
      <c r="G1025" s="17" t="s">
        <v>1932</v>
      </c>
      <c r="H1025" s="17" t="s">
        <v>961</v>
      </c>
      <c r="I1025" s="13" t="s">
        <v>3664</v>
      </c>
      <c r="J1025" s="23" t="str">
        <f>HYPERLINK("CorLog\ZMB\Mwinilunga RTO\20150318 ZMB Mwinilunga RTO ZMB-12 RTO; Mwinilunga Survey for Review (RDC-to-ZMB).msg", "ZMB-12 RTO; Mwinilunga Survey for Review")</f>
        <v>ZMB-12 RTO; Mwinilunga Survey for Review</v>
      </c>
      <c r="K1025" s="25" t="s">
        <v>1211</v>
      </c>
      <c r="L1025" s="19"/>
      <c r="M1025" s="20"/>
      <c r="N1025" s="21" t="s">
        <v>3665</v>
      </c>
    </row>
    <row r="1026" spans="1:14">
      <c r="A1026" s="12" t="s">
        <v>750</v>
      </c>
      <c r="B1026" s="13" t="s">
        <v>916</v>
      </c>
      <c r="C1026" s="14" t="s">
        <v>3666</v>
      </c>
      <c r="D1026" s="15">
        <v>42081.35460648148</v>
      </c>
      <c r="E1026" s="16" t="s">
        <v>16</v>
      </c>
      <c r="F1026" s="16" t="s">
        <v>16</v>
      </c>
      <c r="G1026" s="17" t="s">
        <v>880</v>
      </c>
      <c r="H1026" s="17" t="s">
        <v>854</v>
      </c>
      <c r="I1026" s="13" t="s">
        <v>3667</v>
      </c>
      <c r="J1026" s="23" t="str">
        <f>HYPERLINK("CorLog\GHA\Kumasi RTO\20150318 GHA Kumasi RTO Structural Report (RDC Comments) (RDC-to-RDC).msg", "Structural Report (RDC Comments)")</f>
        <v>Structural Report (RDC Comments)</v>
      </c>
      <c r="K1026" s="25" t="s">
        <v>1243</v>
      </c>
      <c r="L1026" s="19"/>
      <c r="M1026" s="20"/>
      <c r="N1026" s="21" t="s">
        <v>3668</v>
      </c>
    </row>
    <row r="1027" spans="1:14">
      <c r="A1027" s="12" t="s">
        <v>1818</v>
      </c>
      <c r="B1027" s="13" t="s">
        <v>3669</v>
      </c>
      <c r="C1027" s="14" t="s">
        <v>3670</v>
      </c>
      <c r="D1027" s="15">
        <v>42081.331030092595</v>
      </c>
      <c r="E1027" s="16" t="s">
        <v>16</v>
      </c>
      <c r="F1027" s="16" t="s">
        <v>18</v>
      </c>
      <c r="G1027" s="17" t="s">
        <v>1932</v>
      </c>
      <c r="H1027" s="17" t="s">
        <v>961</v>
      </c>
      <c r="I1027" s="13" t="s">
        <v>3664</v>
      </c>
      <c r="J1027" s="23" t="str">
        <f>HYPERLINK("CorLog\ZMB\Mwinilunga RTO\20150318 ZMB Mwinilunga RTO ZMB-12 RTO; Mwinilunga Survey for Review (RDC-to-ZMB).msg", "ZMB-12 RTO; Mwinilunga Survey for Review")</f>
        <v>ZMB-12 RTO; Mwinilunga Survey for Review</v>
      </c>
      <c r="K1027" s="25" t="s">
        <v>1270</v>
      </c>
      <c r="L1027" s="19"/>
      <c r="M1027" s="20"/>
      <c r="N1027" s="21" t="s">
        <v>3671</v>
      </c>
    </row>
    <row r="1028" spans="1:14">
      <c r="A1028" s="12" t="s">
        <v>998</v>
      </c>
      <c r="B1028" s="13" t="s">
        <v>750</v>
      </c>
      <c r="C1028" s="14" t="s">
        <v>718</v>
      </c>
      <c r="D1028" s="15">
        <v>42080.89947916667</v>
      </c>
      <c r="E1028" s="16" t="s">
        <v>17</v>
      </c>
      <c r="F1028" s="16" t="s">
        <v>16</v>
      </c>
      <c r="G1028" s="17" t="s">
        <v>880</v>
      </c>
      <c r="H1028" s="17" t="s">
        <v>1015</v>
      </c>
      <c r="I1028" s="13" t="s">
        <v>3672</v>
      </c>
      <c r="J1028" s="23" t="str">
        <f>HYPERLINK("CorLog\GHA\Kumasi RTO\20150317 GHA Kumasi RTO Procedure-Purchase of Property; TS Review of Plans (WDC-to-RDC).msg", "Procedure-Purchase of Property; TS Review of Plans")</f>
        <v>Procedure-Purchase of Property; TS Review of Plans</v>
      </c>
      <c r="K1028" s="25"/>
      <c r="L1028" s="19"/>
      <c r="M1028" s="20"/>
      <c r="N1028" s="21" t="s">
        <v>3673</v>
      </c>
    </row>
    <row r="1029" spans="1:14">
      <c r="A1029" s="12" t="s">
        <v>750</v>
      </c>
      <c r="B1029" s="13" t="s">
        <v>757</v>
      </c>
      <c r="C1029" s="14" t="s">
        <v>3674</v>
      </c>
      <c r="D1029" s="15">
        <v>42080.788842592592</v>
      </c>
      <c r="E1029" s="16" t="s">
        <v>16</v>
      </c>
      <c r="F1029" s="16" t="s">
        <v>21</v>
      </c>
      <c r="G1029" s="17" t="s">
        <v>880</v>
      </c>
      <c r="H1029" s="17" t="s">
        <v>3675</v>
      </c>
      <c r="I1029" s="13" t="s">
        <v>3676</v>
      </c>
      <c r="J1029" s="23" t="str">
        <f>HYPERLINK("CorLog\GHA\Kumasi RTO\20150317 GHA Kumasi RTO Update Cost Estimate Clarification (RDC-to-GHA).msg", "Update Cost Estimate Clarification")</f>
        <v>Update Cost Estimate Clarification</v>
      </c>
      <c r="K1029" s="25"/>
      <c r="L1029" s="19"/>
      <c r="M1029" s="20"/>
      <c r="N1029" s="21" t="s">
        <v>3677</v>
      </c>
    </row>
    <row r="1030" spans="1:14">
      <c r="A1030" s="12" t="s">
        <v>757</v>
      </c>
      <c r="B1030" s="13" t="s">
        <v>718</v>
      </c>
      <c r="C1030" s="14" t="s">
        <v>3678</v>
      </c>
      <c r="D1030" s="15">
        <v>42080.729050925926</v>
      </c>
      <c r="E1030" s="16" t="s">
        <v>21</v>
      </c>
      <c r="F1030" s="16" t="s">
        <v>16</v>
      </c>
      <c r="G1030" s="17" t="s">
        <v>3133</v>
      </c>
      <c r="H1030" s="17" t="s">
        <v>3679</v>
      </c>
      <c r="I1030" s="13" t="s">
        <v>3680</v>
      </c>
      <c r="J1030" s="23" t="str">
        <f>HYPERLINK("CorLog\GHA\Somanya RTO\20150317 GHA Somanya RTO Building Layout (GHA-to-RDC).msg", "Building Layout")</f>
        <v>Building Layout</v>
      </c>
      <c r="K1030" s="25" t="s">
        <v>1211</v>
      </c>
      <c r="L1030" s="19"/>
      <c r="M1030" s="20"/>
      <c r="N1030" s="21" t="s">
        <v>3681</v>
      </c>
    </row>
    <row r="1031" spans="1:14">
      <c r="A1031" s="12" t="s">
        <v>750</v>
      </c>
      <c r="B1031" s="13" t="s">
        <v>757</v>
      </c>
      <c r="C1031" s="14" t="s">
        <v>3682</v>
      </c>
      <c r="D1031" s="15">
        <v>42080.709675925929</v>
      </c>
      <c r="E1031" s="16" t="s">
        <v>16</v>
      </c>
      <c r="F1031" s="16" t="s">
        <v>21</v>
      </c>
      <c r="G1031" s="17" t="s">
        <v>857</v>
      </c>
      <c r="H1031" s="17" t="s">
        <v>3453</v>
      </c>
      <c r="I1031" s="13" t="s">
        <v>3683</v>
      </c>
      <c r="J1031" s="23" t="str">
        <f>HYPERLINK("CorLog\GHA\Kikam RTO\20150317 GHA Kikam RTO Roof Covering ALUMINIUM (Purlin Spg; Fall Protection) (RDC-to-GHA).msg", "Roof Covering ALUMINIUM (Purlin Spg; Fall Protection)")</f>
        <v>Roof Covering ALUMINIUM (Purlin Spg; Fall Protection)</v>
      </c>
      <c r="K1031" s="25" t="s">
        <v>1211</v>
      </c>
      <c r="L1031" s="19"/>
      <c r="M1031" s="20"/>
      <c r="N1031" s="21" t="s">
        <v>3684</v>
      </c>
    </row>
    <row r="1032" spans="1:14">
      <c r="A1032" s="12" t="s">
        <v>827</v>
      </c>
      <c r="B1032" s="13" t="s">
        <v>964</v>
      </c>
      <c r="C1032" s="14" t="s">
        <v>3685</v>
      </c>
      <c r="D1032" s="15">
        <v>42080.644363425927</v>
      </c>
      <c r="E1032" s="16" t="s">
        <v>21</v>
      </c>
      <c r="F1032" s="16" t="s">
        <v>16</v>
      </c>
      <c r="G1032" s="17" t="s">
        <v>790</v>
      </c>
      <c r="H1032" s="17" t="s">
        <v>3330</v>
      </c>
      <c r="I1032" s="13" t="s">
        <v>3686</v>
      </c>
      <c r="J1032" s="23" t="str">
        <f>HYPERLINK("CorLog\GHA\BEX\20150317 GHA BEX Unit for SMS alert - Installation (GHA-to-RDC).msg", "Unit for SMS alert - Installation")</f>
        <v>Unit for SMS alert - Installation</v>
      </c>
      <c r="K1032" s="25" t="s">
        <v>1211</v>
      </c>
      <c r="L1032" s="19"/>
      <c r="M1032" s="20"/>
      <c r="N1032" s="21" t="s">
        <v>3687</v>
      </c>
    </row>
    <row r="1033" spans="1:14">
      <c r="A1033" s="12" t="s">
        <v>750</v>
      </c>
      <c r="B1033" s="13" t="s">
        <v>821</v>
      </c>
      <c r="C1033" s="14" t="s">
        <v>1362</v>
      </c>
      <c r="D1033" s="15">
        <v>42080.611932870372</v>
      </c>
      <c r="E1033" s="16" t="s">
        <v>16</v>
      </c>
      <c r="F1033" s="16" t="s">
        <v>21</v>
      </c>
      <c r="G1033" s="17" t="s">
        <v>738</v>
      </c>
      <c r="H1033" s="17" t="s">
        <v>3538</v>
      </c>
      <c r="I1033" s="13" t="s">
        <v>3688</v>
      </c>
      <c r="J1033" s="23" t="str">
        <f>HYPERLINK("CorLog\GHA\BEX 2\20150317 GHA BEX 2 2 Car Park Location (BC Query) (RDC-to-GHA).msg", "2 Car Park Location (BC Query)")</f>
        <v>2 Car Park Location (BC Query)</v>
      </c>
      <c r="K1033" s="25" t="s">
        <v>1211</v>
      </c>
      <c r="L1033" s="19"/>
      <c r="M1033" s="20"/>
      <c r="N1033" s="21" t="s">
        <v>3689</v>
      </c>
    </row>
    <row r="1034" spans="1:14">
      <c r="A1034" s="12" t="s">
        <v>3690</v>
      </c>
      <c r="B1034" s="13"/>
      <c r="C1034" s="14"/>
      <c r="D1034" s="15">
        <v>42080</v>
      </c>
      <c r="E1034" s="16" t="s">
        <v>25</v>
      </c>
      <c r="F1034" s="16" t="s">
        <v>30</v>
      </c>
      <c r="G1034" s="17" t="s">
        <v>719</v>
      </c>
      <c r="H1034" s="17" t="s">
        <v>3691</v>
      </c>
      <c r="I1034" s="13" t="s">
        <v>3692</v>
      </c>
      <c r="J1034" s="23" t="str">
        <f>HYPERLINK("CorLog\Reference\20150317 Reference Standard Video Packages for Streaming Bethel Spiritual Programs (WHQ-to-ALL).doc", "Standard Video Packages for Streaming Bethel Spiritual Programs")</f>
        <v>Standard Video Packages for Streaming Bethel Spiritual Programs</v>
      </c>
      <c r="K1034" s="23" t="str">
        <f>HYPERLINK("CorLog\Reference\20150317 Reference Standard Video Packages for Streaming Bethel Spiritual Programs (WHQ-to-ALL).zip", "Zipped")</f>
        <v>Zipped</v>
      </c>
      <c r="L1034" s="19"/>
      <c r="M1034" s="20"/>
      <c r="N1034" s="21" t="s">
        <v>3693</v>
      </c>
    </row>
    <row r="1035" spans="1:14">
      <c r="A1035" s="12" t="s">
        <v>964</v>
      </c>
      <c r="B1035" s="13" t="s">
        <v>827</v>
      </c>
      <c r="C1035" s="14" t="s">
        <v>3694</v>
      </c>
      <c r="D1035" s="15">
        <v>42079.684895833336</v>
      </c>
      <c r="E1035" s="16" t="s">
        <v>16</v>
      </c>
      <c r="F1035" s="16" t="s">
        <v>21</v>
      </c>
      <c r="G1035" s="17" t="s">
        <v>738</v>
      </c>
      <c r="H1035" s="17" t="s">
        <v>1819</v>
      </c>
      <c r="I1035" s="13" t="s">
        <v>3695</v>
      </c>
      <c r="J1035" s="23" t="str">
        <f>HYPERLINK("CorLog\GHA\BEX 2\20150316 GHA BEX 2 Utilities around new service bldg (RDC-to-GHA).msg", "Utilities around new service bldg")</f>
        <v>Utilities around new service bldg</v>
      </c>
      <c r="K1035" s="25"/>
      <c r="L1035" s="19"/>
      <c r="M1035" s="20"/>
      <c r="N1035" s="21" t="s">
        <v>3696</v>
      </c>
    </row>
    <row r="1036" spans="1:14">
      <c r="A1036" s="12" t="s">
        <v>1818</v>
      </c>
      <c r="B1036" s="13" t="s">
        <v>750</v>
      </c>
      <c r="C1036" s="14" t="s">
        <v>3697</v>
      </c>
      <c r="D1036" s="15">
        <v>42079.679930555554</v>
      </c>
      <c r="E1036" s="16" t="s">
        <v>16</v>
      </c>
      <c r="F1036" s="16" t="s">
        <v>16</v>
      </c>
      <c r="G1036" s="17" t="s">
        <v>790</v>
      </c>
      <c r="H1036" s="17" t="s">
        <v>947</v>
      </c>
      <c r="I1036" s="13" t="s">
        <v>3698</v>
      </c>
      <c r="J1036" s="23" t="str">
        <f>HYPERLINK("CorLog\GHA\BEX\20150316 GHA BEX Civil - Electrical Trenches still Outstanding (RDC-to-RDC).msg", "Civil - Electrical Trenches still Outstanding")</f>
        <v>Civil - Electrical Trenches still Outstanding</v>
      </c>
      <c r="K1036" s="25" t="s">
        <v>1211</v>
      </c>
      <c r="L1036" s="19"/>
      <c r="M1036" s="20"/>
      <c r="N1036" s="21" t="s">
        <v>3699</v>
      </c>
    </row>
    <row r="1037" spans="1:14">
      <c r="A1037" s="12" t="s">
        <v>1160</v>
      </c>
      <c r="B1037" s="13" t="s">
        <v>1784</v>
      </c>
      <c r="C1037" s="14" t="s">
        <v>3700</v>
      </c>
      <c r="D1037" s="15">
        <v>42079.594953703701</v>
      </c>
      <c r="E1037" s="16" t="s">
        <v>20</v>
      </c>
      <c r="F1037" s="16" t="s">
        <v>16</v>
      </c>
      <c r="G1037" s="17" t="s">
        <v>838</v>
      </c>
      <c r="H1037" s="17" t="s">
        <v>3701</v>
      </c>
      <c r="I1037" s="13" t="s">
        <v>3702</v>
      </c>
      <c r="J1037" s="23" t="str">
        <f>HYPERLINK("CorLog\ZMB\Choma RTO\20150316 ZMB Choma RTO Rebar bending schedules (MOZ-to-RDC).msg", "Rebar bending schedules")</f>
        <v>Rebar bending schedules</v>
      </c>
      <c r="K1037" s="25" t="s">
        <v>3703</v>
      </c>
      <c r="L1037" s="19"/>
      <c r="M1037" s="20"/>
      <c r="N1037" s="21" t="s">
        <v>3704</v>
      </c>
    </row>
    <row r="1038" spans="1:14">
      <c r="A1038" s="12" t="s">
        <v>750</v>
      </c>
      <c r="B1038" s="13" t="s">
        <v>821</v>
      </c>
      <c r="C1038" s="14"/>
      <c r="D1038" s="15">
        <v>42079.592766203707</v>
      </c>
      <c r="E1038" s="16" t="s">
        <v>16</v>
      </c>
      <c r="F1038" s="16" t="s">
        <v>21</v>
      </c>
      <c r="G1038" s="17" t="s">
        <v>738</v>
      </c>
      <c r="H1038" s="17" t="s">
        <v>3507</v>
      </c>
      <c r="I1038" s="13" t="s">
        <v>3705</v>
      </c>
      <c r="J1038" s="23" t="str">
        <f>HYPERLINK("CorLog\GHA\BEX 2\20150316 GHA BEX 2 Creek on the next property Wash away (RDC-to-GHA).msg", "Creek on the next property Wash away")</f>
        <v>Creek on the next property Wash away</v>
      </c>
      <c r="K1038" s="25" t="s">
        <v>1211</v>
      </c>
      <c r="L1038" s="19"/>
      <c r="M1038" s="20"/>
      <c r="N1038" s="21" t="s">
        <v>3706</v>
      </c>
    </row>
    <row r="1039" spans="1:14">
      <c r="A1039" s="12" t="s">
        <v>1160</v>
      </c>
      <c r="B1039" s="13" t="s">
        <v>837</v>
      </c>
      <c r="C1039" s="14" t="s">
        <v>718</v>
      </c>
      <c r="D1039" s="15">
        <v>42079.59134259259</v>
      </c>
      <c r="E1039" s="16" t="s">
        <v>20</v>
      </c>
      <c r="F1039" s="16" t="s">
        <v>18</v>
      </c>
      <c r="G1039" s="17" t="s">
        <v>838</v>
      </c>
      <c r="H1039" s="17" t="s">
        <v>803</v>
      </c>
      <c r="I1039" s="13" t="s">
        <v>3707</v>
      </c>
      <c r="J1039" s="23" t="str">
        <f>HYPERLINK("CorLog\ZMB\Choma RTO\20150316 ZMB Choma RTO Issued Field Sketch Res Off Dimension Correction (MOZ-to-ZMB).msg", "Issued Field Sketch Res Off Dimension Correction")</f>
        <v>Issued Field Sketch Res Off Dimension Correction</v>
      </c>
      <c r="K1039" s="25" t="s">
        <v>1211</v>
      </c>
      <c r="L1039" s="19"/>
      <c r="M1039" s="20"/>
      <c r="N1039" s="21" t="s">
        <v>3708</v>
      </c>
    </row>
    <row r="1040" spans="1:14">
      <c r="A1040" s="12" t="s">
        <v>750</v>
      </c>
      <c r="B1040" s="13" t="s">
        <v>1969</v>
      </c>
      <c r="C1040" s="14" t="s">
        <v>958</v>
      </c>
      <c r="D1040" s="15">
        <v>42079.589467592596</v>
      </c>
      <c r="E1040" s="16" t="s">
        <v>16</v>
      </c>
      <c r="F1040" s="16" t="s">
        <v>22</v>
      </c>
      <c r="G1040" s="17" t="s">
        <v>2627</v>
      </c>
      <c r="H1040" s="17" t="s">
        <v>1565</v>
      </c>
      <c r="I1040" s="13" t="s">
        <v>3709</v>
      </c>
      <c r="J1040" s="23" t="str">
        <f>HYPERLINK("CorLog\COD\Kamina RTO\20150316 COD Kamina RTO Query RE Mitek trusses position (RDC-to-COD).msg", "Query RE Mitek trusses position")</f>
        <v>Query RE Mitek trusses position</v>
      </c>
      <c r="K1040" s="25" t="s">
        <v>1211</v>
      </c>
      <c r="L1040" s="19"/>
      <c r="M1040" s="20"/>
      <c r="N1040" s="21" t="s">
        <v>3710</v>
      </c>
    </row>
    <row r="1041" spans="1:14">
      <c r="A1041" s="12" t="s">
        <v>1818</v>
      </c>
      <c r="B1041" s="13" t="s">
        <v>827</v>
      </c>
      <c r="C1041" s="14" t="s">
        <v>3711</v>
      </c>
      <c r="D1041" s="15">
        <v>42079.550150462965</v>
      </c>
      <c r="E1041" s="16" t="s">
        <v>16</v>
      </c>
      <c r="F1041" s="16" t="s">
        <v>21</v>
      </c>
      <c r="G1041" s="17" t="s">
        <v>790</v>
      </c>
      <c r="H1041" s="17" t="s">
        <v>947</v>
      </c>
      <c r="I1041" s="13" t="s">
        <v>3712</v>
      </c>
      <c r="J1041" s="23" t="str">
        <f>HYPERLINK("CorLog\GHA\BEX\20150316 GHA BEX Civil - Coordinates for EP-15 (RDC-to-GHA).msg", "Civil - Coordinates for EP-15")</f>
        <v>Civil - Coordinates for EP-15</v>
      </c>
      <c r="K1041" s="25" t="s">
        <v>1243</v>
      </c>
      <c r="L1041" s="19"/>
      <c r="M1041" s="20"/>
      <c r="N1041" s="21" t="s">
        <v>3713</v>
      </c>
    </row>
    <row r="1042" spans="1:14">
      <c r="A1042" s="12" t="s">
        <v>750</v>
      </c>
      <c r="B1042" s="13" t="s">
        <v>1167</v>
      </c>
      <c r="C1042" s="14" t="s">
        <v>3714</v>
      </c>
      <c r="D1042" s="15">
        <v>42077.157407407409</v>
      </c>
      <c r="E1042" s="16" t="s">
        <v>16</v>
      </c>
      <c r="F1042" s="16" t="s">
        <v>22</v>
      </c>
      <c r="G1042" s="17" t="s">
        <v>1169</v>
      </c>
      <c r="H1042" s="17" t="s">
        <v>844</v>
      </c>
      <c r="I1042" s="13" t="s">
        <v>3715</v>
      </c>
      <c r="J1042" s="23" t="str">
        <f>HYPERLINK("CorLog\COD\Kikwit RTO\20150314 COD Kikwit RTO Concrete Test Result; RDC Comments (RDC-to-COD).msg", "Concrete Test Result; RDC Comments")</f>
        <v>Concrete Test Result; RDC Comments</v>
      </c>
      <c r="K1042" s="25"/>
      <c r="L1042" s="19"/>
      <c r="M1042" s="20"/>
      <c r="N1042" s="21" t="s">
        <v>3716</v>
      </c>
    </row>
    <row r="1043" spans="1:14">
      <c r="A1043" s="12" t="s">
        <v>1653</v>
      </c>
      <c r="B1043" s="13" t="s">
        <v>729</v>
      </c>
      <c r="C1043" s="14" t="s">
        <v>3717</v>
      </c>
      <c r="D1043" s="15">
        <v>42076.684884259259</v>
      </c>
      <c r="E1043" s="16" t="s">
        <v>21</v>
      </c>
      <c r="F1043" s="16" t="s">
        <v>15</v>
      </c>
      <c r="G1043" s="17" t="s">
        <v>3193</v>
      </c>
      <c r="H1043" s="17" t="s">
        <v>731</v>
      </c>
      <c r="I1043" s="13" t="s">
        <v>3718</v>
      </c>
      <c r="J1043" s="23" t="str">
        <f>HYPERLINK("CorLog\GHA\Bolgatanga RTO\20150313 GHA Bolgatanga RTO Info for DC-41 completion (GHA-to-ZAF).msg", "Info for DC-41 completion")</f>
        <v>Info for DC-41 completion</v>
      </c>
      <c r="K1043" s="25" t="s">
        <v>1274</v>
      </c>
      <c r="L1043" s="19"/>
      <c r="M1043" s="20"/>
      <c r="N1043" s="21" t="s">
        <v>3719</v>
      </c>
    </row>
    <row r="1044" spans="1:14">
      <c r="A1044" s="12" t="s">
        <v>3720</v>
      </c>
      <c r="B1044" s="13" t="s">
        <v>717</v>
      </c>
      <c r="C1044" s="14" t="s">
        <v>3721</v>
      </c>
      <c r="D1044" s="15">
        <v>42076.613263888888</v>
      </c>
      <c r="E1044" s="16" t="s">
        <v>21</v>
      </c>
      <c r="F1044" s="16" t="s">
        <v>16</v>
      </c>
      <c r="G1044" s="17" t="s">
        <v>807</v>
      </c>
      <c r="H1044" s="17" t="s">
        <v>2242</v>
      </c>
      <c r="I1044" s="13" t="s">
        <v>3722</v>
      </c>
      <c r="J1044" s="23" t="str">
        <f>HYPERLINK("CorLog\GHA\Branch\20150313 GHA Branch Query - Internal fence Dog runs (GHA-to-RDC).msg", "Query - Internal fence Dog runs")</f>
        <v>Query - Internal fence Dog runs</v>
      </c>
      <c r="K1044" s="25" t="s">
        <v>1270</v>
      </c>
      <c r="L1044" s="19"/>
      <c r="M1044" s="20"/>
      <c r="N1044" s="21" t="s">
        <v>3723</v>
      </c>
    </row>
    <row r="1045" spans="1:14">
      <c r="A1045" s="12" t="s">
        <v>806</v>
      </c>
      <c r="B1045" s="13" t="s">
        <v>1761</v>
      </c>
      <c r="C1045" s="14"/>
      <c r="D1045" s="15">
        <v>42076.583749999998</v>
      </c>
      <c r="E1045" s="16" t="s">
        <v>15</v>
      </c>
      <c r="F1045" s="16" t="s">
        <v>16</v>
      </c>
      <c r="G1045" s="17" t="s">
        <v>719</v>
      </c>
      <c r="H1045" s="17" t="s">
        <v>781</v>
      </c>
      <c r="I1045" s="13" t="s">
        <v>3724</v>
      </c>
      <c r="J1045" s="23" t="str">
        <f>HYPERLINK("CorLog\Reference\20150313 Reference Passport renewal cost for those assigned to serve in South Africa from overseas (ZAF-to-RDC).msg", "Passport renewal cost for those assigned to serve in South Africa from overseas")</f>
        <v>Passport renewal cost for those assigned to serve in South Africa from overseas</v>
      </c>
      <c r="K1045" s="25"/>
      <c r="L1045" s="19"/>
      <c r="M1045" s="20"/>
      <c r="N1045" s="21" t="s">
        <v>3725</v>
      </c>
    </row>
    <row r="1046" spans="1:14">
      <c r="A1046" s="12" t="s">
        <v>750</v>
      </c>
      <c r="B1046" s="13" t="s">
        <v>1069</v>
      </c>
      <c r="C1046" s="14" t="s">
        <v>3726</v>
      </c>
      <c r="D1046" s="15">
        <v>42076.582326388889</v>
      </c>
      <c r="E1046" s="16" t="s">
        <v>16</v>
      </c>
      <c r="F1046" s="16" t="s">
        <v>18</v>
      </c>
      <c r="G1046" s="17" t="s">
        <v>1070</v>
      </c>
      <c r="H1046" s="17" t="s">
        <v>851</v>
      </c>
      <c r="I1046" s="13" t="s">
        <v>3727</v>
      </c>
      <c r="J1046" s="23" t="str">
        <f>HYPERLINK("CorLog\ZMB\Katete RTO\20150313 ZMB Katete RTO Office Footing DCP 20150312 (RDC-to-ZMB).msg", "Office Footing DCP 20150312")</f>
        <v>Office Footing DCP 20150312</v>
      </c>
      <c r="K1046" s="25" t="s">
        <v>1211</v>
      </c>
      <c r="L1046" s="19"/>
      <c r="M1046" s="20"/>
      <c r="N1046" s="21" t="s">
        <v>3728</v>
      </c>
    </row>
    <row r="1047" spans="1:14">
      <c r="A1047" s="12" t="s">
        <v>750</v>
      </c>
      <c r="B1047" s="13" t="s">
        <v>1176</v>
      </c>
      <c r="C1047" s="14" t="s">
        <v>3729</v>
      </c>
      <c r="D1047" s="15">
        <v>42076.582256944443</v>
      </c>
      <c r="E1047" s="16" t="s">
        <v>16</v>
      </c>
      <c r="F1047" s="16" t="s">
        <v>16</v>
      </c>
      <c r="G1047" s="17" t="s">
        <v>913</v>
      </c>
      <c r="H1047" s="17" t="s">
        <v>3730</v>
      </c>
      <c r="I1047" s="13" t="s">
        <v>3731</v>
      </c>
      <c r="J1047" s="23" t="str">
        <f>HYPERLINK("CorLog\COD\Branch\20150313 COD Branch Maintenance Problems Meeting Summary 02-27-2015 (RDC-to-RDC).msg", "Maintenance Problems Meeting Summary 02-27-2015")</f>
        <v>Maintenance Problems Meeting Summary 02-27-2015</v>
      </c>
      <c r="K1047" s="25"/>
      <c r="L1047" s="19"/>
      <c r="M1047" s="20"/>
      <c r="N1047" s="21" t="s">
        <v>3732</v>
      </c>
    </row>
    <row r="1048" spans="1:14">
      <c r="A1048" s="12" t="s">
        <v>750</v>
      </c>
      <c r="B1048" s="13" t="s">
        <v>916</v>
      </c>
      <c r="C1048" s="14" t="s">
        <v>1362</v>
      </c>
      <c r="D1048" s="15">
        <v>42076.582037037035</v>
      </c>
      <c r="E1048" s="16" t="s">
        <v>16</v>
      </c>
      <c r="F1048" s="16" t="s">
        <v>16</v>
      </c>
      <c r="G1048" s="17" t="s">
        <v>880</v>
      </c>
      <c r="H1048" s="17" t="s">
        <v>854</v>
      </c>
      <c r="I1048" s="13" t="s">
        <v>3733</v>
      </c>
      <c r="J1048" s="23" t="str">
        <f>HYPERLINK("CorLog\GHA\Kumasi RTO\20150313 GHA Kumasi RTO Structural Report (RDC-to-RDC).msg", "Structural Report")</f>
        <v>Structural Report</v>
      </c>
      <c r="K1048" s="25" t="s">
        <v>1211</v>
      </c>
      <c r="L1048" s="19"/>
      <c r="M1048" s="20"/>
      <c r="N1048" s="21" t="s">
        <v>3734</v>
      </c>
    </row>
    <row r="1049" spans="1:14">
      <c r="A1049" s="12" t="s">
        <v>1969</v>
      </c>
      <c r="B1049" s="13" t="s">
        <v>1784</v>
      </c>
      <c r="C1049" s="14" t="s">
        <v>3735</v>
      </c>
      <c r="D1049" s="15">
        <v>42076.495081018518</v>
      </c>
      <c r="E1049" s="16" t="s">
        <v>22</v>
      </c>
      <c r="F1049" s="16" t="s">
        <v>16</v>
      </c>
      <c r="G1049" s="17" t="s">
        <v>2627</v>
      </c>
      <c r="H1049" s="17" t="s">
        <v>3303</v>
      </c>
      <c r="I1049" s="13" t="s">
        <v>3709</v>
      </c>
      <c r="J1049" s="23" t="str">
        <f>HYPERLINK("CorLog\COD\Kamina RTO\20150313 COD Kamina RTO Query RE Mitek trusses position (COD-to-RDC).msg", "Query RE Mitek trusses position")</f>
        <v>Query RE Mitek trusses position</v>
      </c>
      <c r="K1049" s="25" t="s">
        <v>1211</v>
      </c>
      <c r="L1049" s="19"/>
      <c r="M1049" s="20"/>
      <c r="N1049" s="21" t="s">
        <v>3736</v>
      </c>
    </row>
    <row r="1050" spans="1:14">
      <c r="A1050" s="12" t="s">
        <v>1187</v>
      </c>
      <c r="B1050" s="13" t="s">
        <v>1818</v>
      </c>
      <c r="C1050" s="14" t="s">
        <v>3737</v>
      </c>
      <c r="D1050" s="15">
        <v>42076.487500000003</v>
      </c>
      <c r="E1050" s="16" t="s">
        <v>15</v>
      </c>
      <c r="F1050" s="16" t="s">
        <v>16</v>
      </c>
      <c r="G1050" s="17" t="s">
        <v>738</v>
      </c>
      <c r="H1050" s="17" t="s">
        <v>1105</v>
      </c>
      <c r="I1050" s="13" t="s">
        <v>3738</v>
      </c>
      <c r="J1050" s="23" t="str">
        <f>HYPERLINK("CorLog\GHA\BEX 2\20150313 GHA BEX 2 Phase II Soil Tests - Need Coordinates (ZAF-to-RDC).msg", "Phase II Soil Tests - Need Coordinates")</f>
        <v>Phase II Soil Tests - Need Coordinates</v>
      </c>
      <c r="K1050" s="25" t="s">
        <v>1243</v>
      </c>
      <c r="L1050" s="19"/>
      <c r="M1050" s="20"/>
      <c r="N1050" s="21" t="s">
        <v>3739</v>
      </c>
    </row>
    <row r="1051" spans="1:14">
      <c r="A1051" s="12" t="s">
        <v>1258</v>
      </c>
      <c r="B1051" s="13" t="s">
        <v>718</v>
      </c>
      <c r="C1051" s="14"/>
      <c r="D1051" s="15">
        <v>42076.338425925926</v>
      </c>
      <c r="E1051" s="16" t="s">
        <v>16</v>
      </c>
      <c r="F1051" s="16" t="s">
        <v>16</v>
      </c>
      <c r="G1051" s="17" t="s">
        <v>880</v>
      </c>
      <c r="H1051" s="17" t="s">
        <v>3740</v>
      </c>
      <c r="I1051" s="13" t="s">
        <v>3741</v>
      </c>
      <c r="J1051" s="23" t="str">
        <f>HYPERLINK("CorLog\GHA\Kumasi RTO\20150313 GHA Kumasi RTO Layout Proposal (RDC-to-RDC).msg", "Layout Proposal")</f>
        <v>Layout Proposal</v>
      </c>
      <c r="K1051" s="25" t="s">
        <v>1211</v>
      </c>
      <c r="L1051" s="19"/>
      <c r="M1051" s="20"/>
      <c r="N1051" s="21" t="s">
        <v>3742</v>
      </c>
    </row>
    <row r="1052" spans="1:14">
      <c r="A1052" s="12" t="s">
        <v>750</v>
      </c>
      <c r="B1052" s="13" t="s">
        <v>1337</v>
      </c>
      <c r="C1052" s="14" t="s">
        <v>718</v>
      </c>
      <c r="D1052" s="15">
        <v>42076.203668981485</v>
      </c>
      <c r="E1052" s="16" t="s">
        <v>16</v>
      </c>
      <c r="F1052" s="16" t="s">
        <v>18</v>
      </c>
      <c r="G1052" s="17" t="s">
        <v>885</v>
      </c>
      <c r="H1052" s="17" t="s">
        <v>851</v>
      </c>
      <c r="I1052" s="13" t="s">
        <v>3743</v>
      </c>
      <c r="J1052" s="23" t="str">
        <f>HYPERLINK("CorLog\ZMB\Kabompo RTO\20150313 ZMB Kabompo RTO DCP carpark slab -6 reworked 20150306 (RDC-to-ZMB).msg", "DCP carpark slab -6 reworked 20150306")</f>
        <v>DCP carpark slab -6 reworked 20150306</v>
      </c>
      <c r="K1052" s="25" t="s">
        <v>1211</v>
      </c>
      <c r="L1052" s="19"/>
      <c r="M1052" s="20"/>
      <c r="N1052" s="21" t="s">
        <v>3744</v>
      </c>
    </row>
    <row r="1053" spans="1:14">
      <c r="A1053" s="12" t="s">
        <v>771</v>
      </c>
      <c r="B1053" s="13" t="s">
        <v>998</v>
      </c>
      <c r="C1053" s="14" t="s">
        <v>3745</v>
      </c>
      <c r="D1053" s="15">
        <v>42075.859270833331</v>
      </c>
      <c r="E1053" s="16" t="s">
        <v>17</v>
      </c>
      <c r="F1053" s="16" t="s">
        <v>17</v>
      </c>
      <c r="G1053" s="17" t="s">
        <v>1139</v>
      </c>
      <c r="H1053" s="17" t="s">
        <v>3746</v>
      </c>
      <c r="I1053" s="13" t="s">
        <v>3747</v>
      </c>
      <c r="J1053" s="18" t="str">
        <f>HYPERLINK("CorLog\ETH\Branch\20150312 ETH Branch Ethiopia - Bethel Full (WDC-to-WDC).msg", "Ethiopia - Bethel Full")</f>
        <v>Ethiopia - Bethel Full</v>
      </c>
      <c r="K1053" s="22"/>
      <c r="L1053" s="19"/>
      <c r="M1053" s="20"/>
      <c r="N1053" s="21" t="s">
        <v>3748</v>
      </c>
    </row>
    <row r="1054" spans="1:14">
      <c r="A1054" s="12" t="s">
        <v>998</v>
      </c>
      <c r="B1054" s="13" t="s">
        <v>718</v>
      </c>
      <c r="C1054" s="14"/>
      <c r="D1054" s="15">
        <v>42075.829305555555</v>
      </c>
      <c r="E1054" s="16" t="s">
        <v>17</v>
      </c>
      <c r="F1054" s="16" t="s">
        <v>16</v>
      </c>
      <c r="G1054" s="17" t="s">
        <v>3749</v>
      </c>
      <c r="H1054" s="17" t="s">
        <v>1000</v>
      </c>
      <c r="I1054" s="13" t="s">
        <v>3750</v>
      </c>
      <c r="J1054" s="18" t="str">
        <f>HYPERLINK("CorLog\ZWE\Changana RTO\20150312 ZWE Changana RTO Agenda 2015-03-12 docx (WDC-to-RDC).msg", "Agenda 2015-03-12 docx")</f>
        <v>Agenda 2015-03-12 docx</v>
      </c>
      <c r="K1054" s="24"/>
      <c r="L1054" s="19"/>
      <c r="M1054" s="20"/>
      <c r="N1054" s="21" t="s">
        <v>1142</v>
      </c>
    </row>
    <row r="1055" spans="1:14">
      <c r="A1055" s="12" t="s">
        <v>717</v>
      </c>
      <c r="B1055" s="13" t="s">
        <v>1267</v>
      </c>
      <c r="C1055" s="14" t="s">
        <v>3751</v>
      </c>
      <c r="D1055" s="15">
        <v>42075.802905092591</v>
      </c>
      <c r="E1055" s="16" t="s">
        <v>16</v>
      </c>
      <c r="F1055" s="16" t="s">
        <v>23</v>
      </c>
      <c r="G1055" s="17" t="s">
        <v>802</v>
      </c>
      <c r="H1055" s="17" t="s">
        <v>3752</v>
      </c>
      <c r="I1055" s="13" t="s">
        <v>3753</v>
      </c>
      <c r="J1055" s="23" t="str">
        <f>HYPERLINK("CorLog\ZWE\Bulawayo RTO\20150312 ZWE Bulawayo RTO Cost Estimate Queries (RDC-to-ZWE).msg", "Cost Estimate Queries")</f>
        <v>Cost Estimate Queries</v>
      </c>
      <c r="K1055" s="25" t="s">
        <v>1211</v>
      </c>
      <c r="L1055" s="19"/>
      <c r="M1055" s="20"/>
      <c r="N1055" s="21" t="s">
        <v>3754</v>
      </c>
    </row>
    <row r="1056" spans="1:14">
      <c r="A1056" s="12" t="s">
        <v>717</v>
      </c>
      <c r="B1056" s="13" t="s">
        <v>1160</v>
      </c>
      <c r="C1056" s="14"/>
      <c r="D1056" s="15">
        <v>42075.787974537037</v>
      </c>
      <c r="E1056" s="16" t="s">
        <v>16</v>
      </c>
      <c r="F1056" s="16" t="s">
        <v>20</v>
      </c>
      <c r="G1056" s="17" t="s">
        <v>719</v>
      </c>
      <c r="H1056" s="17" t="s">
        <v>871</v>
      </c>
      <c r="I1056" s="13" t="s">
        <v>3755</v>
      </c>
      <c r="J1056" s="23" t="str">
        <f>HYPERLINK("CorLog\Reference\20150312 Reference Purchasing support of Design Construction doc (RDC-to-MOZ).msg", "Purchasing support of Design Construction doc")</f>
        <v>Purchasing support of Design Construction doc</v>
      </c>
      <c r="K1056" s="25"/>
      <c r="L1056" s="19"/>
      <c r="M1056" s="20"/>
      <c r="N1056" s="21" t="s">
        <v>3756</v>
      </c>
    </row>
    <row r="1057" spans="1:14">
      <c r="A1057" s="12" t="s">
        <v>717</v>
      </c>
      <c r="B1057" s="13" t="s">
        <v>1052</v>
      </c>
      <c r="C1057" s="14" t="s">
        <v>3757</v>
      </c>
      <c r="D1057" s="15">
        <v>42074.934861111113</v>
      </c>
      <c r="E1057" s="16" t="s">
        <v>16</v>
      </c>
      <c r="F1057" s="16" t="s">
        <v>17</v>
      </c>
      <c r="G1057" s="17" t="s">
        <v>785</v>
      </c>
      <c r="H1057" s="17" t="s">
        <v>781</v>
      </c>
      <c r="I1057" s="13" t="s">
        <v>3758</v>
      </c>
      <c r="J1057" s="23" t="str">
        <f>HYPERLINK("CorLog\COD\Lubumbashi RTO\20150311 COD Lubumbashi RTO CC Meeting_15 Minutes (RDC-to-WDC).msg", "CC Meeting_15 Minutes")</f>
        <v>CC Meeting_15 Minutes</v>
      </c>
      <c r="K1057" s="25"/>
      <c r="L1057" s="19"/>
      <c r="M1057" s="20"/>
      <c r="N1057" s="21" t="s">
        <v>3759</v>
      </c>
    </row>
    <row r="1058" spans="1:14">
      <c r="A1058" s="12" t="s">
        <v>750</v>
      </c>
      <c r="B1058" s="13" t="s">
        <v>964</v>
      </c>
      <c r="C1058" s="14" t="s">
        <v>3760</v>
      </c>
      <c r="D1058" s="15">
        <v>42074.860023148147</v>
      </c>
      <c r="E1058" s="16" t="s">
        <v>16</v>
      </c>
      <c r="F1058" s="16" t="s">
        <v>16</v>
      </c>
      <c r="G1058" s="17" t="s">
        <v>790</v>
      </c>
      <c r="H1058" s="17" t="s">
        <v>3761</v>
      </c>
      <c r="I1058" s="13" t="s">
        <v>3762</v>
      </c>
      <c r="J1058" s="23" t="str">
        <f>HYPERLINK("CorLog\GHA\BEX\20150311 GHA 03 BEX Solar PV panels (RDC-to-RDC).msg", "Solar PV panels")</f>
        <v>Solar PV panels</v>
      </c>
      <c r="K1058" s="25" t="s">
        <v>1499</v>
      </c>
      <c r="L1058" s="19"/>
      <c r="M1058" s="20"/>
      <c r="N1058" s="21" t="s">
        <v>3763</v>
      </c>
    </row>
    <row r="1059" spans="1:14">
      <c r="A1059" s="12" t="s">
        <v>750</v>
      </c>
      <c r="B1059" s="13" t="s">
        <v>1818</v>
      </c>
      <c r="C1059" s="14"/>
      <c r="D1059" s="15">
        <v>42074.858310185184</v>
      </c>
      <c r="E1059" s="16" t="s">
        <v>16</v>
      </c>
      <c r="F1059" s="16" t="s">
        <v>16</v>
      </c>
      <c r="G1059" s="17" t="s">
        <v>790</v>
      </c>
      <c r="H1059" s="17" t="s">
        <v>3764</v>
      </c>
      <c r="I1059" s="13" t="s">
        <v>3765</v>
      </c>
      <c r="J1059" s="23" t="str">
        <f>HYPERLINK("CorLog\GHA\BEX\20150311 GHA BEX Soil testing (Ghana Highway Authority ) - Quote; WSP RECOMMENDATION (RDC-to-RDC).msg", "Soil testing (Ghana Highway Authority ) - Quote; WSP RECOMMENDATION")</f>
        <v>Soil testing (Ghana Highway Authority ) - Quote; WSP RECOMMENDATION</v>
      </c>
      <c r="K1059" s="25"/>
      <c r="L1059" s="19"/>
      <c r="M1059" s="20"/>
      <c r="N1059" s="21" t="s">
        <v>3766</v>
      </c>
    </row>
    <row r="1060" spans="1:14">
      <c r="A1060" s="12" t="s">
        <v>750</v>
      </c>
      <c r="B1060" s="13" t="s">
        <v>1052</v>
      </c>
      <c r="C1060" s="14"/>
      <c r="D1060" s="15">
        <v>42074.84302083333</v>
      </c>
      <c r="E1060" s="16" t="s">
        <v>16</v>
      </c>
      <c r="F1060" s="16" t="s">
        <v>17</v>
      </c>
      <c r="G1060" s="17" t="s">
        <v>3193</v>
      </c>
      <c r="H1060" s="17" t="s">
        <v>1392</v>
      </c>
      <c r="I1060" s="13" t="s">
        <v>3767</v>
      </c>
      <c r="J1060" s="23" t="str">
        <f>HYPERLINK("CorLog\GHA\Bolgatanga RTO\20150311 GHA Bolgatanga RTO Frafra RTO Kickoff Meeting - December 11, 2014 (RDC-to-WDC).msg", "Frafra RTO Kickoff Meeting - December 11, 2014")</f>
        <v>Frafra RTO Kickoff Meeting - December 11, 2014</v>
      </c>
      <c r="K1060" s="25"/>
      <c r="L1060" s="19"/>
      <c r="M1060" s="20"/>
      <c r="N1060" s="21" t="s">
        <v>3768</v>
      </c>
    </row>
    <row r="1061" spans="1:14">
      <c r="A1061" s="12" t="s">
        <v>821</v>
      </c>
      <c r="B1061" s="13" t="s">
        <v>718</v>
      </c>
      <c r="C1061" s="14" t="s">
        <v>3769</v>
      </c>
      <c r="D1061" s="15">
        <v>42074.761018518519</v>
      </c>
      <c r="E1061" s="16" t="s">
        <v>21</v>
      </c>
      <c r="F1061" s="16" t="s">
        <v>16</v>
      </c>
      <c r="G1061" s="17" t="s">
        <v>823</v>
      </c>
      <c r="H1061" s="17" t="s">
        <v>781</v>
      </c>
      <c r="I1061" s="13" t="s">
        <v>3770</v>
      </c>
      <c r="J1061" s="23" t="str">
        <f>HYPERLINK("CorLog\GHA\LDC\20150311 GHA LDC Field Representatives (GHA-to-RDC).msg", "Field Representatives")</f>
        <v>Field Representatives</v>
      </c>
      <c r="K1061" s="25"/>
      <c r="L1061" s="19"/>
      <c r="M1061" s="20"/>
      <c r="N1061" s="21" t="s">
        <v>3771</v>
      </c>
    </row>
    <row r="1062" spans="1:14">
      <c r="A1062" s="12" t="s">
        <v>821</v>
      </c>
      <c r="B1062" s="13" t="s">
        <v>1052</v>
      </c>
      <c r="C1062" s="14" t="s">
        <v>3772</v>
      </c>
      <c r="D1062" s="15">
        <v>42074.669224537036</v>
      </c>
      <c r="E1062" s="16" t="s">
        <v>21</v>
      </c>
      <c r="F1062" s="16" t="s">
        <v>17</v>
      </c>
      <c r="G1062" s="17" t="s">
        <v>880</v>
      </c>
      <c r="H1062" s="17" t="s">
        <v>1015</v>
      </c>
      <c r="I1062" s="13" t="s">
        <v>3773</v>
      </c>
      <c r="J1062" s="23" t="str">
        <f>HYPERLINK("CorLog\GHA\Kumasi RTO\20150311 GHA Kumasi RTO Procedure- Purchase of Property (for Twi RTO) (GHA-to-WDC).msg", "Procedure- Purchase of Property (for Twi RTO)")</f>
        <v>Procedure- Purchase of Property (for Twi RTO)</v>
      </c>
      <c r="K1062" s="25" t="s">
        <v>1482</v>
      </c>
      <c r="L1062" s="19"/>
      <c r="M1062" s="20"/>
      <c r="N1062" s="21" t="s">
        <v>3774</v>
      </c>
    </row>
    <row r="1063" spans="1:14">
      <c r="A1063" s="12" t="s">
        <v>1529</v>
      </c>
      <c r="B1063" s="13" t="s">
        <v>1818</v>
      </c>
      <c r="C1063" s="14" t="s">
        <v>718</v>
      </c>
      <c r="D1063" s="15">
        <v>42074.65115740741</v>
      </c>
      <c r="E1063" s="16" t="s">
        <v>18</v>
      </c>
      <c r="F1063" s="16" t="s">
        <v>16</v>
      </c>
      <c r="G1063" s="17" t="s">
        <v>946</v>
      </c>
      <c r="H1063" s="17" t="s">
        <v>947</v>
      </c>
      <c r="I1063" s="13" t="s">
        <v>3775</v>
      </c>
      <c r="J1063" s="23" t="str">
        <f>HYPERLINK("CorLog\ZMB\Mongu RTO\20150311 ZMB Mongu RTO Grassy swales detail (ZMB-to-RDC).msg", "Grassy swales detail")</f>
        <v>Grassy swales detail</v>
      </c>
      <c r="K1063" s="25"/>
      <c r="L1063" s="19"/>
      <c r="M1063" s="20"/>
      <c r="N1063" s="21" t="s">
        <v>3776</v>
      </c>
    </row>
    <row r="1064" spans="1:14">
      <c r="A1064" s="12" t="s">
        <v>1818</v>
      </c>
      <c r="B1064" s="13" t="s">
        <v>827</v>
      </c>
      <c r="C1064" s="14" t="s">
        <v>3777</v>
      </c>
      <c r="D1064" s="15">
        <v>42074.646203703705</v>
      </c>
      <c r="E1064" s="16" t="s">
        <v>16</v>
      </c>
      <c r="F1064" s="16" t="s">
        <v>21</v>
      </c>
      <c r="G1064" s="17" t="s">
        <v>790</v>
      </c>
      <c r="H1064" s="17" t="s">
        <v>3764</v>
      </c>
      <c r="I1064" s="13" t="s">
        <v>3778</v>
      </c>
      <c r="J1064" s="23" t="str">
        <f>HYPERLINK("CorLog\GHA\BEX\20150311 GHA BEX Soil testing (Ghana Highway Authority ) - Quote (RDC-to-GHA).msg", "Soil testing (Ghana Highway Authority ) - Quote")</f>
        <v>Soil testing (Ghana Highway Authority ) - Quote</v>
      </c>
      <c r="K1064" s="25" t="s">
        <v>1243</v>
      </c>
      <c r="L1064" s="19"/>
      <c r="M1064" s="20"/>
      <c r="N1064" s="21" t="s">
        <v>3779</v>
      </c>
    </row>
    <row r="1065" spans="1:14">
      <c r="A1065" s="12" t="s">
        <v>1176</v>
      </c>
      <c r="B1065" s="13" t="s">
        <v>795</v>
      </c>
      <c r="C1065" s="14" t="s">
        <v>2239</v>
      </c>
      <c r="D1065" s="15">
        <v>42073.842048611114</v>
      </c>
      <c r="E1065" s="16" t="s">
        <v>16</v>
      </c>
      <c r="F1065" s="16" t="s">
        <v>16</v>
      </c>
      <c r="G1065" s="17" t="s">
        <v>738</v>
      </c>
      <c r="H1065" s="17" t="s">
        <v>3780</v>
      </c>
      <c r="I1065" s="13" t="s">
        <v>3781</v>
      </c>
      <c r="J1065" s="23" t="str">
        <f>HYPERLINK("CorLog\GHA\BEX 2\20150310 GHA BEX 2 WWTF upgrade (RDC-to-RDC).msg", "WWTF upgrade")</f>
        <v>WWTF upgrade</v>
      </c>
      <c r="K1065" s="25" t="s">
        <v>1270</v>
      </c>
      <c r="L1065" s="19"/>
      <c r="M1065" s="20"/>
      <c r="N1065" s="21" t="s">
        <v>3782</v>
      </c>
    </row>
    <row r="1066" spans="1:14">
      <c r="A1066" s="12" t="s">
        <v>771</v>
      </c>
      <c r="B1066" s="13" t="s">
        <v>821</v>
      </c>
      <c r="C1066" s="14" t="s">
        <v>3783</v>
      </c>
      <c r="D1066" s="15">
        <v>42073.700752314813</v>
      </c>
      <c r="E1066" s="16" t="s">
        <v>17</v>
      </c>
      <c r="F1066" s="16" t="s">
        <v>21</v>
      </c>
      <c r="G1066" s="17" t="s">
        <v>880</v>
      </c>
      <c r="H1066" s="17" t="s">
        <v>1015</v>
      </c>
      <c r="I1066" s="13" t="s">
        <v>3773</v>
      </c>
      <c r="J1066" s="23" t="str">
        <f>HYPERLINK("CorLog\GHA\Kumasi RTO\20150310 GHA Kumasi RTO Procedure- Purchase of Property (for Twi RTO) (WDC-to-GHA).msg", "Procedure- Purchase of Property (for Twi RTO)")</f>
        <v>Procedure- Purchase of Property (for Twi RTO)</v>
      </c>
      <c r="K1066" s="25"/>
      <c r="L1066" s="19"/>
      <c r="M1066" s="20"/>
      <c r="N1066" s="21" t="s">
        <v>3784</v>
      </c>
    </row>
    <row r="1067" spans="1:14">
      <c r="A1067" s="12" t="s">
        <v>723</v>
      </c>
      <c r="B1067" s="13" t="s">
        <v>750</v>
      </c>
      <c r="C1067" s="14" t="s">
        <v>2156</v>
      </c>
      <c r="D1067" s="15">
        <v>42073.661539351851</v>
      </c>
      <c r="E1067" s="16" t="s">
        <v>16</v>
      </c>
      <c r="F1067" s="16" t="s">
        <v>16</v>
      </c>
      <c r="G1067" s="17" t="s">
        <v>738</v>
      </c>
      <c r="H1067" s="17" t="s">
        <v>1195</v>
      </c>
      <c r="I1067" s="13" t="s">
        <v>3785</v>
      </c>
      <c r="J1067" s="23" t="str">
        <f>HYPERLINK("CorLog\GHA\BEX 2\20150310 GHA BEX 2 GHA CDP (RDC-to-RDC).msg", "GHA CDP")</f>
        <v>GHA CDP</v>
      </c>
      <c r="K1067" s="25" t="s">
        <v>1211</v>
      </c>
      <c r="L1067" s="19"/>
      <c r="M1067" s="20"/>
      <c r="N1067" s="21" t="s">
        <v>3786</v>
      </c>
    </row>
    <row r="1068" spans="1:14">
      <c r="A1068" s="12" t="s">
        <v>1529</v>
      </c>
      <c r="B1068" s="13" t="s">
        <v>1530</v>
      </c>
      <c r="C1068" s="14" t="s">
        <v>718</v>
      </c>
      <c r="D1068" s="15">
        <v>42073.636932870373</v>
      </c>
      <c r="E1068" s="16" t="s">
        <v>18</v>
      </c>
      <c r="F1068" s="16" t="s">
        <v>18</v>
      </c>
      <c r="G1068" s="17" t="s">
        <v>946</v>
      </c>
      <c r="H1068" s="17" t="s">
        <v>867</v>
      </c>
      <c r="I1068" s="13" t="s">
        <v>3787</v>
      </c>
      <c r="J1068" s="23" t="str">
        <f>HYPERLINK("CorLog\ZMB\Mongu RTO\20150310 ZMB Mongu RTO Updated Cost Projection February 2015 (ZMB-to-).msg", "ZMB Mongu RTO Updated Cost Projection February 2015")</f>
        <v>ZMB Mongu RTO Updated Cost Projection February 2015</v>
      </c>
      <c r="K1068" s="25" t="s">
        <v>1211</v>
      </c>
      <c r="L1068" s="19"/>
      <c r="M1068" s="20"/>
      <c r="N1068" s="21" t="s">
        <v>3788</v>
      </c>
    </row>
    <row r="1069" spans="1:14">
      <c r="A1069" s="12" t="s">
        <v>916</v>
      </c>
      <c r="B1069" s="13" t="s">
        <v>1521</v>
      </c>
      <c r="C1069" s="14" t="s">
        <v>3789</v>
      </c>
      <c r="D1069" s="15">
        <v>42073.457638888889</v>
      </c>
      <c r="E1069" s="16" t="s">
        <v>16</v>
      </c>
      <c r="F1069" s="16" t="s">
        <v>18</v>
      </c>
      <c r="G1069" s="17" t="s">
        <v>1070</v>
      </c>
      <c r="H1069" s="17" t="s">
        <v>851</v>
      </c>
      <c r="I1069" s="13" t="s">
        <v>3790</v>
      </c>
      <c r="J1069" s="23" t="str">
        <f>HYPERLINK("CorLog\ZMB\Katete RTO\20150310 ZMB Katete RTO DCP Commuter SOG (RDC-to-ZMB).msg", "DCP Commuter SOG")</f>
        <v>DCP Commuter SOG</v>
      </c>
      <c r="K1069" s="25"/>
      <c r="L1069" s="19"/>
      <c r="M1069" s="20"/>
      <c r="N1069" s="21" t="s">
        <v>3791</v>
      </c>
    </row>
    <row r="1070" spans="1:14">
      <c r="A1070" s="12" t="s">
        <v>795</v>
      </c>
      <c r="B1070" s="13" t="s">
        <v>3792</v>
      </c>
      <c r="C1070" s="14" t="s">
        <v>1710</v>
      </c>
      <c r="D1070" s="15">
        <v>42073.429108796299</v>
      </c>
      <c r="E1070" s="16" t="s">
        <v>16</v>
      </c>
      <c r="F1070" s="16" t="s">
        <v>39</v>
      </c>
      <c r="G1070" s="17" t="s">
        <v>738</v>
      </c>
      <c r="H1070" s="17" t="s">
        <v>2057</v>
      </c>
      <c r="I1070" s="13" t="s">
        <v>3793</v>
      </c>
      <c r="J1070" s="23" t="str">
        <f>HYPERLINK("CorLog\GHA\BEX 2\20150310 GHA BEX 2 WWTF changing media of trickling filter, JJR (RDC-to-REU).msg", "WWTF changing media of trickling filter, JJR")</f>
        <v>WWTF changing media of trickling filter, JJR</v>
      </c>
      <c r="K1070" s="25" t="s">
        <v>1211</v>
      </c>
      <c r="L1070" s="19"/>
      <c r="M1070" s="20"/>
      <c r="N1070" s="21" t="s">
        <v>3794</v>
      </c>
    </row>
    <row r="1071" spans="1:14">
      <c r="A1071" s="12" t="s">
        <v>750</v>
      </c>
      <c r="B1071" s="13" t="s">
        <v>827</v>
      </c>
      <c r="C1071" s="14" t="s">
        <v>3795</v>
      </c>
      <c r="D1071" s="15">
        <v>42073.171678240738</v>
      </c>
      <c r="E1071" s="16" t="s">
        <v>16</v>
      </c>
      <c r="F1071" s="16" t="s">
        <v>21</v>
      </c>
      <c r="G1071" s="17" t="s">
        <v>738</v>
      </c>
      <c r="H1071" s="17" t="s">
        <v>1105</v>
      </c>
      <c r="I1071" s="13" t="s">
        <v>3796</v>
      </c>
      <c r="J1071" s="23" t="str">
        <f>HYPERLINK("CorLog\GHA\BEX 2\20150310 GHA BEX 2 SCS Quote (Soils Tests) (RDC-to-GHA).msg", "SCS Quote (Soils Tests)")</f>
        <v>SCS Quote (Soils Tests)</v>
      </c>
      <c r="K1071" s="25" t="s">
        <v>1211</v>
      </c>
      <c r="L1071" s="19"/>
      <c r="M1071" s="20"/>
      <c r="N1071" s="21" t="s">
        <v>3797</v>
      </c>
    </row>
    <row r="1072" spans="1:14">
      <c r="A1072" s="12" t="s">
        <v>717</v>
      </c>
      <c r="B1072" s="13" t="s">
        <v>811</v>
      </c>
      <c r="C1072" s="14" t="s">
        <v>3798</v>
      </c>
      <c r="D1072" s="15">
        <v>42072.802974537037</v>
      </c>
      <c r="E1072" s="16" t="s">
        <v>16</v>
      </c>
      <c r="F1072" s="16" t="s">
        <v>23</v>
      </c>
      <c r="G1072" s="17" t="s">
        <v>813</v>
      </c>
      <c r="H1072" s="17" t="s">
        <v>1549</v>
      </c>
      <c r="I1072" s="13" t="s">
        <v>3799</v>
      </c>
      <c r="J1072" s="23" t="str">
        <f>HYPERLINK("CorLog\ZWE\LDC\20150309 ZWE LDC ZWE-Face bricks for Urban Halls (RDC-to-).msg", "ZWE-Face bricks for Urban Halls")</f>
        <v>ZWE-Face bricks for Urban Halls</v>
      </c>
      <c r="K1072" s="25"/>
      <c r="L1072" s="19"/>
      <c r="M1072" s="20"/>
      <c r="N1072" s="21" t="s">
        <v>3800</v>
      </c>
    </row>
    <row r="1073" spans="1:14">
      <c r="A1073" s="12" t="s">
        <v>827</v>
      </c>
      <c r="B1073" s="13" t="s">
        <v>1757</v>
      </c>
      <c r="C1073" s="14" t="s">
        <v>3801</v>
      </c>
      <c r="D1073" s="15">
        <v>42072.758645833332</v>
      </c>
      <c r="E1073" s="16" t="s">
        <v>21</v>
      </c>
      <c r="F1073" s="16" t="s">
        <v>21</v>
      </c>
      <c r="G1073" s="17" t="s">
        <v>790</v>
      </c>
      <c r="H1073" s="17" t="s">
        <v>3802</v>
      </c>
      <c r="I1073" s="13" t="s">
        <v>3803</v>
      </c>
      <c r="J1073" s="23" t="str">
        <f>HYPERLINK("CorLog\GHA\BEX\20150309 GHA BEX Commissioning Schedule for Generators and WTP (GHA-to-GHA).msg", "Commissioning Schedule for Generators and WTP")</f>
        <v>Commissioning Schedule for Generators and WTP</v>
      </c>
      <c r="K1073" s="25" t="s">
        <v>1243</v>
      </c>
      <c r="L1073" s="19"/>
      <c r="M1073" s="20"/>
      <c r="N1073" s="21" t="s">
        <v>3804</v>
      </c>
    </row>
    <row r="1074" spans="1:14">
      <c r="A1074" s="12" t="s">
        <v>718</v>
      </c>
      <c r="B1074" s="13" t="s">
        <v>1069</v>
      </c>
      <c r="C1074" s="14" t="s">
        <v>3805</v>
      </c>
      <c r="D1074" s="15">
        <v>42072.709722222222</v>
      </c>
      <c r="E1074" s="16" t="s">
        <v>16</v>
      </c>
      <c r="F1074" s="16" t="s">
        <v>18</v>
      </c>
      <c r="G1074" s="17" t="s">
        <v>719</v>
      </c>
      <c r="H1074" s="17" t="s">
        <v>3806</v>
      </c>
      <c r="I1074" s="13" t="s">
        <v>3807</v>
      </c>
      <c r="J1074" s="23" t="str">
        <f>HYPERLINK("CorLog\Reference\20150309 Orbit WDC (FYI) Global Purchasing Department - Nonliterature Branch Requests for DC-41 Approved Construction Projects (RDC-to-ZMB).msg", "(FYI) Global Purchasing Department - Nonliterature Branch Requests for DC-41 Approved Construction Projects")</f>
        <v>(FYI) Global Purchasing Department - Nonliterature Branch Requests for DC-41 Approved Construction Projects</v>
      </c>
      <c r="K1074" s="25" t="s">
        <v>1211</v>
      </c>
      <c r="L1074" s="19" t="s">
        <v>3808</v>
      </c>
      <c r="M1074" s="20"/>
      <c r="N1074" s="21" t="s">
        <v>3809</v>
      </c>
    </row>
    <row r="1075" spans="1:14">
      <c r="A1075" s="12" t="s">
        <v>964</v>
      </c>
      <c r="B1075" s="13" t="s">
        <v>3810</v>
      </c>
      <c r="C1075" s="14" t="s">
        <v>3811</v>
      </c>
      <c r="D1075" s="15">
        <v>42072.670624999999</v>
      </c>
      <c r="E1075" s="16" t="s">
        <v>16</v>
      </c>
      <c r="F1075" s="16" t="s">
        <v>15</v>
      </c>
      <c r="G1075" s="17" t="s">
        <v>738</v>
      </c>
      <c r="H1075" s="17" t="s">
        <v>1347</v>
      </c>
      <c r="I1075" s="13" t="s">
        <v>3812</v>
      </c>
      <c r="J1075" s="23" t="str">
        <f>HYPERLINK("CorLog\GHA\BEX 2\20150309 GHA BEX 2 Wifi APPROVED (RDC-to-).msg", "Wifi APPROVED")</f>
        <v>Wifi APPROVED</v>
      </c>
      <c r="K1075" s="25" t="s">
        <v>1243</v>
      </c>
      <c r="L1075" s="19"/>
      <c r="M1075" s="20"/>
      <c r="N1075" s="21" t="s">
        <v>3813</v>
      </c>
    </row>
    <row r="1076" spans="1:14">
      <c r="A1076" s="12" t="s">
        <v>750</v>
      </c>
      <c r="B1076" s="13" t="s">
        <v>723</v>
      </c>
      <c r="C1076" s="14" t="s">
        <v>718</v>
      </c>
      <c r="D1076" s="15">
        <v>42072.51425925926</v>
      </c>
      <c r="E1076" s="16" t="s">
        <v>16</v>
      </c>
      <c r="F1076" s="16" t="s">
        <v>16</v>
      </c>
      <c r="G1076" s="17" t="s">
        <v>738</v>
      </c>
      <c r="H1076" s="17" t="s">
        <v>1819</v>
      </c>
      <c r="I1076" s="13" t="s">
        <v>3814</v>
      </c>
      <c r="J1076" s="23" t="str">
        <f>HYPERLINK("CorLog\GHA\BEX 2\20150309 GHA BEX 2 CDP - Culvert LT BEX Update (RDC-to-RDC).msg", "CDP - Culvert LT BEX Update")</f>
        <v>CDP - Culvert LT BEX Update</v>
      </c>
      <c r="K1076" s="25" t="s">
        <v>1243</v>
      </c>
      <c r="L1076" s="19"/>
      <c r="M1076" s="20"/>
      <c r="N1076" s="21" t="s">
        <v>3815</v>
      </c>
    </row>
    <row r="1077" spans="1:14">
      <c r="A1077" s="12" t="s">
        <v>827</v>
      </c>
      <c r="B1077" s="13" t="s">
        <v>3105</v>
      </c>
      <c r="C1077" s="14" t="s">
        <v>3816</v>
      </c>
      <c r="D1077" s="15">
        <v>42072.50708333333</v>
      </c>
      <c r="E1077" s="16" t="s">
        <v>21</v>
      </c>
      <c r="F1077" s="16" t="s">
        <v>21</v>
      </c>
      <c r="G1077" s="17" t="s">
        <v>790</v>
      </c>
      <c r="H1077" s="17" t="s">
        <v>1105</v>
      </c>
      <c r="I1077" s="13" t="s">
        <v>3817</v>
      </c>
      <c r="J1077" s="23" t="str">
        <f>HYPERLINK("CorLog\GHA\BEX\20150309 GHA BEX Upcoming Land Survey and Soil Tests - Work Plan (GHA-to-GHA).msg", "Upcoming Land Survey and Soil Tests - Work Plan")</f>
        <v>Upcoming Land Survey and Soil Tests - Work Plan</v>
      </c>
      <c r="K1077" s="25" t="s">
        <v>1211</v>
      </c>
      <c r="L1077" s="19"/>
      <c r="M1077" s="20"/>
      <c r="N1077" s="21" t="s">
        <v>3818</v>
      </c>
    </row>
    <row r="1078" spans="1:14">
      <c r="A1078" s="12" t="s">
        <v>1181</v>
      </c>
      <c r="B1078" s="13" t="s">
        <v>718</v>
      </c>
      <c r="C1078" s="14"/>
      <c r="D1078" s="15">
        <v>42072.447881944441</v>
      </c>
      <c r="E1078" s="16" t="s">
        <v>16</v>
      </c>
      <c r="F1078" s="16" t="s">
        <v>16</v>
      </c>
      <c r="G1078" s="17" t="s">
        <v>1070</v>
      </c>
      <c r="H1078" s="17" t="s">
        <v>829</v>
      </c>
      <c r="I1078" s="13" t="s">
        <v>3819</v>
      </c>
      <c r="J1078" s="23" t="str">
        <f>HYPERLINK("CorLog\ZMB\Katete RTO\20150309 ZMB Katete RTO RDC review of Draft NLBR; REQ 520-10644; Roof Sheeting; 20150304 (RDC-to-RDC).msg", "RDC review of Draft NLBR; REQ 520-10644; Roof Sheeting; 20150304")</f>
        <v>RDC review of Draft NLBR; REQ 520-10644; Roof Sheeting; 20150304</v>
      </c>
      <c r="K1078" s="25" t="s">
        <v>1243</v>
      </c>
      <c r="L1078" s="19"/>
      <c r="M1078" s="20"/>
      <c r="N1078" s="21" t="s">
        <v>3820</v>
      </c>
    </row>
    <row r="1079" spans="1:14">
      <c r="A1079" s="12" t="s">
        <v>723</v>
      </c>
      <c r="B1079" s="13" t="s">
        <v>1187</v>
      </c>
      <c r="C1079" s="14" t="s">
        <v>3821</v>
      </c>
      <c r="D1079" s="15">
        <v>42072.345682870371</v>
      </c>
      <c r="E1079" s="16" t="s">
        <v>16</v>
      </c>
      <c r="F1079" s="16" t="s">
        <v>15</v>
      </c>
      <c r="G1079" s="17" t="s">
        <v>738</v>
      </c>
      <c r="H1079" s="17" t="s">
        <v>3822</v>
      </c>
      <c r="I1079" s="13" t="s">
        <v>3823</v>
      </c>
      <c r="J1079" s="23" t="str">
        <f>HYPERLINK("CorLog\GHA\BEX 2\20150309 GHA BEX 2 Ghana Branch Expansion - WSP QUOTE (CDP and AFC) (DMCD INPUT) (RDC-to-ZAF).msg", "Ghana Branch Expansion - WSP QUOTE (CDP and AFC) (DMCD INPUT)")</f>
        <v>Ghana Branch Expansion - WSP QUOTE (CDP and AFC) (DMCD INPUT)</v>
      </c>
      <c r="K1079" s="25" t="s">
        <v>1243</v>
      </c>
      <c r="L1079" s="19"/>
      <c r="M1079" s="20"/>
      <c r="N1079" s="21" t="s">
        <v>3824</v>
      </c>
    </row>
    <row r="1080" spans="1:14">
      <c r="A1080" s="12" t="s">
        <v>750</v>
      </c>
      <c r="B1080" s="13" t="s">
        <v>1337</v>
      </c>
      <c r="C1080" s="14" t="s">
        <v>718</v>
      </c>
      <c r="D1080" s="15">
        <v>42068.792719907404</v>
      </c>
      <c r="E1080" s="16" t="s">
        <v>16</v>
      </c>
      <c r="F1080" s="16" t="s">
        <v>18</v>
      </c>
      <c r="G1080" s="17" t="s">
        <v>885</v>
      </c>
      <c r="H1080" s="17" t="s">
        <v>851</v>
      </c>
      <c r="I1080" s="13" t="s">
        <v>3825</v>
      </c>
      <c r="J1080" s="23" t="str">
        <f>HYPERLINK("CorLog\ZMB\Kabompo RTO\20150305 ZMB Kabompo RTO DCP carpark slabs -3 and -5 reworked 20150305 (RDC-to-ZMB).msg", "DCP carpark slabs -3 and -5 reworked 20150305")</f>
        <v>DCP carpark slabs -3 and -5 reworked 20150305</v>
      </c>
      <c r="K1080" s="25"/>
      <c r="L1080" s="19"/>
      <c r="M1080" s="20"/>
      <c r="N1080" s="21" t="s">
        <v>3826</v>
      </c>
    </row>
    <row r="1081" spans="1:14">
      <c r="A1081" s="12" t="s">
        <v>750</v>
      </c>
      <c r="B1081" s="13" t="s">
        <v>1310</v>
      </c>
      <c r="C1081" s="14" t="s">
        <v>3827</v>
      </c>
      <c r="D1081" s="15">
        <v>42068.792523148149</v>
      </c>
      <c r="E1081" s="16" t="s">
        <v>16</v>
      </c>
      <c r="F1081" s="16" t="s">
        <v>16</v>
      </c>
      <c r="G1081" s="17" t="s">
        <v>738</v>
      </c>
      <c r="H1081" s="17" t="s">
        <v>2493</v>
      </c>
      <c r="I1081" s="13" t="s">
        <v>3828</v>
      </c>
      <c r="J1081" s="23" t="str">
        <f>HYPERLINK("CorLog\GHA\BEX 2\20150305 GHA BEX 2 WSP Account 1 (50% Topo Fees) (RDC-to-RDC).msg", "WSP Account 1 (50% Topo Fees)")</f>
        <v>WSP Account 1 (50% Topo Fees)</v>
      </c>
      <c r="K1081" s="25" t="s">
        <v>1243</v>
      </c>
      <c r="L1081" s="19"/>
      <c r="M1081" s="20"/>
      <c r="N1081" s="21" t="s">
        <v>3829</v>
      </c>
    </row>
    <row r="1082" spans="1:14">
      <c r="A1082" s="12" t="s">
        <v>795</v>
      </c>
      <c r="B1082" s="13" t="s">
        <v>1069</v>
      </c>
      <c r="C1082" s="14" t="s">
        <v>3830</v>
      </c>
      <c r="D1082" s="15">
        <v>42068.744074074071</v>
      </c>
      <c r="E1082" s="16" t="s">
        <v>16</v>
      </c>
      <c r="F1082" s="16" t="s">
        <v>18</v>
      </c>
      <c r="G1082" s="17" t="s">
        <v>1070</v>
      </c>
      <c r="H1082" s="17" t="s">
        <v>3831</v>
      </c>
      <c r="I1082" s="13" t="s">
        <v>3832</v>
      </c>
      <c r="J1082" s="23" t="str">
        <f>HYPERLINK("CorLog\ZMB\Katete RTO\20150305 ZMB Katete RTO Water Quality Test (RDC-to-ZMB).msg", "Water Quality Test")</f>
        <v>Water Quality Test</v>
      </c>
      <c r="K1082" s="25" t="s">
        <v>1211</v>
      </c>
      <c r="L1082" s="19"/>
      <c r="M1082" s="20"/>
      <c r="N1082" s="21" t="s">
        <v>3833</v>
      </c>
    </row>
    <row r="1083" spans="1:14">
      <c r="A1083" s="12" t="s">
        <v>827</v>
      </c>
      <c r="B1083" s="13" t="s">
        <v>718</v>
      </c>
      <c r="C1083" s="14" t="s">
        <v>3834</v>
      </c>
      <c r="D1083" s="15">
        <v>42068.740601851852</v>
      </c>
      <c r="E1083" s="16" t="s">
        <v>21</v>
      </c>
      <c r="F1083" s="16" t="s">
        <v>16</v>
      </c>
      <c r="G1083" s="17" t="s">
        <v>738</v>
      </c>
      <c r="H1083" s="17" t="s">
        <v>3835</v>
      </c>
      <c r="I1083" s="13" t="s">
        <v>3836</v>
      </c>
      <c r="J1083" s="23" t="str">
        <f>HYPERLINK("CorLog\GHA\BEX 2\20150305 GHA BEX 2 Order new Laundry Equipment (GHA-to-RDC).msg", "Order new Laundry Equipment")</f>
        <v>Order new Laundry Equipment</v>
      </c>
      <c r="K1083" s="25" t="s">
        <v>1211</v>
      </c>
      <c r="L1083" s="19"/>
      <c r="M1083" s="20"/>
      <c r="N1083" s="21" t="s">
        <v>3837</v>
      </c>
    </row>
    <row r="1084" spans="1:14">
      <c r="A1084" s="12" t="s">
        <v>1337</v>
      </c>
      <c r="B1084" s="13" t="s">
        <v>750</v>
      </c>
      <c r="C1084" s="14" t="s">
        <v>718</v>
      </c>
      <c r="D1084" s="15">
        <v>42068.686585648145</v>
      </c>
      <c r="E1084" s="16" t="s">
        <v>18</v>
      </c>
      <c r="F1084" s="16" t="s">
        <v>16</v>
      </c>
      <c r="G1084" s="17" t="s">
        <v>885</v>
      </c>
      <c r="H1084" s="17" t="s">
        <v>851</v>
      </c>
      <c r="I1084" s="13" t="s">
        <v>3825</v>
      </c>
      <c r="J1084" s="23" t="str">
        <f>HYPERLINK("CorLog\ZMB\Kabompo RTO\20150305 ZMB Kabompo RTO DCP carpark slabs -3 and -5 reworked 20150305 (ZMB-to-RDC).msg", "DCP carpark slabs -3 and -5 reworked 20150305")</f>
        <v>DCP carpark slabs -3 and -5 reworked 20150305</v>
      </c>
      <c r="K1084" s="25" t="s">
        <v>1270</v>
      </c>
      <c r="L1084" s="19"/>
      <c r="M1084" s="20"/>
      <c r="N1084" s="21" t="s">
        <v>3838</v>
      </c>
    </row>
    <row r="1085" spans="1:14">
      <c r="A1085" s="12" t="s">
        <v>729</v>
      </c>
      <c r="B1085" s="13" t="s">
        <v>1160</v>
      </c>
      <c r="C1085" s="14" t="s">
        <v>3729</v>
      </c>
      <c r="D1085" s="15">
        <v>42068.579560185186</v>
      </c>
      <c r="E1085" s="16" t="s">
        <v>15</v>
      </c>
      <c r="F1085" s="16" t="s">
        <v>20</v>
      </c>
      <c r="G1085" s="17" t="s">
        <v>719</v>
      </c>
      <c r="H1085" s="17" t="s">
        <v>2379</v>
      </c>
      <c r="I1085" s="13" t="s">
        <v>3839</v>
      </c>
      <c r="J1085" s="23" t="str">
        <f>HYPERLINK("CorLog\Reference\20150305 Reference Shipping fees committed in Project Tracking (ZAF-to-MOZ).msg", "Shipping fees committed in Project Tracking")</f>
        <v>Shipping fees committed in Project Tracking</v>
      </c>
      <c r="K1085" s="25"/>
      <c r="L1085" s="19"/>
      <c r="M1085" s="20"/>
      <c r="N1085" s="21" t="s">
        <v>3840</v>
      </c>
    </row>
    <row r="1086" spans="1:14">
      <c r="A1086" s="12" t="s">
        <v>724</v>
      </c>
      <c r="B1086" s="13" t="s">
        <v>827</v>
      </c>
      <c r="C1086" s="14" t="s">
        <v>3841</v>
      </c>
      <c r="D1086" s="15">
        <v>42068.249560185184</v>
      </c>
      <c r="E1086" s="16" t="s">
        <v>16</v>
      </c>
      <c r="F1086" s="16" t="s">
        <v>21</v>
      </c>
      <c r="G1086" s="17" t="s">
        <v>790</v>
      </c>
      <c r="H1086" s="17" t="s">
        <v>829</v>
      </c>
      <c r="I1086" s="13" t="s">
        <v>3842</v>
      </c>
      <c r="J1086" s="23" t="str">
        <f>HYPERLINK("CorLog\GHA\BEX\20150305 GHA BEX RDC review of NLBR Package -42- SUBMITTAL (RDC-to-GHA).msg", "RDC review of NLBR Package -42- SUBMITTAL")</f>
        <v>RDC review of NLBR Package -42- SUBMITTAL</v>
      </c>
      <c r="K1086" s="25" t="s">
        <v>1274</v>
      </c>
      <c r="L1086" s="19"/>
      <c r="M1086" s="20"/>
      <c r="N1086" s="21" t="s">
        <v>3843</v>
      </c>
    </row>
    <row r="1087" spans="1:14">
      <c r="A1087" s="12" t="s">
        <v>750</v>
      </c>
      <c r="B1087" s="13" t="s">
        <v>1176</v>
      </c>
      <c r="C1087" s="14" t="s">
        <v>3844</v>
      </c>
      <c r="D1087" s="15">
        <v>42067.774502314816</v>
      </c>
      <c r="E1087" s="16" t="s">
        <v>16</v>
      </c>
      <c r="F1087" s="16" t="s">
        <v>16</v>
      </c>
      <c r="G1087" s="17" t="s">
        <v>885</v>
      </c>
      <c r="H1087" s="17" t="s">
        <v>791</v>
      </c>
      <c r="I1087" s="13" t="s">
        <v>3845</v>
      </c>
      <c r="J1087" s="23" t="str">
        <f>HYPERLINK("CorLog\ZMB\Kabompo RTO\20150304 ZMB Kabompo RTO Commissioning of Kabompo RTO (RDC-to-RDC).msg", "Commissioning of Kabompo RTO")</f>
        <v>Commissioning of Kabompo RTO</v>
      </c>
      <c r="K1087" s="25" t="s">
        <v>1211</v>
      </c>
      <c r="L1087" s="19"/>
      <c r="M1087" s="20"/>
      <c r="N1087" s="21" t="s">
        <v>3846</v>
      </c>
    </row>
    <row r="1088" spans="1:14">
      <c r="A1088" s="12" t="s">
        <v>3847</v>
      </c>
      <c r="B1088" s="13" t="s">
        <v>771</v>
      </c>
      <c r="C1088" s="14" t="s">
        <v>3848</v>
      </c>
      <c r="D1088" s="15">
        <v>42067.695891203701</v>
      </c>
      <c r="E1088" s="16" t="s">
        <v>18</v>
      </c>
      <c r="F1088" s="16" t="s">
        <v>17</v>
      </c>
      <c r="G1088" s="17" t="s">
        <v>3849</v>
      </c>
      <c r="H1088" s="17" t="s">
        <v>1015</v>
      </c>
      <c r="I1088" s="13" t="s">
        <v>3850</v>
      </c>
      <c r="J1088" s="23" t="str">
        <f>HYPERLINK("CorLog\ZMB\Chibombo RTO\20150304 ZMB Chibombo RTO Lenje RTO locations (ZMB-to-WDC).msg", "Lenje RTO locations")</f>
        <v>Lenje RTO locations</v>
      </c>
      <c r="K1088" s="25" t="s">
        <v>1211</v>
      </c>
      <c r="L1088" s="19"/>
      <c r="M1088" s="20"/>
      <c r="N1088" s="21" t="s">
        <v>3851</v>
      </c>
    </row>
    <row r="1089" spans="1:14">
      <c r="A1089" s="12" t="s">
        <v>1337</v>
      </c>
      <c r="B1089" s="13" t="s">
        <v>750</v>
      </c>
      <c r="C1089" s="14" t="s">
        <v>2236</v>
      </c>
      <c r="D1089" s="15">
        <v>42067.526273148149</v>
      </c>
      <c r="E1089" s="16" t="s">
        <v>18</v>
      </c>
      <c r="F1089" s="16" t="s">
        <v>16</v>
      </c>
      <c r="G1089" s="17" t="s">
        <v>885</v>
      </c>
      <c r="H1089" s="17" t="s">
        <v>851</v>
      </c>
      <c r="I1089" s="13" t="s">
        <v>3852</v>
      </c>
      <c r="J1089" s="23" t="str">
        <f>HYPERLINK("CorLog\ZMB\Kabompo RTO\20150304 ZMB Kabompo RTO DCP carpark slabs -3, -5 and -6 20150303 (ZMB-to-RDC).msg", "DCP carpark slabs -3, -5 and -6 20150303")</f>
        <v>DCP carpark slabs -3, -5 and -6 20150303</v>
      </c>
      <c r="K1089" s="25" t="s">
        <v>1243</v>
      </c>
      <c r="L1089" s="19"/>
      <c r="M1089" s="20"/>
      <c r="N1089" s="21" t="s">
        <v>3853</v>
      </c>
    </row>
    <row r="1090" spans="1:14">
      <c r="A1090" s="12" t="s">
        <v>827</v>
      </c>
      <c r="B1090" s="13" t="s">
        <v>3854</v>
      </c>
      <c r="C1090" s="14" t="s">
        <v>3855</v>
      </c>
      <c r="D1090" s="15">
        <v>42067.478101851855</v>
      </c>
      <c r="E1090" s="16" t="s">
        <v>21</v>
      </c>
      <c r="F1090" s="16" t="s">
        <v>26</v>
      </c>
      <c r="G1090" s="17" t="s">
        <v>790</v>
      </c>
      <c r="H1090" s="17" t="s">
        <v>3856</v>
      </c>
      <c r="I1090" s="13" t="s">
        <v>3857</v>
      </c>
      <c r="J1090" s="23" t="str">
        <f>HYPERLINK("CorLog\GHA\BEX\20150304 GHA BEX Reply, Envirogen Water Technologies_Up dates (GHA-to-GBR).msg", "Reply, Envirogen Water Technologies_Up dates")</f>
        <v>Reply, Envirogen Water Technologies_Up dates</v>
      </c>
      <c r="K1090" s="25" t="s">
        <v>1211</v>
      </c>
      <c r="L1090" s="19"/>
      <c r="M1090" s="20"/>
      <c r="N1090" s="21" t="s">
        <v>3858</v>
      </c>
    </row>
    <row r="1091" spans="1:14">
      <c r="A1091" s="12" t="s">
        <v>750</v>
      </c>
      <c r="B1091" s="13" t="s">
        <v>916</v>
      </c>
      <c r="C1091" s="14" t="s">
        <v>3859</v>
      </c>
      <c r="D1091" s="15">
        <v>42067.163738425923</v>
      </c>
      <c r="E1091" s="16" t="s">
        <v>16</v>
      </c>
      <c r="F1091" s="16" t="s">
        <v>16</v>
      </c>
      <c r="G1091" s="17" t="s">
        <v>1070</v>
      </c>
      <c r="H1091" s="17" t="s">
        <v>851</v>
      </c>
      <c r="I1091" s="13" t="s">
        <v>3790</v>
      </c>
      <c r="J1091" s="23" t="str">
        <f>HYPERLINK("CorLog\ZMB\Katete RTO\20150304 ZMB Katete RTO DCP Commuter SOG (RDC-to-RDC).msg", "DCP Commuter SOG")</f>
        <v>DCP Commuter SOG</v>
      </c>
      <c r="K1091" s="25" t="s">
        <v>1211</v>
      </c>
      <c r="L1091" s="19"/>
      <c r="M1091" s="20"/>
      <c r="N1091" s="21" t="s">
        <v>3860</v>
      </c>
    </row>
    <row r="1092" spans="1:14">
      <c r="A1092" s="12" t="s">
        <v>750</v>
      </c>
      <c r="B1092" s="13" t="s">
        <v>964</v>
      </c>
      <c r="C1092" s="14" t="s">
        <v>3861</v>
      </c>
      <c r="D1092" s="15">
        <v>42066.807604166665</v>
      </c>
      <c r="E1092" s="16" t="s">
        <v>16</v>
      </c>
      <c r="F1092" s="16" t="s">
        <v>16</v>
      </c>
      <c r="G1092" s="17" t="s">
        <v>790</v>
      </c>
      <c r="H1092" s="17" t="s">
        <v>3856</v>
      </c>
      <c r="I1092" s="13" t="s">
        <v>3862</v>
      </c>
      <c r="J1092" s="23" t="str">
        <f>HYPERLINK("CorLog\GHA\BEX\20150303 GHA BEX Envirogen Water Technologies_Updates (RDC-to-RDC).msg", "Envirogen Water Technologies_Updates")</f>
        <v>Envirogen Water Technologies_Updates</v>
      </c>
      <c r="K1092" s="25" t="s">
        <v>1211</v>
      </c>
      <c r="L1092" s="19"/>
      <c r="M1092" s="20"/>
      <c r="N1092" s="21" t="s">
        <v>3863</v>
      </c>
    </row>
    <row r="1093" spans="1:14">
      <c r="A1093" s="12" t="s">
        <v>3864</v>
      </c>
      <c r="B1093" s="13" t="s">
        <v>3354</v>
      </c>
      <c r="C1093" s="14"/>
      <c r="D1093" s="15">
        <v>42066.699756944443</v>
      </c>
      <c r="E1093" s="16" t="s">
        <v>15</v>
      </c>
      <c r="F1093" s="16" t="s">
        <v>15</v>
      </c>
      <c r="G1093" s="17" t="s">
        <v>719</v>
      </c>
      <c r="H1093" s="17" t="s">
        <v>781</v>
      </c>
      <c r="I1093" s="13" t="s">
        <v>3865</v>
      </c>
      <c r="J1093" s="23" t="str">
        <f>HYPERLINK("CorLog\Reference\20150303 Reference Adjustments to Worldwide order of SFTS (ZAF-to-ZAF).msg", "Adjustments to Worldwide order of SFTS")</f>
        <v>Adjustments to Worldwide order of SFTS</v>
      </c>
      <c r="K1093" s="25" t="s">
        <v>1211</v>
      </c>
      <c r="L1093" s="19"/>
      <c r="M1093" s="20"/>
      <c r="N1093" s="21" t="s">
        <v>3866</v>
      </c>
    </row>
    <row r="1094" spans="1:14">
      <c r="A1094" s="12" t="s">
        <v>771</v>
      </c>
      <c r="B1094" s="13" t="s">
        <v>724</v>
      </c>
      <c r="C1094" s="14"/>
      <c r="D1094" s="15">
        <v>42066.679108796299</v>
      </c>
      <c r="E1094" s="16" t="s">
        <v>17</v>
      </c>
      <c r="F1094" s="16" t="s">
        <v>16</v>
      </c>
      <c r="G1094" s="17" t="s">
        <v>823</v>
      </c>
      <c r="H1094" s="17" t="s">
        <v>781</v>
      </c>
      <c r="I1094" s="13" t="s">
        <v>3867</v>
      </c>
      <c r="J1094" s="23" t="str">
        <f>HYPERLINK("CorLog\GHA\LDC\20150303 GHA LDC Restructuring the LDC (WDC-to-RDC).msg", "Restructuring the LDC")</f>
        <v>Restructuring the LDC</v>
      </c>
      <c r="K1094" s="25"/>
      <c r="L1094" s="19"/>
      <c r="M1094" s="20"/>
      <c r="N1094" s="21" t="s">
        <v>3868</v>
      </c>
    </row>
    <row r="1095" spans="1:14">
      <c r="A1095" s="12" t="s">
        <v>2431</v>
      </c>
      <c r="B1095" s="13" t="s">
        <v>718</v>
      </c>
      <c r="C1095" s="14"/>
      <c r="D1095" s="15">
        <v>42066.641562500001</v>
      </c>
      <c r="E1095" s="16" t="s">
        <v>22</v>
      </c>
      <c r="F1095" s="16" t="s">
        <v>16</v>
      </c>
      <c r="G1095" s="17" t="s">
        <v>785</v>
      </c>
      <c r="H1095" s="17" t="s">
        <v>2264</v>
      </c>
      <c r="I1095" s="13" t="s">
        <v>3869</v>
      </c>
      <c r="J1095" s="23" t="str">
        <f>HYPERLINK("CorLog\COD\Lubumbashi RTO\20150303 COD Lubumbashi RTO Borehole Pump Pipe Recommendations (COD-to-RDC).msg", "Borehole Pump Pipe Recommendations")</f>
        <v>Borehole Pump Pipe Recommendations</v>
      </c>
      <c r="K1095" s="25" t="s">
        <v>1274</v>
      </c>
      <c r="L1095" s="19"/>
      <c r="M1095" s="20"/>
      <c r="N1095" s="21" t="s">
        <v>3870</v>
      </c>
    </row>
    <row r="1096" spans="1:14">
      <c r="A1096" s="12" t="s">
        <v>842</v>
      </c>
      <c r="B1096" s="13" t="s">
        <v>718</v>
      </c>
      <c r="C1096" s="14" t="s">
        <v>750</v>
      </c>
      <c r="D1096" s="15">
        <v>42066.521840277775</v>
      </c>
      <c r="E1096" s="16" t="s">
        <v>21</v>
      </c>
      <c r="F1096" s="16" t="s">
        <v>16</v>
      </c>
      <c r="G1096" s="17" t="s">
        <v>738</v>
      </c>
      <c r="H1096" s="17" t="s">
        <v>1819</v>
      </c>
      <c r="I1096" s="13" t="s">
        <v>3871</v>
      </c>
      <c r="J1096" s="23" t="str">
        <f>HYPERLINK("CorLog\GHA\BEX 2\20150303 GHA BEX 2 Utilities to proposed new KH on NE corner (GHA-to-RDC).msg", "Utilities to proposed new KH on NE corner")</f>
        <v>Utilities to proposed new KH on NE corner</v>
      </c>
      <c r="K1096" s="25"/>
      <c r="L1096" s="19"/>
      <c r="M1096" s="20"/>
      <c r="N1096" s="21" t="s">
        <v>3872</v>
      </c>
    </row>
    <row r="1097" spans="1:14">
      <c r="A1097" s="12" t="s">
        <v>749</v>
      </c>
      <c r="B1097" s="13" t="s">
        <v>3873</v>
      </c>
      <c r="C1097" s="14" t="s">
        <v>3874</v>
      </c>
      <c r="D1097" s="15">
        <v>42065.468263888892</v>
      </c>
      <c r="E1097" s="16" t="s">
        <v>16</v>
      </c>
      <c r="F1097" s="16" t="s">
        <v>20</v>
      </c>
      <c r="G1097" s="17" t="s">
        <v>3875</v>
      </c>
      <c r="H1097" s="17" t="s">
        <v>3876</v>
      </c>
      <c r="I1097" s="13" t="s">
        <v>3877</v>
      </c>
      <c r="J1097" s="23" t="str">
        <f>HYPERLINK("CorLog\MOZ\BEX\20150302 MOZ BEX 20150302 MOZ SALTO price estimate (RDC-to-MOZ).msg", "20150302 MOZ SALTO price estimate")</f>
        <v>20150302 MOZ SALTO price estimate</v>
      </c>
      <c r="K1097" s="25" t="s">
        <v>1211</v>
      </c>
      <c r="L1097" s="19"/>
      <c r="M1097" s="20"/>
      <c r="N1097" s="21" t="s">
        <v>3878</v>
      </c>
    </row>
    <row r="1098" spans="1:14">
      <c r="A1098" s="12" t="s">
        <v>3215</v>
      </c>
      <c r="B1098" s="13" t="s">
        <v>771</v>
      </c>
      <c r="C1098" s="14" t="s">
        <v>3879</v>
      </c>
      <c r="D1098" s="15">
        <v>42065.447060185186</v>
      </c>
      <c r="E1098" s="16" t="s">
        <v>21</v>
      </c>
      <c r="F1098" s="16" t="s">
        <v>17</v>
      </c>
      <c r="G1098" s="17" t="s">
        <v>3193</v>
      </c>
      <c r="H1098" s="17" t="s">
        <v>1140</v>
      </c>
      <c r="I1098" s="13" t="s">
        <v>3880</v>
      </c>
      <c r="J1098" s="23" t="str">
        <f>HYPERLINK("CorLog\GHA\Bolgatanga RTO\20150302 GHA Bolgatanga RTO WHQGHAETP01 - Frafra to Bolgatanga (GHA-to-WDC).msg", "WHQGHAETP01 - Frafra to Bolgatanga")</f>
        <v>WHQGHAETP01 - Frafra to Bolgatanga</v>
      </c>
      <c r="K1098" s="25"/>
      <c r="L1098" s="19" t="s">
        <v>3881</v>
      </c>
      <c r="M1098" s="20"/>
      <c r="N1098" s="21" t="s">
        <v>3882</v>
      </c>
    </row>
    <row r="1099" spans="1:14">
      <c r="A1099" s="12" t="s">
        <v>1176</v>
      </c>
      <c r="B1099" s="13" t="s">
        <v>750</v>
      </c>
      <c r="C1099" s="14" t="s">
        <v>3883</v>
      </c>
      <c r="D1099" s="15">
        <v>42065.382592592592</v>
      </c>
      <c r="E1099" s="16" t="s">
        <v>16</v>
      </c>
      <c r="F1099" s="16" t="s">
        <v>16</v>
      </c>
      <c r="G1099" s="17" t="s">
        <v>946</v>
      </c>
      <c r="H1099" s="17" t="s">
        <v>854</v>
      </c>
      <c r="I1099" s="13" t="s">
        <v>3884</v>
      </c>
      <c r="J1099" s="23" t="str">
        <f>HYPERLINK("CorLog\ZMB\Mongu RTO\20150302 ZMB Mongu RTO Fall Protection Plate system - Any further info (RDC-to-RDC).msg", "Fall Protection Plate system - Any further info")</f>
        <v>Fall Protection Plate system - Any further info</v>
      </c>
      <c r="K1099" s="25" t="s">
        <v>1270</v>
      </c>
      <c r="L1099" s="19"/>
      <c r="M1099" s="20"/>
      <c r="N1099" s="21" t="s">
        <v>3885</v>
      </c>
    </row>
    <row r="1100" spans="1:14">
      <c r="A1100" s="12" t="s">
        <v>724</v>
      </c>
      <c r="B1100" s="13" t="s">
        <v>806</v>
      </c>
      <c r="C1100" s="14"/>
      <c r="D1100" s="15">
        <v>42064.767372685186</v>
      </c>
      <c r="E1100" s="16" t="s">
        <v>16</v>
      </c>
      <c r="F1100" s="16" t="s">
        <v>15</v>
      </c>
      <c r="G1100" s="17" t="s">
        <v>719</v>
      </c>
      <c r="H1100" s="17" t="s">
        <v>3886</v>
      </c>
      <c r="I1100" s="13" t="s">
        <v>3887</v>
      </c>
      <c r="J1100" s="23" t="str">
        <f>HYPERLINK("CorLog\Reference\20150301 Reference PPB Meeting template, New PP template (RDC-to-ZAF).msg", "PPB Meeting template, New PP template")</f>
        <v>PPB Meeting template, New PP template</v>
      </c>
      <c r="K1100" s="25" t="s">
        <v>1274</v>
      </c>
      <c r="L1100" s="19"/>
      <c r="M1100" s="20"/>
      <c r="N1100" s="21" t="s">
        <v>3888</v>
      </c>
    </row>
    <row r="1101" spans="1:14">
      <c r="A1101" s="12" t="s">
        <v>1818</v>
      </c>
      <c r="B1101" s="13" t="s">
        <v>750</v>
      </c>
      <c r="C1101" s="14" t="s">
        <v>718</v>
      </c>
      <c r="D1101" s="15">
        <v>42064.738263888888</v>
      </c>
      <c r="E1101" s="16" t="s">
        <v>16</v>
      </c>
      <c r="F1101" s="16" t="s">
        <v>16</v>
      </c>
      <c r="G1101" s="17" t="s">
        <v>738</v>
      </c>
      <c r="H1101" s="17" t="s">
        <v>3889</v>
      </c>
      <c r="I1101" s="13" t="s">
        <v>3890</v>
      </c>
      <c r="J1101" s="23" t="str">
        <f>HYPERLINK("CorLog\GHA\BEX 2\20150301 GHA BEX 2 Meeting with WSP 2015-02-05; SW DESIGN-DEV Dwgs for Review (RDC-to-RDC).msg", "Meeting with WSP 2015-02-05; SW DESIGN-DEV Dwgs for Review")</f>
        <v>Meeting with WSP 2015-02-05; SW DESIGN-DEV Dwgs for Review</v>
      </c>
      <c r="K1101" s="25"/>
      <c r="L1101" s="19"/>
      <c r="M1101" s="20"/>
      <c r="N1101" s="21" t="s">
        <v>3891</v>
      </c>
    </row>
    <row r="1102" spans="1:14">
      <c r="A1102" s="12" t="s">
        <v>750</v>
      </c>
      <c r="B1102" s="13" t="s">
        <v>916</v>
      </c>
      <c r="C1102" s="14" t="s">
        <v>3697</v>
      </c>
      <c r="D1102" s="15">
        <v>42063.887372685182</v>
      </c>
      <c r="E1102" s="16" t="s">
        <v>16</v>
      </c>
      <c r="F1102" s="16" t="s">
        <v>16</v>
      </c>
      <c r="G1102" s="17" t="s">
        <v>790</v>
      </c>
      <c r="H1102" s="17" t="s">
        <v>3892</v>
      </c>
      <c r="I1102" s="13" t="s">
        <v>3893</v>
      </c>
      <c r="J1102" s="23" t="str">
        <f>HYPERLINK("CorLog\GHA\BEX\20150228 GHA BEX Review Culvert Cost Comparison--Swale vs Closed Box (RDC-to-RDC).msg", "Review Culvert Cost Comparison--Swale vs Closed Box")</f>
        <v>Review Culvert Cost Comparison--Swale vs Closed Box</v>
      </c>
      <c r="K1102" s="25"/>
      <c r="L1102" s="19"/>
      <c r="M1102" s="20"/>
      <c r="N1102" s="21" t="s">
        <v>3894</v>
      </c>
    </row>
    <row r="1103" spans="1:14">
      <c r="A1103" s="12" t="s">
        <v>750</v>
      </c>
      <c r="B1103" s="13" t="s">
        <v>1337</v>
      </c>
      <c r="C1103" s="14" t="s">
        <v>3895</v>
      </c>
      <c r="D1103" s="15">
        <v>42063.78392361111</v>
      </c>
      <c r="E1103" s="16" t="s">
        <v>16</v>
      </c>
      <c r="F1103" s="16" t="s">
        <v>18</v>
      </c>
      <c r="G1103" s="17" t="s">
        <v>885</v>
      </c>
      <c r="H1103" s="17" t="s">
        <v>851</v>
      </c>
      <c r="I1103" s="13" t="s">
        <v>3896</v>
      </c>
      <c r="J1103" s="23" t="str">
        <f>HYPERLINK("CorLog\ZMB\Kabompo RTO\20150228 ZMB Kabompo RTO DCP tests 2nd and 4th Carpark slabs 20150228 (RDC-to-ZMB).msg", "DCP tests 2nd and 4th Carpark slabs 20150228")</f>
        <v>DCP tests 2nd and 4th Carpark slabs 20150228</v>
      </c>
      <c r="K1103" s="25"/>
      <c r="L1103" s="19"/>
      <c r="M1103" s="20"/>
      <c r="N1103" s="21" t="s">
        <v>3897</v>
      </c>
    </row>
    <row r="1104" spans="1:14">
      <c r="A1104" s="12" t="s">
        <v>806</v>
      </c>
      <c r="B1104" s="13" t="s">
        <v>718</v>
      </c>
      <c r="C1104" s="14"/>
      <c r="D1104" s="15">
        <v>42062.953414351854</v>
      </c>
      <c r="E1104" s="16" t="s">
        <v>15</v>
      </c>
      <c r="F1104" s="16" t="s">
        <v>16</v>
      </c>
      <c r="G1104" s="17" t="s">
        <v>807</v>
      </c>
      <c r="H1104" s="17" t="s">
        <v>808</v>
      </c>
      <c r="I1104" s="13" t="s">
        <v>3898</v>
      </c>
      <c r="J1104" s="23" t="str">
        <f>HYPERLINK("CorLog\GHA\Branch\20150227 GHA Branch Ghana - GHA-4781 Washer and Dryer ($11,635 08) (ZAF-to-RDC).msg", "Ghana - GHA-4781 Washer and Dryer ($11,635 08)")</f>
        <v>Ghana - GHA-4781 Washer and Dryer ($11,635 08)</v>
      </c>
      <c r="K1104" s="25"/>
      <c r="L1104" s="19"/>
      <c r="M1104" s="20"/>
      <c r="N1104" s="21" t="s">
        <v>3899</v>
      </c>
    </row>
    <row r="1105" spans="1:14">
      <c r="A1105" s="12" t="s">
        <v>750</v>
      </c>
      <c r="B1105" s="13" t="s">
        <v>827</v>
      </c>
      <c r="C1105" s="14" t="s">
        <v>1646</v>
      </c>
      <c r="D1105" s="15">
        <v>42062.837025462963</v>
      </c>
      <c r="E1105" s="16" t="s">
        <v>16</v>
      </c>
      <c r="F1105" s="16" t="s">
        <v>21</v>
      </c>
      <c r="G1105" s="17" t="s">
        <v>790</v>
      </c>
      <c r="H1105" s="17" t="s">
        <v>2889</v>
      </c>
      <c r="I1105" s="13" t="s">
        <v>3900</v>
      </c>
      <c r="J1105" s="23" t="str">
        <f>HYPERLINK("CorLog\GHA\BEX\20150227 GHA BEX Report for prefabricated steel structures (RDC-to-GHA).msg", "Report for prefabricated steel structures")</f>
        <v>Report for prefabricated steel structures</v>
      </c>
      <c r="K1105" s="25" t="s">
        <v>1211</v>
      </c>
      <c r="L1105" s="19"/>
      <c r="M1105" s="20"/>
      <c r="N1105" s="21" t="s">
        <v>3901</v>
      </c>
    </row>
    <row r="1106" spans="1:14">
      <c r="A1106" s="12" t="s">
        <v>750</v>
      </c>
      <c r="B1106" s="13" t="s">
        <v>916</v>
      </c>
      <c r="C1106" s="14" t="s">
        <v>3902</v>
      </c>
      <c r="D1106" s="15">
        <v>42062.674479166664</v>
      </c>
      <c r="E1106" s="16" t="s">
        <v>16</v>
      </c>
      <c r="F1106" s="16" t="s">
        <v>16</v>
      </c>
      <c r="G1106" s="17" t="s">
        <v>979</v>
      </c>
      <c r="H1106" s="17" t="s">
        <v>854</v>
      </c>
      <c r="I1106" s="13" t="s">
        <v>3903</v>
      </c>
      <c r="J1106" s="23" t="str">
        <f>HYPERLINK("CorLog\RTO\Projects\20150227 RTO Projects Office Building Slab 'joint fix-up' (QUERY ) (RDC-to-RDC).msg", "Office Building Slab 'joint fix-up' (QUERY )")</f>
        <v>Office Building Slab 'joint fix-up' (QUERY )</v>
      </c>
      <c r="K1106" s="25" t="s">
        <v>1499</v>
      </c>
      <c r="L1106" s="19"/>
      <c r="M1106" s="20"/>
      <c r="N1106" s="21" t="s">
        <v>3904</v>
      </c>
    </row>
    <row r="1107" spans="1:14">
      <c r="A1107" s="12" t="s">
        <v>972</v>
      </c>
      <c r="B1107" s="13" t="s">
        <v>724</v>
      </c>
      <c r="C1107" s="14" t="s">
        <v>3905</v>
      </c>
      <c r="D1107" s="15">
        <v>42062.325254629628</v>
      </c>
      <c r="E1107" s="16" t="s">
        <v>18</v>
      </c>
      <c r="F1107" s="16" t="s">
        <v>16</v>
      </c>
      <c r="G1107" s="17" t="s">
        <v>2133</v>
      </c>
      <c r="H1107" s="17" t="s">
        <v>1015</v>
      </c>
      <c r="I1107" s="13" t="s">
        <v>3906</v>
      </c>
      <c r="J1107" s="23" t="str">
        <f>HYPERLINK("CorLog\ZMB\Kasama RTO\20150227 ZMB Kasama RTO Kasama Property options (ZMB-to-RDC).msg", "Kasama Property options")</f>
        <v>Kasama Property options</v>
      </c>
      <c r="K1107" s="25"/>
      <c r="L1107" s="19"/>
      <c r="M1107" s="20"/>
      <c r="N1107" s="21" t="s">
        <v>3907</v>
      </c>
    </row>
    <row r="1108" spans="1:14">
      <c r="A1108" s="12" t="s">
        <v>718</v>
      </c>
      <c r="B1108" s="13" t="s">
        <v>1665</v>
      </c>
      <c r="C1108" s="14"/>
      <c r="D1108" s="15">
        <v>42061.748611111114</v>
      </c>
      <c r="E1108" s="16" t="s">
        <v>16</v>
      </c>
      <c r="F1108" s="16" t="s">
        <v>17</v>
      </c>
      <c r="G1108" s="17" t="s">
        <v>719</v>
      </c>
      <c r="H1108" s="17" t="s">
        <v>3908</v>
      </c>
      <c r="I1108" s="13" t="s">
        <v>3909</v>
      </c>
      <c r="J1108" s="23" t="str">
        <f>HYPERLINK("CorLog\Reference\20150226 Reference Project Management solutions research (RDC-to-WDC).msg", "Project Management solutions research")</f>
        <v>Project Management solutions research</v>
      </c>
      <c r="K1108" s="25" t="s">
        <v>1211</v>
      </c>
      <c r="L1108" s="19"/>
      <c r="M1108" s="20"/>
      <c r="N1108" s="21" t="s">
        <v>3910</v>
      </c>
    </row>
    <row r="1109" spans="1:14">
      <c r="A1109" s="12" t="s">
        <v>2655</v>
      </c>
      <c r="B1109" s="13" t="s">
        <v>717</v>
      </c>
      <c r="C1109" s="14" t="s">
        <v>3911</v>
      </c>
      <c r="D1109" s="15">
        <v>42061.636145833334</v>
      </c>
      <c r="E1109" s="16" t="s">
        <v>22</v>
      </c>
      <c r="F1109" s="16" t="s">
        <v>16</v>
      </c>
      <c r="G1109" s="17" t="s">
        <v>1432</v>
      </c>
      <c r="H1109" s="17" t="s">
        <v>3912</v>
      </c>
      <c r="I1109" s="13" t="s">
        <v>3913</v>
      </c>
      <c r="J1109" s="23" t="str">
        <f>HYPERLINK("CorLog\COD\LDC\20150226 COD LDC DC-41 questions for Brazzaville MH (COD-to-RDC).msg", "DC-41 questions for Brazzaville MH")</f>
        <v>DC-41 questions for Brazzaville MH</v>
      </c>
      <c r="K1109" s="25"/>
      <c r="L1109" s="19"/>
      <c r="M1109" s="20"/>
      <c r="N1109" s="21" t="s">
        <v>3914</v>
      </c>
    </row>
    <row r="1110" spans="1:14">
      <c r="A1110" s="12" t="s">
        <v>827</v>
      </c>
      <c r="B1110" s="13" t="s">
        <v>718</v>
      </c>
      <c r="C1110" s="14" t="s">
        <v>3678</v>
      </c>
      <c r="D1110" s="15">
        <v>42061.548206018517</v>
      </c>
      <c r="E1110" s="16" t="s">
        <v>21</v>
      </c>
      <c r="F1110" s="16" t="s">
        <v>16</v>
      </c>
      <c r="G1110" s="17" t="s">
        <v>738</v>
      </c>
      <c r="H1110" s="17" t="s">
        <v>3915</v>
      </c>
      <c r="I1110" s="13" t="s">
        <v>3916</v>
      </c>
      <c r="J1110" s="23" t="str">
        <f>HYPERLINK("CorLog\GHA\BEX 2\20150226 GHA BEX 2 Review of culvert cost comparison--swale vs closed box (GHA-to-RDC).msg", "Review of culvert cost comparison--swale vs closed box")</f>
        <v>Review of culvert cost comparison--swale vs closed box</v>
      </c>
      <c r="K1110" s="25" t="s">
        <v>1243</v>
      </c>
      <c r="L1110" s="19"/>
      <c r="M1110" s="20"/>
      <c r="N1110" s="21" t="s">
        <v>3917</v>
      </c>
    </row>
    <row r="1111" spans="1:14">
      <c r="A1111" s="12" t="s">
        <v>2655</v>
      </c>
      <c r="B1111" s="13" t="s">
        <v>1003</v>
      </c>
      <c r="C1111" s="14" t="s">
        <v>3918</v>
      </c>
      <c r="D1111" s="15">
        <v>42061.541458333333</v>
      </c>
      <c r="E1111" s="16" t="s">
        <v>22</v>
      </c>
      <c r="F1111" s="16" t="s">
        <v>22</v>
      </c>
      <c r="G1111" s="17" t="s">
        <v>1432</v>
      </c>
      <c r="H1111" s="17" t="s">
        <v>1945</v>
      </c>
      <c r="I1111" s="13" t="s">
        <v>3919</v>
      </c>
      <c r="J1111" s="23" t="str">
        <f>HYPERLINK("CorLog\COD\LDC\20150226 COD LDC Renovation of Goma Shipping apartment Project (COD-to-COD).msg", "Renovation of Goma Shipping apartment Project")</f>
        <v>Renovation of Goma Shipping apartment Project</v>
      </c>
      <c r="K1111" s="25" t="s">
        <v>1211</v>
      </c>
      <c r="L1111" s="19"/>
      <c r="M1111" s="20"/>
      <c r="N1111" s="21" t="s">
        <v>3920</v>
      </c>
    </row>
    <row r="1112" spans="1:14">
      <c r="A1112" s="12" t="s">
        <v>3921</v>
      </c>
      <c r="B1112" s="13" t="s">
        <v>972</v>
      </c>
      <c r="C1112" s="14" t="s">
        <v>2687</v>
      </c>
      <c r="D1112" s="15">
        <v>42061.498842592591</v>
      </c>
      <c r="E1112" s="16" t="s">
        <v>18</v>
      </c>
      <c r="F1112" s="16" t="s">
        <v>18</v>
      </c>
      <c r="G1112" s="17" t="s">
        <v>1874</v>
      </c>
      <c r="H1112" s="17" t="s">
        <v>921</v>
      </c>
      <c r="I1112" s="13" t="s">
        <v>3922</v>
      </c>
      <c r="J1112" s="23" t="str">
        <f>HYPERLINK("CorLog\ZMB\Petauke RTO\20150226 ZMB Petauke RTO ZMB- Soil and site Surveys in Petauke (ZMB-to-ZMB).msg", "ZMB- Soil and site Surveys in Petauke")</f>
        <v>ZMB- Soil and site Surveys in Petauke</v>
      </c>
      <c r="K1112" s="25"/>
      <c r="L1112" s="19"/>
      <c r="M1112" s="20"/>
      <c r="N1112" s="21" t="s">
        <v>3923</v>
      </c>
    </row>
    <row r="1113" spans="1:14">
      <c r="A1113" s="12" t="s">
        <v>718</v>
      </c>
      <c r="B1113" s="13" t="s">
        <v>1653</v>
      </c>
      <c r="C1113" s="14" t="s">
        <v>3924</v>
      </c>
      <c r="D1113" s="15">
        <v>42060.913888888892</v>
      </c>
      <c r="E1113" s="16" t="s">
        <v>16</v>
      </c>
      <c r="F1113" s="16" t="s">
        <v>21</v>
      </c>
      <c r="G1113" s="17" t="s">
        <v>823</v>
      </c>
      <c r="H1113" s="17" t="s">
        <v>1714</v>
      </c>
      <c r="I1113" s="13" t="s">
        <v>3925</v>
      </c>
      <c r="J1113" s="23" t="str">
        <f>HYPERLINK("CorLog\GHA\LDC\20150225 GHA LDC Do projects under 250,000 need monthly report (RDC-to-GHA).msg", "Do projects under 250,000 need monthly report")</f>
        <v>Do projects under 250,000 need monthly report</v>
      </c>
      <c r="K1113" s="25" t="s">
        <v>1211</v>
      </c>
      <c r="L1113" s="19"/>
      <c r="M1113" s="20"/>
      <c r="N1113" s="21" t="s">
        <v>3926</v>
      </c>
    </row>
    <row r="1114" spans="1:14">
      <c r="A1114" s="12" t="s">
        <v>750</v>
      </c>
      <c r="B1114" s="13" t="s">
        <v>1176</v>
      </c>
      <c r="C1114" s="14" t="s">
        <v>3927</v>
      </c>
      <c r="D1114" s="15">
        <v>42060.869930555556</v>
      </c>
      <c r="E1114" s="16" t="s">
        <v>16</v>
      </c>
      <c r="F1114" s="16" t="s">
        <v>16</v>
      </c>
      <c r="G1114" s="17" t="s">
        <v>979</v>
      </c>
      <c r="H1114" s="17" t="s">
        <v>3928</v>
      </c>
      <c r="I1114" s="13" t="s">
        <v>3929</v>
      </c>
      <c r="J1114" s="23" t="str">
        <f>HYPERLINK("CorLog\RTO\Projects\20150225 RTO Projects Bio Sewage Query Meeting with LEON DU CASS (RDC-to-RDC).msg", "Bio Sewage Query Meeting with LEON DU CASS")</f>
        <v>Bio Sewage Query Meeting with LEON DU CASS</v>
      </c>
      <c r="K1114" s="25" t="s">
        <v>1270</v>
      </c>
      <c r="L1114" s="19"/>
      <c r="M1114" s="20"/>
      <c r="N1114" s="21" t="s">
        <v>3930</v>
      </c>
    </row>
    <row r="1115" spans="1:14">
      <c r="A1115" s="12" t="s">
        <v>750</v>
      </c>
      <c r="B1115" s="13" t="s">
        <v>1560</v>
      </c>
      <c r="C1115" s="14" t="s">
        <v>3931</v>
      </c>
      <c r="D1115" s="15">
        <v>42060.788460648146</v>
      </c>
      <c r="E1115" s="16" t="s">
        <v>16</v>
      </c>
      <c r="F1115" s="16" t="s">
        <v>15</v>
      </c>
      <c r="G1115" s="17" t="s">
        <v>885</v>
      </c>
      <c r="H1115" s="17" t="s">
        <v>1565</v>
      </c>
      <c r="I1115" s="13" t="s">
        <v>3932</v>
      </c>
      <c r="J1115" s="23" t="str">
        <f>HYPERLINK("CorLog\ZMB\Kabompo RTO\20150225 ZMB Kabompo RTO Office Mitek Roof SCREWS FOR KL CLIP INSULATION (RDC-to-ZAF).msg", "Office Mitek Roof SCREWS FOR KL CLIP INSULATION")</f>
        <v>Office Mitek Roof SCREWS FOR KL CLIP INSULATION</v>
      </c>
      <c r="K1115" s="25" t="s">
        <v>3933</v>
      </c>
      <c r="L1115" s="19"/>
      <c r="M1115" s="20"/>
      <c r="N1115" s="21" t="s">
        <v>3934</v>
      </c>
    </row>
    <row r="1116" spans="1:14">
      <c r="A1116" s="12" t="s">
        <v>750</v>
      </c>
      <c r="B1116" s="13" t="s">
        <v>1560</v>
      </c>
      <c r="C1116" s="14" t="s">
        <v>3931</v>
      </c>
      <c r="D1116" s="15">
        <v>42060.788414351853</v>
      </c>
      <c r="E1116" s="16" t="s">
        <v>16</v>
      </c>
      <c r="F1116" s="16" t="s">
        <v>15</v>
      </c>
      <c r="G1116" s="17" t="s">
        <v>885</v>
      </c>
      <c r="H1116" s="17" t="s">
        <v>3453</v>
      </c>
      <c r="I1116" s="13" t="s">
        <v>3932</v>
      </c>
      <c r="J1116" s="23" t="str">
        <f>HYPERLINK("CorLog\ZMB\Kabompo RTO Office Mitek Roof\20150225 ZMB Kabompo RTO Office Mitek Roof SCREWS FOR KL CLIP INSULATION (RDC-to-ZAF).msg", "SCREWS FOR KL CLIP INSULATION")</f>
        <v>SCREWS FOR KL CLIP INSULATION</v>
      </c>
      <c r="K1116" s="25" t="s">
        <v>3933</v>
      </c>
      <c r="L1116" s="19"/>
      <c r="M1116" s="20"/>
      <c r="N1116" s="21" t="s">
        <v>3934</v>
      </c>
    </row>
    <row r="1117" spans="1:14">
      <c r="A1117" s="12" t="s">
        <v>718</v>
      </c>
      <c r="B1117" s="13" t="s">
        <v>1337</v>
      </c>
      <c r="C1117" s="14" t="s">
        <v>883</v>
      </c>
      <c r="D1117" s="15">
        <v>42060.695833333331</v>
      </c>
      <c r="E1117" s="16" t="s">
        <v>16</v>
      </c>
      <c r="F1117" s="16" t="s">
        <v>18</v>
      </c>
      <c r="G1117" s="17" t="s">
        <v>885</v>
      </c>
      <c r="H1117" s="17" t="s">
        <v>886</v>
      </c>
      <c r="I1117" s="13" t="s">
        <v>3935</v>
      </c>
      <c r="J1117" s="23" t="str">
        <f>HYPERLINK("CorLog\ZMB\Kabompo RTO\20150225 ZMB Kabompo RTO Qestion about Main panel in Utilities Building ((drawing E-601 1 19) (RDC-to-ZMB).msg", "Qestion about Main panel in Utilities Building ((drawing E-601 1 19)")</f>
        <v>Qestion about Main panel in Utilities Building ((drawing E-601 1 19)</v>
      </c>
      <c r="K1117" s="25"/>
      <c r="L1117" s="19"/>
      <c r="M1117" s="20"/>
      <c r="N1117" s="21" t="s">
        <v>3936</v>
      </c>
    </row>
    <row r="1118" spans="1:14">
      <c r="A1118" s="12" t="s">
        <v>795</v>
      </c>
      <c r="B1118" s="13" t="s">
        <v>718</v>
      </c>
      <c r="C1118" s="14"/>
      <c r="D1118" s="15">
        <v>42060.464525462965</v>
      </c>
      <c r="E1118" s="16" t="s">
        <v>16</v>
      </c>
      <c r="F1118" s="16" t="s">
        <v>16</v>
      </c>
      <c r="G1118" s="17" t="s">
        <v>738</v>
      </c>
      <c r="H1118" s="17" t="s">
        <v>3937</v>
      </c>
      <c r="I1118" s="13" t="s">
        <v>3938</v>
      </c>
      <c r="J1118" s="23" t="str">
        <f>HYPERLINK("CorLog\GHA\BEX 2\20150225 GHA BEX 2 VRF instead of single split or chilled water (RDC-to-RDC).msg", "VRF instead of single split or chilled water")</f>
        <v>VRF instead of single split or chilled water</v>
      </c>
      <c r="K1118" s="25"/>
      <c r="L1118" s="19"/>
      <c r="M1118" s="20"/>
      <c r="N1118" s="21" t="s">
        <v>3939</v>
      </c>
    </row>
    <row r="1119" spans="1:14">
      <c r="A1119" s="12" t="s">
        <v>795</v>
      </c>
      <c r="B1119" s="13" t="s">
        <v>718</v>
      </c>
      <c r="C1119" s="14" t="s">
        <v>3940</v>
      </c>
      <c r="D1119" s="15">
        <v>42060.45412037037</v>
      </c>
      <c r="E1119" s="16" t="s">
        <v>16</v>
      </c>
      <c r="F1119" s="16" t="s">
        <v>16</v>
      </c>
      <c r="G1119" s="17" t="s">
        <v>999</v>
      </c>
      <c r="H1119" s="17" t="s">
        <v>1037</v>
      </c>
      <c r="I1119" s="13" t="s">
        <v>3941</v>
      </c>
      <c r="J1119" s="23" t="str">
        <f>HYPERLINK("CorLog\ZMB\Branch\20150225 ZMB Branch Multi split estimate REVISED (RDC-to-RDC).msg", "Multi split estimate REVISED")</f>
        <v>Multi split estimate REVISED</v>
      </c>
      <c r="K1119" s="25" t="s">
        <v>1499</v>
      </c>
      <c r="L1119" s="19"/>
      <c r="M1119" s="20"/>
      <c r="N1119" s="21" t="s">
        <v>3942</v>
      </c>
    </row>
    <row r="1120" spans="1:14">
      <c r="A1120" s="12" t="s">
        <v>821</v>
      </c>
      <c r="B1120" s="13" t="s">
        <v>718</v>
      </c>
      <c r="C1120" s="14" t="s">
        <v>1757</v>
      </c>
      <c r="D1120" s="15">
        <v>42059.577210648145</v>
      </c>
      <c r="E1120" s="16" t="s">
        <v>21</v>
      </c>
      <c r="F1120" s="16" t="s">
        <v>16</v>
      </c>
      <c r="G1120" s="17" t="s">
        <v>738</v>
      </c>
      <c r="H1120" s="17" t="s">
        <v>1993</v>
      </c>
      <c r="I1120" s="13" t="s">
        <v>3943</v>
      </c>
      <c r="J1120" s="23" t="str">
        <f>HYPERLINK("CorLog\GHA\BEX 2\20150224 GHA BEX 2 Car park location (GHA-to-RDC).msg", "Car park location")</f>
        <v>Car park location</v>
      </c>
      <c r="K1120" s="25"/>
      <c r="L1120" s="19"/>
      <c r="M1120" s="20"/>
      <c r="N1120" s="21" t="s">
        <v>3944</v>
      </c>
    </row>
    <row r="1121" spans="1:14">
      <c r="A1121" s="12" t="s">
        <v>827</v>
      </c>
      <c r="B1121" s="13" t="s">
        <v>750</v>
      </c>
      <c r="C1121" s="14" t="s">
        <v>3945</v>
      </c>
      <c r="D1121" s="15">
        <v>42059.468159722222</v>
      </c>
      <c r="E1121" s="16" t="s">
        <v>21</v>
      </c>
      <c r="F1121" s="16" t="s">
        <v>16</v>
      </c>
      <c r="G1121" s="17" t="s">
        <v>790</v>
      </c>
      <c r="H1121" s="17" t="s">
        <v>3946</v>
      </c>
      <c r="I1121" s="13" t="s">
        <v>3947</v>
      </c>
      <c r="J1121" s="23" t="str">
        <f>HYPERLINK("CorLog\GHA\BEX\20150224 GHA BEX SCS Quote (GHA-to-RDC).msg", "SCS Quote")</f>
        <v>SCS Quote</v>
      </c>
      <c r="K1121" s="25" t="s">
        <v>1211</v>
      </c>
      <c r="L1121" s="19"/>
      <c r="M1121" s="20"/>
      <c r="N1121" s="21" t="s">
        <v>3948</v>
      </c>
    </row>
    <row r="1122" spans="1:14">
      <c r="A1122" s="12" t="s">
        <v>964</v>
      </c>
      <c r="B1122" s="13" t="s">
        <v>827</v>
      </c>
      <c r="C1122" s="14" t="s">
        <v>3949</v>
      </c>
      <c r="D1122" s="15">
        <v>42059.466469907406</v>
      </c>
      <c r="E1122" s="16" t="s">
        <v>16</v>
      </c>
      <c r="F1122" s="16" t="s">
        <v>21</v>
      </c>
      <c r="G1122" s="17" t="s">
        <v>790</v>
      </c>
      <c r="H1122" s="17" t="s">
        <v>3950</v>
      </c>
      <c r="I1122" s="13" t="s">
        <v>3951</v>
      </c>
      <c r="J1122" s="23" t="str">
        <f>HYPERLINK("CorLog\GHA\BEX\20150224 GHA BEX Electrical - Cables to DB =0+C2 feeding Borehole 3 and 4 (RDC-to-GHA).msg", "Electrical - Cables to DB =0+C2 feeding Borehole 3 and 4")</f>
        <v>Electrical - Cables to DB =0+C2 feeding Borehole 3 and 4</v>
      </c>
      <c r="K1122" s="25"/>
      <c r="L1122" s="19"/>
      <c r="M1122" s="20"/>
      <c r="N1122" s="21" t="s">
        <v>3952</v>
      </c>
    </row>
    <row r="1123" spans="1:14">
      <c r="A1123" s="12" t="s">
        <v>795</v>
      </c>
      <c r="B1123" s="13" t="s">
        <v>883</v>
      </c>
      <c r="C1123" s="14" t="s">
        <v>1337</v>
      </c>
      <c r="D1123" s="15">
        <v>42059.442754629628</v>
      </c>
      <c r="E1123" s="16" t="s">
        <v>16</v>
      </c>
      <c r="F1123" s="16" t="s">
        <v>18</v>
      </c>
      <c r="G1123" s="17" t="s">
        <v>885</v>
      </c>
      <c r="H1123" s="17" t="s">
        <v>1178</v>
      </c>
      <c r="I1123" s="13" t="s">
        <v>3953</v>
      </c>
      <c r="J1123" s="23" t="str">
        <f>HYPERLINK("CorLog\ZMB\Kabompo RTO\20150224 ZMB Kabompo RTO Fuel Pipe size (RDC-to-ZMB).msg", "Fuel Pipe size")</f>
        <v>Fuel Pipe size</v>
      </c>
      <c r="K1123" s="25"/>
      <c r="L1123" s="19"/>
      <c r="M1123" s="20"/>
      <c r="N1123" s="21" t="s">
        <v>3954</v>
      </c>
    </row>
    <row r="1124" spans="1:14">
      <c r="A1124" s="12" t="s">
        <v>1653</v>
      </c>
      <c r="B1124" s="13" t="s">
        <v>806</v>
      </c>
      <c r="C1124" s="14" t="s">
        <v>3924</v>
      </c>
      <c r="D1124" s="15">
        <v>42059.408055555556</v>
      </c>
      <c r="E1124" s="16" t="s">
        <v>21</v>
      </c>
      <c r="F1124" s="16" t="s">
        <v>15</v>
      </c>
      <c r="G1124" s="17" t="s">
        <v>823</v>
      </c>
      <c r="H1124" s="17" t="s">
        <v>829</v>
      </c>
      <c r="I1124" s="13" t="s">
        <v>3955</v>
      </c>
      <c r="J1124" s="23" t="str">
        <f>HYPERLINK("CorLog\GHA\LDC\20150224 GHA LDC Ghana - Nonliterature Branch Request No 4710-Regional Convention Tents (GHA-to-ZAF).msg", "Ghana - Nonliterature Branch Request No 4710-Regional Convention Tents")</f>
        <v>Ghana - Nonliterature Branch Request No 4710-Regional Convention Tents</v>
      </c>
      <c r="K1124" s="25" t="s">
        <v>1243</v>
      </c>
      <c r="L1124" s="19"/>
      <c r="M1124" s="20"/>
      <c r="N1124" s="21" t="s">
        <v>3956</v>
      </c>
    </row>
    <row r="1125" spans="1:14">
      <c r="A1125" s="12" t="s">
        <v>1167</v>
      </c>
      <c r="B1125" s="13" t="s">
        <v>718</v>
      </c>
      <c r="C1125" s="14" t="s">
        <v>3957</v>
      </c>
      <c r="D1125" s="15">
        <v>42058.996851851851</v>
      </c>
      <c r="E1125" s="16" t="s">
        <v>22</v>
      </c>
      <c r="F1125" s="16" t="s">
        <v>16</v>
      </c>
      <c r="G1125" s="17" t="s">
        <v>1169</v>
      </c>
      <c r="H1125" s="17" t="s">
        <v>3958</v>
      </c>
      <c r="I1125" s="13" t="s">
        <v>3959</v>
      </c>
      <c r="J1125" s="23" t="str">
        <f>HYPERLINK("CorLog\COD\Kikwit RTO\20150223 COD Kikwit RTO Concrete Aggregate for Approval (STRUCT Comment) (COD-to-RDC).msg", "Concrete Aggregate for Approval (STRUCT Comment)")</f>
        <v>Concrete Aggregate for Approval (STRUCT Comment)</v>
      </c>
      <c r="K1125" s="25" t="s">
        <v>1369</v>
      </c>
      <c r="L1125" s="19"/>
      <c r="M1125" s="20"/>
      <c r="N1125" s="21" t="s">
        <v>3960</v>
      </c>
    </row>
    <row r="1126" spans="1:14">
      <c r="A1126" s="12" t="s">
        <v>750</v>
      </c>
      <c r="B1126" s="13" t="s">
        <v>771</v>
      </c>
      <c r="C1126" s="14" t="s">
        <v>3961</v>
      </c>
      <c r="D1126" s="15">
        <v>42058.837789351855</v>
      </c>
      <c r="E1126" s="16" t="s">
        <v>16</v>
      </c>
      <c r="F1126" s="16" t="s">
        <v>17</v>
      </c>
      <c r="G1126" s="17" t="s">
        <v>880</v>
      </c>
      <c r="H1126" s="17" t="s">
        <v>1895</v>
      </c>
      <c r="I1126" s="13" t="s">
        <v>3962</v>
      </c>
      <c r="J1126" s="23" t="str">
        <f>HYPERLINK("CorLog\GHA\Kumasi RTO\20150223 GHA Kumasi RTO Translation Services - Approve to Relocate Twi RTO in Kumasi (RDC-to-WDC).msg", "Translation Services - Approve to Relocate Twi RTO in Kumasi")</f>
        <v>Translation Services - Approve to Relocate Twi RTO in Kumasi</v>
      </c>
      <c r="K1126" s="25" t="s">
        <v>1211</v>
      </c>
      <c r="L1126" s="19"/>
      <c r="M1126" s="20"/>
      <c r="N1126" s="21" t="s">
        <v>3963</v>
      </c>
    </row>
    <row r="1127" spans="1:14">
      <c r="A1127" s="12" t="s">
        <v>1818</v>
      </c>
      <c r="B1127" s="13" t="s">
        <v>1529</v>
      </c>
      <c r="C1127" s="14" t="s">
        <v>1710</v>
      </c>
      <c r="D1127" s="15">
        <v>42058.494340277779</v>
      </c>
      <c r="E1127" s="16" t="s">
        <v>16</v>
      </c>
      <c r="F1127" s="16" t="s">
        <v>18</v>
      </c>
      <c r="G1127" s="17" t="s">
        <v>946</v>
      </c>
      <c r="H1127" s="17" t="s">
        <v>3964</v>
      </c>
      <c r="I1127" s="13" t="s">
        <v>3965</v>
      </c>
      <c r="J1127" s="23" t="str">
        <f>HYPERLINK("CorLog\ZMB\Mongu RTO\20150223 ZMB Mongu RTO Septic tanks in series (CUSTOM MH AT END) (RDC-to-ZMB).msg", "Septic tanks in series (CUSTOM MH AT END)")</f>
        <v>Septic tanks in series (CUSTOM MH AT END)</v>
      </c>
      <c r="K1127" s="25" t="s">
        <v>1482</v>
      </c>
      <c r="L1127" s="19"/>
      <c r="M1127" s="20"/>
      <c r="N1127" s="21" t="s">
        <v>3966</v>
      </c>
    </row>
    <row r="1128" spans="1:14">
      <c r="A1128" s="12" t="s">
        <v>750</v>
      </c>
      <c r="B1128" s="13" t="s">
        <v>718</v>
      </c>
      <c r="C1128" s="14" t="s">
        <v>3967</v>
      </c>
      <c r="D1128" s="15">
        <v>42058.012407407405</v>
      </c>
      <c r="E1128" s="16" t="s">
        <v>16</v>
      </c>
      <c r="F1128" s="16" t="s">
        <v>16</v>
      </c>
      <c r="G1128" s="17" t="s">
        <v>790</v>
      </c>
      <c r="H1128" s="17" t="s">
        <v>791</v>
      </c>
      <c r="I1128" s="13" t="s">
        <v>3968</v>
      </c>
      <c r="J1128" s="23" t="str">
        <f>HYPERLINK("CorLog\GHA\BEX\20150223 GHA BEX Commissioning Visit - Generators and WT Plant (RDC-to-RDC).msg", "Commissioning Visit - Generators and WT Plant")</f>
        <v>Commissioning Visit - Generators and WT Plant</v>
      </c>
      <c r="K1128" s="25"/>
      <c r="L1128" s="19"/>
      <c r="M1128" s="20"/>
      <c r="N1128" s="21" t="s">
        <v>3969</v>
      </c>
    </row>
    <row r="1129" spans="1:14">
      <c r="A1129" s="12" t="s">
        <v>750</v>
      </c>
      <c r="B1129" s="13" t="s">
        <v>1451</v>
      </c>
      <c r="C1129" s="14" t="s">
        <v>3970</v>
      </c>
      <c r="D1129" s="15">
        <v>42057.999444444446</v>
      </c>
      <c r="E1129" s="16" t="s">
        <v>16</v>
      </c>
      <c r="F1129" s="16" t="s">
        <v>952</v>
      </c>
      <c r="G1129" s="17" t="s">
        <v>738</v>
      </c>
      <c r="H1129" s="17" t="s">
        <v>3971</v>
      </c>
      <c r="I1129" s="13" t="s">
        <v>3972</v>
      </c>
      <c r="J1129" s="23" t="str">
        <f>HYPERLINK("CorLog\GHA\BEX 2\20150222 GHA BEX 2 WSP QUOTE (CDP and AFC) (DMCD INPUT) (RDC-to-WSP).msg", "WSP QUOTE (CDP and AFC) (DMCD INPUT)")</f>
        <v>WSP QUOTE (CDP and AFC) (DMCD INPUT)</v>
      </c>
      <c r="K1129" s="25" t="s">
        <v>1211</v>
      </c>
      <c r="L1129" s="19"/>
      <c r="M1129" s="20"/>
      <c r="N1129" s="21" t="s">
        <v>3973</v>
      </c>
    </row>
    <row r="1130" spans="1:14">
      <c r="A1130" s="12" t="s">
        <v>718</v>
      </c>
      <c r="B1130" s="13" t="s">
        <v>2787</v>
      </c>
      <c r="C1130" s="14"/>
      <c r="D1130" s="15">
        <v>42055.849305555559</v>
      </c>
      <c r="E1130" s="16" t="s">
        <v>16</v>
      </c>
      <c r="F1130" s="16" t="s">
        <v>14</v>
      </c>
      <c r="G1130" s="17" t="s">
        <v>3974</v>
      </c>
      <c r="H1130" s="17" t="s">
        <v>759</v>
      </c>
      <c r="I1130" s="13" t="s">
        <v>3975</v>
      </c>
      <c r="J1130" s="23" t="str">
        <f>HYPERLINK("CorLog\MDG\Gilead SKE\20150220 MDG Gilead SKE Suggestion from baatsona for the new SKE at Gilead (RDC-to-MDG).msg", "Suggestion from baatsona for the new SKE at Gilead")</f>
        <v>Suggestion from baatsona for the new SKE at Gilead</v>
      </c>
      <c r="K1130" s="25" t="s">
        <v>1243</v>
      </c>
      <c r="L1130" s="19"/>
      <c r="M1130" s="20"/>
      <c r="N1130" s="21" t="s">
        <v>3976</v>
      </c>
    </row>
    <row r="1131" spans="1:14">
      <c r="A1131" s="12" t="s">
        <v>806</v>
      </c>
      <c r="B1131" s="13" t="s">
        <v>718</v>
      </c>
      <c r="C1131" s="14"/>
      <c r="D1131" s="15">
        <v>42054.755624999998</v>
      </c>
      <c r="E1131" s="16" t="s">
        <v>15</v>
      </c>
      <c r="F1131" s="16" t="s">
        <v>16</v>
      </c>
      <c r="G1131" s="17" t="s">
        <v>999</v>
      </c>
      <c r="H1131" s="17" t="s">
        <v>808</v>
      </c>
      <c r="I1131" s="13" t="s">
        <v>3977</v>
      </c>
      <c r="J1131" s="23" t="str">
        <f>HYPERLINK("CorLog\ZMB\Branch\20150219 ZMB Branch Zambia - ZMB-6275 Carpet and Floor Machines ($8,846 53) (ZAF-to-RDC).msg", "Zambia - ZMB-6275 Carpet and Floor Machines ($8,846 53)")</f>
        <v>Zambia - ZMB-6275 Carpet and Floor Machines ($8,846 53)</v>
      </c>
      <c r="K1131" s="25"/>
      <c r="L1131" s="19"/>
      <c r="M1131" s="20"/>
      <c r="N1131" s="21" t="s">
        <v>3978</v>
      </c>
    </row>
    <row r="1132" spans="1:14">
      <c r="A1132" s="12" t="s">
        <v>837</v>
      </c>
      <c r="B1132" s="13" t="s">
        <v>718</v>
      </c>
      <c r="C1132" s="14"/>
      <c r="D1132" s="15">
        <v>42054.672662037039</v>
      </c>
      <c r="E1132" s="16" t="s">
        <v>18</v>
      </c>
      <c r="F1132" s="16" t="s">
        <v>16</v>
      </c>
      <c r="G1132" s="17" t="s">
        <v>838</v>
      </c>
      <c r="H1132" s="17" t="s">
        <v>1489</v>
      </c>
      <c r="I1132" s="13" t="s">
        <v>3979</v>
      </c>
      <c r="J1132" s="23" t="str">
        <f>HYPERLINK("CorLog\ZMB\Choma RTO\20150219 ZMB Choma RTO solahart water geysers (ZMB-to-RDC).msg", "solahart water geysers")</f>
        <v>solahart water geysers</v>
      </c>
      <c r="K1132" s="25" t="s">
        <v>1211</v>
      </c>
      <c r="L1132" s="19"/>
      <c r="M1132" s="20"/>
      <c r="N1132" s="21" t="s">
        <v>3980</v>
      </c>
    </row>
    <row r="1133" spans="1:14">
      <c r="A1133" s="12" t="s">
        <v>723</v>
      </c>
      <c r="B1133" s="13" t="s">
        <v>717</v>
      </c>
      <c r="C1133" s="14" t="s">
        <v>3981</v>
      </c>
      <c r="D1133" s="15">
        <v>42054.446759259263</v>
      </c>
      <c r="E1133" s="16" t="s">
        <v>16</v>
      </c>
      <c r="F1133" s="16" t="s">
        <v>16</v>
      </c>
      <c r="G1133" s="17" t="s">
        <v>3982</v>
      </c>
      <c r="H1133" s="17" t="s">
        <v>1392</v>
      </c>
      <c r="I1133" s="13" t="s">
        <v>3983</v>
      </c>
      <c r="J1133" s="23" t="str">
        <f>HYPERLINK("CorLog\COD\Mbuji-Mayi RTO\20150219 COD Mbuji-Mayi RTO Tshiluba Translation - December 15, 2014 (RDC-to-RDC).msg", "Tshiluba Translation - December 15, 2014")</f>
        <v>Tshiluba Translation - December 15, 2014</v>
      </c>
      <c r="K1133" s="25" t="s">
        <v>1211</v>
      </c>
      <c r="L1133" s="19"/>
      <c r="M1133" s="20"/>
      <c r="N1133" s="21" t="s">
        <v>3984</v>
      </c>
    </row>
    <row r="1134" spans="1:14">
      <c r="A1134" s="12" t="s">
        <v>964</v>
      </c>
      <c r="B1134" s="13" t="s">
        <v>827</v>
      </c>
      <c r="C1134" s="14" t="s">
        <v>3949</v>
      </c>
      <c r="D1134" s="15">
        <v>42054.414930555555</v>
      </c>
      <c r="E1134" s="16" t="s">
        <v>16</v>
      </c>
      <c r="F1134" s="16" t="s">
        <v>21</v>
      </c>
      <c r="G1134" s="17" t="s">
        <v>790</v>
      </c>
      <c r="H1134" s="17" t="s">
        <v>886</v>
      </c>
      <c r="I1134" s="13" t="s">
        <v>3985</v>
      </c>
      <c r="J1134" s="23" t="str">
        <f>HYPERLINK("CorLog\GHA\BEX\20150219 GHA BEX Electrical Query; Moving Room D B in Residence Buildings (RDC-to-GHA).msg", "Electrical Query; Moving Room D B in Residence Buildings")</f>
        <v>Electrical Query; Moving Room D B in Residence Buildings</v>
      </c>
      <c r="K1134" s="25" t="s">
        <v>1211</v>
      </c>
      <c r="L1134" s="19"/>
      <c r="M1134" s="20"/>
      <c r="N1134" s="21" t="s">
        <v>3986</v>
      </c>
    </row>
    <row r="1135" spans="1:14">
      <c r="A1135" s="12" t="s">
        <v>718</v>
      </c>
      <c r="B1135" s="13" t="s">
        <v>750</v>
      </c>
      <c r="C1135" s="14"/>
      <c r="D1135" s="15">
        <v>42053.921527777777</v>
      </c>
      <c r="E1135" s="16" t="s">
        <v>16</v>
      </c>
      <c r="F1135" s="16" t="s">
        <v>16</v>
      </c>
      <c r="G1135" s="17" t="s">
        <v>738</v>
      </c>
      <c r="H1135" s="17" t="s">
        <v>1489</v>
      </c>
      <c r="I1135" s="13" t="s">
        <v>3987</v>
      </c>
      <c r="J1135" s="23" t="str">
        <f>HYPERLINK("CorLog\GHA\BEX 2\20150218 GHA BEX 2 Impact of gas vs electric appliances (Meeting Minutes) (RDC-to-RDC).msg", "Impact of gas vs electric appliances (Meeting Minutes)")</f>
        <v>Impact of gas vs electric appliances (Meeting Minutes)</v>
      </c>
      <c r="K1135" s="25"/>
      <c r="L1135" s="19"/>
      <c r="M1135" s="20"/>
      <c r="N1135" s="21" t="s">
        <v>3988</v>
      </c>
    </row>
    <row r="1136" spans="1:14">
      <c r="A1136" s="12" t="s">
        <v>757</v>
      </c>
      <c r="B1136" s="13" t="s">
        <v>718</v>
      </c>
      <c r="C1136" s="14" t="s">
        <v>3476</v>
      </c>
      <c r="D1136" s="15">
        <v>42053.629571759258</v>
      </c>
      <c r="E1136" s="16" t="s">
        <v>21</v>
      </c>
      <c r="F1136" s="16" t="s">
        <v>16</v>
      </c>
      <c r="G1136" s="17" t="s">
        <v>3133</v>
      </c>
      <c r="H1136" s="17" t="s">
        <v>1015</v>
      </c>
      <c r="I1136" s="13" t="s">
        <v>3989</v>
      </c>
      <c r="J1136" s="23" t="str">
        <f>HYPERLINK("CorLog\GHA\Somanya RTO\20150218 GHA Somanya RTO Somanya RTO Property (GHA-to-RDC).msg", "Somanya RTO Property")</f>
        <v>Somanya RTO Property</v>
      </c>
      <c r="K1136" s="25" t="s">
        <v>1211</v>
      </c>
      <c r="L1136" s="19"/>
      <c r="M1136" s="20"/>
      <c r="N1136" s="21" t="s">
        <v>3990</v>
      </c>
    </row>
    <row r="1137" spans="1:14">
      <c r="A1137" s="12" t="s">
        <v>1818</v>
      </c>
      <c r="B1137" s="13" t="s">
        <v>1969</v>
      </c>
      <c r="C1137" s="14" t="s">
        <v>958</v>
      </c>
      <c r="D1137" s="15">
        <v>42053.482037037036</v>
      </c>
      <c r="E1137" s="16" t="s">
        <v>16</v>
      </c>
      <c r="F1137" s="16" t="s">
        <v>22</v>
      </c>
      <c r="G1137" s="17" t="s">
        <v>2627</v>
      </c>
      <c r="H1137" s="17" t="s">
        <v>2688</v>
      </c>
      <c r="I1137" s="13" t="s">
        <v>3991</v>
      </c>
      <c r="J1137" s="23" t="str">
        <f>HYPERLINK("CorLog\COD\Kamina RTO\20150218 COD Kamina RTO Drawing Revisions (revised elevations) (RDC-to-COD).msg", "Drawing Revisions (revised elevations)")</f>
        <v>Drawing Revisions (revised elevations)</v>
      </c>
      <c r="K1137" s="25" t="s">
        <v>1243</v>
      </c>
      <c r="L1137" s="19"/>
      <c r="M1137" s="20"/>
      <c r="N1137" s="21" t="s">
        <v>3992</v>
      </c>
    </row>
    <row r="1138" spans="1:14">
      <c r="A1138" s="12" t="s">
        <v>750</v>
      </c>
      <c r="B1138" s="13" t="s">
        <v>827</v>
      </c>
      <c r="C1138" s="14" t="s">
        <v>3993</v>
      </c>
      <c r="D1138" s="15">
        <v>42052.78</v>
      </c>
      <c r="E1138" s="16" t="s">
        <v>16</v>
      </c>
      <c r="F1138" s="16" t="s">
        <v>21</v>
      </c>
      <c r="G1138" s="17" t="s">
        <v>790</v>
      </c>
      <c r="H1138" s="17" t="s">
        <v>1105</v>
      </c>
      <c r="I1138" s="13" t="s">
        <v>1106</v>
      </c>
      <c r="J1138" s="23" t="str">
        <f>HYPERLINK("CorLog\GHA\BEX\20150217 GHA BEX Soil testing (Ghana Highway Authority ) - Alternate Proposals (RDC-to-GHA).msg", "Soil testing (Ghana Highway Authority ) - Alternate Proposals")</f>
        <v>Soil testing (Ghana Highway Authority ) - Alternate Proposals</v>
      </c>
      <c r="K1138" s="25"/>
      <c r="L1138" s="19"/>
      <c r="M1138" s="20"/>
      <c r="N1138" s="21" t="s">
        <v>3994</v>
      </c>
    </row>
    <row r="1139" spans="1:14">
      <c r="A1139" s="12"/>
      <c r="B1139" s="13"/>
      <c r="C1139" s="14"/>
      <c r="D1139" s="15">
        <v>42052</v>
      </c>
      <c r="E1139" s="16" t="s">
        <v>17</v>
      </c>
      <c r="F1139" s="16" t="s">
        <v>21</v>
      </c>
      <c r="G1139" s="17" t="s">
        <v>880</v>
      </c>
      <c r="H1139" s="17" t="s">
        <v>1895</v>
      </c>
      <c r="I1139" s="13" t="s">
        <v>3995</v>
      </c>
      <c r="J1139" s="23" t="str">
        <f>HYPERLINK("CorLog\GHA\Kumasi RTO\20150217 GHA Kumasi RTO GHAETP01 Your request to move the Twi team to Kumasi is approved (WDC-to-GHA).docx", "Your request to move the Twi team to Kumasi is approved")</f>
        <v>Your request to move the Twi team to Kumasi is approved</v>
      </c>
      <c r="K1139" s="25"/>
      <c r="L1139" s="19"/>
      <c r="M1139" s="20"/>
      <c r="N1139" s="21"/>
    </row>
    <row r="1140" spans="1:14">
      <c r="A1140" s="12" t="s">
        <v>724</v>
      </c>
      <c r="B1140" s="13" t="s">
        <v>837</v>
      </c>
      <c r="C1140" s="14" t="s">
        <v>718</v>
      </c>
      <c r="D1140" s="15">
        <v>42050.678761574076</v>
      </c>
      <c r="E1140" s="16" t="s">
        <v>16</v>
      </c>
      <c r="F1140" s="16" t="s">
        <v>18</v>
      </c>
      <c r="G1140" s="17" t="s">
        <v>838</v>
      </c>
      <c r="H1140" s="17" t="s">
        <v>930</v>
      </c>
      <c r="I1140" s="13" t="s">
        <v>3996</v>
      </c>
      <c r="J1140" s="23" t="str">
        <f>HYPERLINK("CorLog\ZMB\CHOMA RTO\20150215 ZMB CHOMA RTO Kliptite roofing is not in the MTO (RDC-to-ZMB).msg", "Kliptite roofing is not in the MTO")</f>
        <v>Kliptite roofing is not in the MTO</v>
      </c>
      <c r="K1140" s="25"/>
      <c r="L1140" s="19"/>
      <c r="M1140" s="20"/>
      <c r="N1140" s="21" t="s">
        <v>3997</v>
      </c>
    </row>
    <row r="1141" spans="1:14">
      <c r="A1141" s="12" t="s">
        <v>750</v>
      </c>
      <c r="B1141" s="13" t="s">
        <v>1529</v>
      </c>
      <c r="C1141" s="14" t="s">
        <v>3998</v>
      </c>
      <c r="D1141" s="15">
        <v>42049.67291666667</v>
      </c>
      <c r="E1141" s="16" t="s">
        <v>16</v>
      </c>
      <c r="F1141" s="16" t="s">
        <v>18</v>
      </c>
      <c r="G1141" s="17" t="s">
        <v>946</v>
      </c>
      <c r="H1141" s="17" t="s">
        <v>3964</v>
      </c>
      <c r="I1141" s="13" t="s">
        <v>3999</v>
      </c>
      <c r="J1141" s="23" t="str">
        <f>HYPERLINK("CorLog\ZMB\Mongu RTO\20150214 ZMB Mongu RTO Septic tanks in series (CUSTOM MH AT END; PDF Issued) (RDC-to-ZMB).msg", "Septic tanks in series (CUSTOM MH AT END; PDF Issued)")</f>
        <v>Septic tanks in series (CUSTOM MH AT END; PDF Issued)</v>
      </c>
      <c r="K1141" s="25" t="s">
        <v>1274</v>
      </c>
      <c r="L1141" s="19"/>
      <c r="M1141" s="20"/>
      <c r="N1141" s="21" t="s">
        <v>4000</v>
      </c>
    </row>
    <row r="1142" spans="1:14">
      <c r="A1142" s="12" t="s">
        <v>718</v>
      </c>
      <c r="B1142" s="13" t="s">
        <v>718</v>
      </c>
      <c r="C1142" s="14"/>
      <c r="D1142" s="15">
        <v>42048.902291666665</v>
      </c>
      <c r="E1142" s="16" t="s">
        <v>16</v>
      </c>
      <c r="F1142" s="16" t="s">
        <v>16</v>
      </c>
      <c r="G1142" s="17" t="s">
        <v>966</v>
      </c>
      <c r="H1142" s="17" t="s">
        <v>1707</v>
      </c>
      <c r="I1142" s="13" t="s">
        <v>4001</v>
      </c>
      <c r="J1142" s="23" t="str">
        <f>HYPERLINK("CorLog\MDG\Branch\20150513 MDG Branch Studio Approval Memos (RDC-to-RDC).msg", "Studio Approval Memos")</f>
        <v>Studio Approval Memos</v>
      </c>
      <c r="K1142" s="25"/>
      <c r="L1142" s="19"/>
      <c r="M1142" s="20"/>
      <c r="N1142" s="21" t="s">
        <v>4002</v>
      </c>
    </row>
    <row r="1143" spans="1:14">
      <c r="A1143" s="12" t="s">
        <v>795</v>
      </c>
      <c r="B1143" s="13" t="s">
        <v>827</v>
      </c>
      <c r="C1143" s="14" t="s">
        <v>4003</v>
      </c>
      <c r="D1143" s="15">
        <v>42047.677303240744</v>
      </c>
      <c r="E1143" s="16" t="s">
        <v>16</v>
      </c>
      <c r="F1143" s="16" t="s">
        <v>21</v>
      </c>
      <c r="G1143" s="17" t="s">
        <v>790</v>
      </c>
      <c r="H1143" s="17" t="s">
        <v>1031</v>
      </c>
      <c r="I1143" s="13" t="s">
        <v>4004</v>
      </c>
      <c r="J1143" s="23" t="str">
        <f>HYPERLINK("CorLog\GHA\BEX\20150212 GHA BEX Borehole piping - copper stainless steel connection (RDC-to-GHA).msg", "Borehole piping - copper stainless steel connection")</f>
        <v>Borehole piping - copper stainless steel connection</v>
      </c>
      <c r="K1143" s="25" t="s">
        <v>1211</v>
      </c>
      <c r="L1143" s="19"/>
      <c r="M1143" s="20"/>
      <c r="N1143" s="21" t="s">
        <v>4005</v>
      </c>
    </row>
    <row r="1144" spans="1:14">
      <c r="A1144" s="12" t="s">
        <v>1176</v>
      </c>
      <c r="B1144" s="13" t="s">
        <v>750</v>
      </c>
      <c r="C1144" s="14" t="s">
        <v>4006</v>
      </c>
      <c r="D1144" s="15">
        <v>42046.700752314813</v>
      </c>
      <c r="E1144" s="16" t="s">
        <v>16</v>
      </c>
      <c r="F1144" s="16" t="s">
        <v>16</v>
      </c>
      <c r="G1144" s="17" t="s">
        <v>946</v>
      </c>
      <c r="H1144" s="17" t="s">
        <v>1687</v>
      </c>
      <c r="I1144" s="13" t="s">
        <v>4007</v>
      </c>
      <c r="J1144" s="23" t="str">
        <f>HYPERLINK("CorLog\ZMB\Mongu RTO\20150211 ZMB Mongu RTO Electric Hand Dryer Query (RDC-to-RDC).msg", "Electric Hand Dryer Query")</f>
        <v>Electric Hand Dryer Query</v>
      </c>
      <c r="K1144" s="25" t="s">
        <v>1270</v>
      </c>
      <c r="L1144" s="19"/>
      <c r="M1144" s="20"/>
      <c r="N1144" s="21" t="s">
        <v>4008</v>
      </c>
    </row>
    <row r="1145" spans="1:14">
      <c r="A1145" s="12" t="s">
        <v>750</v>
      </c>
      <c r="B1145" s="13" t="s">
        <v>1418</v>
      </c>
      <c r="C1145" s="14" t="s">
        <v>4009</v>
      </c>
      <c r="D1145" s="15">
        <v>42046.634432870371</v>
      </c>
      <c r="E1145" s="16" t="s">
        <v>16</v>
      </c>
      <c r="F1145" s="16" t="s">
        <v>16</v>
      </c>
      <c r="G1145" s="17" t="s">
        <v>857</v>
      </c>
      <c r="H1145" s="17" t="s">
        <v>803</v>
      </c>
      <c r="I1145" s="13" t="s">
        <v>4010</v>
      </c>
      <c r="J1145" s="23" t="str">
        <f>HYPERLINK("CorLog\GHA\Kikam RTO\20150211 GHA Kikam RTO Coord Corrections; FEO Set (RDC-to-RDC).msg", "Coord Corrections; FEO Set")</f>
        <v>Coord Corrections; FEO Set</v>
      </c>
      <c r="K1145" s="25"/>
      <c r="L1145" s="19"/>
      <c r="M1145" s="20"/>
      <c r="N1145" s="21" t="s">
        <v>4011</v>
      </c>
    </row>
    <row r="1146" spans="1:14">
      <c r="A1146" s="12" t="s">
        <v>750</v>
      </c>
      <c r="B1146" s="13" t="s">
        <v>1529</v>
      </c>
      <c r="C1146" s="14" t="s">
        <v>4012</v>
      </c>
      <c r="D1146" s="15">
        <v>42046.631284722222</v>
      </c>
      <c r="E1146" s="16" t="s">
        <v>16</v>
      </c>
      <c r="F1146" s="16" t="s">
        <v>18</v>
      </c>
      <c r="G1146" s="17" t="s">
        <v>946</v>
      </c>
      <c r="H1146" s="17" t="s">
        <v>854</v>
      </c>
      <c r="I1146" s="13" t="s">
        <v>4013</v>
      </c>
      <c r="J1146" s="23" t="str">
        <f>HYPERLINK("CorLog\ZMB\Mongu RTO\20150211 ZMB Mongu RTO Unreinforced 150mm SOG QUERY (RDC-to-ZMB).msg", "Unreinforced 150mm SOG QUERY")</f>
        <v>Unreinforced 150mm SOG QUERY</v>
      </c>
      <c r="K1146" s="25"/>
      <c r="L1146" s="19"/>
      <c r="M1146" s="20"/>
      <c r="N1146" s="21" t="s">
        <v>4014</v>
      </c>
    </row>
    <row r="1147" spans="1:14">
      <c r="A1147" s="12" t="s">
        <v>3105</v>
      </c>
      <c r="B1147" s="13" t="s">
        <v>1258</v>
      </c>
      <c r="C1147" s="14" t="s">
        <v>4015</v>
      </c>
      <c r="D1147" s="15">
        <v>42046.628923611112</v>
      </c>
      <c r="E1147" s="16" t="s">
        <v>21</v>
      </c>
      <c r="F1147" s="16" t="s">
        <v>16</v>
      </c>
      <c r="G1147" s="17" t="s">
        <v>790</v>
      </c>
      <c r="H1147" s="17" t="s">
        <v>2803</v>
      </c>
      <c r="I1147" s="13" t="s">
        <v>4016</v>
      </c>
      <c r="J1147" s="23" t="str">
        <f>HYPERLINK("CorLog\GHA\BEX\20150211 GHA BEX GHA-4695; Hafele Products (GHA-to-RDC).msg", "GHA-4695; Hafele Products")</f>
        <v>GHA-4695; Hafele Products</v>
      </c>
      <c r="K1147" s="25" t="s">
        <v>2665</v>
      </c>
      <c r="L1147" s="19"/>
      <c r="M1147" s="20"/>
      <c r="N1147" s="21" t="s">
        <v>4017</v>
      </c>
    </row>
    <row r="1148" spans="1:14">
      <c r="A1148" s="12" t="s">
        <v>757</v>
      </c>
      <c r="B1148" s="13" t="s">
        <v>750</v>
      </c>
      <c r="C1148" s="14" t="s">
        <v>1362</v>
      </c>
      <c r="D1148" s="15">
        <v>42046.621886574074</v>
      </c>
      <c r="E1148" s="16" t="s">
        <v>21</v>
      </c>
      <c r="F1148" s="16" t="s">
        <v>16</v>
      </c>
      <c r="G1148" s="17" t="s">
        <v>880</v>
      </c>
      <c r="H1148" s="17" t="s">
        <v>1131</v>
      </c>
      <c r="I1148" s="13" t="s">
        <v>4018</v>
      </c>
      <c r="J1148" s="23" t="str">
        <f>HYPERLINK("CorLog\GHA\Kumasi RTO\20150211 GHA Kumasi RTO DC-31 DC-32 (ZAF-RDC Comments) (GHA-to-RDC).msg", "DC-31 DC-32 (ZAF-RDC Comments)")</f>
        <v>DC-31 DC-32 (ZAF-RDC Comments)</v>
      </c>
      <c r="K1148" s="25" t="s">
        <v>2761</v>
      </c>
      <c r="L1148" s="19"/>
      <c r="M1148" s="20"/>
      <c r="N1148" s="21" t="s">
        <v>4019</v>
      </c>
    </row>
    <row r="1149" spans="1:14">
      <c r="A1149" s="12" t="s">
        <v>724</v>
      </c>
      <c r="B1149" s="13" t="s">
        <v>837</v>
      </c>
      <c r="C1149" s="14" t="s">
        <v>718</v>
      </c>
      <c r="D1149" s="15">
        <v>42046.559062499997</v>
      </c>
      <c r="E1149" s="16" t="s">
        <v>16</v>
      </c>
      <c r="F1149" s="16" t="s">
        <v>18</v>
      </c>
      <c r="G1149" s="17" t="s">
        <v>838</v>
      </c>
      <c r="H1149" s="17" t="s">
        <v>829</v>
      </c>
      <c r="I1149" s="13" t="s">
        <v>4020</v>
      </c>
      <c r="J1149" s="23" t="str">
        <f>HYPERLINK("CorLog\ZMB\CHOMA RTO\20150211 ZMB CHOMA RTO NLBR DRAFT FOR BRICKFORCE AND WALL TIES (RDC-to-ZMB).msg", "NLBR DRAFT FOR BRICKFORCE AND WALL TIES")</f>
        <v>NLBR DRAFT FOR BRICKFORCE AND WALL TIES</v>
      </c>
      <c r="K1149" s="25" t="s">
        <v>1211</v>
      </c>
      <c r="L1149" s="19"/>
      <c r="M1149" s="20"/>
      <c r="N1149" s="21" t="s">
        <v>4021</v>
      </c>
    </row>
    <row r="1150" spans="1:14">
      <c r="A1150" s="12" t="s">
        <v>1069</v>
      </c>
      <c r="B1150" s="13" t="s">
        <v>4022</v>
      </c>
      <c r="C1150" s="14" t="s">
        <v>4023</v>
      </c>
      <c r="D1150" s="15">
        <v>42046.528449074074</v>
      </c>
      <c r="E1150" s="16" t="s">
        <v>18</v>
      </c>
      <c r="F1150" s="16" t="s">
        <v>29</v>
      </c>
      <c r="G1150" s="17" t="s">
        <v>1070</v>
      </c>
      <c r="H1150" s="17" t="s">
        <v>829</v>
      </c>
      <c r="I1150" s="13" t="s">
        <v>4024</v>
      </c>
      <c r="J1150" s="23" t="str">
        <f>HYPERLINK("CorLog\ZMB\Katete RTO\20150211 ZMB Katete RTO ZMB-6223 - Electrolux items [wid Admin-incident-9135) (ZMB-to-DEU).msg", "ZMB-6223 - Electrolux items [wid Admin-incident-9135)")</f>
        <v>ZMB-6223 - Electrolux items [wid Admin-incident-9135)</v>
      </c>
      <c r="K1150" s="25"/>
      <c r="L1150" s="19"/>
      <c r="M1150" s="20"/>
      <c r="N1150" s="21" t="s">
        <v>4025</v>
      </c>
    </row>
    <row r="1151" spans="1:14">
      <c r="A1151" s="12" t="s">
        <v>750</v>
      </c>
      <c r="B1151" s="13" t="s">
        <v>827</v>
      </c>
      <c r="C1151" s="14" t="s">
        <v>4026</v>
      </c>
      <c r="D1151" s="15">
        <v>42046.489212962966</v>
      </c>
      <c r="E1151" s="16" t="s">
        <v>16</v>
      </c>
      <c r="F1151" s="16" t="s">
        <v>21</v>
      </c>
      <c r="G1151" s="17" t="s">
        <v>790</v>
      </c>
      <c r="H1151" s="17" t="s">
        <v>1347</v>
      </c>
      <c r="I1151" s="13" t="s">
        <v>4027</v>
      </c>
      <c r="J1151" s="23" t="str">
        <f>HYPERLINK("CorLog\GHA\BEX\20150211 GHA BEX WRES in New Residences (RDC-to-GHA).msg", "WRES in New Residences")</f>
        <v>WRES in New Residences</v>
      </c>
      <c r="K1151" s="25"/>
      <c r="L1151" s="19"/>
      <c r="M1151" s="20"/>
      <c r="N1151" s="21" t="s">
        <v>4028</v>
      </c>
    </row>
    <row r="1152" spans="1:14">
      <c r="A1152" s="12" t="s">
        <v>750</v>
      </c>
      <c r="B1152" s="13" t="s">
        <v>757</v>
      </c>
      <c r="C1152" s="14" t="s">
        <v>4029</v>
      </c>
      <c r="D1152" s="15">
        <v>42046.407500000001</v>
      </c>
      <c r="E1152" s="16" t="s">
        <v>16</v>
      </c>
      <c r="F1152" s="16" t="s">
        <v>21</v>
      </c>
      <c r="G1152" s="17" t="s">
        <v>880</v>
      </c>
      <c r="H1152" s="17" t="s">
        <v>1131</v>
      </c>
      <c r="I1152" s="13" t="s">
        <v>4030</v>
      </c>
      <c r="J1152" s="23" t="str">
        <f>HYPERLINK("CorLog\GHA\Kumasi RTO\20150211 GHA Kumasi Twi RTO DC-31 DC-32 (STRUCT REPORT done for BouakeCOST) (RDC-to-GHA).msg", "DC-31 DC-32 (STRUCT REPORT done for BouakeCOST)")</f>
        <v>DC-31 DC-32 (STRUCT REPORT done for BouakeCOST)</v>
      </c>
      <c r="K1152" s="25"/>
      <c r="L1152" s="19"/>
      <c r="M1152" s="20"/>
      <c r="N1152" s="21" t="s">
        <v>4031</v>
      </c>
    </row>
    <row r="1153" spans="1:14">
      <c r="A1153" s="12" t="s">
        <v>723</v>
      </c>
      <c r="B1153" s="13" t="s">
        <v>750</v>
      </c>
      <c r="C1153" s="14" t="s">
        <v>4029</v>
      </c>
      <c r="D1153" s="15">
        <v>42046.378252314818</v>
      </c>
      <c r="E1153" s="16" t="s">
        <v>16</v>
      </c>
      <c r="F1153" s="16" t="s">
        <v>16</v>
      </c>
      <c r="G1153" s="17" t="s">
        <v>880</v>
      </c>
      <c r="H1153" s="17" t="s">
        <v>1131</v>
      </c>
      <c r="I1153" s="13" t="s">
        <v>4030</v>
      </c>
      <c r="J1153" s="23" t="str">
        <f>HYPERLINK("CorLog\GHA\Kumasi RTO\20150211 GHA Kumasi Twi RTO DC-31 DC-32 (STRUCT REPORT done for BouakeCOST) (RDC-to-RDC).msg", "DC-31 DC-32 (STRUCT REPORT done for BouakeCOST)")</f>
        <v>DC-31 DC-32 (STRUCT REPORT done for BouakeCOST)</v>
      </c>
      <c r="K1153" s="25"/>
      <c r="L1153" s="19"/>
      <c r="M1153" s="20"/>
      <c r="N1153" s="21" t="s">
        <v>4032</v>
      </c>
    </row>
    <row r="1154" spans="1:14">
      <c r="A1154" s="12" t="s">
        <v>1454</v>
      </c>
      <c r="B1154" s="13"/>
      <c r="C1154" s="14"/>
      <c r="D1154" s="15">
        <v>42046</v>
      </c>
      <c r="E1154" s="16" t="s">
        <v>15</v>
      </c>
      <c r="F1154" s="16" t="s">
        <v>21</v>
      </c>
      <c r="G1154" s="17" t="s">
        <v>758</v>
      </c>
      <c r="H1154" s="17" t="s">
        <v>4033</v>
      </c>
      <c r="I1154" s="13" t="s">
        <v>4034</v>
      </c>
      <c r="J1154" s="23" t="str">
        <f>HYPERLINK("CorLog\GHA\Viepe RTO\20150211 GHA Viepe RTO AFC Package Release (ZAF-to-GHA).docx", "AFC Package Release")</f>
        <v>AFC Package Release</v>
      </c>
      <c r="K1154" s="23"/>
      <c r="L1154" s="19"/>
      <c r="M1154" s="20"/>
      <c r="N1154" s="21" t="s">
        <v>4035</v>
      </c>
    </row>
    <row r="1155" spans="1:14">
      <c r="A1155" s="12" t="s">
        <v>1454</v>
      </c>
      <c r="B1155" s="13"/>
      <c r="C1155" s="14"/>
      <c r="D1155" s="15">
        <v>42046</v>
      </c>
      <c r="E1155" s="16" t="s">
        <v>15</v>
      </c>
      <c r="F1155" s="16" t="s">
        <v>18</v>
      </c>
      <c r="G1155" s="17" t="s">
        <v>838</v>
      </c>
      <c r="H1155" s="17" t="s">
        <v>4033</v>
      </c>
      <c r="I1155" s="13" t="s">
        <v>4034</v>
      </c>
      <c r="J1155" s="23" t="str">
        <f>HYPERLINK("CorLog\ZMB\Choma RTO\20150211 ZMB Choma RTO AFC Package Release (ZAF-to-ZMB).docx", "AFC Package Release")</f>
        <v>AFC Package Release</v>
      </c>
      <c r="K1155" s="23"/>
      <c r="L1155" s="19"/>
      <c r="M1155" s="20"/>
      <c r="N1155" s="21" t="s">
        <v>4036</v>
      </c>
    </row>
    <row r="1156" spans="1:14">
      <c r="A1156" s="12" t="s">
        <v>1258</v>
      </c>
      <c r="B1156" s="13" t="s">
        <v>750</v>
      </c>
      <c r="C1156" s="14" t="s">
        <v>4037</v>
      </c>
      <c r="D1156" s="15">
        <v>42045.649236111109</v>
      </c>
      <c r="E1156" s="16" t="s">
        <v>16</v>
      </c>
      <c r="F1156" s="16" t="s">
        <v>16</v>
      </c>
      <c r="G1156" s="17" t="s">
        <v>880</v>
      </c>
      <c r="H1156" s="17" t="s">
        <v>1131</v>
      </c>
      <c r="I1156" s="13" t="s">
        <v>4038</v>
      </c>
      <c r="J1156" s="23" t="str">
        <f>HYPERLINK("CorLog\GHA\Kumasi RTO\20150210 GHA Kumasi RTO DC-31 DC-32 Comments from RDC (RDC-to-RDC).msg", "DC-31 DC-32 Comments from RDC")</f>
        <v>DC-31 DC-32 Comments from RDC</v>
      </c>
      <c r="K1156" s="25"/>
      <c r="L1156" s="19"/>
      <c r="M1156" s="20"/>
      <c r="N1156" s="21" t="s">
        <v>4039</v>
      </c>
    </row>
    <row r="1157" spans="1:14">
      <c r="A1157" s="12" t="s">
        <v>750</v>
      </c>
      <c r="B1157" s="13" t="s">
        <v>795</v>
      </c>
      <c r="C1157" s="14" t="s">
        <v>1646</v>
      </c>
      <c r="D1157" s="15">
        <v>42045.598171296297</v>
      </c>
      <c r="E1157" s="16" t="s">
        <v>16</v>
      </c>
      <c r="F1157" s="16" t="s">
        <v>16</v>
      </c>
      <c r="G1157" s="17" t="s">
        <v>790</v>
      </c>
      <c r="H1157" s="17" t="s">
        <v>1489</v>
      </c>
      <c r="I1157" s="13" t="s">
        <v>4040</v>
      </c>
      <c r="J1157" s="23" t="str">
        <f>HYPERLINK("CorLog\GHA\BEX\20150210 GHA BEX Mechanical Query - AHU Ducting (RDC-to-RDC).msg", "Mechanical Query - AHU Ducting")</f>
        <v>Mechanical Query - AHU Ducting</v>
      </c>
      <c r="K1157" s="25" t="s">
        <v>1499</v>
      </c>
      <c r="L1157" s="19"/>
      <c r="M1157" s="20"/>
      <c r="N1157" s="21" t="s">
        <v>4041</v>
      </c>
    </row>
    <row r="1158" spans="1:14">
      <c r="A1158" s="12" t="s">
        <v>750</v>
      </c>
      <c r="B1158" s="13" t="s">
        <v>2016</v>
      </c>
      <c r="C1158" s="14" t="s">
        <v>4042</v>
      </c>
      <c r="D1158" s="15">
        <v>42045.585925925923</v>
      </c>
      <c r="E1158" s="16" t="s">
        <v>16</v>
      </c>
      <c r="F1158" s="16" t="s">
        <v>16</v>
      </c>
      <c r="G1158" s="17" t="s">
        <v>880</v>
      </c>
      <c r="H1158" s="17" t="s">
        <v>1131</v>
      </c>
      <c r="I1158" s="13" t="s">
        <v>4038</v>
      </c>
      <c r="J1158" s="23" t="str">
        <f>HYPERLINK("CorLog\GHA\Kumasi RTO\20150210 GHA Kumasi RTO DC-31 DC-32 Comments from RDC (RDC-to-RDC).msg", "DC-31 DC-32 Comments from RDC")</f>
        <v>DC-31 DC-32 Comments from RDC</v>
      </c>
      <c r="K1158" s="25" t="s">
        <v>1369</v>
      </c>
      <c r="L1158" s="19"/>
      <c r="M1158" s="20"/>
      <c r="N1158" s="21" t="s">
        <v>4043</v>
      </c>
    </row>
    <row r="1159" spans="1:14">
      <c r="A1159" s="12" t="s">
        <v>750</v>
      </c>
      <c r="B1159" s="13" t="s">
        <v>842</v>
      </c>
      <c r="C1159" s="14" t="s">
        <v>4044</v>
      </c>
      <c r="D1159" s="15">
        <v>42045.450775462959</v>
      </c>
      <c r="E1159" s="16" t="s">
        <v>16</v>
      </c>
      <c r="F1159" s="16" t="s">
        <v>21</v>
      </c>
      <c r="G1159" s="17" t="s">
        <v>790</v>
      </c>
      <c r="H1159" s="17" t="s">
        <v>4045</v>
      </c>
      <c r="I1159" s="13" t="s">
        <v>4046</v>
      </c>
      <c r="J1159" s="23" t="str">
        <f>HYPERLINK("CorLog\GHA\BEX\20150210 GHA BEX Portland Cement Plaster additive (LIME not RHEOMIX) (RDC-to-GHA).msg", "Portland Cement Plaster additive (LIME not RHEOMIX)")</f>
        <v>Portland Cement Plaster additive (LIME not RHEOMIX)</v>
      </c>
      <c r="K1159" s="25" t="s">
        <v>4047</v>
      </c>
      <c r="L1159" s="19"/>
      <c r="M1159" s="20"/>
      <c r="N1159" s="21" t="s">
        <v>4048</v>
      </c>
    </row>
    <row r="1160" spans="1:14">
      <c r="A1160" s="12" t="s">
        <v>750</v>
      </c>
      <c r="B1160" s="13" t="s">
        <v>795</v>
      </c>
      <c r="C1160" s="14" t="s">
        <v>1646</v>
      </c>
      <c r="D1160" s="15">
        <v>42045.417361111111</v>
      </c>
      <c r="E1160" s="16" t="s">
        <v>16</v>
      </c>
      <c r="F1160" s="16" t="s">
        <v>16</v>
      </c>
      <c r="G1160" s="17" t="s">
        <v>790</v>
      </c>
      <c r="H1160" s="17" t="s">
        <v>1489</v>
      </c>
      <c r="I1160" s="13" t="s">
        <v>4049</v>
      </c>
      <c r="J1160" s="23" t="str">
        <f>HYPERLINK("CorLog\GHA\BEX\20150210 GHA BEX Order of filters for AHU (RDC-to-RDC).msg", "Order of filters for AHU")</f>
        <v>Order of filters for AHU</v>
      </c>
      <c r="K1160" s="25"/>
      <c r="L1160" s="19"/>
      <c r="M1160" s="20"/>
      <c r="N1160" s="21" t="s">
        <v>4050</v>
      </c>
    </row>
    <row r="1161" spans="1:14">
      <c r="A1161" s="12" t="s">
        <v>874</v>
      </c>
      <c r="B1161" s="13"/>
      <c r="C1161" s="14"/>
      <c r="D1161" s="15">
        <v>42045</v>
      </c>
      <c r="E1161" s="16" t="s">
        <v>25</v>
      </c>
      <c r="F1161" s="16" t="s">
        <v>30</v>
      </c>
      <c r="G1161" s="17" t="s">
        <v>719</v>
      </c>
      <c r="H1161" s="17" t="s">
        <v>4051</v>
      </c>
      <c r="I1161" s="13" t="s">
        <v>4052</v>
      </c>
      <c r="J1161" s="23" t="str">
        <f>HYPERLINK("CorLog\Reference\20150210 Reference Security at Construction Sites (WHQ-to-ALL).doc", "Security at Construction Sites")</f>
        <v>Security at Construction Sites</v>
      </c>
      <c r="K1161" s="23" t="str">
        <f>HYPERLINK("CorLog\Reference\20150210 Reference Security at Construction Sites (WHQ-to-ALL).zip", "Zipped")</f>
        <v>Zipped</v>
      </c>
      <c r="L1161" s="19"/>
      <c r="M1161" s="20"/>
      <c r="N1161" s="21" t="s">
        <v>4053</v>
      </c>
    </row>
    <row r="1162" spans="1:14">
      <c r="A1162" s="12" t="s">
        <v>874</v>
      </c>
      <c r="B1162" s="13"/>
      <c r="C1162" s="14"/>
      <c r="D1162" s="15">
        <v>42045</v>
      </c>
      <c r="E1162" s="16" t="s">
        <v>25</v>
      </c>
      <c r="F1162" s="16" t="s">
        <v>30</v>
      </c>
      <c r="G1162" s="17" t="s">
        <v>719</v>
      </c>
      <c r="H1162" s="17" t="s">
        <v>4051</v>
      </c>
      <c r="I1162" s="13" t="s">
        <v>4052</v>
      </c>
      <c r="J1162" s="23" t="str">
        <f>HYPERLINK("CorLog\Reference\20150210 Reference Security at Construction Sites (WHQ-to-ALL).doc", "Security at Construction Sites")</f>
        <v>Security at Construction Sites</v>
      </c>
      <c r="K1162" s="23"/>
      <c r="L1162" s="19"/>
      <c r="M1162" s="20"/>
      <c r="N1162" s="21" t="s">
        <v>4053</v>
      </c>
    </row>
    <row r="1163" spans="1:14">
      <c r="A1163" s="12" t="s">
        <v>750</v>
      </c>
      <c r="B1163" s="13" t="s">
        <v>718</v>
      </c>
      <c r="C1163" s="14"/>
      <c r="D1163" s="15">
        <v>42044.711180555554</v>
      </c>
      <c r="E1163" s="16" t="s">
        <v>16</v>
      </c>
      <c r="F1163" s="16" t="s">
        <v>16</v>
      </c>
      <c r="G1163" s="17" t="s">
        <v>823</v>
      </c>
      <c r="H1163" s="17" t="s">
        <v>829</v>
      </c>
      <c r="I1163" s="13" t="s">
        <v>4054</v>
      </c>
      <c r="J1163" s="23" t="str">
        <f>HYPERLINK("CorLog\GHA\LDC\20150209 GHA LDC Resolving NLBR 4710 for party tents (RDC-to-RDC).msg", "Resolving NLBR 4710 for party tents")</f>
        <v>Resolving NLBR 4710 for party tents</v>
      </c>
      <c r="K1163" s="25" t="s">
        <v>1243</v>
      </c>
      <c r="L1163" s="19"/>
      <c r="M1163" s="20"/>
      <c r="N1163" s="21" t="s">
        <v>4055</v>
      </c>
    </row>
    <row r="1164" spans="1:14">
      <c r="A1164" s="12" t="s">
        <v>750</v>
      </c>
      <c r="B1164" s="13" t="s">
        <v>1366</v>
      </c>
      <c r="C1164" s="14" t="s">
        <v>4056</v>
      </c>
      <c r="D1164" s="15">
        <v>42044.700196759259</v>
      </c>
      <c r="E1164" s="16" t="s">
        <v>16</v>
      </c>
      <c r="F1164" s="16" t="s">
        <v>16</v>
      </c>
      <c r="G1164" s="17" t="s">
        <v>838</v>
      </c>
      <c r="H1164" s="17" t="s">
        <v>4033</v>
      </c>
      <c r="I1164" s="13" t="s">
        <v>4057</v>
      </c>
      <c r="J1164" s="23" t="str">
        <f>HYPERLINK("CorLog\ZMB\Choma RTO\20150209 ZMB Choma RTO Issue AFC PDFs (RDC-to-RDC).msg", "Issue AFC PDFs")</f>
        <v>Issue AFC PDFs</v>
      </c>
      <c r="K1164" s="25"/>
      <c r="L1164" s="19"/>
      <c r="M1164" s="20"/>
      <c r="N1164" s="21" t="s">
        <v>4058</v>
      </c>
    </row>
    <row r="1165" spans="1:14">
      <c r="A1165" s="12" t="s">
        <v>750</v>
      </c>
      <c r="B1165" s="13" t="s">
        <v>916</v>
      </c>
      <c r="C1165" s="14" t="s">
        <v>3902</v>
      </c>
      <c r="D1165" s="15">
        <v>42044.680023148147</v>
      </c>
      <c r="E1165" s="16" t="s">
        <v>16</v>
      </c>
      <c r="F1165" s="16" t="s">
        <v>16</v>
      </c>
      <c r="G1165" s="17" t="s">
        <v>1932</v>
      </c>
      <c r="H1165" s="17" t="s">
        <v>1105</v>
      </c>
      <c r="I1165" s="13" t="s">
        <v>4059</v>
      </c>
      <c r="J1165" s="23" t="str">
        <f>HYPERLINK("CorLog\ZMB\Mwinilunga RTO\20150209 ZMB Mwinilunga RTO Zambia Mwinilunga RTO - Soil Analysis (RDC-to-RDC).msg", "Zambia Mwinilunga RTO - Soil Analysis")</f>
        <v>Zambia Mwinilunga RTO - Soil Analysis</v>
      </c>
      <c r="K1165" s="25" t="s">
        <v>1274</v>
      </c>
      <c r="L1165" s="19"/>
      <c r="M1165" s="20"/>
      <c r="N1165" s="21" t="s">
        <v>4060</v>
      </c>
    </row>
    <row r="1166" spans="1:14">
      <c r="A1166" s="12" t="s">
        <v>750</v>
      </c>
      <c r="B1166" s="13" t="s">
        <v>916</v>
      </c>
      <c r="C1166" s="14" t="s">
        <v>3902</v>
      </c>
      <c r="D1166" s="15">
        <v>42044.659618055557</v>
      </c>
      <c r="E1166" s="16" t="s">
        <v>16</v>
      </c>
      <c r="F1166" s="16" t="s">
        <v>16</v>
      </c>
      <c r="G1166" s="17" t="s">
        <v>2751</v>
      </c>
      <c r="H1166" s="17" t="s">
        <v>1105</v>
      </c>
      <c r="I1166" s="13" t="s">
        <v>4061</v>
      </c>
      <c r="J1166" s="23" t="str">
        <f>HYPERLINK("CorLog\ZMB\Kasempa RTO\20150209 ZMB Kasempa RTO Zambia Kasempa RTO - Soil Analysis (RDC-to-RDC).msg", "Zambia Kasempa RTO - Soil Analysis")</f>
        <v>Zambia Kasempa RTO - Soil Analysis</v>
      </c>
      <c r="K1166" s="25" t="s">
        <v>1270</v>
      </c>
      <c r="L1166" s="19"/>
      <c r="M1166" s="20"/>
      <c r="N1166" s="21" t="s">
        <v>4062</v>
      </c>
    </row>
    <row r="1167" spans="1:14">
      <c r="A1167" s="12" t="s">
        <v>750</v>
      </c>
      <c r="B1167" s="13" t="s">
        <v>827</v>
      </c>
      <c r="C1167" s="14" t="s">
        <v>1646</v>
      </c>
      <c r="D1167" s="15">
        <v>42044.506006944444</v>
      </c>
      <c r="E1167" s="16" t="s">
        <v>16</v>
      </c>
      <c r="F1167" s="16" t="s">
        <v>21</v>
      </c>
      <c r="G1167" s="17" t="s">
        <v>738</v>
      </c>
      <c r="H1167" s="17" t="s">
        <v>1105</v>
      </c>
      <c r="I1167" s="13" t="s">
        <v>4063</v>
      </c>
      <c r="J1167" s="23" t="str">
        <f>HYPERLINK("CorLog\GHA\BEX 2\20150209 GHA BEX 2 SOILS TESTS (RDC-to-GHA).msg", "SOILS TESTS")</f>
        <v>SOILS TESTS</v>
      </c>
      <c r="K1167" s="25" t="s">
        <v>1243</v>
      </c>
      <c r="L1167" s="19"/>
      <c r="M1167" s="20"/>
      <c r="N1167" s="21" t="s">
        <v>4064</v>
      </c>
    </row>
    <row r="1168" spans="1:14">
      <c r="A1168" s="12" t="s">
        <v>750</v>
      </c>
      <c r="B1168" s="13" t="s">
        <v>718</v>
      </c>
      <c r="C1168" s="14" t="s">
        <v>4065</v>
      </c>
      <c r="D1168" s="15">
        <v>42044.496863425928</v>
      </c>
      <c r="E1168" s="16" t="s">
        <v>16</v>
      </c>
      <c r="F1168" s="16" t="s">
        <v>16</v>
      </c>
      <c r="G1168" s="17" t="s">
        <v>738</v>
      </c>
      <c r="H1168" s="17" t="s">
        <v>4066</v>
      </c>
      <c r="I1168" s="13" t="s">
        <v>4067</v>
      </c>
      <c r="J1168" s="23" t="str">
        <f>HYPERLINK("CorLog\GHA\BEX 2\20150209 GHA BEX 2 STORM WATER CULVERT (RDC-to-RDC).msg", "STORM WATER CULVERT")</f>
        <v>STORM WATER CULVERT</v>
      </c>
      <c r="K1168" s="25" t="s">
        <v>4068</v>
      </c>
      <c r="L1168" s="19"/>
      <c r="M1168" s="20"/>
      <c r="N1168" s="21" t="s">
        <v>4069</v>
      </c>
    </row>
    <row r="1169" spans="1:14">
      <c r="A1169" s="12" t="s">
        <v>750</v>
      </c>
      <c r="B1169" s="13" t="s">
        <v>4070</v>
      </c>
      <c r="C1169" s="14" t="s">
        <v>4071</v>
      </c>
      <c r="D1169" s="15">
        <v>42044.390590277777</v>
      </c>
      <c r="E1169" s="16" t="s">
        <v>16</v>
      </c>
      <c r="F1169" s="16" t="s">
        <v>4072</v>
      </c>
      <c r="G1169" s="17" t="s">
        <v>738</v>
      </c>
      <c r="H1169" s="17" t="s">
        <v>4073</v>
      </c>
      <c r="I1169" s="13" t="s">
        <v>4074</v>
      </c>
      <c r="J1169" s="23" t="str">
        <f>HYPERLINK("CorLog\GHA\BEX 2\20150209 GHA BEX 2 WSP &amp; MRH Engineering (PDFs and DWGsSOILS TESTS) (RDC-to-MRH).msg", "WSP &amp; MRH Engineering (PDFs and DWGsSOILS TESTS)")</f>
        <v>WSP &amp; MRH Engineering (PDFs and DWGsSOILS TESTS)</v>
      </c>
      <c r="K1169" s="25" t="s">
        <v>1211</v>
      </c>
      <c r="L1169" s="19"/>
      <c r="M1169" s="20"/>
      <c r="N1169" s="21" t="s">
        <v>4075</v>
      </c>
    </row>
    <row r="1170" spans="1:14">
      <c r="A1170" s="12" t="s">
        <v>750</v>
      </c>
      <c r="B1170" s="13" t="s">
        <v>4076</v>
      </c>
      <c r="C1170" s="14" t="s">
        <v>4077</v>
      </c>
      <c r="D1170" s="15">
        <v>42044.389490740738</v>
      </c>
      <c r="E1170" s="16" t="s">
        <v>16</v>
      </c>
      <c r="F1170" s="16" t="s">
        <v>16</v>
      </c>
      <c r="G1170" s="17" t="s">
        <v>857</v>
      </c>
      <c r="H1170" s="17" t="s">
        <v>803</v>
      </c>
      <c r="I1170" s="13" t="s">
        <v>4078</v>
      </c>
      <c r="J1170" s="23" t="str">
        <f>HYPERLINK("CorLog\GHA\Kikam RTO\20150209 GHA Kikam RTO Coordination Corrections (RDC-to-RDC).msg", "Coordination Corrections")</f>
        <v>Coordination Corrections</v>
      </c>
      <c r="K1170" s="25"/>
      <c r="L1170" s="19"/>
      <c r="M1170" s="20"/>
      <c r="N1170" s="21" t="s">
        <v>4079</v>
      </c>
    </row>
    <row r="1171" spans="1:14">
      <c r="A1171" s="12" t="s">
        <v>972</v>
      </c>
      <c r="B1171" s="13" t="s">
        <v>718</v>
      </c>
      <c r="C1171" s="14" t="s">
        <v>4080</v>
      </c>
      <c r="D1171" s="15">
        <v>42043.376076388886</v>
      </c>
      <c r="E1171" s="16" t="s">
        <v>18</v>
      </c>
      <c r="F1171" s="16" t="s">
        <v>16</v>
      </c>
      <c r="G1171" s="17" t="s">
        <v>2751</v>
      </c>
      <c r="H1171" s="17" t="s">
        <v>1105</v>
      </c>
      <c r="I1171" s="13" t="s">
        <v>4081</v>
      </c>
      <c r="J1171" s="23" t="str">
        <f>HYPERLINK("CorLog\ZMB\Kasempa RTO\20150208 ZMB Kasempa RTO ZMB- Liquid Limit Tests-Kasempa-Mwinilunga (ZMB-to-RDC).msg", "ZMB- Liquid Limit Tests-Kasempa-Mwinilunga")</f>
        <v>ZMB- Liquid Limit Tests-Kasempa-Mwinilunga</v>
      </c>
      <c r="K1171" s="25" t="s">
        <v>1211</v>
      </c>
      <c r="L1171" s="19"/>
      <c r="M1171" s="20"/>
      <c r="N1171" s="21" t="s">
        <v>4082</v>
      </c>
    </row>
    <row r="1172" spans="1:14">
      <c r="A1172" s="12" t="s">
        <v>2740</v>
      </c>
      <c r="B1172" s="13"/>
      <c r="C1172" s="14"/>
      <c r="D1172" s="15">
        <v>42043</v>
      </c>
      <c r="E1172" s="16" t="s">
        <v>25</v>
      </c>
      <c r="F1172" s="16" t="s">
        <v>21</v>
      </c>
      <c r="G1172" s="17" t="s">
        <v>758</v>
      </c>
      <c r="H1172" s="17" t="s">
        <v>2029</v>
      </c>
      <c r="I1172" s="13" t="s">
        <v>4083</v>
      </c>
      <c r="J1172" s="23" t="str">
        <f>HYPERLINK("CorLog\GHA\Viepe RTO\20150208 GHA Viepe RTO DC-41 No 2 Ewe (USD 1,415,994) (WHQ-to-GHA).docx", "DC-41 No 2 Ewe (USD 1,415,994)")</f>
        <v>DC-41 No 2 Ewe (USD 1,415,994)</v>
      </c>
      <c r="K1172" s="23"/>
      <c r="L1172" s="19"/>
      <c r="M1172" s="20"/>
      <c r="N1172" s="21" t="s">
        <v>4084</v>
      </c>
    </row>
    <row r="1173" spans="1:14">
      <c r="A1173" s="12" t="s">
        <v>750</v>
      </c>
      <c r="B1173" s="13" t="s">
        <v>827</v>
      </c>
      <c r="C1173" s="14" t="s">
        <v>3821</v>
      </c>
      <c r="D1173" s="15">
        <v>42041.642488425925</v>
      </c>
      <c r="E1173" s="16" t="s">
        <v>16</v>
      </c>
      <c r="F1173" s="16" t="s">
        <v>21</v>
      </c>
      <c r="G1173" s="17" t="s">
        <v>790</v>
      </c>
      <c r="H1173" s="17" t="s">
        <v>2688</v>
      </c>
      <c r="I1173" s="13" t="s">
        <v>4085</v>
      </c>
      <c r="J1173" s="23" t="str">
        <f>HYPERLINK("CorLog\GHA\BEX\20150206 GHA BEX Utility layout Update &amp; Revised Dwgs (RDC-to-GHA).msg", "Utility layout Update &amp; Revised Dwgs")</f>
        <v>Utility layout Update &amp; Revised Dwgs</v>
      </c>
      <c r="K1173" s="25" t="s">
        <v>1274</v>
      </c>
      <c r="L1173" s="19"/>
      <c r="M1173" s="20"/>
      <c r="N1173" s="21" t="s">
        <v>4086</v>
      </c>
    </row>
    <row r="1174" spans="1:14">
      <c r="A1174" s="12" t="s">
        <v>750</v>
      </c>
      <c r="B1174" s="13" t="s">
        <v>1818</v>
      </c>
      <c r="C1174" s="14" t="s">
        <v>718</v>
      </c>
      <c r="D1174" s="15">
        <v>42041.628923611112</v>
      </c>
      <c r="E1174" s="16" t="s">
        <v>16</v>
      </c>
      <c r="F1174" s="16" t="s">
        <v>16</v>
      </c>
      <c r="G1174" s="17" t="s">
        <v>790</v>
      </c>
      <c r="H1174" s="17" t="s">
        <v>947</v>
      </c>
      <c r="I1174" s="13" t="s">
        <v>4087</v>
      </c>
      <c r="J1174" s="23" t="str">
        <f>HYPERLINK("CorLog\GHA\BEX\20150206 GHA BEX Utility layout update (informal) (RDC-to-RDC).msg", "Utility layout update (informal)")</f>
        <v>Utility layout update (informal)</v>
      </c>
      <c r="K1174" s="25"/>
      <c r="L1174" s="19"/>
      <c r="M1174" s="20"/>
      <c r="N1174" s="21" t="s">
        <v>4088</v>
      </c>
    </row>
    <row r="1175" spans="1:14">
      <c r="A1175" s="12" t="s">
        <v>750</v>
      </c>
      <c r="B1175" s="13" t="s">
        <v>1529</v>
      </c>
      <c r="C1175" s="14" t="s">
        <v>4089</v>
      </c>
      <c r="D1175" s="15">
        <v>42041.619756944441</v>
      </c>
      <c r="E1175" s="16" t="s">
        <v>16</v>
      </c>
      <c r="F1175" s="16" t="s">
        <v>18</v>
      </c>
      <c r="G1175" s="17" t="s">
        <v>946</v>
      </c>
      <c r="H1175" s="17" t="s">
        <v>4090</v>
      </c>
      <c r="I1175" s="13" t="s">
        <v>4091</v>
      </c>
      <c r="J1175" s="23" t="str">
        <f>HYPERLINK("CorLog\ZMB\Mongu RTO\20150206 ZMB Mongu RTO DCP Test Under Manhole @ elevation change 15 02 06 (RDC-to-ZMB).msg", "DCP Test Under Manhole @ elevation change 15 02 06")</f>
        <v>DCP Test Under Manhole @ elevation change 15 02 06</v>
      </c>
      <c r="K1175" s="25"/>
      <c r="L1175" s="19"/>
      <c r="M1175" s="20"/>
      <c r="N1175" s="21" t="s">
        <v>4092</v>
      </c>
    </row>
    <row r="1176" spans="1:14">
      <c r="A1176" s="12" t="s">
        <v>750</v>
      </c>
      <c r="B1176" s="13" t="s">
        <v>821</v>
      </c>
      <c r="C1176" s="14" t="s">
        <v>4093</v>
      </c>
      <c r="D1176" s="15">
        <v>42041.494675925926</v>
      </c>
      <c r="E1176" s="16" t="s">
        <v>16</v>
      </c>
      <c r="F1176" s="16" t="s">
        <v>21</v>
      </c>
      <c r="G1176" s="17" t="s">
        <v>880</v>
      </c>
      <c r="H1176" s="17" t="s">
        <v>1015</v>
      </c>
      <c r="I1176" s="13" t="s">
        <v>3773</v>
      </c>
      <c r="J1176" s="23" t="str">
        <f>HYPERLINK("CorLog\GHA\Kumasi RTO\20150206 GHA Kumasi RTO Procedure- Purchase of Property (for Twi RTO) (RDC-to-GHA).msg", "Procedure- Purchase of Property (for Twi RTO)")</f>
        <v>Procedure- Purchase of Property (for Twi RTO)</v>
      </c>
      <c r="K1176" s="25"/>
      <c r="L1176" s="19"/>
      <c r="M1176" s="20"/>
      <c r="N1176" s="21" t="s">
        <v>4094</v>
      </c>
    </row>
    <row r="1177" spans="1:14">
      <c r="A1177" s="12" t="s">
        <v>806</v>
      </c>
      <c r="B1177" s="13" t="s">
        <v>4095</v>
      </c>
      <c r="C1177" s="14" t="s">
        <v>4096</v>
      </c>
      <c r="D1177" s="15">
        <v>42041.36173611111</v>
      </c>
      <c r="E1177" s="16" t="s">
        <v>15</v>
      </c>
      <c r="F1177" s="16" t="s">
        <v>21</v>
      </c>
      <c r="G1177" s="17" t="s">
        <v>823</v>
      </c>
      <c r="H1177" s="17" t="s">
        <v>829</v>
      </c>
      <c r="I1177" s="13" t="s">
        <v>4097</v>
      </c>
      <c r="J1177" s="23" t="str">
        <f>HYPERLINK("CorLog\GHA\LDC\20150206 GHA LDC Ghana - GHA-4697 Construction material ($7,851 56) (ZAF-to-).msg", "Ghana - GHA-4697 Construction material ($7,851 56)")</f>
        <v>Ghana - GHA-4697 Construction material ($7,851 56)</v>
      </c>
      <c r="K1177" s="25" t="s">
        <v>1211</v>
      </c>
      <c r="L1177" s="19"/>
      <c r="M1177" s="20"/>
      <c r="N1177" s="21" t="s">
        <v>4098</v>
      </c>
    </row>
    <row r="1178" spans="1:14">
      <c r="A1178" s="12" t="s">
        <v>750</v>
      </c>
      <c r="B1178" s="13" t="s">
        <v>1451</v>
      </c>
      <c r="C1178" s="14" t="s">
        <v>4037</v>
      </c>
      <c r="D1178" s="15">
        <v>42040.613738425927</v>
      </c>
      <c r="E1178" s="16" t="s">
        <v>16</v>
      </c>
      <c r="F1178" s="16" t="s">
        <v>952</v>
      </c>
      <c r="G1178" s="17" t="s">
        <v>738</v>
      </c>
      <c r="H1178" s="17" t="s">
        <v>3314</v>
      </c>
      <c r="I1178" s="13" t="s">
        <v>4099</v>
      </c>
      <c r="J1178" s="23" t="str">
        <f>HYPERLINK("CorLog\GHA\BEX 2\20150205 GHA BEX 2 Meeting with WSP 2015-02-05 (MINUTES) (RDC-to-WSP).msg", "Meeting with WSP 2015-02-05 (MINUTES)")</f>
        <v>Meeting with WSP 2015-02-05 (MINUTES)</v>
      </c>
      <c r="K1178" s="25"/>
      <c r="L1178" s="19"/>
      <c r="M1178" s="20"/>
      <c r="N1178" s="21" t="s">
        <v>4100</v>
      </c>
    </row>
    <row r="1179" spans="1:14">
      <c r="A1179" s="12" t="s">
        <v>717</v>
      </c>
      <c r="B1179" s="13" t="s">
        <v>1969</v>
      </c>
      <c r="C1179" s="14" t="s">
        <v>4101</v>
      </c>
      <c r="D1179" s="15">
        <v>42040.60396990741</v>
      </c>
      <c r="E1179" s="16" t="s">
        <v>16</v>
      </c>
      <c r="F1179" s="16" t="s">
        <v>22</v>
      </c>
      <c r="G1179" s="17" t="s">
        <v>2627</v>
      </c>
      <c r="H1179" s="17" t="s">
        <v>886</v>
      </c>
      <c r="I1179" s="13" t="s">
        <v>4102</v>
      </c>
      <c r="J1179" s="23" t="str">
        <f>HYPERLINK("CorLog\COD\Kamina RTO\20150205 COD Kamina RTO Query AVR bypass utility building (RDC-to-COD).msg", "Query AVR bypass utility building")</f>
        <v>Query AVR bypass utility building</v>
      </c>
      <c r="K1179" s="25" t="s">
        <v>1270</v>
      </c>
      <c r="L1179" s="19"/>
      <c r="M1179" s="20"/>
      <c r="N1179" s="21" t="s">
        <v>4103</v>
      </c>
    </row>
    <row r="1180" spans="1:14">
      <c r="A1180" s="12" t="s">
        <v>724</v>
      </c>
      <c r="B1180" s="13" t="s">
        <v>837</v>
      </c>
      <c r="C1180" s="14" t="s">
        <v>4104</v>
      </c>
      <c r="D1180" s="15">
        <v>42040.468287037038</v>
      </c>
      <c r="E1180" s="16" t="s">
        <v>16</v>
      </c>
      <c r="F1180" s="16" t="s">
        <v>18</v>
      </c>
      <c r="G1180" s="17" t="s">
        <v>838</v>
      </c>
      <c r="H1180" s="17" t="s">
        <v>2713</v>
      </c>
      <c r="I1180" s="13" t="s">
        <v>4105</v>
      </c>
      <c r="J1180" s="23" t="str">
        <f>HYPERLINK("CorLog\ZMB\Choma RTO\20150205 ZMB Choma RTO Brick force option (RDC-to-ZMB).msg", "Brick force option")</f>
        <v>Brick force option</v>
      </c>
      <c r="K1180" s="25" t="s">
        <v>1211</v>
      </c>
      <c r="L1180" s="19"/>
      <c r="M1180" s="20"/>
      <c r="N1180" s="21" t="s">
        <v>4106</v>
      </c>
    </row>
    <row r="1181" spans="1:14">
      <c r="A1181" s="12" t="s">
        <v>749</v>
      </c>
      <c r="B1181" s="13" t="s">
        <v>4107</v>
      </c>
      <c r="C1181" s="14" t="s">
        <v>4108</v>
      </c>
      <c r="D1181" s="15">
        <v>42040.449641203704</v>
      </c>
      <c r="E1181" s="16" t="s">
        <v>16</v>
      </c>
      <c r="F1181" s="16" t="s">
        <v>26</v>
      </c>
      <c r="G1181" s="17" t="s">
        <v>30</v>
      </c>
      <c r="H1181" s="17" t="s">
        <v>1544</v>
      </c>
      <c r="I1181" s="13" t="s">
        <v>4109</v>
      </c>
      <c r="J1181" s="23" t="str">
        <f>HYPERLINK("CorLog\ALL\20150205 ALL 20150205 SAF LPD Salto Quotation (RDC-to-GBR).msg", "20150205 SAF LPD Salto Quotation")</f>
        <v>20150205 SAF LPD Salto Quotation</v>
      </c>
      <c r="K1181" s="25" t="s">
        <v>3933</v>
      </c>
      <c r="L1181" s="19"/>
      <c r="M1181" s="20"/>
      <c r="N1181" s="21" t="s">
        <v>4110</v>
      </c>
    </row>
    <row r="1182" spans="1:14">
      <c r="A1182" s="12" t="s">
        <v>1176</v>
      </c>
      <c r="B1182" s="13" t="s">
        <v>750</v>
      </c>
      <c r="C1182" s="14" t="s">
        <v>4111</v>
      </c>
      <c r="D1182" s="15">
        <v>42040.355740740742</v>
      </c>
      <c r="E1182" s="16" t="s">
        <v>16</v>
      </c>
      <c r="F1182" s="16" t="s">
        <v>16</v>
      </c>
      <c r="G1182" s="17" t="s">
        <v>885</v>
      </c>
      <c r="H1182" s="17" t="s">
        <v>1562</v>
      </c>
      <c r="I1182" s="13" t="s">
        <v>4112</v>
      </c>
      <c r="J1182" s="23" t="str">
        <f>HYPERLINK("CorLog\ZMB\Kabompo RTO\20150205 ZMB Kabompo RTO office building Fall arrest system 20140112 (RDC-to-RDC).msg", "office building Fall arrest system 20140112")</f>
        <v>office building Fall arrest system 20140112</v>
      </c>
      <c r="K1182" s="25" t="s">
        <v>1243</v>
      </c>
      <c r="L1182" s="19"/>
      <c r="M1182" s="20"/>
      <c r="N1182" s="21" t="s">
        <v>4113</v>
      </c>
    </row>
    <row r="1183" spans="1:14">
      <c r="A1183" s="12" t="s">
        <v>1454</v>
      </c>
      <c r="B1183" s="13"/>
      <c r="C1183" s="14"/>
      <c r="D1183" s="15">
        <v>42040</v>
      </c>
      <c r="E1183" s="16" t="s">
        <v>15</v>
      </c>
      <c r="F1183" s="16" t="s">
        <v>22</v>
      </c>
      <c r="G1183" s="17" t="s">
        <v>785</v>
      </c>
      <c r="H1183" s="17" t="s">
        <v>4033</v>
      </c>
      <c r="I1183" s="13" t="s">
        <v>4034</v>
      </c>
      <c r="J1183" s="23" t="str">
        <f>HYPERLINK("CorLog\COD\Lubumbashi RTO\20150205 COD Lubumbashi RTO AFC Package Release (ZAF-to-COD).docx", "AFC Package Release")</f>
        <v>AFC Package Release</v>
      </c>
      <c r="K1183" s="23"/>
      <c r="L1183" s="19"/>
      <c r="M1183" s="20"/>
      <c r="N1183" s="21" t="s">
        <v>4114</v>
      </c>
    </row>
    <row r="1184" spans="1:14">
      <c r="A1184" s="12" t="s">
        <v>4115</v>
      </c>
      <c r="B1184" s="13"/>
      <c r="C1184" s="14"/>
      <c r="D1184" s="15">
        <v>42040</v>
      </c>
      <c r="E1184" s="16" t="s">
        <v>15</v>
      </c>
      <c r="F1184" s="16" t="s">
        <v>21</v>
      </c>
      <c r="G1184" s="17" t="s">
        <v>30</v>
      </c>
      <c r="H1184" s="17" t="s">
        <v>2573</v>
      </c>
      <c r="I1184" s="13" t="s">
        <v>4116</v>
      </c>
      <c r="J1184" s="23" t="str">
        <f>HYPERLINK("CorLog\ALL\20150205 ALL COTC in Nigeria 2015, Attendees (ZAF-to-GHA).docx", "COTC in Nigeria 2015, Attendees")</f>
        <v>COTC in Nigeria 2015, Attendees</v>
      </c>
      <c r="K1184" s="23"/>
      <c r="L1184" s="19"/>
      <c r="M1184" s="20"/>
      <c r="N1184" s="21" t="s">
        <v>4117</v>
      </c>
    </row>
    <row r="1185" spans="1:14">
      <c r="A1185" s="12" t="s">
        <v>1969</v>
      </c>
      <c r="B1185" s="13" t="s">
        <v>717</v>
      </c>
      <c r="C1185" s="14" t="s">
        <v>4118</v>
      </c>
      <c r="D1185" s="15">
        <v>42039.842673611114</v>
      </c>
      <c r="E1185" s="16" t="s">
        <v>22</v>
      </c>
      <c r="F1185" s="16" t="s">
        <v>16</v>
      </c>
      <c r="G1185" s="17" t="s">
        <v>2627</v>
      </c>
      <c r="H1185" s="17" t="s">
        <v>886</v>
      </c>
      <c r="I1185" s="13" t="s">
        <v>4119</v>
      </c>
      <c r="J1185" s="23" t="str">
        <f>HYPERLINK("CorLog\COD\Kamina RTO\20150204 COD Kamina RTO Question about data system (COD-to-RDC).msg", "Question about data system")</f>
        <v>Question about data system</v>
      </c>
      <c r="K1185" s="25"/>
      <c r="L1185" s="19"/>
      <c r="M1185" s="20"/>
      <c r="N1185" s="21" t="s">
        <v>4120</v>
      </c>
    </row>
    <row r="1186" spans="1:14">
      <c r="A1186" s="12" t="s">
        <v>4121</v>
      </c>
      <c r="B1186" s="13" t="s">
        <v>718</v>
      </c>
      <c r="C1186" s="14" t="s">
        <v>749</v>
      </c>
      <c r="D1186" s="15">
        <v>42039.567152777781</v>
      </c>
      <c r="E1186" s="16" t="s">
        <v>27</v>
      </c>
      <c r="F1186" s="16" t="s">
        <v>16</v>
      </c>
      <c r="G1186" s="17" t="s">
        <v>4122</v>
      </c>
      <c r="H1186" s="17" t="s">
        <v>961</v>
      </c>
      <c r="I1186" s="13" t="s">
        <v>4123</v>
      </c>
      <c r="J1186" s="18" t="str">
        <f>HYPERLINK("CorLog\KEN\Branch\20150204 KEN Branch Door survey for Access Control (KEN-to-RDC).msg", "Door survey for Access Control")</f>
        <v>Door survey for Access Control</v>
      </c>
      <c r="K1186" s="24"/>
      <c r="L1186" s="19"/>
      <c r="M1186" s="20"/>
      <c r="N1186" s="21" t="s">
        <v>4124</v>
      </c>
    </row>
    <row r="1187" spans="1:14">
      <c r="A1187" s="12" t="s">
        <v>4125</v>
      </c>
      <c r="B1187" s="13"/>
      <c r="C1187" s="14"/>
      <c r="D1187" s="15">
        <v>42039</v>
      </c>
      <c r="E1187" s="16" t="s">
        <v>16</v>
      </c>
      <c r="F1187" s="16" t="s">
        <v>17</v>
      </c>
      <c r="G1187" s="17" t="s">
        <v>30</v>
      </c>
      <c r="H1187" s="17" t="s">
        <v>4126</v>
      </c>
      <c r="I1187" s="13" t="s">
        <v>4127</v>
      </c>
      <c r="J1187" s="23" t="str">
        <f>HYPERLINK("CorLog\ALL\20150204 ALL Bents trip to USA itinerary USAZAFbol01 (RDC-to-WDC).docx", "Bents trip to USA itinerary USAZAFbol01")</f>
        <v>Bents trip to USA itinerary USAZAFbol01</v>
      </c>
      <c r="K1187" s="23"/>
      <c r="L1187" s="19"/>
      <c r="M1187" s="20"/>
      <c r="N1187" s="21"/>
    </row>
    <row r="1188" spans="1:14">
      <c r="A1188" s="12" t="s">
        <v>2740</v>
      </c>
      <c r="B1188" s="13"/>
      <c r="C1188" s="14"/>
      <c r="D1188" s="15">
        <v>42039</v>
      </c>
      <c r="E1188" s="16" t="s">
        <v>25</v>
      </c>
      <c r="F1188" s="16" t="s">
        <v>18</v>
      </c>
      <c r="G1188" s="17" t="s">
        <v>838</v>
      </c>
      <c r="H1188" s="17" t="s">
        <v>2029</v>
      </c>
      <c r="I1188" s="13" t="s">
        <v>4128</v>
      </c>
      <c r="J1188" s="23" t="str">
        <f>HYPERLINK("CorLog\ZMB\Choma RTO\20150204 ZMB Choma RTO DC-41 No 2 (USD 1,208,965) (WHQ-to-ZMB).docx", "DC-41 No 2 (USD 1,208,965)")</f>
        <v>DC-41 No 2 (USD 1,208,965)</v>
      </c>
      <c r="K1188" s="23"/>
      <c r="L1188" s="19"/>
      <c r="M1188" s="20"/>
      <c r="N1188" s="21" t="s">
        <v>4129</v>
      </c>
    </row>
    <row r="1189" spans="1:14">
      <c r="A1189" s="12" t="s">
        <v>1337</v>
      </c>
      <c r="B1189" s="13" t="s">
        <v>750</v>
      </c>
      <c r="C1189" s="14" t="s">
        <v>3548</v>
      </c>
      <c r="D1189" s="15">
        <v>42038.740787037037</v>
      </c>
      <c r="E1189" s="16" t="s">
        <v>18</v>
      </c>
      <c r="F1189" s="16" t="s">
        <v>16</v>
      </c>
      <c r="G1189" s="17" t="s">
        <v>885</v>
      </c>
      <c r="H1189" s="17" t="s">
        <v>1565</v>
      </c>
      <c r="I1189" s="13" t="s">
        <v>4130</v>
      </c>
      <c r="J1189" s="23" t="str">
        <f>HYPERLINK("CorLog\ZMB\Kabompo RTO\20150203 ZMB Kabompo RTO ZMB Kabompo Mitek Truss Queries of 2015-02-03 (ZMB-to-RDC).msg", "ZMB Kabompo Mitek Truss Queries of 2015-02-03")</f>
        <v>ZMB Kabompo Mitek Truss Queries of 2015-02-03</v>
      </c>
      <c r="K1189" s="25" t="s">
        <v>1211</v>
      </c>
      <c r="L1189" s="19"/>
      <c r="M1189" s="20"/>
      <c r="N1189" s="21" t="s">
        <v>4131</v>
      </c>
    </row>
    <row r="1190" spans="1:14">
      <c r="A1190" s="12" t="s">
        <v>1818</v>
      </c>
      <c r="B1190" s="13" t="s">
        <v>718</v>
      </c>
      <c r="C1190" s="14"/>
      <c r="D1190" s="15">
        <v>42038.682858796295</v>
      </c>
      <c r="E1190" s="16" t="s">
        <v>16</v>
      </c>
      <c r="F1190" s="16" t="s">
        <v>16</v>
      </c>
      <c r="G1190" s="17" t="s">
        <v>790</v>
      </c>
      <c r="H1190" s="17" t="s">
        <v>2688</v>
      </c>
      <c r="I1190" s="13" t="s">
        <v>4132</v>
      </c>
      <c r="J1190" s="23" t="str">
        <f>HYPERLINK("CorLog\GHA\BEX\20150203 GHA BEX Proposed utility layout for new buildings (RDC-to-RDC).msg", "Proposed utility layout for new buildings")</f>
        <v>Proposed utility layout for new buildings</v>
      </c>
      <c r="K1190" s="25" t="s">
        <v>1274</v>
      </c>
      <c r="L1190" s="19"/>
      <c r="M1190" s="20"/>
      <c r="N1190" s="21" t="s">
        <v>4133</v>
      </c>
    </row>
    <row r="1191" spans="1:14">
      <c r="A1191" s="12" t="s">
        <v>757</v>
      </c>
      <c r="B1191" s="13" t="s">
        <v>718</v>
      </c>
      <c r="C1191" s="14" t="s">
        <v>1757</v>
      </c>
      <c r="D1191" s="15">
        <v>42038.473692129628</v>
      </c>
      <c r="E1191" s="16" t="s">
        <v>21</v>
      </c>
      <c r="F1191" s="16" t="s">
        <v>16</v>
      </c>
      <c r="G1191" s="17" t="s">
        <v>758</v>
      </c>
      <c r="H1191" s="17" t="s">
        <v>1707</v>
      </c>
      <c r="I1191" s="13" t="s">
        <v>4134</v>
      </c>
      <c r="J1191" s="23" t="str">
        <f>HYPERLINK("CorLog\GHA\Viepe RTO\20150203 GHA Viepe RTO Recording Studio Size for Viepe RTO (GHA-to-RDC).msg", "Recording Studio Size for Viepe RTO")</f>
        <v>Recording Studio Size for Viepe RTO</v>
      </c>
      <c r="K1191" s="25"/>
      <c r="L1191" s="19"/>
      <c r="M1191" s="20"/>
      <c r="N1191" s="21" t="s">
        <v>4135</v>
      </c>
    </row>
    <row r="1192" spans="1:14">
      <c r="A1192" s="12" t="s">
        <v>795</v>
      </c>
      <c r="B1192" s="13" t="s">
        <v>750</v>
      </c>
      <c r="C1192" s="14" t="s">
        <v>4136</v>
      </c>
      <c r="D1192" s="15">
        <v>42038.428043981483</v>
      </c>
      <c r="E1192" s="16" t="s">
        <v>16</v>
      </c>
      <c r="F1192" s="16" t="s">
        <v>16</v>
      </c>
      <c r="G1192" s="17" t="s">
        <v>790</v>
      </c>
      <c r="H1192" s="17" t="s">
        <v>886</v>
      </c>
      <c r="I1192" s="13" t="s">
        <v>4137</v>
      </c>
      <c r="J1192" s="23" t="str">
        <f>HYPERLINK("CorLog\GHA\BEX\20150203 GHA BEX Electrical query- Water Treatment Bldg Connecting the Plant (RDC-to-RDC).msg", "Electrical query- Water Treatment Bldg Connecting the Plant")</f>
        <v>Electrical query- Water Treatment Bldg Connecting the Plant</v>
      </c>
      <c r="K1192" s="25" t="s">
        <v>1211</v>
      </c>
      <c r="L1192" s="19"/>
      <c r="M1192" s="20"/>
      <c r="N1192" s="21" t="s">
        <v>4138</v>
      </c>
    </row>
    <row r="1193" spans="1:14">
      <c r="A1193" s="12" t="s">
        <v>795</v>
      </c>
      <c r="B1193" s="13" t="s">
        <v>3067</v>
      </c>
      <c r="C1193" s="14" t="s">
        <v>4139</v>
      </c>
      <c r="D1193" s="15">
        <v>42038.401238425926</v>
      </c>
      <c r="E1193" s="16" t="s">
        <v>16</v>
      </c>
      <c r="F1193" s="16" t="s">
        <v>18</v>
      </c>
      <c r="G1193" s="17" t="s">
        <v>946</v>
      </c>
      <c r="H1193" s="17" t="s">
        <v>1489</v>
      </c>
      <c r="I1193" s="13" t="s">
        <v>4140</v>
      </c>
      <c r="J1193" s="23" t="str">
        <f>HYPERLINK("CorLog\ZMB\Mongu RTO\20150203 ZMB Mongu RTO Expansion loops in PPR Pipe (RDC-to-ZMB).msg", "Expansion loops in PPR Pipe")</f>
        <v>Expansion loops in PPR Pipe</v>
      </c>
      <c r="K1193" s="25" t="s">
        <v>1243</v>
      </c>
      <c r="L1193" s="19"/>
      <c r="M1193" s="20"/>
      <c r="N1193" s="21" t="s">
        <v>4141</v>
      </c>
    </row>
    <row r="1194" spans="1:14">
      <c r="A1194" s="12" t="s">
        <v>723</v>
      </c>
      <c r="B1194" s="13" t="s">
        <v>718</v>
      </c>
      <c r="C1194" s="14"/>
      <c r="D1194" s="15">
        <v>42037.623483796298</v>
      </c>
      <c r="E1194" s="16" t="s">
        <v>16</v>
      </c>
      <c r="F1194" s="16" t="s">
        <v>16</v>
      </c>
      <c r="G1194" s="17" t="s">
        <v>790</v>
      </c>
      <c r="H1194" s="17" t="s">
        <v>4142</v>
      </c>
      <c r="I1194" s="13" t="s">
        <v>4143</v>
      </c>
      <c r="J1194" s="23" t="str">
        <f>HYPERLINK("CorLog\GHA\BEX\20150202 GHA BEX AO-6 -1 Culvert Original Estimate (2015-02-02 14-54) xlsx (RDC-to-RDC).msg", "AO-6 -1 Culvert Original Estimate (2015-02-02 14-54) xlsx")</f>
        <v>AO-6 -1 Culvert Original Estimate (2015-02-02 14-54) xlsx</v>
      </c>
      <c r="K1194" s="25" t="s">
        <v>1211</v>
      </c>
      <c r="L1194" s="19"/>
      <c r="M1194" s="20"/>
      <c r="N1194" s="21" t="s">
        <v>4144</v>
      </c>
    </row>
    <row r="1195" spans="1:14">
      <c r="A1195" s="12" t="s">
        <v>750</v>
      </c>
      <c r="B1195" s="13" t="s">
        <v>4145</v>
      </c>
      <c r="C1195" s="14" t="s">
        <v>2156</v>
      </c>
      <c r="D1195" s="15">
        <v>42037.618923611109</v>
      </c>
      <c r="E1195" s="16" t="s">
        <v>16</v>
      </c>
      <c r="F1195" s="16" t="s">
        <v>15</v>
      </c>
      <c r="G1195" s="17" t="s">
        <v>1470</v>
      </c>
      <c r="H1195" s="17" t="s">
        <v>4146</v>
      </c>
      <c r="I1195" s="13" t="s">
        <v>4147</v>
      </c>
      <c r="J1195" s="23" t="str">
        <f>HYPERLINK("CorLog\GHA\RTO Projects\20150202 GHA RTO Projects Translation Services - Location for Ahanta and Fante Teams (RDC-to-ZAF).msg", "Translation Services - Location for Ahanta and Fante Teams")</f>
        <v>Translation Services - Location for Ahanta and Fante Teams</v>
      </c>
      <c r="K1195" s="25" t="s">
        <v>1243</v>
      </c>
      <c r="L1195" s="19"/>
      <c r="M1195" s="20"/>
      <c r="N1195" s="21" t="s">
        <v>4148</v>
      </c>
    </row>
    <row r="1196" spans="1:14">
      <c r="A1196" s="12" t="s">
        <v>1818</v>
      </c>
      <c r="B1196" s="13" t="s">
        <v>827</v>
      </c>
      <c r="C1196" s="14" t="s">
        <v>1245</v>
      </c>
      <c r="D1196" s="15">
        <v>42037.583310185182</v>
      </c>
      <c r="E1196" s="16" t="s">
        <v>16</v>
      </c>
      <c r="F1196" s="16" t="s">
        <v>21</v>
      </c>
      <c r="G1196" s="17" t="s">
        <v>790</v>
      </c>
      <c r="H1196" s="17" t="s">
        <v>947</v>
      </c>
      <c r="I1196" s="13" t="s">
        <v>4149</v>
      </c>
      <c r="J1196" s="23" t="str">
        <f>HYPERLINK("CorLog\GHA\BEX\20150202 GHA BEX GHA-04 Utilities routing (UPDATED additional comment on routing) (RDC-to-GHA).msg", "GHA-04 Utilities routing (UPDATED additional comment on routing)")</f>
        <v>GHA-04 Utilities routing (UPDATED additional comment on routing)</v>
      </c>
      <c r="K1196" s="25" t="s">
        <v>1569</v>
      </c>
      <c r="L1196" s="19"/>
      <c r="M1196" s="20"/>
      <c r="N1196" s="21" t="s">
        <v>4150</v>
      </c>
    </row>
    <row r="1197" spans="1:14">
      <c r="A1197" s="12" t="s">
        <v>750</v>
      </c>
      <c r="B1197" s="13" t="s">
        <v>1529</v>
      </c>
      <c r="C1197" s="14" t="s">
        <v>4151</v>
      </c>
      <c r="D1197" s="15">
        <v>42037.579189814816</v>
      </c>
      <c r="E1197" s="16" t="s">
        <v>16</v>
      </c>
      <c r="F1197" s="16" t="s">
        <v>18</v>
      </c>
      <c r="G1197" s="17" t="s">
        <v>946</v>
      </c>
      <c r="H1197" s="17" t="s">
        <v>4152</v>
      </c>
      <c r="I1197" s="13" t="s">
        <v>4153</v>
      </c>
      <c r="J1197" s="23" t="str">
        <f>HYPERLINK("CorLog\ZMB\Mongu RTO\20150202 ZMB Mongu RTO Grease trap - Backfill &amp; Interior Protective Coating Query (RDC-to-ZMB).msg", "Grease trap - Backfill &amp; Interior Protective Coating Query")</f>
        <v>Grease trap - Backfill &amp; Interior Protective Coating Query</v>
      </c>
      <c r="K1197" s="25" t="s">
        <v>1211</v>
      </c>
      <c r="L1197" s="19"/>
      <c r="M1197" s="20"/>
      <c r="N1197" s="21" t="s">
        <v>4154</v>
      </c>
    </row>
    <row r="1198" spans="1:14">
      <c r="A1198" s="12" t="s">
        <v>750</v>
      </c>
      <c r="B1198" s="13" t="s">
        <v>1761</v>
      </c>
      <c r="C1198" s="14"/>
      <c r="D1198" s="15">
        <v>42037.48400462963</v>
      </c>
      <c r="E1198" s="16" t="s">
        <v>16</v>
      </c>
      <c r="F1198" s="16" t="s">
        <v>16</v>
      </c>
      <c r="G1198" s="17" t="s">
        <v>719</v>
      </c>
      <c r="H1198" s="17" t="s">
        <v>719</v>
      </c>
      <c r="I1198" s="13" t="s">
        <v>4155</v>
      </c>
      <c r="J1198" s="23" t="str">
        <f>HYPERLINK("CorLog\Reference\20150202 Reference H-Drive, K-Drive; Timesheets - Revised Naming Convention (Feb 2015) (RDC-to-RDC).msg", "H-Drive, K-Drive; Timesheets - Revised Naming Convention (Feb 2015)")</f>
        <v>H-Drive, K-Drive; Timesheets - Revised Naming Convention (Feb 2015)</v>
      </c>
      <c r="K1198" s="25" t="s">
        <v>1243</v>
      </c>
      <c r="L1198" s="19"/>
      <c r="M1198" s="20"/>
      <c r="N1198" s="21" t="s">
        <v>4156</v>
      </c>
    </row>
    <row r="1199" spans="1:14">
      <c r="A1199" s="12" t="s">
        <v>4157</v>
      </c>
      <c r="B1199" s="13"/>
      <c r="C1199" s="14"/>
      <c r="D1199" s="15">
        <v>42037</v>
      </c>
      <c r="E1199" s="16" t="s">
        <v>25</v>
      </c>
      <c r="F1199" s="16" t="s">
        <v>21</v>
      </c>
      <c r="G1199" s="17" t="s">
        <v>30</v>
      </c>
      <c r="H1199" s="17" t="s">
        <v>4158</v>
      </c>
      <c r="I1199" s="13" t="s">
        <v>4159</v>
      </c>
      <c r="J1199" s="23" t="str">
        <f>HYPERLINK("CorLog\ALL\20150202 ALL Local Purchasing Department Meeting Minutes (WHQ-to-GHA).docx", "Local Purchasing Department Meeting Minutes")</f>
        <v>Local Purchasing Department Meeting Minutes</v>
      </c>
      <c r="K1199" s="23" t="str">
        <f>HYPERLINK("CorLog\ALL\20150202 ALL Local Purchasing Department Meeting Minutes (WHQ-to-GHA).zip", "Zipped")</f>
        <v>Zipped</v>
      </c>
      <c r="L1199" s="19"/>
      <c r="M1199" s="20"/>
      <c r="N1199" s="21" t="s">
        <v>4160</v>
      </c>
    </row>
    <row r="1200" spans="1:14">
      <c r="A1200" s="12" t="s">
        <v>874</v>
      </c>
      <c r="B1200" s="13"/>
      <c r="C1200" s="14"/>
      <c r="D1200" s="15">
        <v>42037</v>
      </c>
      <c r="E1200" s="16" t="s">
        <v>25</v>
      </c>
      <c r="F1200" s="16" t="s">
        <v>30</v>
      </c>
      <c r="G1200" s="17" t="s">
        <v>719</v>
      </c>
      <c r="H1200" s="17" t="s">
        <v>4161</v>
      </c>
      <c r="I1200" s="13" t="s">
        <v>4162</v>
      </c>
      <c r="J1200" s="23" t="str">
        <f>HYPERLINK("CorLog\Reference\20150202 Reference Protecting Branch-Owned Property (WHQ-to-ALL).doc", "Protecting Branch-Owned Property")</f>
        <v>Protecting Branch-Owned Property</v>
      </c>
      <c r="K1200" s="23"/>
      <c r="L1200" s="19"/>
      <c r="M1200" s="20"/>
      <c r="N1200" s="21" t="s">
        <v>4163</v>
      </c>
    </row>
    <row r="1201" spans="1:14">
      <c r="A1201" s="12" t="s">
        <v>874</v>
      </c>
      <c r="B1201" s="13"/>
      <c r="C1201" s="14"/>
      <c r="D1201" s="15">
        <v>42037</v>
      </c>
      <c r="E1201" s="16" t="s">
        <v>25</v>
      </c>
      <c r="F1201" s="16" t="s">
        <v>30</v>
      </c>
      <c r="G1201" s="17" t="s">
        <v>979</v>
      </c>
      <c r="H1201" s="17" t="s">
        <v>759</v>
      </c>
      <c r="I1201" s="13" t="s">
        <v>4164</v>
      </c>
      <c r="J1201" s="23" t="str">
        <f>HYPERLINK("CorLog\RTO\Projects\20150202 RTO Projects Remote Translation Office Design Guidelines (WHQ-to-ALL).doc", "Remote Translation Office Design Guidelines")</f>
        <v>Remote Translation Office Design Guidelines</v>
      </c>
      <c r="K1201" s="23" t="str">
        <f>HYPERLINK("CorLog\RTO\Projects\20150202 RTO Projects Remote Translation Office Design Guidelines (WHQ-to-ALL).zip", "Zipped")</f>
        <v>Zipped</v>
      </c>
      <c r="L1201" s="19"/>
      <c r="M1201" s="20"/>
      <c r="N1201" s="21" t="s">
        <v>4165</v>
      </c>
    </row>
    <row r="1202" spans="1:14">
      <c r="A1202" s="12" t="s">
        <v>795</v>
      </c>
      <c r="B1202" s="13" t="s">
        <v>718</v>
      </c>
      <c r="C1202" s="14"/>
      <c r="D1202" s="15">
        <v>42036.806064814817</v>
      </c>
      <c r="E1202" s="16" t="s">
        <v>16</v>
      </c>
      <c r="F1202" s="16" t="s">
        <v>16</v>
      </c>
      <c r="G1202" s="17" t="s">
        <v>738</v>
      </c>
      <c r="H1202" s="17" t="s">
        <v>2843</v>
      </c>
      <c r="I1202" s="13" t="s">
        <v>4166</v>
      </c>
      <c r="J1202" s="23" t="str">
        <f>HYPERLINK("CorLog\GHA\BEX 2\20150201 GHA BEX 2 Ghana Daikin installer research (RDC-to-RDC).msg", "Ghana Daikin installer research")</f>
        <v>Ghana Daikin installer research</v>
      </c>
      <c r="K1202" s="25" t="s">
        <v>1211</v>
      </c>
      <c r="L1202" s="19"/>
      <c r="M1202" s="20"/>
      <c r="N1202" s="21" t="s">
        <v>4167</v>
      </c>
    </row>
    <row r="1203" spans="1:14">
      <c r="A1203" s="12" t="s">
        <v>750</v>
      </c>
      <c r="B1203" s="13" t="s">
        <v>723</v>
      </c>
      <c r="C1203" s="14" t="s">
        <v>4168</v>
      </c>
      <c r="D1203" s="15">
        <v>42034.788171296299</v>
      </c>
      <c r="E1203" s="16" t="s">
        <v>16</v>
      </c>
      <c r="F1203" s="16" t="s">
        <v>16</v>
      </c>
      <c r="G1203" s="17" t="s">
        <v>719</v>
      </c>
      <c r="H1203" s="17" t="s">
        <v>4169</v>
      </c>
      <c r="I1203" s="13" t="s">
        <v>4170</v>
      </c>
      <c r="J1203" s="23" t="str">
        <f>HYPERLINK("CorLog\Reference\20150130 Reference Support Costs Associated with Property Search and Investigation (RDC-to-RDC).msg", "Support Costs Associated with Property Search and Investigation")</f>
        <v>Support Costs Associated with Property Search and Investigation</v>
      </c>
      <c r="K1203" s="25" t="s">
        <v>1211</v>
      </c>
      <c r="L1203" s="19"/>
      <c r="M1203" s="20"/>
      <c r="N1203" s="21" t="s">
        <v>4171</v>
      </c>
    </row>
    <row r="1204" spans="1:14">
      <c r="A1204" s="12" t="s">
        <v>750</v>
      </c>
      <c r="B1204" s="13" t="s">
        <v>827</v>
      </c>
      <c r="C1204" s="14" t="s">
        <v>718</v>
      </c>
      <c r="D1204" s="15">
        <v>42034.679745370369</v>
      </c>
      <c r="E1204" s="16" t="s">
        <v>16</v>
      </c>
      <c r="F1204" s="16" t="s">
        <v>21</v>
      </c>
      <c r="G1204" s="17" t="s">
        <v>790</v>
      </c>
      <c r="H1204" s="17" t="s">
        <v>829</v>
      </c>
      <c r="I1204" s="13" t="s">
        <v>4172</v>
      </c>
      <c r="J1204" s="23" t="str">
        <f>HYPERLINK("CorLog\GHA\BEX\20150130 GHA BEX NLBR 4539 - Request Air freight Items (RDC-to-GHA).msg", "NLBR 4539 - Request Air freight Items")</f>
        <v>NLBR 4539 - Request Air freight Items</v>
      </c>
      <c r="K1204" s="25"/>
      <c r="L1204" s="19" t="s">
        <v>3083</v>
      </c>
      <c r="M1204" s="20"/>
      <c r="N1204" s="21" t="s">
        <v>4173</v>
      </c>
    </row>
    <row r="1205" spans="1:14">
      <c r="A1205" s="12" t="s">
        <v>1160</v>
      </c>
      <c r="B1205" s="13" t="s">
        <v>750</v>
      </c>
      <c r="C1205" s="14" t="s">
        <v>4174</v>
      </c>
      <c r="D1205" s="15">
        <v>42034.466898148145</v>
      </c>
      <c r="E1205" s="16" t="s">
        <v>20</v>
      </c>
      <c r="F1205" s="16" t="s">
        <v>16</v>
      </c>
      <c r="G1205" s="17" t="s">
        <v>979</v>
      </c>
      <c r="H1205" s="17" t="s">
        <v>759</v>
      </c>
      <c r="I1205" s="13" t="s">
        <v>4175</v>
      </c>
      <c r="J1205" s="23" t="str">
        <f>HYPERLINK("CorLog\RTO\Projects\20150130 RTO Projects RTO Re-design &amp; simplification Kick Off (MINUTES) (MOZ-to-RDC).msg", "RTO Re-design &amp; simplification Kick Off (MINUTES)")</f>
        <v>RTO Re-design &amp; simplification Kick Off (MINUTES)</v>
      </c>
      <c r="K1205" s="25" t="s">
        <v>1211</v>
      </c>
      <c r="L1205" s="19"/>
      <c r="M1205" s="20"/>
      <c r="N1205" s="21" t="s">
        <v>4176</v>
      </c>
    </row>
    <row r="1206" spans="1:14">
      <c r="A1206" s="12" t="s">
        <v>750</v>
      </c>
      <c r="B1206" s="13" t="s">
        <v>972</v>
      </c>
      <c r="C1206" s="14" t="s">
        <v>4177</v>
      </c>
      <c r="D1206" s="15">
        <v>42034.376168981478</v>
      </c>
      <c r="E1206" s="16" t="s">
        <v>16</v>
      </c>
      <c r="F1206" s="16" t="s">
        <v>18</v>
      </c>
      <c r="G1206" s="17" t="s">
        <v>2133</v>
      </c>
      <c r="H1206" s="17" t="s">
        <v>1000</v>
      </c>
      <c r="I1206" s="13" t="s">
        <v>4178</v>
      </c>
      <c r="J1206" s="23" t="str">
        <f>HYPERLINK("CorLog\ZMB\Kasama RTO\20150130 ZMB Kasama RTO ZMB-Pursuing RTO Options in Kasama (Cibemba) (RDC-to-ZMB).msg", "ZMB-Pursuing RTO Options in Kasama (Cibemba)")</f>
        <v>ZMB-Pursuing RTO Options in Kasama (Cibemba)</v>
      </c>
      <c r="K1206" s="25" t="s">
        <v>1243</v>
      </c>
      <c r="L1206" s="19"/>
      <c r="M1206" s="20"/>
      <c r="N1206" s="21" t="s">
        <v>4179</v>
      </c>
    </row>
    <row r="1207" spans="1:14">
      <c r="A1207" s="12" t="s">
        <v>1337</v>
      </c>
      <c r="B1207" s="13" t="s">
        <v>750</v>
      </c>
      <c r="C1207" s="14" t="s">
        <v>4180</v>
      </c>
      <c r="D1207" s="15">
        <v>42034.364918981482</v>
      </c>
      <c r="E1207" s="16" t="s">
        <v>18</v>
      </c>
      <c r="F1207" s="16" t="s">
        <v>16</v>
      </c>
      <c r="G1207" s="17" t="s">
        <v>885</v>
      </c>
      <c r="H1207" s="17" t="s">
        <v>1367</v>
      </c>
      <c r="I1207" s="13" t="s">
        <v>4181</v>
      </c>
      <c r="J1207" s="23" t="str">
        <f>HYPERLINK("CorLog\ZMB\Kabompo RTO\20150130 ZMB Kabompo RTO Sika Products QUERIES - REPLY (ZMB-to-RDC).msg", "Sika Products QUERIES - REPLY")</f>
        <v>Sika Products QUERIES - REPLY</v>
      </c>
      <c r="K1207" s="25"/>
      <c r="L1207" s="19"/>
      <c r="M1207" s="20"/>
      <c r="N1207" s="21" t="s">
        <v>4182</v>
      </c>
    </row>
    <row r="1208" spans="1:14">
      <c r="A1208" s="12" t="s">
        <v>972</v>
      </c>
      <c r="B1208" s="13" t="s">
        <v>718</v>
      </c>
      <c r="C1208" s="14" t="s">
        <v>1304</v>
      </c>
      <c r="D1208" s="15">
        <v>42034.335127314815</v>
      </c>
      <c r="E1208" s="16" t="s">
        <v>18</v>
      </c>
      <c r="F1208" s="16" t="s">
        <v>16</v>
      </c>
      <c r="G1208" s="17" t="s">
        <v>2133</v>
      </c>
      <c r="H1208" s="17" t="s">
        <v>1015</v>
      </c>
      <c r="I1208" s="13" t="s">
        <v>4183</v>
      </c>
      <c r="J1208" s="23" t="str">
        <f>HYPERLINK("CorLog\ZMB\Kasama RTO\20150130 ZMB Kasama RTO ZMB-Pursuing RTO Options in Kasama (ZMB-to-RDC).msg", "ZMB-Pursuing RTO Options in Kasama")</f>
        <v>ZMB-Pursuing RTO Options in Kasama</v>
      </c>
      <c r="K1208" s="25"/>
      <c r="L1208" s="19"/>
      <c r="M1208" s="20"/>
      <c r="N1208" s="21" t="s">
        <v>4184</v>
      </c>
    </row>
    <row r="1209" spans="1:14">
      <c r="A1209" s="12" t="s">
        <v>4185</v>
      </c>
      <c r="B1209" s="13"/>
      <c r="C1209" s="14"/>
      <c r="D1209" s="15">
        <v>42034</v>
      </c>
      <c r="E1209" s="16" t="s">
        <v>25</v>
      </c>
      <c r="F1209" s="16" t="s">
        <v>30</v>
      </c>
      <c r="G1209" s="17" t="s">
        <v>30</v>
      </c>
      <c r="H1209" s="17" t="s">
        <v>871</v>
      </c>
      <c r="I1209" s="13" t="s">
        <v>4186</v>
      </c>
      <c r="J1209" s="23" t="str">
        <f>HYPERLINK("CorLog\ALL\20150130 ALL Periodic Reviews of jw org Supplier Arrangements (WHQ-to-ALL).docx", "Periodic Reviews of jw org Supplier Arrangements")</f>
        <v>Periodic Reviews of jw org Supplier Arrangements</v>
      </c>
      <c r="K1209" s="23"/>
      <c r="L1209" s="19"/>
      <c r="M1209" s="20"/>
      <c r="N1209" s="21" t="s">
        <v>4187</v>
      </c>
    </row>
    <row r="1210" spans="1:14">
      <c r="A1210" s="12" t="s">
        <v>1233</v>
      </c>
      <c r="B1210" s="13"/>
      <c r="C1210" s="14"/>
      <c r="D1210" s="15">
        <v>42034</v>
      </c>
      <c r="E1210" s="16" t="s">
        <v>25</v>
      </c>
      <c r="F1210" s="16" t="s">
        <v>15</v>
      </c>
      <c r="G1210" s="17" t="s">
        <v>719</v>
      </c>
      <c r="H1210" s="17" t="s">
        <v>4188</v>
      </c>
      <c r="I1210" s="13" t="s">
        <v>4170</v>
      </c>
      <c r="J1210" s="23" t="str">
        <f>HYPERLINK("CorLog\Reference\20150130 Reference Support Costs Associated with Property Search and Investigation (WHQ-to-ZAF).docx", "Support Costs Associated with Property Search and Investigation")</f>
        <v>Support Costs Associated with Property Search and Investigation</v>
      </c>
      <c r="K1210" s="23"/>
      <c r="L1210" s="19"/>
      <c r="M1210" s="20"/>
      <c r="N1210" s="21" t="s">
        <v>4189</v>
      </c>
    </row>
    <row r="1211" spans="1:14">
      <c r="A1211" s="12" t="s">
        <v>874</v>
      </c>
      <c r="B1211" s="13"/>
      <c r="C1211" s="14"/>
      <c r="D1211" s="15">
        <v>42034</v>
      </c>
      <c r="E1211" s="16" t="s">
        <v>25</v>
      </c>
      <c r="F1211" s="16" t="s">
        <v>30</v>
      </c>
      <c r="G1211" s="17" t="s">
        <v>28</v>
      </c>
      <c r="H1211" s="17" t="s">
        <v>4190</v>
      </c>
      <c r="I1211" s="13" t="s">
        <v>4191</v>
      </c>
      <c r="J1211" s="23" t="str">
        <f>HYPERLINK("CorLog\LDC\20150130 LDC Video Equipment in Kingdom Halls (WHQ-to-ALL).doc", "Video Equipment in Kingdom Halls")</f>
        <v>Video Equipment in Kingdom Halls</v>
      </c>
      <c r="K1211" s="23"/>
      <c r="L1211" s="19"/>
      <c r="M1211" s="20"/>
      <c r="N1211" s="21" t="s">
        <v>4192</v>
      </c>
    </row>
    <row r="1212" spans="1:14">
      <c r="A1212" s="12" t="s">
        <v>717</v>
      </c>
      <c r="B1212" s="13" t="s">
        <v>718</v>
      </c>
      <c r="C1212" s="14"/>
      <c r="D1212" s="15">
        <v>42033.741689814815</v>
      </c>
      <c r="E1212" s="16" t="s">
        <v>16</v>
      </c>
      <c r="F1212" s="16" t="s">
        <v>16</v>
      </c>
      <c r="G1212" s="17" t="s">
        <v>1662</v>
      </c>
      <c r="H1212" s="17" t="s">
        <v>1015</v>
      </c>
      <c r="I1212" s="13" t="s">
        <v>4193</v>
      </c>
      <c r="J1212" s="23" t="str">
        <f>HYPERLINK("CorLog\MDG\Toliara RTO\20150129 MDG Toliara RTO Update on property search (RDC-to-RDC).msg", "Update on property search")</f>
        <v>Update on property search</v>
      </c>
      <c r="K1212" s="25"/>
      <c r="L1212" s="19"/>
      <c r="M1212" s="20"/>
      <c r="N1212" s="21" t="s">
        <v>4194</v>
      </c>
    </row>
    <row r="1213" spans="1:14">
      <c r="A1213" s="12" t="s">
        <v>723</v>
      </c>
      <c r="B1213" s="13" t="s">
        <v>718</v>
      </c>
      <c r="C1213" s="14"/>
      <c r="D1213" s="15">
        <v>42033.532222222224</v>
      </c>
      <c r="E1213" s="16" t="s">
        <v>16</v>
      </c>
      <c r="F1213" s="16" t="s">
        <v>16</v>
      </c>
      <c r="G1213" s="17" t="s">
        <v>946</v>
      </c>
      <c r="H1213" s="17" t="s">
        <v>867</v>
      </c>
      <c r="I1213" s="13" t="s">
        <v>4195</v>
      </c>
      <c r="J1213" s="23" t="str">
        <f>HYPERLINK("CorLog\ZMB\Mongu RTO\20150129 ZMB Mongu RTO Copy of Mongu Actual and Committed USD xls (RDC-to-RDC).msg", "Copy of Mongu Actual and Committed USD xls")</f>
        <v>Copy of Mongu Actual and Committed USD xls</v>
      </c>
      <c r="K1213" s="25" t="s">
        <v>1211</v>
      </c>
      <c r="L1213" s="19"/>
      <c r="M1213" s="20"/>
      <c r="N1213" s="21" t="s">
        <v>4196</v>
      </c>
    </row>
    <row r="1214" spans="1:14">
      <c r="A1214" s="12" t="s">
        <v>750</v>
      </c>
      <c r="B1214" s="13" t="s">
        <v>3215</v>
      </c>
      <c r="C1214" s="14" t="s">
        <v>4197</v>
      </c>
      <c r="D1214" s="15">
        <v>42033.35496527778</v>
      </c>
      <c r="E1214" s="16" t="s">
        <v>16</v>
      </c>
      <c r="F1214" s="16" t="s">
        <v>21</v>
      </c>
      <c r="G1214" s="17" t="s">
        <v>738</v>
      </c>
      <c r="H1214" s="17" t="s">
        <v>1846</v>
      </c>
      <c r="I1214" s="13" t="s">
        <v>4198</v>
      </c>
      <c r="J1214" s="23" t="str">
        <f>HYPERLINK("CorLog\GHA\BEX 2\20150129 GHA BEX 2 Space for Translation and Residence Room Design (RDC-to-GHA).msg", "Space for Translation and Residence Room Design")</f>
        <v>Space for Translation and Residence Room Design</v>
      </c>
      <c r="K1214" s="25"/>
      <c r="L1214" s="19"/>
      <c r="M1214" s="20"/>
      <c r="N1214" s="21" t="s">
        <v>4199</v>
      </c>
    </row>
    <row r="1215" spans="1:14">
      <c r="A1215" s="12" t="s">
        <v>750</v>
      </c>
      <c r="B1215" s="13" t="s">
        <v>1818</v>
      </c>
      <c r="C1215" s="14" t="s">
        <v>718</v>
      </c>
      <c r="D1215" s="15">
        <v>42032.705729166664</v>
      </c>
      <c r="E1215" s="16" t="s">
        <v>16</v>
      </c>
      <c r="F1215" s="16" t="s">
        <v>16</v>
      </c>
      <c r="G1215" s="17" t="s">
        <v>885</v>
      </c>
      <c r="H1215" s="17" t="s">
        <v>947</v>
      </c>
      <c r="I1215" s="13" t="s">
        <v>4200</v>
      </c>
      <c r="J1215" s="23" t="str">
        <f>HYPERLINK("CorLog\ZMB\Kabompo RTO\20150128 ZMB Kabompo RTO Grease Trap (BjS Replies) (RDC-to-RDC).msg", "Grease Trap (BjS Replies)")</f>
        <v>Grease Trap (BjS Replies)</v>
      </c>
      <c r="K1215" s="25"/>
      <c r="L1215" s="19"/>
      <c r="M1215" s="20"/>
      <c r="N1215" s="21" t="s">
        <v>4201</v>
      </c>
    </row>
    <row r="1216" spans="1:14">
      <c r="A1216" s="12" t="s">
        <v>2673</v>
      </c>
      <c r="B1216" s="13" t="s">
        <v>718</v>
      </c>
      <c r="C1216" s="14" t="s">
        <v>723</v>
      </c>
      <c r="D1216" s="15">
        <v>42032.571655092594</v>
      </c>
      <c r="E1216" s="16" t="s">
        <v>16</v>
      </c>
      <c r="F1216" s="16" t="s">
        <v>16</v>
      </c>
      <c r="G1216" s="17" t="s">
        <v>738</v>
      </c>
      <c r="H1216" s="17" t="s">
        <v>3892</v>
      </c>
      <c r="I1216" s="13" t="s">
        <v>4202</v>
      </c>
      <c r="J1216" s="23" t="str">
        <f>HYPERLINK("CorLog\GHA\BEX 2\20150128 GHA BEX 2 Grass Culvert - January 2015 xlsx (RDC-to-RDC).msg", "Grass Culvert - January 2015 xlsx")</f>
        <v>Grass Culvert - January 2015 xlsx</v>
      </c>
      <c r="K1216" s="25" t="s">
        <v>1274</v>
      </c>
      <c r="L1216" s="19"/>
      <c r="M1216" s="20"/>
      <c r="N1216" s="21" t="s">
        <v>4203</v>
      </c>
    </row>
    <row r="1217" spans="1:14">
      <c r="A1217" s="12" t="s">
        <v>1454</v>
      </c>
      <c r="B1217" s="13"/>
      <c r="C1217" s="14"/>
      <c r="D1217" s="15">
        <v>42032</v>
      </c>
      <c r="E1217" s="16" t="s">
        <v>15</v>
      </c>
      <c r="F1217" s="16" t="s">
        <v>22</v>
      </c>
      <c r="G1217" s="17" t="s">
        <v>1169</v>
      </c>
      <c r="H1217" s="17" t="s">
        <v>4033</v>
      </c>
      <c r="I1217" s="13" t="s">
        <v>4034</v>
      </c>
      <c r="J1217" s="23" t="str">
        <f>HYPERLINK("CorLog\COD\Kikwit RTO\20150128 COD Kikwit RTO AFC Package Release (ZAF-to-COD).docx", "AFC Package Release")</f>
        <v>AFC Package Release</v>
      </c>
      <c r="K1217" s="25"/>
      <c r="L1217" s="19"/>
      <c r="M1217" s="20"/>
      <c r="N1217" s="21" t="s">
        <v>4204</v>
      </c>
    </row>
    <row r="1218" spans="1:14">
      <c r="A1218" s="12" t="s">
        <v>806</v>
      </c>
      <c r="B1218" s="13" t="s">
        <v>724</v>
      </c>
      <c r="C1218" s="14" t="s">
        <v>4205</v>
      </c>
      <c r="D1218" s="15">
        <v>42031.413958333331</v>
      </c>
      <c r="E1218" s="16" t="s">
        <v>15</v>
      </c>
      <c r="F1218" s="16" t="s">
        <v>16</v>
      </c>
      <c r="G1218" s="17" t="s">
        <v>823</v>
      </c>
      <c r="H1218" s="17" t="s">
        <v>829</v>
      </c>
      <c r="I1218" s="13" t="s">
        <v>4206</v>
      </c>
      <c r="J1218" s="23" t="str">
        <f>HYPERLINK("CorLog\GHA\LDC\20150127 GHA LDC RDC review of NLBR GHA-4710--Party tents, TVs (ZAF-to-RDC).msg", "RDC review of NLBR GHA-4710--Party tents, TVs")</f>
        <v>RDC review of NLBR GHA-4710--Party tents, TVs</v>
      </c>
      <c r="K1218" s="25" t="s">
        <v>1211</v>
      </c>
      <c r="L1218" s="19"/>
      <c r="M1218" s="20"/>
      <c r="N1218" s="21" t="s">
        <v>4207</v>
      </c>
    </row>
    <row r="1219" spans="1:14">
      <c r="A1219" s="12" t="s">
        <v>2417</v>
      </c>
      <c r="B1219" s="13"/>
      <c r="C1219" s="14"/>
      <c r="D1219" s="15">
        <v>42031</v>
      </c>
      <c r="E1219" s="16" t="s">
        <v>15</v>
      </c>
      <c r="F1219" s="16" t="s">
        <v>18</v>
      </c>
      <c r="G1219" s="17" t="s">
        <v>838</v>
      </c>
      <c r="H1219" s="17" t="s">
        <v>731</v>
      </c>
      <c r="I1219" s="13" t="s">
        <v>4208</v>
      </c>
      <c r="J1219" s="23" t="str">
        <f>HYPERLINK("CorLog\ZMB\Choma RTO\20150127 ZMB Choma RTO DC-41 -2 Funding Request (ZAF-to-ZMB).docx", "DC-41 -2 Funding Request")</f>
        <v>DC-41 -2 Funding Request</v>
      </c>
      <c r="K1219" s="23"/>
      <c r="L1219" s="19"/>
      <c r="M1219" s="20"/>
      <c r="N1219" s="21" t="s">
        <v>4209</v>
      </c>
    </row>
    <row r="1220" spans="1:14">
      <c r="A1220" s="12" t="s">
        <v>964</v>
      </c>
      <c r="B1220" s="13" t="s">
        <v>750</v>
      </c>
      <c r="C1220" s="14"/>
      <c r="D1220" s="15">
        <v>42030.608101851853</v>
      </c>
      <c r="E1220" s="16" t="s">
        <v>16</v>
      </c>
      <c r="F1220" s="16" t="s">
        <v>16</v>
      </c>
      <c r="G1220" s="17" t="s">
        <v>979</v>
      </c>
      <c r="H1220" s="17" t="s">
        <v>4210</v>
      </c>
      <c r="I1220" s="13" t="s">
        <v>4211</v>
      </c>
      <c r="J1220" s="23" t="str">
        <f>HYPERLINK("CorLog\RTO\Projects\20150126 RTO Projects ERG - Perimeter lights for RTO, branches (RDC-to-RDC).msg", "ERG - Perimeter lights for RTO, branches")</f>
        <v>ERG - Perimeter lights for RTO, branches</v>
      </c>
      <c r="K1220" s="25" t="s">
        <v>1211</v>
      </c>
      <c r="L1220" s="19"/>
      <c r="M1220" s="20"/>
      <c r="N1220" s="21" t="s">
        <v>4212</v>
      </c>
    </row>
    <row r="1221" spans="1:14">
      <c r="A1221" s="12" t="s">
        <v>1537</v>
      </c>
      <c r="B1221" s="13"/>
      <c r="C1221" s="14"/>
      <c r="D1221" s="15">
        <v>42030</v>
      </c>
      <c r="E1221" s="16" t="s">
        <v>25</v>
      </c>
      <c r="F1221" s="16" t="s">
        <v>30</v>
      </c>
      <c r="G1221" s="17" t="s">
        <v>28</v>
      </c>
      <c r="H1221" s="17" t="s">
        <v>2333</v>
      </c>
      <c r="I1221" s="13" t="s">
        <v>4213</v>
      </c>
      <c r="J1221" s="23" t="str">
        <f>HYPERLINK("CorLog\LDC\20150126 LDC Render Assistance to LDC Departments (WHQ-to-ALL).docx", "Render Assistance to LDC Departments")</f>
        <v>Render Assistance to LDC Departments</v>
      </c>
      <c r="K1221" s="23"/>
      <c r="L1221" s="19"/>
      <c r="M1221" s="20"/>
      <c r="N1221" s="21" t="s">
        <v>4214</v>
      </c>
    </row>
    <row r="1222" spans="1:14">
      <c r="A1222" s="12" t="s">
        <v>1537</v>
      </c>
      <c r="B1222" s="13"/>
      <c r="C1222" s="14"/>
      <c r="D1222" s="15">
        <v>42030</v>
      </c>
      <c r="E1222" s="16" t="s">
        <v>25</v>
      </c>
      <c r="F1222" s="16" t="s">
        <v>30</v>
      </c>
      <c r="G1222" s="17" t="s">
        <v>28</v>
      </c>
      <c r="H1222" s="17" t="s">
        <v>1549</v>
      </c>
      <c r="I1222" s="13" t="s">
        <v>4215</v>
      </c>
      <c r="J1222" s="23" t="str">
        <f>HYPERLINK("CorLog\LDC\20150126 LDC Accelerating Kingdom Hall Construction (WHQ-to-ALL).docx", "Accelerating Kingdom Hall Construction")</f>
        <v>Accelerating Kingdom Hall Construction</v>
      </c>
      <c r="K1222" s="23"/>
      <c r="L1222" s="19"/>
      <c r="M1222" s="20"/>
      <c r="N1222" s="21" t="s">
        <v>4216</v>
      </c>
    </row>
    <row r="1223" spans="1:14">
      <c r="A1223" s="12" t="s">
        <v>771</v>
      </c>
      <c r="B1223" s="13" t="s">
        <v>717</v>
      </c>
      <c r="C1223" s="14" t="s">
        <v>4217</v>
      </c>
      <c r="D1223" s="15">
        <v>42027.990347222221</v>
      </c>
      <c r="E1223" s="16" t="s">
        <v>17</v>
      </c>
      <c r="F1223" s="16" t="s">
        <v>16</v>
      </c>
      <c r="G1223" s="17" t="s">
        <v>913</v>
      </c>
      <c r="H1223" s="17" t="s">
        <v>1707</v>
      </c>
      <c r="I1223" s="13" t="s">
        <v>4218</v>
      </c>
      <c r="J1223" s="23" t="str">
        <f>HYPERLINK("CorLog\COD\Branch\20150123 COD Branch Choral studio needs (WDC-to-RDC).msg", "Choral studio needs")</f>
        <v>Choral studio needs</v>
      </c>
      <c r="K1223" s="25" t="s">
        <v>1243</v>
      </c>
      <c r="L1223" s="19"/>
      <c r="M1223" s="20"/>
      <c r="N1223" s="21" t="s">
        <v>4219</v>
      </c>
    </row>
    <row r="1224" spans="1:14">
      <c r="A1224" s="12" t="s">
        <v>1187</v>
      </c>
      <c r="B1224" s="13" t="s">
        <v>750</v>
      </c>
      <c r="C1224" s="14" t="s">
        <v>4220</v>
      </c>
      <c r="D1224" s="15">
        <v>42027.666701388887</v>
      </c>
      <c r="E1224" s="16" t="s">
        <v>15</v>
      </c>
      <c r="F1224" s="16" t="s">
        <v>16</v>
      </c>
      <c r="G1224" s="17" t="s">
        <v>738</v>
      </c>
      <c r="H1224" s="17" t="s">
        <v>2512</v>
      </c>
      <c r="I1224" s="13" t="s">
        <v>4221</v>
      </c>
      <c r="J1224" s="23" t="str">
        <f>HYPERLINK("CorLog\GHA\BEX 2\20150123 GHA BEX 2 WSP TOPO Survey - MID FEB; Accom ; 50% up-front (ZAF-to-RDC).msg", "WSP TOPO Survey - MID FEB; Accom ; 50% up-front")</f>
        <v>WSP TOPO Survey - MID FEB; Accom ; 50% up-front</v>
      </c>
      <c r="K1224" s="25"/>
      <c r="L1224" s="19"/>
      <c r="M1224" s="20"/>
      <c r="N1224" s="21" t="s">
        <v>4222</v>
      </c>
    </row>
    <row r="1225" spans="1:14">
      <c r="A1225" s="12" t="s">
        <v>1418</v>
      </c>
      <c r="B1225" s="13" t="s">
        <v>1969</v>
      </c>
      <c r="C1225" s="14" t="s">
        <v>3729</v>
      </c>
      <c r="D1225" s="15">
        <v>42027.659537037034</v>
      </c>
      <c r="E1225" s="16" t="s">
        <v>16</v>
      </c>
      <c r="F1225" s="16" t="s">
        <v>22</v>
      </c>
      <c r="G1225" s="17" t="s">
        <v>2627</v>
      </c>
      <c r="H1225" s="17" t="s">
        <v>886</v>
      </c>
      <c r="I1225" s="13" t="s">
        <v>4223</v>
      </c>
      <c r="J1225" s="23" t="str">
        <f>HYPERLINK("CorLog\COD\Kamina RTO\20150123 COD Kamina RTO Quotation for 200kVA transformer (RDC-to-COD).msg", "Quotation for 200kVA transformer")</f>
        <v>Quotation for 200kVA transformer</v>
      </c>
      <c r="K1225" s="25" t="s">
        <v>1211</v>
      </c>
      <c r="L1225" s="19"/>
      <c r="M1225" s="20"/>
      <c r="N1225" s="21" t="s">
        <v>4224</v>
      </c>
    </row>
    <row r="1226" spans="1:14">
      <c r="A1226" s="12" t="s">
        <v>750</v>
      </c>
      <c r="B1226" s="13" t="s">
        <v>718</v>
      </c>
      <c r="C1226" s="14" t="s">
        <v>4225</v>
      </c>
      <c r="D1226" s="15">
        <v>42027.634444444448</v>
      </c>
      <c r="E1226" s="16" t="s">
        <v>16</v>
      </c>
      <c r="F1226" s="16" t="s">
        <v>16</v>
      </c>
      <c r="G1226" s="17" t="s">
        <v>880</v>
      </c>
      <c r="H1226" s="17" t="s">
        <v>1015</v>
      </c>
      <c r="I1226" s="13" t="s">
        <v>4226</v>
      </c>
      <c r="J1226" s="23" t="str">
        <f>HYPERLINK("CorLog\GHA\Kumasi RTO\20150123 GHA Kumasi RTO Potential apartment block for the Twi RTO in Kumasi (RDC-to-RDC).msg", "Potential apartment block for the Twi RTO in Kumasi")</f>
        <v>Potential apartment block for the Twi RTO in Kumasi</v>
      </c>
      <c r="K1226" s="25" t="s">
        <v>1243</v>
      </c>
      <c r="L1226" s="19"/>
      <c r="M1226" s="20"/>
      <c r="N1226" s="21" t="s">
        <v>4227</v>
      </c>
    </row>
    <row r="1227" spans="1:14">
      <c r="A1227" s="12" t="s">
        <v>1337</v>
      </c>
      <c r="B1227" s="13" t="s">
        <v>718</v>
      </c>
      <c r="C1227" s="14"/>
      <c r="D1227" s="15">
        <v>42027.600694444445</v>
      </c>
      <c r="E1227" s="16" t="s">
        <v>18</v>
      </c>
      <c r="F1227" s="16" t="s">
        <v>16</v>
      </c>
      <c r="G1227" s="17" t="s">
        <v>885</v>
      </c>
      <c r="H1227" s="17" t="s">
        <v>1178</v>
      </c>
      <c r="I1227" s="13" t="s">
        <v>4228</v>
      </c>
      <c r="J1227" s="23" t="str">
        <f>HYPERLINK("CorLog\ZMB\Kabompo RTO\20150123 ZMB Kabompo RTO SDMO exhaust pipe 21050122 (Use air deflector only) (ZMB-to-RDC).msg", "SDMO exhaust pipe 21050122 (Use air deflector only)")</f>
        <v>SDMO exhaust pipe 21050122 (Use air deflector only)</v>
      </c>
      <c r="K1227" s="25"/>
      <c r="L1227" s="19"/>
      <c r="M1227" s="20"/>
      <c r="N1227" s="21" t="s">
        <v>4229</v>
      </c>
    </row>
    <row r="1228" spans="1:14">
      <c r="A1228" s="12" t="s">
        <v>718</v>
      </c>
      <c r="B1228" s="13" t="s">
        <v>1969</v>
      </c>
      <c r="C1228" s="14" t="s">
        <v>4230</v>
      </c>
      <c r="D1228" s="15">
        <v>42027.566666666666</v>
      </c>
      <c r="E1228" s="16" t="s">
        <v>16</v>
      </c>
      <c r="F1228" s="16" t="s">
        <v>22</v>
      </c>
      <c r="G1228" s="17" t="s">
        <v>2627</v>
      </c>
      <c r="H1228" s="17" t="s">
        <v>1861</v>
      </c>
      <c r="I1228" s="13" t="s">
        <v>4231</v>
      </c>
      <c r="J1228" s="23" t="str">
        <f>HYPERLINK("CorLog\COD\Kamina RTO\20150123 COD Kamina RTO 6606 - Reinaerdt doors - ID349 [wid Admin-incident-6554) (RDC-to-COD).msg", "6606 - Reinaerdt doors - ID349 [wid Admin-incident-6554)")</f>
        <v>6606 - Reinaerdt doors - ID349 [wid Admin-incident-6554)</v>
      </c>
      <c r="K1228" s="25" t="s">
        <v>1499</v>
      </c>
      <c r="L1228" s="19"/>
      <c r="M1228" s="20"/>
      <c r="N1228" s="21" t="s">
        <v>4232</v>
      </c>
    </row>
    <row r="1229" spans="1:14">
      <c r="A1229" s="12" t="s">
        <v>1552</v>
      </c>
      <c r="B1229" s="13" t="s">
        <v>718</v>
      </c>
      <c r="C1229" s="14" t="s">
        <v>4233</v>
      </c>
      <c r="D1229" s="15">
        <v>42027.403865740744</v>
      </c>
      <c r="E1229" s="16" t="s">
        <v>18</v>
      </c>
      <c r="F1229" s="16" t="s">
        <v>16</v>
      </c>
      <c r="G1229" s="17" t="s">
        <v>1065</v>
      </c>
      <c r="H1229" s="17" t="s">
        <v>814</v>
      </c>
      <c r="I1229" s="13" t="s">
        <v>4234</v>
      </c>
      <c r="J1229" s="23" t="str">
        <f>HYPERLINK("CorLog\ZMB\RTO Projects\20150123 ZMB RTO Projects Suggested wording for RTO’s ZMB (ZMB-to-RDC).msg", "Suggested wording for RTO’s ZMB")</f>
        <v>Suggested wording for RTO’s ZMB</v>
      </c>
      <c r="K1229" s="25" t="s">
        <v>1626</v>
      </c>
      <c r="L1229" s="19"/>
      <c r="M1229" s="20"/>
      <c r="N1229" s="21" t="s">
        <v>4235</v>
      </c>
    </row>
    <row r="1230" spans="1:14">
      <c r="A1230" s="12" t="s">
        <v>750</v>
      </c>
      <c r="B1230" s="13" t="s">
        <v>1529</v>
      </c>
      <c r="C1230" s="14" t="s">
        <v>4236</v>
      </c>
      <c r="D1230" s="15">
        <v>42027.349895833337</v>
      </c>
      <c r="E1230" s="16" t="s">
        <v>16</v>
      </c>
      <c r="F1230" s="16" t="s">
        <v>18</v>
      </c>
      <c r="G1230" s="17" t="s">
        <v>946</v>
      </c>
      <c r="H1230" s="17" t="s">
        <v>4090</v>
      </c>
      <c r="I1230" s="13" t="s">
        <v>4237</v>
      </c>
      <c r="J1230" s="23" t="str">
        <f>HYPERLINK("CorLog\ZMB\Mongu RTO\20150123 ZMB Mongu RTO DCP Test after rip and recompact for Manhole at NW of Res building 15 01 22 (RDC-to-ZMB).msg", "DCP Test after rip and recompact for Manhole at NW of Res building 15 01 22")</f>
        <v>DCP Test after rip and recompact for Manhole at NW of Res building 15 01 22</v>
      </c>
      <c r="K1230" s="25"/>
      <c r="L1230" s="19"/>
      <c r="M1230" s="20"/>
      <c r="N1230" s="21" t="s">
        <v>4238</v>
      </c>
    </row>
    <row r="1231" spans="1:14">
      <c r="A1231" s="12" t="s">
        <v>750</v>
      </c>
      <c r="B1231" s="13" t="s">
        <v>1529</v>
      </c>
      <c r="C1231" s="14" t="s">
        <v>4239</v>
      </c>
      <c r="D1231" s="15">
        <v>42027.330729166664</v>
      </c>
      <c r="E1231" s="16" t="s">
        <v>16</v>
      </c>
      <c r="F1231" s="16" t="s">
        <v>18</v>
      </c>
      <c r="G1231" s="17" t="s">
        <v>946</v>
      </c>
      <c r="H1231" s="17" t="s">
        <v>4090</v>
      </c>
      <c r="I1231" s="13" t="s">
        <v>4240</v>
      </c>
      <c r="J1231" s="23" t="str">
        <f>HYPERLINK("CorLog\ZMB\Mongu RTO\20150123 ZMB Mongu RTO DCP Test for Manhole at NW of Res building 15 01 21 (RDC-to-ZMB).msg", "DCP Test for Manhole at NW of Res building 15 01 21")</f>
        <v>DCP Test for Manhole at NW of Res building 15 01 21</v>
      </c>
      <c r="K1231" s="25"/>
      <c r="L1231" s="19"/>
      <c r="M1231" s="20"/>
      <c r="N1231" s="21" t="s">
        <v>4241</v>
      </c>
    </row>
    <row r="1232" spans="1:14">
      <c r="A1232" s="12" t="s">
        <v>964</v>
      </c>
      <c r="B1232" s="13" t="s">
        <v>827</v>
      </c>
      <c r="C1232" s="14" t="s">
        <v>4242</v>
      </c>
      <c r="D1232" s="15">
        <v>42026.592291666668</v>
      </c>
      <c r="E1232" s="16" t="s">
        <v>16</v>
      </c>
      <c r="F1232" s="16" t="s">
        <v>21</v>
      </c>
      <c r="G1232" s="17" t="s">
        <v>790</v>
      </c>
      <c r="H1232" s="17" t="s">
        <v>1178</v>
      </c>
      <c r="I1232" s="13" t="s">
        <v>4243</v>
      </c>
      <c r="J1232" s="23" t="str">
        <f>HYPERLINK("CorLog\GHA\BEX\20150122 GHA BEX MOXA Remote IO system tests (RDC-to-GHA).msg", "MOXA Remote IO system tests")</f>
        <v>MOXA Remote IO system tests</v>
      </c>
      <c r="K1232" s="25" t="s">
        <v>1243</v>
      </c>
      <c r="L1232" s="19"/>
      <c r="M1232" s="20"/>
      <c r="N1232" s="21" t="s">
        <v>4244</v>
      </c>
    </row>
    <row r="1233" spans="1:14">
      <c r="A1233" s="12" t="s">
        <v>750</v>
      </c>
      <c r="B1233" s="13" t="s">
        <v>1818</v>
      </c>
      <c r="C1233" s="14"/>
      <c r="D1233" s="15">
        <v>42026.472175925926</v>
      </c>
      <c r="E1233" s="16" t="s">
        <v>16</v>
      </c>
      <c r="F1233" s="16" t="s">
        <v>16</v>
      </c>
      <c r="G1233" s="17" t="s">
        <v>738</v>
      </c>
      <c r="H1233" s="17" t="s">
        <v>4245</v>
      </c>
      <c r="I1233" s="13" t="s">
        <v>4246</v>
      </c>
      <c r="J1233" s="23" t="str">
        <f>HYPERLINK("CorLog\GHA\BEX 2\20150122 GHA BEX 2 Stormwater PIPE culvert calculations (RDC-to-RDC).msg", "Stormwater PIPE culvert calculations")</f>
        <v>Stormwater PIPE culvert calculations</v>
      </c>
      <c r="K1233" s="25"/>
      <c r="L1233" s="19"/>
      <c r="M1233" s="20"/>
      <c r="N1233" s="21" t="s">
        <v>4247</v>
      </c>
    </row>
    <row r="1234" spans="1:14">
      <c r="A1234" s="12" t="s">
        <v>718</v>
      </c>
      <c r="B1234" s="13" t="s">
        <v>1784</v>
      </c>
      <c r="C1234" s="14" t="s">
        <v>1181</v>
      </c>
      <c r="D1234" s="15">
        <v>42026.45416666667</v>
      </c>
      <c r="E1234" s="16" t="s">
        <v>16</v>
      </c>
      <c r="F1234" s="16" t="s">
        <v>16</v>
      </c>
      <c r="G1234" s="17" t="s">
        <v>1169</v>
      </c>
      <c r="H1234" s="17" t="s">
        <v>3453</v>
      </c>
      <c r="I1234" s="13" t="s">
        <v>4248</v>
      </c>
      <c r="J1234" s="23" t="str">
        <f>HYPERLINK("CorLog\COD\Kikwit RTO\20150122 COD Kikwit RTO SRUCT PS Cat - Roofing (RDC-to-RDC).msg", "SRUCT PS Cat - Roofing")</f>
        <v>SRUCT PS Cat - Roofing</v>
      </c>
      <c r="K1234" s="25" t="s">
        <v>1211</v>
      </c>
      <c r="L1234" s="19"/>
      <c r="M1234" s="20"/>
      <c r="N1234" s="21" t="s">
        <v>4249</v>
      </c>
    </row>
    <row r="1235" spans="1:14">
      <c r="A1235" s="12" t="s">
        <v>718</v>
      </c>
      <c r="B1235" s="13" t="s">
        <v>723</v>
      </c>
      <c r="C1235" s="14" t="s">
        <v>724</v>
      </c>
      <c r="D1235" s="15">
        <v>42026.365972222222</v>
      </c>
      <c r="E1235" s="16" t="s">
        <v>16</v>
      </c>
      <c r="F1235" s="16" t="s">
        <v>16</v>
      </c>
      <c r="G1235" s="17" t="s">
        <v>885</v>
      </c>
      <c r="H1235" s="17" t="s">
        <v>867</v>
      </c>
      <c r="I1235" s="13" t="s">
        <v>4250</v>
      </c>
      <c r="J1235" s="23" t="str">
        <f>HYPERLINK("CorLog\ZMB\Kabompo RTO\20150122 ZMB Kabompo RTO Budget Analysis (RDC-to-RDC).msg", "Budget Analysis")</f>
        <v>Budget Analysis</v>
      </c>
      <c r="K1235" s="25" t="s">
        <v>1211</v>
      </c>
      <c r="L1235" s="19"/>
      <c r="M1235" s="20"/>
      <c r="N1235" s="21" t="s">
        <v>4251</v>
      </c>
    </row>
    <row r="1236" spans="1:14">
      <c r="A1236" s="12" t="s">
        <v>795</v>
      </c>
      <c r="B1236" s="13" t="s">
        <v>794</v>
      </c>
      <c r="C1236" s="14" t="s">
        <v>718</v>
      </c>
      <c r="D1236" s="15">
        <v>42026.339988425927</v>
      </c>
      <c r="E1236" s="16" t="s">
        <v>16</v>
      </c>
      <c r="F1236" s="16" t="s">
        <v>15</v>
      </c>
      <c r="G1236" s="17" t="s">
        <v>999</v>
      </c>
      <c r="H1236" s="17" t="s">
        <v>1037</v>
      </c>
      <c r="I1236" s="13" t="s">
        <v>4252</v>
      </c>
      <c r="J1236" s="23" t="str">
        <f>HYPERLINK("CorLog\ZMB\Branch\20150122 ZMB Branch Branch Requisition 441182 - ZMB99 - AC system for residence rooms (RDC-to-ZAF).msg", "Branch Requisition 441182 - ZMB99 - AC system for residence rooms")</f>
        <v>Branch Requisition 441182 - ZMB99 - AC system for residence rooms</v>
      </c>
      <c r="K1236" s="25" t="s">
        <v>1243</v>
      </c>
      <c r="L1236" s="19"/>
      <c r="M1236" s="20"/>
      <c r="N1236" s="21" t="s">
        <v>4253</v>
      </c>
    </row>
    <row r="1237" spans="1:14">
      <c r="A1237" s="12" t="s">
        <v>1187</v>
      </c>
      <c r="B1237" s="13" t="s">
        <v>750</v>
      </c>
      <c r="C1237" s="14" t="s">
        <v>4254</v>
      </c>
      <c r="D1237" s="15">
        <v>42025.700636574074</v>
      </c>
      <c r="E1237" s="16" t="s">
        <v>15</v>
      </c>
      <c r="F1237" s="16" t="s">
        <v>16</v>
      </c>
      <c r="G1237" s="17" t="s">
        <v>738</v>
      </c>
      <c r="H1237" s="17" t="s">
        <v>4255</v>
      </c>
      <c r="I1237" s="13" t="s">
        <v>4256</v>
      </c>
      <c r="J1237" s="23" t="str">
        <f>HYPERLINK("CorLog\GHA\BEX 2\20150121 GHA BEX 2 WSP &amp; MRH Engineering (Update - TOPO SURVEYSOILS TESTS) (ZAF-to-RDC).msg", "WSP &amp; MRH Engineering (Update - TOPO SURVEYSOILS TESTS)")</f>
        <v>WSP &amp; MRH Engineering (Update - TOPO SURVEYSOILS TESTS)</v>
      </c>
      <c r="K1237" s="25" t="s">
        <v>1243</v>
      </c>
      <c r="L1237" s="19"/>
      <c r="M1237" s="20"/>
      <c r="N1237" s="21" t="s">
        <v>4257</v>
      </c>
    </row>
    <row r="1238" spans="1:14">
      <c r="A1238" s="12" t="s">
        <v>3720</v>
      </c>
      <c r="B1238" s="13" t="s">
        <v>4258</v>
      </c>
      <c r="C1238" s="14" t="s">
        <v>4259</v>
      </c>
      <c r="D1238" s="15">
        <v>42025.570138888892</v>
      </c>
      <c r="E1238" s="16" t="s">
        <v>21</v>
      </c>
      <c r="F1238" s="16" t="s">
        <v>21</v>
      </c>
      <c r="G1238" s="17" t="s">
        <v>738</v>
      </c>
      <c r="H1238" s="17" t="s">
        <v>4255</v>
      </c>
      <c r="I1238" s="13" t="s">
        <v>4260</v>
      </c>
      <c r="J1238" s="23" t="str">
        <f>HYPERLINK("CorLog\GHA\BEX 2\20150121 GHA BEX 2 Accommodation for WSP surveyor (GHA-to-GHA).msg", "Accommodation for WSP surveyor")</f>
        <v>Accommodation for WSP surveyor</v>
      </c>
      <c r="K1238" s="25"/>
      <c r="L1238" s="19"/>
      <c r="M1238" s="20"/>
      <c r="N1238" s="21" t="s">
        <v>4261</v>
      </c>
    </row>
    <row r="1239" spans="1:14">
      <c r="A1239" s="12" t="s">
        <v>1069</v>
      </c>
      <c r="B1239" s="13" t="s">
        <v>2631</v>
      </c>
      <c r="C1239" s="14" t="s">
        <v>4262</v>
      </c>
      <c r="D1239" s="15">
        <v>42025.483784722222</v>
      </c>
      <c r="E1239" s="16" t="s">
        <v>18</v>
      </c>
      <c r="F1239" s="16" t="s">
        <v>15</v>
      </c>
      <c r="G1239" s="17" t="s">
        <v>1070</v>
      </c>
      <c r="H1239" s="17" t="s">
        <v>1008</v>
      </c>
      <c r="I1239" s="13" t="s">
        <v>4263</v>
      </c>
      <c r="J1239" s="23" t="str">
        <f>HYPERLINK("CorLog\ZMB\Katete\20150121 ZMB Katete NLBR ZMB - 6226; Roof Structure (ZMB-to-ZAF).msg", "NLBR ZMB - 6226; Roof Structure")</f>
        <v>NLBR ZMB - 6226; Roof Structure</v>
      </c>
      <c r="K1239" s="25" t="s">
        <v>1270</v>
      </c>
      <c r="L1239" s="19"/>
      <c r="M1239" s="20"/>
      <c r="N1239" s="21" t="s">
        <v>4264</v>
      </c>
    </row>
    <row r="1240" spans="1:14">
      <c r="A1240" s="12" t="s">
        <v>718</v>
      </c>
      <c r="B1240" s="13" t="s">
        <v>4265</v>
      </c>
      <c r="C1240" s="14" t="s">
        <v>4266</v>
      </c>
      <c r="D1240" s="15">
        <v>42025.447916666664</v>
      </c>
      <c r="E1240" s="16" t="s">
        <v>16</v>
      </c>
      <c r="F1240" s="16" t="s">
        <v>15</v>
      </c>
      <c r="G1240" s="17" t="s">
        <v>1169</v>
      </c>
      <c r="H1240" s="17" t="s">
        <v>2688</v>
      </c>
      <c r="I1240" s="13" t="s">
        <v>4267</v>
      </c>
      <c r="J1240" s="23" t="str">
        <f>HYPERLINK("CorLog\COD\Kikwit RTO\20150121 COD Kikwit RTO Civil drawing package--final comments (RDC-to-ZAF).msg", "Civil drawing package--final comments")</f>
        <v>Civil drawing package--final comments</v>
      </c>
      <c r="K1240" s="25" t="s">
        <v>1626</v>
      </c>
      <c r="L1240" s="19"/>
      <c r="M1240" s="20"/>
      <c r="N1240" s="21" t="s">
        <v>4268</v>
      </c>
    </row>
    <row r="1241" spans="1:14">
      <c r="A1241" s="12" t="s">
        <v>718</v>
      </c>
      <c r="B1241" s="13" t="s">
        <v>821</v>
      </c>
      <c r="C1241" s="14"/>
      <c r="D1241" s="15">
        <v>42025.297222222223</v>
      </c>
      <c r="E1241" s="16" t="s">
        <v>16</v>
      </c>
      <c r="F1241" s="16" t="s">
        <v>21</v>
      </c>
      <c r="G1241" s="17" t="s">
        <v>823</v>
      </c>
      <c r="H1241" s="17" t="s">
        <v>829</v>
      </c>
      <c r="I1241" s="13" t="s">
        <v>4269</v>
      </c>
      <c r="J1241" s="23" t="str">
        <f>HYPERLINK("CorLog\GHA\LDC\20150121 GHA LDC Service requisition for tents for assemblies (RDC-to-GHA).msg", "Service requisition for tents for assemblies")</f>
        <v>Service requisition for tents for assemblies</v>
      </c>
      <c r="K1241" s="25"/>
      <c r="L1241" s="19"/>
      <c r="M1241" s="20"/>
      <c r="N1241" s="21" t="s">
        <v>4270</v>
      </c>
    </row>
    <row r="1242" spans="1:14">
      <c r="A1242" s="12" t="s">
        <v>3166</v>
      </c>
      <c r="B1242" s="13"/>
      <c r="C1242" s="14"/>
      <c r="D1242" s="15">
        <v>42025</v>
      </c>
      <c r="E1242" s="16"/>
      <c r="F1242" s="16" t="s">
        <v>21</v>
      </c>
      <c r="G1242" s="17" t="s">
        <v>1470</v>
      </c>
      <c r="H1242" s="17" t="s">
        <v>1000</v>
      </c>
      <c r="I1242" s="13" t="s">
        <v>4271</v>
      </c>
      <c r="J1242" s="23" t="str">
        <f>HYPERLINK("CorLog\GHA\RTO Projects\20150121 GHA RTO Projects Permanent Ahanta and Fante Teams (-to-GHA).docx", "Permanent Ahanta and Fante Teams")</f>
        <v>Permanent Ahanta and Fante Teams</v>
      </c>
      <c r="K1242" s="23" t="str">
        <f>HYPERLINK("CorLog\GHA\RTO Projects\20150121 GHA RTO Projects Permanent Ahanta and Fante Teams (-to-GHA).zip", "Zipped")</f>
        <v>Zipped</v>
      </c>
      <c r="L1242" s="19" t="s">
        <v>4272</v>
      </c>
      <c r="M1242" s="20"/>
      <c r="N1242" s="21" t="s">
        <v>4273</v>
      </c>
    </row>
    <row r="1243" spans="1:14">
      <c r="A1243" s="12" t="s">
        <v>874</v>
      </c>
      <c r="B1243" s="13"/>
      <c r="C1243" s="14"/>
      <c r="D1243" s="15">
        <v>42025</v>
      </c>
      <c r="E1243" s="16" t="s">
        <v>25</v>
      </c>
      <c r="F1243" s="16" t="s">
        <v>22</v>
      </c>
      <c r="G1243" s="17" t="s">
        <v>785</v>
      </c>
      <c r="H1243" s="17" t="s">
        <v>4274</v>
      </c>
      <c r="I1243" s="13" t="s">
        <v>4275</v>
      </c>
      <c r="J1243" s="23" t="str">
        <f>HYPERLINK("CorLog\COD\Lubumbashi RTO\20150121 COD Lubumbashi RTO DC-41 No 2 Congo (Kinshasa) Lubumbashi RTO (WHQ-to-COD).doc", "DC-41 No 2 Congo (Kinshasa) Lubumbashi RTO")</f>
        <v>DC-41 No 2 Congo (Kinshasa) Lubumbashi RTO</v>
      </c>
      <c r="K1243" s="25"/>
      <c r="L1243" s="19"/>
      <c r="M1243" s="20"/>
      <c r="N1243" s="21" t="s">
        <v>4276</v>
      </c>
    </row>
    <row r="1244" spans="1:14">
      <c r="A1244" s="12" t="s">
        <v>874</v>
      </c>
      <c r="B1244" s="13"/>
      <c r="C1244" s="14"/>
      <c r="D1244" s="15">
        <v>42025</v>
      </c>
      <c r="E1244" s="16" t="s">
        <v>25</v>
      </c>
      <c r="F1244" s="16" t="s">
        <v>21</v>
      </c>
      <c r="G1244" s="17" t="s">
        <v>823</v>
      </c>
      <c r="H1244" s="17" t="s">
        <v>1549</v>
      </c>
      <c r="I1244" s="13" t="s">
        <v>4277</v>
      </c>
      <c r="J1244" s="23" t="str">
        <f>HYPERLINK("CorLog\GHA\LDC\20150121 GHA LDC Apartments Attached to Kingdom Halls (WHQ-to-GHA).doc", "Apartments Attached to Kingdom Halls")</f>
        <v>Apartments Attached to Kingdom Halls</v>
      </c>
      <c r="K1244" s="23"/>
      <c r="L1244" s="19" t="s">
        <v>4278</v>
      </c>
      <c r="M1244" s="20"/>
      <c r="N1244" s="21" t="s">
        <v>4279</v>
      </c>
    </row>
    <row r="1245" spans="1:14">
      <c r="A1245" s="12" t="s">
        <v>4115</v>
      </c>
      <c r="B1245" s="13"/>
      <c r="C1245" s="14"/>
      <c r="D1245" s="15">
        <v>42025</v>
      </c>
      <c r="E1245" s="16" t="s">
        <v>15</v>
      </c>
      <c r="F1245" s="16" t="s">
        <v>14</v>
      </c>
      <c r="G1245" s="17" t="s">
        <v>1320</v>
      </c>
      <c r="H1245" s="17" t="s">
        <v>4280</v>
      </c>
      <c r="I1245" s="13" t="s">
        <v>4281</v>
      </c>
      <c r="J1245" s="23" t="str">
        <f>HYPERLINK("CorLog\MDG\LDC\20150121 MDG LDC Training Initiatives for Local Design Construction Departments (ZAF-to-MDG).docx", "Training Initiatives for Local Design Construction Departments")</f>
        <v>Training Initiatives for Local Design Construction Departments</v>
      </c>
      <c r="K1245" s="23"/>
      <c r="L1245" s="19"/>
      <c r="M1245" s="20"/>
      <c r="N1245" s="21" t="s">
        <v>4282</v>
      </c>
    </row>
    <row r="1246" spans="1:14">
      <c r="A1246" s="12" t="s">
        <v>842</v>
      </c>
      <c r="B1246" s="13" t="s">
        <v>718</v>
      </c>
      <c r="C1246" s="14" t="s">
        <v>827</v>
      </c>
      <c r="D1246" s="15">
        <v>42024.750300925924</v>
      </c>
      <c r="E1246" s="16" t="s">
        <v>21</v>
      </c>
      <c r="F1246" s="16" t="s">
        <v>16</v>
      </c>
      <c r="G1246" s="17" t="s">
        <v>790</v>
      </c>
      <c r="H1246" s="17" t="s">
        <v>4283</v>
      </c>
      <c r="I1246" s="13" t="s">
        <v>4284</v>
      </c>
      <c r="J1246" s="23" t="str">
        <f>HYPERLINK("CorLog\GHA\BEX\20150120 GHA BEX Material prices for culvert swale estimate (grass blocks) (GHA-to-RDC).msg", "Material prices for culvert swale estimate (grass blocks)")</f>
        <v>Material prices for culvert swale estimate (grass blocks)</v>
      </c>
      <c r="K1246" s="25" t="s">
        <v>1274</v>
      </c>
      <c r="L1246" s="19"/>
      <c r="M1246" s="20"/>
      <c r="N1246" s="21" t="s">
        <v>4285</v>
      </c>
    </row>
    <row r="1247" spans="1:14">
      <c r="A1247" s="12" t="s">
        <v>718</v>
      </c>
      <c r="B1247" s="13" t="s">
        <v>2673</v>
      </c>
      <c r="C1247" s="14" t="s">
        <v>4286</v>
      </c>
      <c r="D1247" s="15">
        <v>42024.580555555556</v>
      </c>
      <c r="E1247" s="16" t="s">
        <v>16</v>
      </c>
      <c r="F1247" s="16" t="s">
        <v>16</v>
      </c>
      <c r="G1247" s="17" t="s">
        <v>838</v>
      </c>
      <c r="H1247" s="17" t="s">
        <v>867</v>
      </c>
      <c r="I1247" s="13" t="s">
        <v>4287</v>
      </c>
      <c r="J1247" s="23" t="str">
        <f>HYPERLINK("CorLog\ZMB\Choma RTO\20150120 ZMB Choma RTO see if the duty on this project can be eliminated or reduced significantly (RDC-to-RDC).msg", "see if the duty on this project can be eliminated or reduced significantly")</f>
        <v>see if the duty on this project can be eliminated or reduced significantly</v>
      </c>
      <c r="K1247" s="25" t="s">
        <v>1211</v>
      </c>
      <c r="L1247" s="19"/>
      <c r="M1247" s="20"/>
      <c r="N1247" s="21" t="s">
        <v>4288</v>
      </c>
    </row>
    <row r="1248" spans="1:14">
      <c r="A1248" s="12" t="s">
        <v>718</v>
      </c>
      <c r="B1248" s="13" t="s">
        <v>1969</v>
      </c>
      <c r="C1248" s="14" t="s">
        <v>4289</v>
      </c>
      <c r="D1248" s="15">
        <v>42024.554861111108</v>
      </c>
      <c r="E1248" s="16" t="s">
        <v>16</v>
      </c>
      <c r="F1248" s="16" t="s">
        <v>22</v>
      </c>
      <c r="G1248" s="17" t="s">
        <v>2627</v>
      </c>
      <c r="H1248" s="17" t="s">
        <v>1040</v>
      </c>
      <c r="I1248" s="13" t="s">
        <v>4290</v>
      </c>
      <c r="J1248" s="23" t="str">
        <f>HYPERLINK("CorLog\COD\Kamina RTO\20150120 COD Kamina RTO Tie-back bar lap detail (RDC-to-COD).msg", "Tie-back bar lap detail")</f>
        <v>Tie-back bar lap detail</v>
      </c>
      <c r="K1248" s="25" t="s">
        <v>1211</v>
      </c>
      <c r="L1248" s="19"/>
      <c r="M1248" s="20"/>
      <c r="N1248" s="21" t="s">
        <v>4291</v>
      </c>
    </row>
    <row r="1249" spans="1:14">
      <c r="A1249" s="12" t="s">
        <v>827</v>
      </c>
      <c r="B1249" s="13" t="s">
        <v>718</v>
      </c>
      <c r="C1249" s="14" t="s">
        <v>4292</v>
      </c>
      <c r="D1249" s="15">
        <v>42024.410138888888</v>
      </c>
      <c r="E1249" s="16" t="s">
        <v>21</v>
      </c>
      <c r="F1249" s="16" t="s">
        <v>16</v>
      </c>
      <c r="G1249" s="17" t="s">
        <v>790</v>
      </c>
      <c r="H1249" s="17" t="s">
        <v>829</v>
      </c>
      <c r="I1249" s="13" t="s">
        <v>4293</v>
      </c>
      <c r="J1249" s="23" t="str">
        <f>HYPERLINK("CorLog\GHA\BEX\20150120 GHA BEX Replace tile on Ghana NLBR 4670 with local RAK (APPROVED) (GHA-to-RDC).msg", "Replace tile on Ghana NLBR 4670 with local RAK (APPROVED)")</f>
        <v>Replace tile on Ghana NLBR 4670 with local RAK (APPROVED)</v>
      </c>
      <c r="K1249" s="25"/>
      <c r="L1249" s="19"/>
      <c r="M1249" s="20"/>
      <c r="N1249" s="21" t="s">
        <v>4294</v>
      </c>
    </row>
    <row r="1250" spans="1:14">
      <c r="A1250" s="12" t="s">
        <v>717</v>
      </c>
      <c r="B1250" s="13" t="s">
        <v>750</v>
      </c>
      <c r="C1250" s="14" t="s">
        <v>3697</v>
      </c>
      <c r="D1250" s="15">
        <v>42024.380949074075</v>
      </c>
      <c r="E1250" s="16" t="s">
        <v>16</v>
      </c>
      <c r="F1250" s="16" t="s">
        <v>16</v>
      </c>
      <c r="G1250" s="17" t="s">
        <v>1169</v>
      </c>
      <c r="H1250" s="17" t="s">
        <v>3958</v>
      </c>
      <c r="I1250" s="13" t="s">
        <v>4295</v>
      </c>
      <c r="J1250" s="23" t="str">
        <f>HYPERLINK("CorLog\COD\Kikwit RTO\20150120 COD Kikwit RTO Concrete Aggregate for Approval (RDC-to-RDC).msg", "Concrete Aggregate for Approval")</f>
        <v>Concrete Aggregate for Approval</v>
      </c>
      <c r="K1250" s="25"/>
      <c r="L1250" s="19"/>
      <c r="M1250" s="20"/>
      <c r="N1250" s="21" t="s">
        <v>4296</v>
      </c>
    </row>
    <row r="1251" spans="1:14">
      <c r="A1251" s="12" t="s">
        <v>916</v>
      </c>
      <c r="B1251" s="13" t="s">
        <v>718</v>
      </c>
      <c r="C1251" s="14" t="s">
        <v>1818</v>
      </c>
      <c r="D1251" s="15">
        <v>42024.334074074075</v>
      </c>
      <c r="E1251" s="16" t="s">
        <v>16</v>
      </c>
      <c r="F1251" s="16" t="s">
        <v>16</v>
      </c>
      <c r="G1251" s="17" t="s">
        <v>1932</v>
      </c>
      <c r="H1251" s="17" t="s">
        <v>921</v>
      </c>
      <c r="I1251" s="13" t="s">
        <v>4297</v>
      </c>
      <c r="J1251" s="23" t="str">
        <f>HYPERLINK("CorLog\ZMB\Mwinilunga RTO\20150120 ZMB Mwinilunga RTO Site Survey for Review (ZMB Comments) Soil tests (RDC-to-RDC).msg", "Site Survey for Review (ZMB Comments) Soil tests")</f>
        <v>Site Survey for Review (ZMB Comments) Soil tests</v>
      </c>
      <c r="K1251" s="25" t="s">
        <v>1243</v>
      </c>
      <c r="L1251" s="19"/>
      <c r="M1251" s="20"/>
      <c r="N1251" s="21" t="s">
        <v>4298</v>
      </c>
    </row>
    <row r="1252" spans="1:14">
      <c r="A1252" s="12" t="s">
        <v>874</v>
      </c>
      <c r="B1252" s="13"/>
      <c r="C1252" s="14"/>
      <c r="D1252" s="15">
        <v>42024</v>
      </c>
      <c r="E1252" s="16" t="s">
        <v>25</v>
      </c>
      <c r="F1252" s="16" t="s">
        <v>30</v>
      </c>
      <c r="G1252" s="17" t="s">
        <v>719</v>
      </c>
      <c r="H1252" s="17" t="s">
        <v>4299</v>
      </c>
      <c r="I1252" s="13" t="s">
        <v>4300</v>
      </c>
      <c r="J1252" s="23" t="str">
        <f>HYPERLINK("CorLog\Reference\20150120 Reference LDC Volunteer Applications (DC-50) (WHQ-to-ALL).docx", "LDC Volunteer Applications (DC-50)")</f>
        <v>LDC Volunteer Applications (DC-50)</v>
      </c>
      <c r="K1252" s="23" t="str">
        <f>HYPERLINK("CorLog\Reference\20150120 Reference LDC Volunteer Applications (DC-50) (WHQ-to-ALL).zip", "Zipped")</f>
        <v>Zipped</v>
      </c>
      <c r="L1252" s="19"/>
      <c r="M1252" s="20"/>
      <c r="N1252" s="21" t="s">
        <v>4301</v>
      </c>
    </row>
    <row r="1253" spans="1:14">
      <c r="A1253" s="12" t="s">
        <v>2100</v>
      </c>
      <c r="B1253" s="13"/>
      <c r="C1253" s="14"/>
      <c r="D1253" s="15">
        <v>42024</v>
      </c>
      <c r="E1253" s="16" t="s">
        <v>15</v>
      </c>
      <c r="F1253" s="16" t="s">
        <v>16</v>
      </c>
      <c r="G1253" s="17" t="s">
        <v>719</v>
      </c>
      <c r="H1253" s="17" t="s">
        <v>2029</v>
      </c>
      <c r="I1253" s="13" t="s">
        <v>4302</v>
      </c>
      <c r="J1253" s="23" t="str">
        <f>HYPERLINK("CorLog\Reference\20150120 Reference DC-41 Project Approval Requests—Review by Regional Design Construction Department (RDC) (ZAF-to-RDC).docx", "DC-41 Project Approval Requests—Review by Regional Design Construction Department (RDC)")</f>
        <v>DC-41 Project Approval Requests—Review by Regional Design Construction Department (RDC)</v>
      </c>
      <c r="K1253" s="23"/>
      <c r="L1253" s="19"/>
      <c r="M1253" s="20"/>
      <c r="N1253" s="21" t="s">
        <v>4303</v>
      </c>
    </row>
    <row r="1254" spans="1:14">
      <c r="A1254" s="12" t="s">
        <v>874</v>
      </c>
      <c r="B1254" s="13"/>
      <c r="C1254" s="14"/>
      <c r="D1254" s="15">
        <v>42024</v>
      </c>
      <c r="E1254" s="16" t="s">
        <v>25</v>
      </c>
      <c r="F1254" s="16" t="s">
        <v>15</v>
      </c>
      <c r="G1254" s="17" t="s">
        <v>719</v>
      </c>
      <c r="H1254" s="17" t="s">
        <v>1867</v>
      </c>
      <c r="I1254" s="13" t="s">
        <v>4304</v>
      </c>
      <c r="J1254" s="23" t="str">
        <f>HYPERLINK("CorLog\Reference\20150120 Reference Studio Design Guidelines (WHQ-to-ZAF).doc", "Studio Design Guidelines")</f>
        <v>Studio Design Guidelines</v>
      </c>
      <c r="K1254" s="23" t="str">
        <f>HYPERLINK("CorLog\Reference\20150120 Reference Studio Design Guidelines (WHQ-to-ZAF).zip", "Zipped")</f>
        <v>Zipped</v>
      </c>
      <c r="L1254" s="19"/>
      <c r="M1254" s="20"/>
      <c r="N1254" s="21" t="s">
        <v>4305</v>
      </c>
    </row>
    <row r="1255" spans="1:14">
      <c r="A1255" s="12" t="s">
        <v>750</v>
      </c>
      <c r="B1255" s="13" t="s">
        <v>916</v>
      </c>
      <c r="C1255" s="14" t="s">
        <v>718</v>
      </c>
      <c r="D1255" s="15">
        <v>42023.697766203702</v>
      </c>
      <c r="E1255" s="16" t="s">
        <v>16</v>
      </c>
      <c r="F1255" s="16" t="s">
        <v>16</v>
      </c>
      <c r="G1255" s="17" t="s">
        <v>790</v>
      </c>
      <c r="H1255" s="17" t="s">
        <v>854</v>
      </c>
      <c r="I1255" s="13" t="s">
        <v>4306</v>
      </c>
      <c r="J1255" s="23" t="str">
        <f>HYPERLINK("CorLog\GHA\BEX\20150119 GHA BEX Cracks Walls of Service Dept Bldg (INFO to TB) (RDC-to-RDC).msg", "Cracks Walls of Service Dept Bldg (INFO to TB)")</f>
        <v>Cracks Walls of Service Dept Bldg (INFO to TB)</v>
      </c>
      <c r="K1255" s="25" t="s">
        <v>1274</v>
      </c>
      <c r="L1255" s="19"/>
      <c r="M1255" s="20"/>
      <c r="N1255" s="21" t="s">
        <v>4307</v>
      </c>
    </row>
    <row r="1256" spans="1:14">
      <c r="A1256" s="12" t="s">
        <v>750</v>
      </c>
      <c r="B1256" s="13" t="s">
        <v>718</v>
      </c>
      <c r="C1256" s="14" t="s">
        <v>724</v>
      </c>
      <c r="D1256" s="15">
        <v>42023.677349537036</v>
      </c>
      <c r="E1256" s="16" t="s">
        <v>16</v>
      </c>
      <c r="F1256" s="16" t="s">
        <v>16</v>
      </c>
      <c r="G1256" s="17" t="s">
        <v>738</v>
      </c>
      <c r="H1256" s="17" t="s">
        <v>2371</v>
      </c>
      <c r="I1256" s="13" t="s">
        <v>4308</v>
      </c>
      <c r="J1256" s="23" t="str">
        <f>HYPERLINK("CorLog\GHA\BEX 2\20150119 GHA BEX 2 Size of AV if GHS (or Twi and Ga) moved out (CHART) (RDC-to-RDC).msg", "Size of AV if GHS (or Twi and Ga) moved out (CHART)")</f>
        <v>Size of AV if GHS (or Twi and Ga) moved out (CHART)</v>
      </c>
      <c r="K1256" s="25"/>
      <c r="L1256" s="19"/>
      <c r="M1256" s="20"/>
      <c r="N1256" s="21" t="s">
        <v>4309</v>
      </c>
    </row>
    <row r="1257" spans="1:14">
      <c r="A1257" s="12" t="s">
        <v>718</v>
      </c>
      <c r="B1257" s="13" t="s">
        <v>4310</v>
      </c>
      <c r="C1257" s="14"/>
      <c r="D1257" s="15">
        <v>42023.586111111108</v>
      </c>
      <c r="E1257" s="16" t="s">
        <v>16</v>
      </c>
      <c r="F1257" s="16" t="s">
        <v>15</v>
      </c>
      <c r="G1257" s="17" t="s">
        <v>4122</v>
      </c>
      <c r="H1257" s="17" t="s">
        <v>1426</v>
      </c>
      <c r="I1257" s="13" t="s">
        <v>4311</v>
      </c>
      <c r="J1257" s="23" t="str">
        <f>HYPERLINK("CorLog\KEN\Branch\20150119 KEN Branch Key System diagram (RDC-to-ZAF).msg", "Key System diagram")</f>
        <v>Key System diagram</v>
      </c>
      <c r="K1257" s="25" t="s">
        <v>1211</v>
      </c>
      <c r="L1257" s="19"/>
      <c r="M1257" s="20"/>
      <c r="N1257" s="21" t="s">
        <v>4312</v>
      </c>
    </row>
    <row r="1258" spans="1:14">
      <c r="A1258" s="12" t="s">
        <v>718</v>
      </c>
      <c r="B1258" s="13" t="s">
        <v>795</v>
      </c>
      <c r="C1258" s="14"/>
      <c r="D1258" s="15">
        <v>42023.322222222225</v>
      </c>
      <c r="E1258" s="16" t="s">
        <v>16</v>
      </c>
      <c r="F1258" s="16" t="s">
        <v>16</v>
      </c>
      <c r="G1258" s="17" t="s">
        <v>857</v>
      </c>
      <c r="H1258" s="17" t="s">
        <v>3831</v>
      </c>
      <c r="I1258" s="13" t="s">
        <v>4313</v>
      </c>
      <c r="J1258" s="23" t="str">
        <f>HYPERLINK("CorLog\GHA\Kikam RTO\20150119 GHA Kikam RTO Water Test results (RDC-to-RDC).msg", "Water Test results")</f>
        <v>Water Test results</v>
      </c>
      <c r="K1258" s="25" t="s">
        <v>1243</v>
      </c>
      <c r="L1258" s="19"/>
      <c r="M1258" s="20"/>
      <c r="N1258" s="21" t="s">
        <v>4314</v>
      </c>
    </row>
    <row r="1259" spans="1:14">
      <c r="A1259" s="12" t="s">
        <v>1073</v>
      </c>
      <c r="B1259" s="13"/>
      <c r="C1259" s="14"/>
      <c r="D1259" s="15">
        <v>42023</v>
      </c>
      <c r="E1259" s="16" t="s">
        <v>25</v>
      </c>
      <c r="F1259" s="16" t="s">
        <v>22</v>
      </c>
      <c r="G1259" s="17" t="s">
        <v>1169</v>
      </c>
      <c r="H1259" s="17" t="s">
        <v>2029</v>
      </c>
      <c r="I1259" s="13" t="s">
        <v>4315</v>
      </c>
      <c r="J1259" s="23" t="str">
        <f>HYPERLINK("CorLog\COD\Kikwit RTO\20150119 COD Kikwit RTO DC-41 No 2 Kikwit Remote Translation Office (WHQ-to-COD).docx", "DC-41 No 2 Kikwit Remote Translation Office")</f>
        <v>DC-41 No 2 Kikwit Remote Translation Office</v>
      </c>
      <c r="K1259" s="25"/>
      <c r="L1259" s="19"/>
      <c r="M1259" s="20"/>
      <c r="N1259" s="21" t="s">
        <v>4316</v>
      </c>
    </row>
    <row r="1260" spans="1:14">
      <c r="A1260" s="12" t="s">
        <v>750</v>
      </c>
      <c r="B1260" s="13" t="s">
        <v>737</v>
      </c>
      <c r="C1260" s="14" t="s">
        <v>4317</v>
      </c>
      <c r="D1260" s="15">
        <v>42020.693287037036</v>
      </c>
      <c r="E1260" s="16" t="s">
        <v>16</v>
      </c>
      <c r="F1260" s="16" t="s">
        <v>21</v>
      </c>
      <c r="G1260" s="17" t="s">
        <v>790</v>
      </c>
      <c r="H1260" s="17" t="s">
        <v>854</v>
      </c>
      <c r="I1260" s="13" t="s">
        <v>4318</v>
      </c>
      <c r="J1260" s="23" t="str">
        <f>HYPERLINK("CorLog\GHA\BEX\20150116 GHA BEX Cracks Walls of Service Dept Bldg (INFO NEEDED) (RDC-to-GHA).msg", "Cracks Walls of Service Dept Bldg (INFO NEEDED)")</f>
        <v>Cracks Walls of Service Dept Bldg (INFO NEEDED)</v>
      </c>
      <c r="K1260" s="25" t="s">
        <v>3933</v>
      </c>
      <c r="L1260" s="19"/>
      <c r="M1260" s="20"/>
      <c r="N1260" s="21" t="s">
        <v>4319</v>
      </c>
    </row>
    <row r="1261" spans="1:14">
      <c r="A1261" s="12" t="s">
        <v>1866</v>
      </c>
      <c r="B1261" s="13" t="s">
        <v>718</v>
      </c>
      <c r="C1261" s="14"/>
      <c r="D1261" s="15">
        <v>42020.490659722222</v>
      </c>
      <c r="E1261" s="16" t="s">
        <v>16</v>
      </c>
      <c r="F1261" s="16" t="s">
        <v>16</v>
      </c>
      <c r="G1261" s="17" t="s">
        <v>719</v>
      </c>
      <c r="H1261" s="17" t="s">
        <v>814</v>
      </c>
      <c r="I1261" s="13" t="s">
        <v>4320</v>
      </c>
      <c r="J1261" s="18" t="str">
        <f>HYPERLINK("CorLog\Reference\20150116 Reference RTO Standard Sign (RDC-to-RDC).msg", "RTO Standard Sign")</f>
        <v>RTO Standard Sign</v>
      </c>
      <c r="K1261" s="22" t="s">
        <v>721</v>
      </c>
      <c r="L1261" s="19"/>
      <c r="M1261" s="20"/>
      <c r="N1261" s="21" t="s">
        <v>4321</v>
      </c>
    </row>
    <row r="1262" spans="1:14">
      <c r="A1262" s="12" t="s">
        <v>972</v>
      </c>
      <c r="B1262" s="13" t="s">
        <v>718</v>
      </c>
      <c r="C1262" s="14" t="s">
        <v>4322</v>
      </c>
      <c r="D1262" s="15">
        <v>42020.478402777779</v>
      </c>
      <c r="E1262" s="16" t="s">
        <v>18</v>
      </c>
      <c r="F1262" s="16" t="s">
        <v>16</v>
      </c>
      <c r="G1262" s="17" t="s">
        <v>2133</v>
      </c>
      <c r="H1262" s="17" t="s">
        <v>2403</v>
      </c>
      <c r="I1262" s="13" t="s">
        <v>4323</v>
      </c>
      <c r="J1262" s="23" t="str">
        <f>HYPERLINK("CorLog\ZMB\Kasama RTO\20150116 ZMB Kasama RTO RDC review of Property Evaluation DC-31s (ZMB-to-RDC).msg", "RDC review of Property Evaluation DC-31s")</f>
        <v>RDC review of Property Evaluation DC-31s</v>
      </c>
      <c r="K1262" s="25" t="s">
        <v>1482</v>
      </c>
      <c r="L1262" s="19"/>
      <c r="M1262" s="20"/>
      <c r="N1262" s="21" t="s">
        <v>4324</v>
      </c>
    </row>
    <row r="1263" spans="1:14">
      <c r="A1263" s="12" t="s">
        <v>718</v>
      </c>
      <c r="B1263" s="13" t="s">
        <v>2540</v>
      </c>
      <c r="C1263" s="14" t="s">
        <v>2541</v>
      </c>
      <c r="D1263" s="15">
        <v>42020.412395833337</v>
      </c>
      <c r="E1263" s="16" t="s">
        <v>16</v>
      </c>
      <c r="F1263" s="16" t="s">
        <v>15</v>
      </c>
      <c r="G1263" s="17" t="s">
        <v>2050</v>
      </c>
      <c r="H1263" s="17" t="s">
        <v>4126</v>
      </c>
      <c r="I1263" s="13" t="s">
        <v>4325</v>
      </c>
      <c r="J1263" s="18" t="str">
        <f>HYPERLINK("CorLog\Info\20150116 Info ESTA payment-$14; New York trip (RDC-to-ZAF).msg", "ESTA payment-$14; New York trip")</f>
        <v>ESTA payment-$14; New York trip</v>
      </c>
      <c r="K1263" s="24"/>
      <c r="L1263" s="19"/>
      <c r="M1263" s="20"/>
      <c r="N1263" s="21" t="s">
        <v>4326</v>
      </c>
    </row>
    <row r="1264" spans="1:14">
      <c r="A1264" s="12" t="s">
        <v>1043</v>
      </c>
      <c r="B1264" s="13"/>
      <c r="C1264" s="14"/>
      <c r="D1264" s="15">
        <v>42020</v>
      </c>
      <c r="E1264" s="16" t="s">
        <v>25</v>
      </c>
      <c r="F1264" s="16" t="s">
        <v>18</v>
      </c>
      <c r="G1264" s="17" t="s">
        <v>999</v>
      </c>
      <c r="H1264" s="17" t="s">
        <v>1000</v>
      </c>
      <c r="I1264" s="13" t="s">
        <v>4327</v>
      </c>
      <c r="J1264" s="23" t="str">
        <f>HYPERLINK("CorLog\ZMB\Branch\20150116 ZMB Branch Planning for Long-Term Needs (WHQ-to-ZMB).docx", "Planning for Long-Term Needs")</f>
        <v>Planning for Long-Term Needs</v>
      </c>
      <c r="K1264" s="23" t="str">
        <f>HYPERLINK("CorLog\ZMB\Branch\20150116 ZMB Branch Planning for Long-Term Needs (WHQ-to-ZMB).zip", "Zipped")</f>
        <v>Zipped</v>
      </c>
      <c r="L1264" s="19"/>
      <c r="M1264" s="20"/>
      <c r="N1264" s="21" t="s">
        <v>4328</v>
      </c>
    </row>
    <row r="1265" spans="1:14">
      <c r="A1265" s="12" t="s">
        <v>718</v>
      </c>
      <c r="B1265" s="13" t="s">
        <v>827</v>
      </c>
      <c r="C1265" s="14" t="s">
        <v>4329</v>
      </c>
      <c r="D1265" s="15">
        <v>42019.677083333336</v>
      </c>
      <c r="E1265" s="16" t="s">
        <v>16</v>
      </c>
      <c r="F1265" s="16" t="s">
        <v>21</v>
      </c>
      <c r="G1265" s="17" t="s">
        <v>790</v>
      </c>
      <c r="H1265" s="17" t="s">
        <v>2803</v>
      </c>
      <c r="I1265" s="13" t="s">
        <v>4330</v>
      </c>
      <c r="J1265" s="23" t="str">
        <f>HYPERLINK("CorLog\GHA\BEX\20150115 GHA BEX Hardware Substitutions on GHA-4695; Hafele Products (RDC-to-GHA).msg", "Hardware Substitutions on GHA-4695; Hafele Products")</f>
        <v>Hardware Substitutions on GHA-4695; Hafele Products</v>
      </c>
      <c r="K1265" s="25" t="s">
        <v>3257</v>
      </c>
      <c r="L1265" s="19"/>
      <c r="M1265" s="20"/>
      <c r="N1265" s="21" t="s">
        <v>4331</v>
      </c>
    </row>
    <row r="1266" spans="1:14">
      <c r="A1266" s="12" t="s">
        <v>2195</v>
      </c>
      <c r="B1266" s="13" t="s">
        <v>806</v>
      </c>
      <c r="C1266" s="14" t="s">
        <v>724</v>
      </c>
      <c r="D1266" s="15">
        <v>42019.667407407411</v>
      </c>
      <c r="E1266" s="16" t="s">
        <v>935</v>
      </c>
      <c r="F1266" s="16" t="s">
        <v>15</v>
      </c>
      <c r="G1266" s="17" t="s">
        <v>823</v>
      </c>
      <c r="H1266" s="17" t="s">
        <v>829</v>
      </c>
      <c r="I1266" s="13" t="s">
        <v>4332</v>
      </c>
      <c r="J1266" s="23" t="str">
        <f>HYPERLINK("CorLog\GHA\LDC\20150115 GHA LDC Ghana - GHA-4663 Sound equipment ($25,398 44) (GPD-to-ZAF).msg", "Ghana - GHA-4663 Sound equipment ($25,398 44)")</f>
        <v>Ghana - GHA-4663 Sound equipment ($25,398 44)</v>
      </c>
      <c r="K1266" s="25" t="s">
        <v>1211</v>
      </c>
      <c r="L1266" s="19"/>
      <c r="M1266" s="20"/>
      <c r="N1266" s="21" t="s">
        <v>4333</v>
      </c>
    </row>
    <row r="1267" spans="1:14">
      <c r="A1267" s="12" t="s">
        <v>718</v>
      </c>
      <c r="B1267" s="13" t="s">
        <v>837</v>
      </c>
      <c r="C1267" s="14" t="s">
        <v>4334</v>
      </c>
      <c r="D1267" s="15">
        <v>42019.614583333336</v>
      </c>
      <c r="E1267" s="16" t="s">
        <v>16</v>
      </c>
      <c r="F1267" s="16" t="s">
        <v>18</v>
      </c>
      <c r="G1267" s="17" t="s">
        <v>838</v>
      </c>
      <c r="H1267" s="17" t="s">
        <v>2976</v>
      </c>
      <c r="I1267" s="13" t="s">
        <v>4335</v>
      </c>
      <c r="J1267" s="23" t="str">
        <f>HYPERLINK("CorLog\ZMB\Choma RTO\20150115 ZMB Choma RTO Autocad drawings for permit applications with city council (RDC-to-ZMB).msg", "Autocad drawings for permit applications with city council")</f>
        <v>Autocad drawings for permit applications with city council</v>
      </c>
      <c r="K1267" s="25" t="s">
        <v>1211</v>
      </c>
      <c r="L1267" s="19"/>
      <c r="M1267" s="20"/>
      <c r="N1267" s="21" t="s">
        <v>4336</v>
      </c>
    </row>
    <row r="1268" spans="1:14">
      <c r="A1268" s="12" t="s">
        <v>874</v>
      </c>
      <c r="B1268" s="13"/>
      <c r="C1268" s="14"/>
      <c r="D1268" s="15">
        <v>42019</v>
      </c>
      <c r="E1268" s="16" t="s">
        <v>25</v>
      </c>
      <c r="F1268" s="16" t="s">
        <v>30</v>
      </c>
      <c r="G1268" s="17" t="s">
        <v>719</v>
      </c>
      <c r="H1268" s="17" t="s">
        <v>4337</v>
      </c>
      <c r="I1268" s="13" t="s">
        <v>4338</v>
      </c>
      <c r="J1268" s="23" t="str">
        <f>HYPERLINK("CorLog\Reference\20150115 Reference Kingdom Hall Design Construction Guidelines (DC-14) (WHQ-to-ALL).doc", "Kingdom Hall Design Construction Guidelines (DC-14)")</f>
        <v>Kingdom Hall Design Construction Guidelines (DC-14)</v>
      </c>
      <c r="K1268" s="23" t="str">
        <f>HYPERLINK("CorLog\Reference\20150115 Reference Kingdom Hall Design Construction Guidelines (DC-14) (WHQ-to-ALL).zip", "Zipped")</f>
        <v>Zipped</v>
      </c>
      <c r="L1268" s="19"/>
      <c r="M1268" s="20"/>
      <c r="N1268" s="21" t="s">
        <v>4339</v>
      </c>
    </row>
    <row r="1269" spans="1:14">
      <c r="A1269" s="12" t="s">
        <v>4115</v>
      </c>
      <c r="B1269" s="13"/>
      <c r="C1269" s="14"/>
      <c r="D1269" s="15">
        <v>42019</v>
      </c>
      <c r="E1269" s="16" t="s">
        <v>15</v>
      </c>
      <c r="F1269" s="16" t="s">
        <v>40</v>
      </c>
      <c r="G1269" s="17" t="s">
        <v>30</v>
      </c>
      <c r="H1269" s="17" t="s">
        <v>4280</v>
      </c>
      <c r="I1269" s="13" t="s">
        <v>4281</v>
      </c>
      <c r="J1269" s="23" t="str">
        <f>HYPERLINK("CorLog\ALL\20150115 ALL Training Initiatives for Local Design Construction Departments (ZAF-to-RWA).docx", "Training Initiatives for Local Design Construction Departments")</f>
        <v>Training Initiatives for Local Design Construction Departments</v>
      </c>
      <c r="K1269" s="23"/>
      <c r="L1269" s="19"/>
      <c r="M1269" s="20"/>
      <c r="N1269" s="21" t="s">
        <v>4282</v>
      </c>
    </row>
    <row r="1270" spans="1:14">
      <c r="A1270" s="12" t="s">
        <v>3215</v>
      </c>
      <c r="B1270" s="13" t="s">
        <v>771</v>
      </c>
      <c r="C1270" s="14" t="s">
        <v>4340</v>
      </c>
      <c r="D1270" s="15">
        <v>42018.80027777778</v>
      </c>
      <c r="E1270" s="16" t="s">
        <v>21</v>
      </c>
      <c r="F1270" s="16" t="s">
        <v>17</v>
      </c>
      <c r="G1270" s="17" t="s">
        <v>807</v>
      </c>
      <c r="H1270" s="17" t="s">
        <v>759</v>
      </c>
      <c r="I1270" s="13" t="s">
        <v>4341</v>
      </c>
      <c r="J1270" s="23" t="str">
        <f>HYPERLINK("CorLog\GHA\Branch\20150114 GHA Branch Response to Ghana - Space for Translation and Residence Room Design (GHA-to-WDC).msg", "Response to Ghana - Space for Translation and Residence Room Design")</f>
        <v>Response to Ghana - Space for Translation and Residence Room Design</v>
      </c>
      <c r="K1270" s="25"/>
      <c r="L1270" s="19"/>
      <c r="M1270" s="20"/>
      <c r="N1270" s="21" t="s">
        <v>4342</v>
      </c>
    </row>
    <row r="1271" spans="1:14">
      <c r="A1271" s="12" t="s">
        <v>1866</v>
      </c>
      <c r="B1271" s="13" t="s">
        <v>718</v>
      </c>
      <c r="C1271" s="14"/>
      <c r="D1271" s="15">
        <v>42018.560868055552</v>
      </c>
      <c r="E1271" s="16" t="s">
        <v>16</v>
      </c>
      <c r="F1271" s="16" t="s">
        <v>16</v>
      </c>
      <c r="G1271" s="17" t="s">
        <v>738</v>
      </c>
      <c r="H1271" s="17" t="s">
        <v>1687</v>
      </c>
      <c r="I1271" s="13" t="s">
        <v>4343</v>
      </c>
      <c r="J1271" s="23" t="str">
        <f>HYPERLINK("CorLog\GHA\BEX 2\20150114 GHA BEX 2 Sound box area for audio video transmission in Dining Room area (RDC-to-RDC).msg", "Sound box area for audio video transmission in Dining Room area")</f>
        <v>Sound box area for audio video transmission in Dining Room area</v>
      </c>
      <c r="K1271" s="25"/>
      <c r="L1271" s="19"/>
      <c r="M1271" s="20"/>
      <c r="N1271" s="21" t="s">
        <v>4344</v>
      </c>
    </row>
    <row r="1272" spans="1:14">
      <c r="A1272" s="12" t="s">
        <v>1172</v>
      </c>
      <c r="B1272" s="13" t="s">
        <v>717</v>
      </c>
      <c r="C1272" s="14" t="s">
        <v>4345</v>
      </c>
      <c r="D1272" s="15">
        <v>42018.53434027778</v>
      </c>
      <c r="E1272" s="16" t="s">
        <v>17</v>
      </c>
      <c r="F1272" s="16" t="s">
        <v>16</v>
      </c>
      <c r="G1272" s="17" t="s">
        <v>22</v>
      </c>
      <c r="H1272" s="17" t="s">
        <v>4346</v>
      </c>
      <c r="I1272" s="13" t="s">
        <v>4347</v>
      </c>
      <c r="J1272" s="23" t="str">
        <f>HYPERLINK("CorLog\COD\Kikwit RTO\20150114 COD Kikwit and Lubumbashi DC-41 no 2 submittals - why over the CPP (WDC-to-RDC).msg", "Kikwit and Lubumbashi DC-41 no 2 submittals - why over the CPP")</f>
        <v>Kikwit and Lubumbashi DC-41 no 2 submittals - why over the CPP</v>
      </c>
      <c r="K1272" s="25" t="s">
        <v>1211</v>
      </c>
      <c r="L1272" s="19"/>
      <c r="M1272" s="20"/>
      <c r="N1272" s="21" t="s">
        <v>4348</v>
      </c>
    </row>
    <row r="1273" spans="1:14">
      <c r="A1273" s="12" t="s">
        <v>4349</v>
      </c>
      <c r="B1273" s="13"/>
      <c r="C1273" s="14"/>
      <c r="D1273" s="15">
        <v>42018</v>
      </c>
      <c r="E1273" s="16" t="s">
        <v>25</v>
      </c>
      <c r="F1273" s="16" t="s">
        <v>18</v>
      </c>
      <c r="G1273" s="17" t="s">
        <v>1065</v>
      </c>
      <c r="H1273" s="17" t="s">
        <v>4350</v>
      </c>
      <c r="I1273" s="13" t="s">
        <v>4351</v>
      </c>
      <c r="J1273" s="23" t="str">
        <f>HYPERLINK("CorLog\ZMB\RTO Projects\20150114 ZMB RTO Projects Audio Recording Equipment for Nsenga and Lunda Languages (WHQ-to-ZMB).doc", "Audio Recording Equipment for Nsenga and Lunda Languages")</f>
        <v>Audio Recording Equipment for Nsenga and Lunda Languages</v>
      </c>
      <c r="K1273" s="25"/>
      <c r="L1273" s="19"/>
      <c r="M1273" s="20"/>
      <c r="N1273" s="21" t="s">
        <v>4352</v>
      </c>
    </row>
    <row r="1274" spans="1:14">
      <c r="A1274" s="12" t="s">
        <v>907</v>
      </c>
      <c r="B1274" s="13"/>
      <c r="C1274" s="14"/>
      <c r="D1274" s="15">
        <v>42017</v>
      </c>
      <c r="E1274" s="16" t="s">
        <v>25</v>
      </c>
      <c r="F1274" s="16" t="s">
        <v>18</v>
      </c>
      <c r="G1274" s="17" t="s">
        <v>885</v>
      </c>
      <c r="H1274" s="17" t="s">
        <v>781</v>
      </c>
      <c r="I1274" s="13" t="s">
        <v>4353</v>
      </c>
      <c r="J1274" s="23" t="str">
        <f>HYPERLINK("CorLog\ZMB\Kabompo RTO\20150113 ZMB Kabompo RTO Jason and Kelly Ritchie (BCF assignment) (WHQ-to-ZMB).docx", "Jason and Kelly Ritchie (BCF assignment)")</f>
        <v>Jason and Kelly Ritchie (BCF assignment)</v>
      </c>
      <c r="K1274" s="23" t="str">
        <f>HYPERLINK("CorLog\ZMB\Kabompo RTO\20150113 ZMB Kabompo RTO Jason and Kelly Ritchie (BCF assignment) (WHQ-to-ZMB).zip", "Zipped")</f>
        <v>Zipped</v>
      </c>
      <c r="L1274" s="19"/>
      <c r="M1274" s="20"/>
      <c r="N1274" s="21" t="s">
        <v>4354</v>
      </c>
    </row>
    <row r="1275" spans="1:14">
      <c r="A1275" s="12" t="s">
        <v>750</v>
      </c>
      <c r="B1275" s="13" t="s">
        <v>718</v>
      </c>
      <c r="C1275" s="14" t="s">
        <v>724</v>
      </c>
      <c r="D1275" s="15">
        <v>42016.864699074074</v>
      </c>
      <c r="E1275" s="16" t="s">
        <v>16</v>
      </c>
      <c r="F1275" s="16" t="s">
        <v>16</v>
      </c>
      <c r="G1275" s="17" t="s">
        <v>823</v>
      </c>
      <c r="H1275" s="17" t="s">
        <v>731</v>
      </c>
      <c r="I1275" s="13" t="s">
        <v>4355</v>
      </c>
      <c r="J1275" s="23" t="str">
        <f>HYPERLINK("CorLog\GHA\LDC\20150112 GHA LDC DC-41 No 2 Ghana Nyanyanu Assembly Hall (USD 242,110) (RDC-to-RDC).msg", "DC-41 No 2 Ghana Nyanyanu Assembly Hall (USD 242,110)")</f>
        <v>DC-41 No 2 Ghana Nyanyanu Assembly Hall (USD 242,110)</v>
      </c>
      <c r="K1275" s="25" t="s">
        <v>1211</v>
      </c>
      <c r="L1275" s="19"/>
      <c r="M1275" s="20"/>
      <c r="N1275" s="21" t="s">
        <v>4356</v>
      </c>
    </row>
    <row r="1276" spans="1:14">
      <c r="A1276" s="12" t="s">
        <v>718</v>
      </c>
      <c r="B1276" s="13" t="s">
        <v>757</v>
      </c>
      <c r="C1276" s="14" t="s">
        <v>3476</v>
      </c>
      <c r="D1276" s="15">
        <v>42016.493750000001</v>
      </c>
      <c r="E1276" s="16" t="s">
        <v>16</v>
      </c>
      <c r="F1276" s="16" t="s">
        <v>21</v>
      </c>
      <c r="G1276" s="17" t="s">
        <v>730</v>
      </c>
      <c r="H1276" s="17" t="s">
        <v>953</v>
      </c>
      <c r="I1276" s="13" t="s">
        <v>4357</v>
      </c>
      <c r="J1276" s="23" t="str">
        <f>HYPERLINK("CorLog\GHA\Baatsona SKE\20150112 GHA Baatsona SKE Draft cost of Falcon Eng construction project management (RDC-to-GHA).msg", "Draft cost of Falcon Eng construction project management")</f>
        <v>Draft cost of Falcon Eng construction project management</v>
      </c>
      <c r="K1276" s="25" t="s">
        <v>1211</v>
      </c>
      <c r="L1276" s="19"/>
      <c r="M1276" s="20"/>
      <c r="N1276" s="21" t="s">
        <v>4358</v>
      </c>
    </row>
    <row r="1277" spans="1:14">
      <c r="A1277" s="12" t="s">
        <v>1340</v>
      </c>
      <c r="B1277" s="13"/>
      <c r="C1277" s="14"/>
      <c r="D1277" s="15">
        <v>42016</v>
      </c>
      <c r="E1277" s="16" t="s">
        <v>15</v>
      </c>
      <c r="F1277" s="16" t="s">
        <v>30</v>
      </c>
      <c r="G1277" s="17" t="s">
        <v>30</v>
      </c>
      <c r="H1277" s="17" t="s">
        <v>4359</v>
      </c>
      <c r="I1277" s="13" t="s">
        <v>4360</v>
      </c>
      <c r="J1277" s="23" t="str">
        <f>HYPERLINK("CorLog\ALL\20150112 ALL Theocratic Facility PV System Evaluation and Design Support - Questionnaire (ZAF-to-ALL).docx", "Theocratic Facility PV System Evaluation and Design Support - Questionnaire")</f>
        <v>Theocratic Facility PV System Evaluation and Design Support - Questionnaire</v>
      </c>
      <c r="K1277" s="23" t="str">
        <f>HYPERLINK("CorLog\ALL\20150112 ALL Theocratic Facility PV System Evaluation and Design Support - Questionnaire (ZAF-to-ALL).zip", "Zipped")</f>
        <v>Zipped</v>
      </c>
      <c r="L1277" s="19"/>
      <c r="M1277" s="20"/>
      <c r="N1277" s="21" t="s">
        <v>4361</v>
      </c>
    </row>
    <row r="1278" spans="1:14">
      <c r="A1278" s="12" t="s">
        <v>4115</v>
      </c>
      <c r="B1278" s="13"/>
      <c r="C1278" s="14"/>
      <c r="D1278" s="15">
        <v>42016</v>
      </c>
      <c r="E1278" s="16" t="s">
        <v>15</v>
      </c>
      <c r="F1278" s="16" t="s">
        <v>18</v>
      </c>
      <c r="G1278" s="17" t="s">
        <v>1941</v>
      </c>
      <c r="H1278" s="17" t="s">
        <v>995</v>
      </c>
      <c r="I1278" s="13" t="s">
        <v>4362</v>
      </c>
      <c r="J1278" s="23" t="str">
        <f>HYPERLINK("CorLog\COD\RTO Projects\20150112 COD RTO Projects Projects Overseer Report - December 2014 RDC reply (ZAF-to-ZMB).docx", "Projects Overseer Report - December 2014 RDC reply")</f>
        <v>Projects Overseer Report - December 2014 RDC reply</v>
      </c>
      <c r="K1278" s="23"/>
      <c r="L1278" s="19"/>
      <c r="M1278" s="20"/>
      <c r="N1278" s="21" t="s">
        <v>4363</v>
      </c>
    </row>
    <row r="1279" spans="1:14">
      <c r="A1279" s="12" t="s">
        <v>4115</v>
      </c>
      <c r="B1279" s="13"/>
      <c r="C1279" s="14"/>
      <c r="D1279" s="15">
        <v>42016</v>
      </c>
      <c r="E1279" s="16" t="s">
        <v>15</v>
      </c>
      <c r="F1279" s="16" t="s">
        <v>17</v>
      </c>
      <c r="G1279" s="17" t="s">
        <v>979</v>
      </c>
      <c r="H1279" s="17" t="s">
        <v>4364</v>
      </c>
      <c r="I1279" s="13" t="s">
        <v>4365</v>
      </c>
      <c r="J1279" s="23" t="str">
        <f>HYPERLINK("CorLog\RTO\Projects\20150112 RTO Projects Security for Remote Construction Projects - Africa (ZAF-to-WDC).docx", "Security for Remote Construction Projects - Africa")</f>
        <v>Security for Remote Construction Projects - Africa</v>
      </c>
      <c r="K1279" s="23" t="str">
        <f>HYPERLINK("C:\Users\sbent\Documents\5-Work\CorLog\RTO\Projects\20150112 RTO Projects Security for Remote Construction Projects - Africa (ZAF-to-WDC).zip", "Zipped")</f>
        <v>Zipped</v>
      </c>
      <c r="L1279" s="19"/>
      <c r="M1279" s="20"/>
      <c r="N1279" s="21" t="s">
        <v>4366</v>
      </c>
    </row>
    <row r="1280" spans="1:14">
      <c r="A1280" s="12" t="s">
        <v>4367</v>
      </c>
      <c r="B1280" s="13" t="s">
        <v>2016</v>
      </c>
      <c r="C1280" s="14" t="s">
        <v>4368</v>
      </c>
      <c r="D1280" s="15">
        <v>42013.508194444446</v>
      </c>
      <c r="E1280" s="16" t="s">
        <v>22</v>
      </c>
      <c r="F1280" s="16" t="s">
        <v>16</v>
      </c>
      <c r="G1280" s="17" t="s">
        <v>1432</v>
      </c>
      <c r="H1280" s="17" t="s">
        <v>1015</v>
      </c>
      <c r="I1280" s="13" t="s">
        <v>4369</v>
      </c>
      <c r="J1280" s="23" t="str">
        <f>HYPERLINK("CorLog\COD\LDC\20150109 COD LDC RTO property search group for this month’s work (COD-to-RDC).msg", "RTO property search group for this month’s work")</f>
        <v>RTO property search group for this month’s work</v>
      </c>
      <c r="K1280" s="25"/>
      <c r="L1280" s="19"/>
      <c r="M1280" s="20"/>
      <c r="N1280" s="21" t="s">
        <v>4370</v>
      </c>
    </row>
    <row r="1281" spans="1:14">
      <c r="A1281" s="12" t="s">
        <v>724</v>
      </c>
      <c r="B1281" s="13" t="s">
        <v>718</v>
      </c>
      <c r="C1281" s="14"/>
      <c r="D1281" s="15">
        <v>42013.359039351853</v>
      </c>
      <c r="E1281" s="16" t="s">
        <v>16</v>
      </c>
      <c r="F1281" s="16" t="s">
        <v>16</v>
      </c>
      <c r="G1281" s="17" t="s">
        <v>790</v>
      </c>
      <c r="H1281" s="17" t="s">
        <v>781</v>
      </c>
      <c r="I1281" s="13" t="s">
        <v>4371</v>
      </c>
      <c r="J1281" s="23" t="str">
        <f>HYPERLINK("CorLog\GHA\BEX\20150109 Ghana construction projects and the RDC (RDC-to-RDC).msg", "Ghana construction projects and the RDC")</f>
        <v>Ghana construction projects and the RDC</v>
      </c>
      <c r="K1281" s="25"/>
      <c r="L1281" s="19"/>
      <c r="M1281" s="20"/>
      <c r="N1281" s="21" t="s">
        <v>4372</v>
      </c>
    </row>
    <row r="1282" spans="1:14">
      <c r="A1282" s="12" t="s">
        <v>1403</v>
      </c>
      <c r="B1282" s="13"/>
      <c r="C1282" s="14"/>
      <c r="D1282" s="15">
        <v>42012</v>
      </c>
      <c r="E1282" s="16" t="s">
        <v>25</v>
      </c>
      <c r="F1282" s="16" t="s">
        <v>30</v>
      </c>
      <c r="G1282" s="17" t="s">
        <v>719</v>
      </c>
      <c r="H1282" s="17" t="s">
        <v>992</v>
      </c>
      <c r="I1282" s="13" t="s">
        <v>4373</v>
      </c>
      <c r="J1282" s="18" t="str">
        <f>HYPERLINK("CorLog\Reference\20150108 Reference Use of Requisitions in Admin (WHQ-to-ALL).doc", "Use of Requisitions in Admin")</f>
        <v>Use of Requisitions in Admin</v>
      </c>
      <c r="K1282" s="18" t="str">
        <f>HYPERLINK("CorLog\Reference\20150108 Reference Use of Requisitions in Admin (WHQ-to-ALL).zip", "Zipped (1)")</f>
        <v>Zipped (1)</v>
      </c>
      <c r="L1282" s="19" t="s">
        <v>4374</v>
      </c>
      <c r="M1282" s="20"/>
      <c r="N1282" s="21" t="s">
        <v>4375</v>
      </c>
    </row>
    <row r="1283" spans="1:14">
      <c r="A1283" s="12" t="s">
        <v>4376</v>
      </c>
      <c r="B1283" s="13"/>
      <c r="C1283" s="14"/>
      <c r="D1283" s="15">
        <v>42012</v>
      </c>
      <c r="E1283" s="16" t="s">
        <v>25</v>
      </c>
      <c r="F1283" s="16" t="s">
        <v>30</v>
      </c>
      <c r="G1283" s="17" t="s">
        <v>719</v>
      </c>
      <c r="H1283" s="17" t="s">
        <v>4377</v>
      </c>
      <c r="I1283" s="13" t="s">
        <v>4378</v>
      </c>
      <c r="J1283" s="23" t="str">
        <f>HYPERLINK("CorLog\Reference\20150108 Reference LDC Supervise maintenance of remote facilities (WHQ-to-ALL).doc", "LDC Supervise maintenance of remote facilities")</f>
        <v>LDC Supervise maintenance of remote facilities</v>
      </c>
      <c r="K1283" s="23"/>
      <c r="L1283" s="19"/>
      <c r="M1283" s="20"/>
      <c r="N1283" s="21" t="s">
        <v>4379</v>
      </c>
    </row>
    <row r="1284" spans="1:14">
      <c r="A1284" s="12" t="s">
        <v>2016</v>
      </c>
      <c r="B1284" s="13" t="s">
        <v>771</v>
      </c>
      <c r="C1284" s="14" t="s">
        <v>4380</v>
      </c>
      <c r="D1284" s="15">
        <v>42011.976956018516</v>
      </c>
      <c r="E1284" s="16" t="s">
        <v>16</v>
      </c>
      <c r="F1284" s="16" t="s">
        <v>17</v>
      </c>
      <c r="G1284" s="17" t="s">
        <v>913</v>
      </c>
      <c r="H1284" s="17" t="s">
        <v>4381</v>
      </c>
      <c r="I1284" s="13" t="s">
        <v>4382</v>
      </c>
      <c r="J1284" s="23" t="str">
        <f>HYPERLINK("CorLog\COD\Branch\20150107 COD Branch Need for branch staffing analysis (RDC-to-WDC).msg", "Need for branch staffing analysis")</f>
        <v>Need for branch staffing analysis</v>
      </c>
      <c r="K1284" s="25" t="s">
        <v>1243</v>
      </c>
      <c r="L1284" s="19"/>
      <c r="M1284" s="20"/>
      <c r="N1284" s="21" t="s">
        <v>4383</v>
      </c>
    </row>
    <row r="1285" spans="1:14">
      <c r="A1285" s="12" t="s">
        <v>718</v>
      </c>
      <c r="B1285" s="13" t="s">
        <v>795</v>
      </c>
      <c r="C1285" s="14"/>
      <c r="D1285" s="15">
        <v>42011.65347222222</v>
      </c>
      <c r="E1285" s="16" t="s">
        <v>16</v>
      </c>
      <c r="F1285" s="16" t="s">
        <v>16</v>
      </c>
      <c r="G1285" s="17" t="s">
        <v>790</v>
      </c>
      <c r="H1285" s="17" t="s">
        <v>1489</v>
      </c>
      <c r="I1285" s="13" t="s">
        <v>4384</v>
      </c>
      <c r="J1285" s="23" t="str">
        <f>HYPERLINK("CorLog\GHA\BEX\20150107 GHA BEX Gas line dimension query (RDC-to-RDC).msg", "Gas line dimension query")</f>
        <v>Gas line dimension query</v>
      </c>
      <c r="K1285" s="25" t="s">
        <v>1211</v>
      </c>
      <c r="L1285" s="19"/>
      <c r="M1285" s="20"/>
      <c r="N1285" s="21" t="s">
        <v>4385</v>
      </c>
    </row>
    <row r="1286" spans="1:14">
      <c r="A1286" s="12" t="s">
        <v>789</v>
      </c>
      <c r="B1286" s="13"/>
      <c r="C1286" s="14"/>
      <c r="D1286" s="15">
        <v>42011</v>
      </c>
      <c r="E1286" s="16" t="s">
        <v>21</v>
      </c>
      <c r="F1286" s="16" t="s">
        <v>16</v>
      </c>
      <c r="G1286" s="17" t="s">
        <v>790</v>
      </c>
      <c r="H1286" s="17" t="s">
        <v>781</v>
      </c>
      <c r="I1286" s="13" t="s">
        <v>4386</v>
      </c>
      <c r="J1286" s="23" t="str">
        <f>HYPERLINK("CorLog\GHA\BEX\20150107 GHA BEX Expatriate Construction Servant Evaluation Forms 2014 (DC-53) (GHA-to-RDC).docx", "Expatriate Construction Servant Evaluation Forms 2014 (DC-53)")</f>
        <v>Expatriate Construction Servant Evaluation Forms 2014 (DC-53)</v>
      </c>
      <c r="K1286" s="23" t="str">
        <f>HYPERLINK("CorLog\GHA\BEX\20150107 GHA BEX Expatriate Construction Servant Evaluation Forms 2014 (DC-53) (GHA-to-RDC).zip", "Zipped")</f>
        <v>Zipped</v>
      </c>
      <c r="L1286" s="19"/>
      <c r="M1286" s="20"/>
      <c r="N1286" s="21" t="s">
        <v>4387</v>
      </c>
    </row>
    <row r="1287" spans="1:14">
      <c r="A1287" s="12" t="s">
        <v>827</v>
      </c>
      <c r="B1287" s="13" t="s">
        <v>718</v>
      </c>
      <c r="C1287" s="14" t="s">
        <v>842</v>
      </c>
      <c r="D1287" s="15">
        <v>42010.72351851852</v>
      </c>
      <c r="E1287" s="16" t="s">
        <v>21</v>
      </c>
      <c r="F1287" s="16" t="s">
        <v>16</v>
      </c>
      <c r="G1287" s="17" t="s">
        <v>790</v>
      </c>
      <c r="H1287" s="17" t="s">
        <v>4388</v>
      </c>
      <c r="I1287" s="13" t="s">
        <v>4389</v>
      </c>
      <c r="J1287" s="23" t="str">
        <f>HYPERLINK("CorLog\GHA\BEX\20150106 GHA BEX Damaged 24V Transformer in Generator Control Board (GHA-to-RDC).msg", "Damaged 24V Transformer in Generator Control Board")</f>
        <v>Damaged 24V Transformer in Generator Control Board</v>
      </c>
      <c r="K1287" s="25" t="s">
        <v>1211</v>
      </c>
      <c r="L1287" s="19"/>
      <c r="M1287" s="20"/>
      <c r="N1287" s="21" t="s">
        <v>4390</v>
      </c>
    </row>
    <row r="1288" spans="1:14">
      <c r="A1288" s="12" t="s">
        <v>718</v>
      </c>
      <c r="B1288" s="13" t="s">
        <v>1069</v>
      </c>
      <c r="C1288" s="14" t="s">
        <v>4391</v>
      </c>
      <c r="D1288" s="15">
        <v>42010.588888888888</v>
      </c>
      <c r="E1288" s="16" t="s">
        <v>16</v>
      </c>
      <c r="F1288" s="16" t="s">
        <v>18</v>
      </c>
      <c r="G1288" s="17" t="s">
        <v>1070</v>
      </c>
      <c r="H1288" s="17" t="s">
        <v>829</v>
      </c>
      <c r="I1288" s="13" t="s">
        <v>4392</v>
      </c>
      <c r="J1288" s="23" t="str">
        <f>HYPERLINK("CorLog\ZMB\Katete RTO\20150106 ZMB Katete RTO RDC review of Draft NLBR; REQ 520-9535; Ventilation &amp; Ducting; 20141230 pdf (RDC-to-ZMB).msg", "RDC review of Draft NLBR; REQ 520-9535; Ventilation &amp; Ducting; 20141230 pdf")</f>
        <v>RDC review of Draft NLBR; REQ 520-9535; Ventilation &amp; Ducting; 20141230 pdf</v>
      </c>
      <c r="K1288" s="25" t="s">
        <v>1274</v>
      </c>
      <c r="L1288" s="19"/>
      <c r="M1288" s="20"/>
      <c r="N1288" s="21" t="s">
        <v>4393</v>
      </c>
    </row>
    <row r="1289" spans="1:14">
      <c r="A1289" s="12" t="s">
        <v>718</v>
      </c>
      <c r="B1289" s="13" t="s">
        <v>1337</v>
      </c>
      <c r="C1289" s="14" t="s">
        <v>4394</v>
      </c>
      <c r="D1289" s="15">
        <v>42010.572916666664</v>
      </c>
      <c r="E1289" s="16" t="s">
        <v>16</v>
      </c>
      <c r="F1289" s="16" t="s">
        <v>18</v>
      </c>
      <c r="G1289" s="17" t="s">
        <v>885</v>
      </c>
      <c r="H1289" s="17" t="s">
        <v>1400</v>
      </c>
      <c r="I1289" s="13" t="s">
        <v>4395</v>
      </c>
      <c r="J1289" s="23" t="str">
        <f>HYPERLINK("CorLog\ZMB\Kabompo RTO\20150106 ZMB Kabompo RTO Trox louvers; Order 220534 Discrepancy 20140106 (RDC-to-ZMB).msg", "Trox louvers; Order 220534 Discrepancy 20140106")</f>
        <v>Trox louvers; Order 220534 Discrepancy 20140106</v>
      </c>
      <c r="K1289" s="25" t="s">
        <v>1270</v>
      </c>
      <c r="L1289" s="19"/>
      <c r="M1289" s="20"/>
      <c r="N1289" s="21" t="s">
        <v>4396</v>
      </c>
    </row>
    <row r="1290" spans="1:14">
      <c r="A1290" s="12" t="s">
        <v>718</v>
      </c>
      <c r="B1290" s="13" t="s">
        <v>1181</v>
      </c>
      <c r="C1290" s="14"/>
      <c r="D1290" s="15">
        <v>42010.49722222222</v>
      </c>
      <c r="E1290" s="16" t="s">
        <v>16</v>
      </c>
      <c r="F1290" s="16" t="s">
        <v>16</v>
      </c>
      <c r="G1290" s="17" t="s">
        <v>979</v>
      </c>
      <c r="H1290" s="17" t="s">
        <v>759</v>
      </c>
      <c r="I1290" s="13" t="s">
        <v>4397</v>
      </c>
      <c r="J1290" s="23" t="str">
        <f>HYPERLINK("CorLog\RTO\Projects\20150106 RTO Projects Simplifying RTO Minutes from our discussion (RDC-to-RDC).msg", "Simplifying RTO Minutes from our discussion")</f>
        <v>Simplifying RTO Minutes from our discussion</v>
      </c>
      <c r="K1290" s="25" t="s">
        <v>1211</v>
      </c>
      <c r="L1290" s="19"/>
      <c r="M1290" s="20"/>
      <c r="N1290" s="21" t="s">
        <v>4398</v>
      </c>
    </row>
    <row r="1291" spans="1:14">
      <c r="A1291" s="12" t="s">
        <v>718</v>
      </c>
      <c r="B1291" s="13" t="s">
        <v>827</v>
      </c>
      <c r="C1291" s="14" t="s">
        <v>4399</v>
      </c>
      <c r="D1291" s="15">
        <v>42010.444444444445</v>
      </c>
      <c r="E1291" s="16" t="s">
        <v>16</v>
      </c>
      <c r="F1291" s="16" t="s">
        <v>21</v>
      </c>
      <c r="G1291" s="17" t="s">
        <v>790</v>
      </c>
      <c r="H1291" s="17" t="s">
        <v>829</v>
      </c>
      <c r="I1291" s="13" t="s">
        <v>4400</v>
      </c>
      <c r="J1291" s="23" t="str">
        <f>HYPERLINK("CorLog\GHA\BEX\20150106 GHA BEX RDC review of NLBR Package - 27- SUBMITTAL (RDC-to-GHA).msg", "RDC review of NLBR Package - 27- SUBMITTAL")</f>
        <v>RDC review of NLBR Package - 27- SUBMITTAL</v>
      </c>
      <c r="K1291" s="25" t="s">
        <v>1243</v>
      </c>
      <c r="L1291" s="19"/>
      <c r="M1291" s="20"/>
      <c r="N1291" s="21" t="s">
        <v>4401</v>
      </c>
    </row>
    <row r="1292" spans="1:14">
      <c r="A1292" s="12" t="s">
        <v>718</v>
      </c>
      <c r="B1292" s="13" t="s">
        <v>2431</v>
      </c>
      <c r="C1292" s="14" t="s">
        <v>4402</v>
      </c>
      <c r="D1292" s="15">
        <v>42010.405555555553</v>
      </c>
      <c r="E1292" s="16" t="s">
        <v>16</v>
      </c>
      <c r="F1292" s="16" t="s">
        <v>22</v>
      </c>
      <c r="G1292" s="17" t="s">
        <v>785</v>
      </c>
      <c r="H1292" s="17" t="s">
        <v>1031</v>
      </c>
      <c r="I1292" s="13" t="s">
        <v>4403</v>
      </c>
      <c r="J1292" s="23" t="str">
        <f>HYPERLINK("CorLog\COD\Lubumbashi RTO\20150106 COD Lubumbashi RTO RTO Borehole (final depth = 80m) (RDC-to-COD).msg", "RTO Borehole (final depth = 80m)")</f>
        <v>RTO Borehole (final depth = 80m)</v>
      </c>
      <c r="K1292" s="25"/>
      <c r="L1292" s="19"/>
      <c r="M1292" s="20"/>
      <c r="N1292" s="21" t="s">
        <v>4404</v>
      </c>
    </row>
    <row r="1293" spans="1:14">
      <c r="A1293" s="12" t="s">
        <v>874</v>
      </c>
      <c r="B1293" s="13"/>
      <c r="C1293" s="14"/>
      <c r="D1293" s="15">
        <v>42010</v>
      </c>
      <c r="E1293" s="16" t="s">
        <v>25</v>
      </c>
      <c r="F1293" s="16" t="s">
        <v>30</v>
      </c>
      <c r="G1293" s="17" t="s">
        <v>719</v>
      </c>
      <c r="H1293" s="17" t="s">
        <v>4405</v>
      </c>
      <c r="I1293" s="13" t="s">
        <v>4406</v>
      </c>
      <c r="J1293" s="23" t="str">
        <f>HYPERLINK("CorLog\Reference\20150106 Reference Theocratic School Facilities Survey (WHQ-to-ALL).doc", "Theocratic School Facilities Survey")</f>
        <v>Theocratic School Facilities Survey</v>
      </c>
      <c r="K1293" s="23" t="str">
        <f>HYPERLINK("CorLog - Memos\2015-01\Reference\20150106 Reference Theocratic School Facilities Survey (WHQ-to-ALL).zip", "Zipped")</f>
        <v>Zipped</v>
      </c>
      <c r="L1293" s="19"/>
      <c r="M1293" s="20"/>
      <c r="N1293" s="21" t="s">
        <v>4407</v>
      </c>
    </row>
    <row r="1294" spans="1:14">
      <c r="A1294" s="12" t="s">
        <v>718</v>
      </c>
      <c r="B1294" s="13" t="s">
        <v>795</v>
      </c>
      <c r="C1294" s="14" t="s">
        <v>750</v>
      </c>
      <c r="D1294" s="15">
        <v>42009.65625</v>
      </c>
      <c r="E1294" s="16" t="s">
        <v>16</v>
      </c>
      <c r="F1294" s="16" t="s">
        <v>16</v>
      </c>
      <c r="G1294" s="17" t="s">
        <v>738</v>
      </c>
      <c r="H1294" s="17" t="s">
        <v>4408</v>
      </c>
      <c r="I1294" s="13" t="s">
        <v>3987</v>
      </c>
      <c r="J1294" s="23" t="str">
        <f>HYPERLINK("CorLog\GHA\BEX 2\20150105 GHA BEX 2 Impact of gas vs electric appliances (Meeting Minutes) (RDC-to-RDC).msg", "Impact of gas vs electric appliances (Meeting Minutes)")</f>
        <v>Impact of gas vs electric appliances (Meeting Minutes)</v>
      </c>
      <c r="K1294" s="25"/>
      <c r="L1294" s="19"/>
      <c r="M1294" s="20"/>
      <c r="N1294" s="21" t="s">
        <v>4409</v>
      </c>
    </row>
    <row r="1295" spans="1:14">
      <c r="A1295" s="12" t="s">
        <v>718</v>
      </c>
      <c r="B1295" s="13" t="s">
        <v>827</v>
      </c>
      <c r="C1295" s="14" t="s">
        <v>4410</v>
      </c>
      <c r="D1295" s="15">
        <v>42009.557638888888</v>
      </c>
      <c r="E1295" s="16" t="s">
        <v>16</v>
      </c>
      <c r="F1295" s="16" t="s">
        <v>21</v>
      </c>
      <c r="G1295" s="17" t="s">
        <v>790</v>
      </c>
      <c r="H1295" s="17" t="s">
        <v>829</v>
      </c>
      <c r="I1295" s="13" t="s">
        <v>4411</v>
      </c>
      <c r="J1295" s="23" t="str">
        <f>HYPERLINK("CorLog\GHA\BEX\20150105 GHA BEX RDC review of NLBR Package -30 - Submittal - REQ 52642 Only (RDC-to-GHA).msg", "RDC review of NLBR Package -30 - Submittal - REQ 52642 Only")</f>
        <v>RDC review of NLBR Package -30 - Submittal - REQ 52642 Only</v>
      </c>
      <c r="K1295" s="25" t="s">
        <v>1211</v>
      </c>
      <c r="L1295" s="19"/>
      <c r="M1295" s="20"/>
      <c r="N1295" s="21" t="s">
        <v>4412</v>
      </c>
    </row>
    <row r="1296" spans="1:14">
      <c r="A1296" s="12" t="s">
        <v>718</v>
      </c>
      <c r="B1296" s="13" t="s">
        <v>827</v>
      </c>
      <c r="C1296" s="14" t="s">
        <v>4413</v>
      </c>
      <c r="D1296" s="15">
        <v>42009.487500000003</v>
      </c>
      <c r="E1296" s="16" t="s">
        <v>16</v>
      </c>
      <c r="F1296" s="16" t="s">
        <v>21</v>
      </c>
      <c r="G1296" s="17" t="s">
        <v>790</v>
      </c>
      <c r="H1296" s="17" t="s">
        <v>829</v>
      </c>
      <c r="I1296" s="13" t="s">
        <v>4414</v>
      </c>
      <c r="J1296" s="23" t="str">
        <f>HYPERLINK("CorLog\GHA\BEX\20150105 GHA BEX NLBR 4623 Ghana Lines 210 310 (replacing the MSZ-GE25 AC units with the MSZ-SF25 AC units) (RDC-to-GHA).msg", "NLBR 4623 Ghana Lines 210 310 (replacing the MSZ-GE25 AC units with the MSZ-SF25 AC units)")</f>
        <v>NLBR 4623 Ghana Lines 210 310 (replacing the MSZ-GE25 AC units with the MSZ-SF25 AC units)</v>
      </c>
      <c r="K1296" s="25" t="s">
        <v>1270</v>
      </c>
      <c r="L1296" s="19"/>
      <c r="M1296" s="20"/>
      <c r="N1296" s="21" t="s">
        <v>4415</v>
      </c>
    </row>
    <row r="1297" spans="1:14">
      <c r="A1297" s="12" t="s">
        <v>718</v>
      </c>
      <c r="B1297" s="13" t="s">
        <v>1069</v>
      </c>
      <c r="C1297" s="14" t="s">
        <v>4416</v>
      </c>
      <c r="D1297" s="15">
        <v>42009.44027777778</v>
      </c>
      <c r="E1297" s="16" t="s">
        <v>16</v>
      </c>
      <c r="F1297" s="16" t="s">
        <v>18</v>
      </c>
      <c r="G1297" s="17" t="s">
        <v>1070</v>
      </c>
      <c r="H1297" s="17" t="s">
        <v>829</v>
      </c>
      <c r="I1297" s="13" t="s">
        <v>4417</v>
      </c>
      <c r="J1297" s="23" t="str">
        <f>HYPERLINK("CorLog\ZMB\Katete RTO\20150105 ZMB Katete RTO RDC review of Draft NLBR; REQ 520-9533; Air Conditioners &amp; Parts; 20141230 pdf (RDC-to-ZMB).msg", "RDC review of Draft NLBR; REQ 520-9533; Air Conditioners &amp; Parts; 20141230 pdf")</f>
        <v>RDC review of Draft NLBR; REQ 520-9533; Air Conditioners &amp; Parts; 20141230 pdf</v>
      </c>
      <c r="K1297" s="25" t="s">
        <v>1211</v>
      </c>
      <c r="L1297" s="19"/>
      <c r="M1297" s="20"/>
      <c r="N1297" s="21" t="s">
        <v>4418</v>
      </c>
    </row>
    <row r="1298" spans="1:14">
      <c r="A1298" s="12" t="s">
        <v>718</v>
      </c>
      <c r="B1298" s="13" t="s">
        <v>1069</v>
      </c>
      <c r="C1298" s="14" t="s">
        <v>4419</v>
      </c>
      <c r="D1298" s="15">
        <v>42009.438194444447</v>
      </c>
      <c r="E1298" s="16" t="s">
        <v>16</v>
      </c>
      <c r="F1298" s="16" t="s">
        <v>18</v>
      </c>
      <c r="G1298" s="17" t="s">
        <v>1070</v>
      </c>
      <c r="H1298" s="17" t="s">
        <v>829</v>
      </c>
      <c r="I1298" s="13" t="s">
        <v>4420</v>
      </c>
      <c r="J1298" s="23" t="str">
        <f>HYPERLINK("CorLog\ZMB\Katete RTO\20150105 ZMB Katete RTO RDC review of Draft NLBR; REQ 520-9530; Bathroom Sinks &amp; Vanities; 20141230 pdf (RDC-to-ZMB).msg", "RDC review of Draft NLBR; REQ 520-9530; Bathroom Sinks &amp; Vanities; 20141230 pdf")</f>
        <v>RDC review of Draft NLBR; REQ 520-9530; Bathroom Sinks &amp; Vanities; 20141230 pdf</v>
      </c>
      <c r="K1298" s="25" t="s">
        <v>1211</v>
      </c>
      <c r="L1298" s="19"/>
      <c r="M1298" s="20"/>
      <c r="N1298" s="21" t="s">
        <v>4421</v>
      </c>
    </row>
    <row r="1299" spans="1:14">
      <c r="A1299" s="12" t="s">
        <v>718</v>
      </c>
      <c r="B1299" s="13" t="s">
        <v>827</v>
      </c>
      <c r="C1299" s="14" t="s">
        <v>3489</v>
      </c>
      <c r="D1299" s="15">
        <v>42009.4</v>
      </c>
      <c r="E1299" s="16" t="s">
        <v>16</v>
      </c>
      <c r="F1299" s="16" t="s">
        <v>21</v>
      </c>
      <c r="G1299" s="17" t="s">
        <v>790</v>
      </c>
      <c r="H1299" s="17" t="s">
        <v>829</v>
      </c>
      <c r="I1299" s="13" t="s">
        <v>4422</v>
      </c>
      <c r="J1299" s="23" t="str">
        <f>HYPERLINK("CorLog\GHA\BEX\20150105 GHA BEX RDC review of NLBR-GHA-4633 Line 200 (RDC-to-GHA).msg", "RDC review of NLBR-GHA-4633 Line 200")</f>
        <v>RDC review of NLBR-GHA-4633 Line 200</v>
      </c>
      <c r="K1299" s="25" t="s">
        <v>1270</v>
      </c>
      <c r="L1299" s="19"/>
      <c r="M1299" s="20"/>
      <c r="N1299" s="21" t="s">
        <v>4423</v>
      </c>
    </row>
    <row r="1300" spans="1:14">
      <c r="A1300" s="12" t="s">
        <v>718</v>
      </c>
      <c r="B1300" s="13" t="s">
        <v>827</v>
      </c>
      <c r="C1300" s="14" t="s">
        <v>4413</v>
      </c>
      <c r="D1300" s="15">
        <v>42009.396527777775</v>
      </c>
      <c r="E1300" s="16" t="s">
        <v>16</v>
      </c>
      <c r="F1300" s="16" t="s">
        <v>21</v>
      </c>
      <c r="G1300" s="17" t="s">
        <v>790</v>
      </c>
      <c r="H1300" s="17" t="s">
        <v>1178</v>
      </c>
      <c r="I1300" s="13" t="s">
        <v>4424</v>
      </c>
      <c r="J1300" s="23" t="str">
        <f>HYPERLINK("CorLog\GHA\BEX\20150105 GHA BEX Generator diesel filters (REPLY) (RDC-to-GHA).msg", "Generator diesel filters (REPLY)")</f>
        <v>Generator diesel filters (REPLY)</v>
      </c>
      <c r="K1300" s="25" t="s">
        <v>1211</v>
      </c>
      <c r="L1300" s="19"/>
      <c r="M1300" s="20"/>
      <c r="N1300" s="21" t="s">
        <v>4425</v>
      </c>
    </row>
    <row r="1301" spans="1:14">
      <c r="A1301" s="12" t="s">
        <v>1116</v>
      </c>
      <c r="B1301" s="13" t="s">
        <v>1447</v>
      </c>
      <c r="C1301" s="14" t="s">
        <v>4426</v>
      </c>
      <c r="D1301" s="15">
        <v>42008.694085648145</v>
      </c>
      <c r="E1301" s="16" t="s">
        <v>22</v>
      </c>
      <c r="F1301" s="16" t="s">
        <v>16</v>
      </c>
      <c r="G1301" s="17" t="s">
        <v>785</v>
      </c>
      <c r="H1301" s="17" t="s">
        <v>867</v>
      </c>
      <c r="I1301" s="13" t="s">
        <v>4427</v>
      </c>
      <c r="J1301" s="23" t="str">
        <f>HYPERLINK("CorLog\COD\Lubumbashi RTO\20150104 COD Lubumbashi RTO Resubmit budgets without duty (COD-to-RDC).msg", "Resubmit budgets without duty")</f>
        <v>Resubmit budgets without duty</v>
      </c>
      <c r="K1301" s="25" t="s">
        <v>1274</v>
      </c>
      <c r="L1301" s="19"/>
      <c r="M1301" s="20"/>
      <c r="N1301" s="21" t="s">
        <v>4428</v>
      </c>
    </row>
    <row r="1302" spans="1:14">
      <c r="A1302" s="12" t="s">
        <v>806</v>
      </c>
      <c r="B1302" s="13" t="s">
        <v>718</v>
      </c>
      <c r="C1302" s="14" t="s">
        <v>4429</v>
      </c>
      <c r="D1302" s="15">
        <v>42008.670891203707</v>
      </c>
      <c r="E1302" s="16" t="s">
        <v>15</v>
      </c>
      <c r="F1302" s="16" t="s">
        <v>16</v>
      </c>
      <c r="G1302" s="17" t="s">
        <v>999</v>
      </c>
      <c r="H1302" s="17" t="s">
        <v>808</v>
      </c>
      <c r="I1302" s="13" t="s">
        <v>4430</v>
      </c>
      <c r="J1302" s="23" t="str">
        <f>HYPERLINK("CorLog\ZMB\Branch\20150104 ZMB Branch Zambia - ZMB-6167 Plasma cutter ($3,650 79) (RDC APPROVAL) (ZAF-to-RDC).msg", "Zambia - ZMB-6167 Plasma cutter ($3,650 79) (RDC APPROVAL)")</f>
        <v>Zambia - ZMB-6167 Plasma cutter ($3,650 79) (RDC APPROVAL)</v>
      </c>
      <c r="K1302" s="25" t="s">
        <v>1211</v>
      </c>
      <c r="L1302" s="19"/>
      <c r="M1302" s="20"/>
      <c r="N1302" s="21" t="s">
        <v>4431</v>
      </c>
    </row>
    <row r="1303" spans="1:14">
      <c r="A1303" s="12" t="s">
        <v>718</v>
      </c>
      <c r="B1303" s="13" t="s">
        <v>1035</v>
      </c>
      <c r="C1303" s="14" t="s">
        <v>4432</v>
      </c>
      <c r="D1303" s="15">
        <v>42007.787499999999</v>
      </c>
      <c r="E1303" s="16" t="s">
        <v>16</v>
      </c>
      <c r="F1303" s="16" t="s">
        <v>18</v>
      </c>
      <c r="G1303" s="17" t="s">
        <v>807</v>
      </c>
      <c r="H1303" s="17" t="s">
        <v>4433</v>
      </c>
      <c r="I1303" s="13" t="s">
        <v>4434</v>
      </c>
      <c r="J1303" s="23" t="str">
        <f>HYPERLINK("CorLog\GHA\Branch\20150103 GHA Branch GHA-4512 Air Conditioner ($18,978 58) (REVISED) (RDC-to-ZMB).msg", "GHA-4512 Air Conditioner ($18,978 58) (REVISED)")</f>
        <v>GHA-4512 Air Conditioner ($18,978 58) (REVISED)</v>
      </c>
      <c r="K1303" s="25" t="s">
        <v>1270</v>
      </c>
      <c r="L1303" s="19"/>
      <c r="M1303" s="20"/>
      <c r="N1303" s="21" t="s">
        <v>4435</v>
      </c>
    </row>
    <row r="1304" spans="1:14">
      <c r="A1304" s="12" t="s">
        <v>718</v>
      </c>
      <c r="B1304" s="13" t="s">
        <v>837</v>
      </c>
      <c r="C1304" s="14"/>
      <c r="D1304" s="15">
        <v>42007.668055555558</v>
      </c>
      <c r="E1304" s="16" t="s">
        <v>16</v>
      </c>
      <c r="F1304" s="16" t="s">
        <v>18</v>
      </c>
      <c r="G1304" s="17" t="s">
        <v>838</v>
      </c>
      <c r="H1304" s="17" t="s">
        <v>953</v>
      </c>
      <c r="I1304" s="13" t="s">
        <v>4436</v>
      </c>
      <c r="J1304" s="23" t="str">
        <f>HYPERLINK("CorLog\ZMB\Choma RTO\20150103 ZMB Choma RTO decision to be made about contractor (RDC-to-ZMB).msg", "decision to be made about contractor")</f>
        <v>decision to be made about contractor</v>
      </c>
      <c r="K1304" s="25"/>
      <c r="L1304" s="19"/>
      <c r="M1304" s="20"/>
      <c r="N1304" s="21" t="s">
        <v>4437</v>
      </c>
    </row>
    <row r="1305" spans="1:14">
      <c r="A1305" s="12" t="s">
        <v>718</v>
      </c>
      <c r="B1305" s="13" t="s">
        <v>1069</v>
      </c>
      <c r="C1305" s="14" t="s">
        <v>4391</v>
      </c>
      <c r="D1305" s="15">
        <v>42007.668055555558</v>
      </c>
      <c r="E1305" s="16" t="s">
        <v>16</v>
      </c>
      <c r="F1305" s="16" t="s">
        <v>18</v>
      </c>
      <c r="G1305" s="17" t="s">
        <v>1070</v>
      </c>
      <c r="H1305" s="17" t="s">
        <v>829</v>
      </c>
      <c r="I1305" s="13" t="s">
        <v>4438</v>
      </c>
      <c r="J1305" s="23" t="str">
        <f>HYPERLINK("CorLog\ZMB\Katete RTO\20150103 ZMB Katete RTO RDC review of Draft NLBR; REQ 520-9411; 20141223; Plumbing; Mixers, Traps, Insulation (RDC-to-ZMB).msg", "RDC review of Draft NLBR; REQ 520-9411; 20141223; Plumbing; Mixers, Traps, Insulation")</f>
        <v>RDC review of Draft NLBR; REQ 520-9411; 20141223; Plumbing; Mixers, Traps, Insulation</v>
      </c>
      <c r="K1305" s="25" t="s">
        <v>1211</v>
      </c>
      <c r="L1305" s="19"/>
      <c r="M1305" s="20"/>
      <c r="N1305" s="21" t="s">
        <v>4439</v>
      </c>
    </row>
    <row r="1306" spans="1:14">
      <c r="A1306" s="12" t="s">
        <v>750</v>
      </c>
      <c r="B1306" s="13" t="s">
        <v>724</v>
      </c>
      <c r="C1306" s="14" t="s">
        <v>718</v>
      </c>
      <c r="D1306" s="15">
        <v>42007.362881944442</v>
      </c>
      <c r="E1306" s="16" t="s">
        <v>16</v>
      </c>
      <c r="F1306" s="16" t="s">
        <v>16</v>
      </c>
      <c r="G1306" s="17" t="s">
        <v>3849</v>
      </c>
      <c r="H1306" s="17" t="s">
        <v>1895</v>
      </c>
      <c r="I1306" s="13" t="s">
        <v>4440</v>
      </c>
      <c r="J1306" s="23" t="str">
        <f>HYPERLINK("CorLog\ZMB\Chibombo RTO\20150103 ZMB Chibombo RTO Approve to Establish the Lenje Team in Chibombo (RDC-to-RDC).msg", "Approve to Establish the Lenje Team in Chibombo")</f>
        <v>Approve to Establish the Lenje Team in Chibombo</v>
      </c>
      <c r="K1306" s="25" t="s">
        <v>1211</v>
      </c>
      <c r="L1306" s="19"/>
      <c r="M1306" s="20"/>
      <c r="N1306" s="21" t="s">
        <v>4441</v>
      </c>
    </row>
    <row r="1307" spans="1:14">
      <c r="A1307" s="12" t="s">
        <v>718</v>
      </c>
      <c r="B1307" s="13" t="s">
        <v>724</v>
      </c>
      <c r="C1307" s="14" t="s">
        <v>4442</v>
      </c>
      <c r="D1307" s="15">
        <v>42006.706944444442</v>
      </c>
      <c r="E1307" s="16" t="s">
        <v>16</v>
      </c>
      <c r="F1307" s="16" t="s">
        <v>16</v>
      </c>
      <c r="G1307" s="17" t="s">
        <v>979</v>
      </c>
      <c r="H1307" s="17" t="s">
        <v>759</v>
      </c>
      <c r="I1307" s="13" t="s">
        <v>4397</v>
      </c>
      <c r="J1307" s="23" t="str">
        <f>HYPERLINK("CorLog\RTO\Projects\20150102 RTO Projects Simplifying RTO Minutes from our discussion (RDC-to-RDC).msg", "Simplifying RTO Minutes from our discussion")</f>
        <v>Simplifying RTO Minutes from our discussion</v>
      </c>
      <c r="K1307" s="25" t="s">
        <v>1211</v>
      </c>
      <c r="L1307" s="19"/>
      <c r="M1307" s="20"/>
      <c r="N1307" s="21" t="s">
        <v>4443</v>
      </c>
    </row>
    <row r="1308" spans="1:14">
      <c r="A1308" s="12" t="s">
        <v>757</v>
      </c>
      <c r="B1308" s="13" t="s">
        <v>718</v>
      </c>
      <c r="C1308" s="14"/>
      <c r="D1308" s="15">
        <v>42006.627696759257</v>
      </c>
      <c r="E1308" s="16" t="s">
        <v>21</v>
      </c>
      <c r="F1308" s="16" t="s">
        <v>16</v>
      </c>
      <c r="G1308" s="17" t="s">
        <v>790</v>
      </c>
      <c r="H1308" s="17" t="s">
        <v>2242</v>
      </c>
      <c r="I1308" s="13" t="s">
        <v>4444</v>
      </c>
      <c r="J1308" s="23" t="str">
        <f>HYPERLINK("CorLog\GHA\BEX\20150102 GHA BEX 2014-01-02 Morning Picture (GHA-to-RDC).msg", "2014-01-02 Morning Picture")</f>
        <v>2014-01-02 Morning Picture</v>
      </c>
      <c r="K1308" s="25" t="s">
        <v>1211</v>
      </c>
      <c r="L1308" s="19"/>
      <c r="M1308" s="20"/>
      <c r="N1308" s="21" t="s">
        <v>4445</v>
      </c>
    </row>
    <row r="1309" spans="1:14">
      <c r="A1309" s="12" t="s">
        <v>718</v>
      </c>
      <c r="B1309" s="13" t="s">
        <v>1069</v>
      </c>
      <c r="C1309" s="14" t="s">
        <v>4446</v>
      </c>
      <c r="D1309" s="15">
        <v>42006.609027777777</v>
      </c>
      <c r="E1309" s="16" t="s">
        <v>16</v>
      </c>
      <c r="F1309" s="16" t="s">
        <v>18</v>
      </c>
      <c r="G1309" s="17" t="s">
        <v>1070</v>
      </c>
      <c r="H1309" s="17" t="s">
        <v>829</v>
      </c>
      <c r="I1309" s="13" t="s">
        <v>4447</v>
      </c>
      <c r="J1309" s="23" t="str">
        <f>HYPERLINK("CorLog\ZMB\Katete RTO\20150102 ZM NLBR 6124 - Door Drws - REVIEW NEEDED (RDC-to-ZMB).msg", "ZM NLBR 6124 - Door Drws - REVIEW NEEDED")</f>
        <v>ZM NLBR 6124 - Door Drws - REVIEW NEEDED</v>
      </c>
      <c r="K1309" s="25" t="s">
        <v>1482</v>
      </c>
      <c r="L1309" s="19"/>
      <c r="M1309" s="20"/>
      <c r="N1309" s="21" t="s">
        <v>4448</v>
      </c>
    </row>
    <row r="1310" spans="1:14">
      <c r="A1310" s="12" t="s">
        <v>718</v>
      </c>
      <c r="B1310" s="13" t="s">
        <v>1337</v>
      </c>
      <c r="C1310" s="14"/>
      <c r="D1310" s="15">
        <v>42006.470833333333</v>
      </c>
      <c r="E1310" s="16" t="s">
        <v>16</v>
      </c>
      <c r="F1310" s="16" t="s">
        <v>18</v>
      </c>
      <c r="G1310" s="17" t="s">
        <v>885</v>
      </c>
      <c r="H1310" s="17" t="s">
        <v>1565</v>
      </c>
      <c r="I1310" s="13" t="s">
        <v>4449</v>
      </c>
      <c r="J1310" s="23" t="str">
        <f>HYPERLINK("CorLog\ZMB\Kabompo RTO\20150102 ZMB Kabompo RTO Mitek roof Insulation 20140102 (RDC-to-ZMB).msg", "Mitek roof Insulation 20140102")</f>
        <v>Mitek roof Insulation 20140102</v>
      </c>
      <c r="K1310" s="25"/>
      <c r="L1310" s="19"/>
      <c r="M1310" s="20"/>
      <c r="N1310" s="21" t="s">
        <v>4450</v>
      </c>
    </row>
    <row r="1311" spans="1:14">
      <c r="A1311" s="12" t="s">
        <v>795</v>
      </c>
      <c r="B1311" s="13" t="s">
        <v>3067</v>
      </c>
      <c r="C1311" s="14" t="s">
        <v>3068</v>
      </c>
      <c r="D1311" s="15">
        <v>42006.44940972222</v>
      </c>
      <c r="E1311" s="16" t="s">
        <v>16</v>
      </c>
      <c r="F1311" s="16" t="s">
        <v>18</v>
      </c>
      <c r="G1311" s="17" t="s">
        <v>946</v>
      </c>
      <c r="H1311" s="17" t="s">
        <v>1489</v>
      </c>
      <c r="I1311" s="13" t="s">
        <v>4451</v>
      </c>
      <c r="J1311" s="23" t="str">
        <f>HYPERLINK("CorLog\ZMB\Mongu RTO\20150102 ZMB Mongu RTO Brazing Of Split unit lines at the evaporator (RDC-to-ZMB).msg", "Brazing Of Split unit lines at the evaporator")</f>
        <v>Brazing Of Split unit lines at the evaporator</v>
      </c>
      <c r="K1311" s="25"/>
      <c r="L1311" s="19"/>
      <c r="M1311" s="20"/>
      <c r="N1311" s="21" t="s">
        <v>4452</v>
      </c>
    </row>
    <row r="1312" spans="1:14">
      <c r="A1312" s="12" t="s">
        <v>972</v>
      </c>
      <c r="B1312" s="13" t="s">
        <v>718</v>
      </c>
      <c r="C1312" s="14"/>
      <c r="D1312" s="15">
        <v>42006.273634259262</v>
      </c>
      <c r="E1312" s="16" t="s">
        <v>18</v>
      </c>
      <c r="F1312" s="16" t="s">
        <v>16</v>
      </c>
      <c r="G1312" s="17" t="s">
        <v>1065</v>
      </c>
      <c r="H1312" s="17" t="s">
        <v>2379</v>
      </c>
      <c r="I1312" s="13" t="s">
        <v>4453</v>
      </c>
      <c r="J1312" s="23" t="str">
        <f>HYPERLINK("CorLog\ZMB\RTO Projects\20150102 ZMB RTO Projects New Arrangement for Trucking of Materials (ZMB-to-RDC).msg", "New Arrangement for Trucking of Materials")</f>
        <v>New Arrangement for Trucking of Materials</v>
      </c>
      <c r="K1312" s="25" t="s">
        <v>1243</v>
      </c>
      <c r="L1312" s="19"/>
      <c r="M1312" s="20"/>
      <c r="N1312" s="21" t="s">
        <v>4454</v>
      </c>
    </row>
    <row r="1313" spans="1:14">
      <c r="A1313" s="12" t="s">
        <v>964</v>
      </c>
      <c r="B1313" s="13" t="s">
        <v>4455</v>
      </c>
      <c r="C1313" s="14" t="s">
        <v>4456</v>
      </c>
      <c r="D1313" s="15">
        <v>42005.837060185186</v>
      </c>
      <c r="E1313" s="16" t="s">
        <v>16</v>
      </c>
      <c r="F1313" s="16" t="s">
        <v>41</v>
      </c>
      <c r="G1313" s="17" t="s">
        <v>979</v>
      </c>
      <c r="H1313" s="17" t="s">
        <v>4457</v>
      </c>
      <c r="I1313" s="13" t="s">
        <v>4458</v>
      </c>
      <c r="J1313" s="23" t="str">
        <f>HYPERLINK("CorLog\RTO\Projects\20150101 RTO Projects Solar KH - Haiti (RDC-to-LBR).msg", "Solar KH - Haiti")</f>
        <v>Solar KH - Haiti</v>
      </c>
      <c r="K1313" s="25" t="s">
        <v>1270</v>
      </c>
      <c r="L1313" s="19"/>
      <c r="M1313" s="20"/>
      <c r="N1313" s="21" t="s">
        <v>4459</v>
      </c>
    </row>
    <row r="1314" spans="1:14">
      <c r="A1314" s="12" t="s">
        <v>757</v>
      </c>
      <c r="B1314" s="13" t="s">
        <v>718</v>
      </c>
      <c r="C1314" s="14"/>
      <c r="D1314" s="15">
        <v>42005.496319444443</v>
      </c>
      <c r="E1314" s="16" t="s">
        <v>21</v>
      </c>
      <c r="F1314" s="16" t="s">
        <v>16</v>
      </c>
      <c r="G1314" s="17" t="s">
        <v>790</v>
      </c>
      <c r="H1314" s="17" t="s">
        <v>4460</v>
      </c>
      <c r="I1314" s="13" t="s">
        <v>4461</v>
      </c>
      <c r="J1314" s="23" t="str">
        <f>HYPERLINK("CorLog\GHA\BEX\20150101 GHA BEX Temp Residence Photos (GHA-to-RDC).msg", "Temp Residence Photos")</f>
        <v>Temp Residence Photos</v>
      </c>
      <c r="K1314" s="25" t="s">
        <v>1270</v>
      </c>
      <c r="L1314" s="19"/>
      <c r="M1314" s="20"/>
      <c r="N1314" s="21" t="s">
        <v>4462</v>
      </c>
    </row>
    <row r="1315" spans="1:14">
      <c r="A1315" s="12" t="s">
        <v>718</v>
      </c>
      <c r="B1315" s="13" t="s">
        <v>3215</v>
      </c>
      <c r="C1315" s="14"/>
      <c r="D1315" s="15">
        <v>42005.493750000001</v>
      </c>
      <c r="E1315" s="16" t="s">
        <v>16</v>
      </c>
      <c r="F1315" s="16" t="s">
        <v>21</v>
      </c>
      <c r="G1315" s="17" t="s">
        <v>738</v>
      </c>
      <c r="H1315" s="17" t="s">
        <v>1846</v>
      </c>
      <c r="I1315" s="13" t="s">
        <v>4463</v>
      </c>
      <c r="J1315" s="23" t="str">
        <f>HYPERLINK("CorLog\GHA\BEX 2\20150101 GHA BEX 2 Swimming pool, and a multifunction court missing from project description (RDC-to-GHA).msg", "Swimming pool, and a multifunction court missing from project description")</f>
        <v>Swimming pool, and a multifunction court missing from project description</v>
      </c>
      <c r="K1315" s="25"/>
      <c r="L1315" s="19"/>
      <c r="M1315" s="20"/>
      <c r="N1315" s="21" t="s">
        <v>4464</v>
      </c>
    </row>
    <row r="1316" spans="1:14">
      <c r="A1316" s="12" t="s">
        <v>2431</v>
      </c>
      <c r="B1316" s="13" t="s">
        <v>718</v>
      </c>
      <c r="C1316" s="14" t="s">
        <v>717</v>
      </c>
      <c r="D1316" s="15">
        <v>42004.585509259261</v>
      </c>
      <c r="E1316" s="16" t="s">
        <v>22</v>
      </c>
      <c r="F1316" s="16" t="s">
        <v>16</v>
      </c>
      <c r="G1316" s="17" t="s">
        <v>2627</v>
      </c>
      <c r="H1316" s="17" t="s">
        <v>1687</v>
      </c>
      <c r="I1316" s="13" t="s">
        <v>4465</v>
      </c>
      <c r="J1316" s="23" t="str">
        <f>HYPERLINK("CorLog\COD\Kamina RTO\20141231 COD Kamina RTO Interior door T brackets (COD-to-RDC).msg", "Interior door T brackets")</f>
        <v>Interior door T brackets</v>
      </c>
      <c r="K1316" s="25" t="s">
        <v>1243</v>
      </c>
      <c r="L1316" s="19"/>
      <c r="M1316" s="20"/>
      <c r="N1316" s="21" t="s">
        <v>4466</v>
      </c>
    </row>
    <row r="1317" spans="1:14">
      <c r="A1317" s="12" t="s">
        <v>750</v>
      </c>
      <c r="B1317" s="13" t="s">
        <v>1069</v>
      </c>
      <c r="C1317" s="14" t="s">
        <v>4467</v>
      </c>
      <c r="D1317" s="15">
        <v>42004.459317129629</v>
      </c>
      <c r="E1317" s="16" t="s">
        <v>16</v>
      </c>
      <c r="F1317" s="16" t="s">
        <v>18</v>
      </c>
      <c r="G1317" s="17" t="s">
        <v>885</v>
      </c>
      <c r="H1317" s="17" t="s">
        <v>851</v>
      </c>
      <c r="I1317" s="13" t="s">
        <v>4468</v>
      </c>
      <c r="J1317" s="23" t="str">
        <f>HYPERLINK("CorLog\ZMB\Kabompo RTO\20141231 ZMB Kabompo RTO Res Bldg DCP underfooting (Comments on Tests 3 and 4) (RDC-to-ZMB).msg", "Res Bldg DCP underfooting (Comments on Tests 3 and 4)")</f>
        <v>Res Bldg DCP underfooting (Comments on Tests 3 and 4)</v>
      </c>
      <c r="K1317" s="25" t="s">
        <v>1243</v>
      </c>
      <c r="L1317" s="19"/>
      <c r="M1317" s="20"/>
      <c r="N1317" s="21" t="s">
        <v>4469</v>
      </c>
    </row>
    <row r="1318" spans="1:14">
      <c r="A1318" s="12" t="s">
        <v>750</v>
      </c>
      <c r="B1318" s="13" t="s">
        <v>1529</v>
      </c>
      <c r="C1318" s="14" t="s">
        <v>4470</v>
      </c>
      <c r="D1318" s="15">
        <v>42002.947627314818</v>
      </c>
      <c r="E1318" s="16" t="s">
        <v>16</v>
      </c>
      <c r="F1318" s="16" t="s">
        <v>18</v>
      </c>
      <c r="G1318" s="17" t="s">
        <v>946</v>
      </c>
      <c r="H1318" s="17" t="s">
        <v>829</v>
      </c>
      <c r="I1318" s="13" t="s">
        <v>4471</v>
      </c>
      <c r="J1318" s="23" t="str">
        <f>HYPERLINK("CorLog\ZMB\Mongu RTO\20141229 ZMB Mongu RTO Office Building DCP Re-Test -5 Final 150mm below Slab 14 12 29 (APPROVED) (RDC-to-ZMB).msg", "Office Building DCP Re-Test -5 Final 150mm below Slab 14 12 29 (APPROVED)")</f>
        <v>Office Building DCP Re-Test -5 Final 150mm below Slab 14 12 29 (APPROVED)</v>
      </c>
      <c r="K1318" s="25"/>
      <c r="L1318" s="19"/>
      <c r="M1318" s="20"/>
      <c r="N1318" s="21" t="s">
        <v>4472</v>
      </c>
    </row>
    <row r="1319" spans="1:14">
      <c r="A1319" s="12" t="s">
        <v>757</v>
      </c>
      <c r="B1319" s="13" t="s">
        <v>718</v>
      </c>
      <c r="C1319" s="14" t="s">
        <v>3476</v>
      </c>
      <c r="D1319" s="15">
        <v>42002.786145833335</v>
      </c>
      <c r="E1319" s="16" t="s">
        <v>21</v>
      </c>
      <c r="F1319" s="16" t="s">
        <v>16</v>
      </c>
      <c r="G1319" s="17" t="s">
        <v>730</v>
      </c>
      <c r="H1319" s="17" t="s">
        <v>953</v>
      </c>
      <c r="I1319" s="13" t="s">
        <v>4473</v>
      </c>
      <c r="J1319" s="23" t="str">
        <f>HYPERLINK("CorLog\GHA\Baatsona SKE\20141229 GHA Baatsona SKE Tender Package review (GHA-to-RDC).msg", "Tender Package review")</f>
        <v>Tender Package review</v>
      </c>
      <c r="K1319" s="25" t="s">
        <v>1243</v>
      </c>
      <c r="L1319" s="19"/>
      <c r="M1319" s="20"/>
      <c r="N1319" s="21" t="s">
        <v>4474</v>
      </c>
    </row>
    <row r="1320" spans="1:14">
      <c r="A1320" s="12" t="s">
        <v>842</v>
      </c>
      <c r="B1320" s="13" t="s">
        <v>718</v>
      </c>
      <c r="C1320" s="14"/>
      <c r="D1320" s="15">
        <v>42002.640381944446</v>
      </c>
      <c r="E1320" s="16" t="s">
        <v>21</v>
      </c>
      <c r="F1320" s="16" t="s">
        <v>16</v>
      </c>
      <c r="G1320" s="17" t="s">
        <v>790</v>
      </c>
      <c r="H1320" s="17" t="s">
        <v>781</v>
      </c>
      <c r="I1320" s="13" t="s">
        <v>4475</v>
      </c>
      <c r="J1320" s="23" t="str">
        <f>HYPERLINK("CorLog\GHA\BEX\20141229 GHA BEX Personnel List Projection (updated Dec 29 2014) (GHA-to-RDC).msg", "Personnel List Projection (updated Dec 29 2014)")</f>
        <v>Personnel List Projection (updated Dec 29 2014)</v>
      </c>
      <c r="K1320" s="25" t="s">
        <v>1211</v>
      </c>
      <c r="L1320" s="19"/>
      <c r="M1320" s="20"/>
      <c r="N1320" s="21" t="s">
        <v>4476</v>
      </c>
    </row>
    <row r="1321" spans="1:14">
      <c r="A1321" s="12" t="s">
        <v>718</v>
      </c>
      <c r="B1321" s="13" t="s">
        <v>2431</v>
      </c>
      <c r="C1321" s="14" t="s">
        <v>4477</v>
      </c>
      <c r="D1321" s="15">
        <v>42002.584722222222</v>
      </c>
      <c r="E1321" s="16" t="s">
        <v>16</v>
      </c>
      <c r="F1321" s="16" t="s">
        <v>22</v>
      </c>
      <c r="G1321" s="17" t="s">
        <v>2627</v>
      </c>
      <c r="H1321" s="17" t="s">
        <v>1687</v>
      </c>
      <c r="I1321" s="13" t="s">
        <v>4478</v>
      </c>
      <c r="J1321" s="23" t="str">
        <f>HYPERLINK("CorLog\COD\Kamina RTO\20141229 COD Kamina RTO Interior door frame T-Anchor bracket (RDC-to-COD).msg", "Interior door frame T-Anchor bracket")</f>
        <v>Interior door frame T-Anchor bracket</v>
      </c>
      <c r="K1321" s="25" t="s">
        <v>1270</v>
      </c>
      <c r="L1321" s="19"/>
      <c r="M1321" s="20"/>
      <c r="N1321" s="21" t="s">
        <v>4479</v>
      </c>
    </row>
    <row r="1322" spans="1:14">
      <c r="A1322" s="12" t="s">
        <v>718</v>
      </c>
      <c r="B1322" s="13" t="s">
        <v>827</v>
      </c>
      <c r="C1322" s="14" t="s">
        <v>4480</v>
      </c>
      <c r="D1322" s="15">
        <v>42002.494444444441</v>
      </c>
      <c r="E1322" s="16" t="s">
        <v>16</v>
      </c>
      <c r="F1322" s="16" t="s">
        <v>21</v>
      </c>
      <c r="G1322" s="17" t="s">
        <v>790</v>
      </c>
      <c r="H1322" s="17" t="s">
        <v>1178</v>
      </c>
      <c r="I1322" s="13" t="s">
        <v>4481</v>
      </c>
      <c r="J1322" s="23" t="str">
        <f>HYPERLINK("CorLog\GHA\BEX\20141229 GHA BEX Proposed Location Pit changes in Existing Generator Bldg (RDC-to-GHA).msg", "Proposed Location Pit changes in Existing Generator Bldg")</f>
        <v>Proposed Location Pit changes in Existing Generator Bldg</v>
      </c>
      <c r="K1322" s="25" t="s">
        <v>1211</v>
      </c>
      <c r="L1322" s="19"/>
      <c r="M1322" s="20"/>
      <c r="N1322" s="21" t="s">
        <v>4482</v>
      </c>
    </row>
    <row r="1323" spans="1:14">
      <c r="A1323" s="12" t="s">
        <v>1116</v>
      </c>
      <c r="B1323" s="13" t="s">
        <v>718</v>
      </c>
      <c r="C1323" s="14" t="s">
        <v>4483</v>
      </c>
      <c r="D1323" s="15">
        <v>42002.477511574078</v>
      </c>
      <c r="E1323" s="16" t="s">
        <v>22</v>
      </c>
      <c r="F1323" s="16" t="s">
        <v>16</v>
      </c>
      <c r="G1323" s="17" t="s">
        <v>2627</v>
      </c>
      <c r="H1323" s="17" t="s">
        <v>829</v>
      </c>
      <c r="I1323" s="13" t="s">
        <v>4484</v>
      </c>
      <c r="J1323" s="23" t="str">
        <f>HYPERLINK("CorLog\COD\Kamina RTO\20141229 COD Kamina RTO Understanding NLBR COD-7317 (COD-to-RDC).msg", "Understanding NLBR COD-7317")</f>
        <v>Understanding NLBR COD-7317</v>
      </c>
      <c r="K1323" s="25" t="s">
        <v>1211</v>
      </c>
      <c r="L1323" s="19"/>
      <c r="M1323" s="20"/>
      <c r="N1323" s="21" t="s">
        <v>4485</v>
      </c>
    </row>
    <row r="1324" spans="1:14">
      <c r="A1324" s="12" t="s">
        <v>718</v>
      </c>
      <c r="B1324" s="13" t="s">
        <v>1529</v>
      </c>
      <c r="C1324" s="14" t="s">
        <v>4486</v>
      </c>
      <c r="D1324" s="15">
        <v>42002.410416666666</v>
      </c>
      <c r="E1324" s="16" t="s">
        <v>16</v>
      </c>
      <c r="F1324" s="16" t="s">
        <v>18</v>
      </c>
      <c r="G1324" s="17" t="s">
        <v>946</v>
      </c>
      <c r="H1324" s="17" t="s">
        <v>829</v>
      </c>
      <c r="I1324" s="13" t="s">
        <v>4487</v>
      </c>
      <c r="J1324" s="23" t="str">
        <f>HYPERLINK("CorLog\ZMB\Mongu RTO\20141229 ZMB Mongu RTO RDC review of Draft NLBR-Fluke Tester (RDC-to-ZMB).msg", "RDC review of Draft NLBR-Fluke Tester")</f>
        <v>RDC review of Draft NLBR-Fluke Tester</v>
      </c>
      <c r="K1324" s="25" t="s">
        <v>1499</v>
      </c>
      <c r="L1324" s="19"/>
      <c r="M1324" s="20"/>
      <c r="N1324" s="21" t="s">
        <v>4488</v>
      </c>
    </row>
    <row r="1325" spans="1:14">
      <c r="A1325" s="12" t="s">
        <v>874</v>
      </c>
      <c r="B1325" s="13"/>
      <c r="C1325" s="14"/>
      <c r="D1325" s="15">
        <v>42002</v>
      </c>
      <c r="E1325" s="16" t="s">
        <v>25</v>
      </c>
      <c r="F1325" s="16" t="s">
        <v>30</v>
      </c>
      <c r="G1325" s="17" t="s">
        <v>719</v>
      </c>
      <c r="H1325" s="17" t="s">
        <v>4489</v>
      </c>
      <c r="I1325" s="13" t="s">
        <v>4490</v>
      </c>
      <c r="J1325" s="23" t="str">
        <f>HYPERLINK("CorLog\Reference\20141229 Reference Residences for Special Full-Time Servants in the Field (WHQ-to-ALL).doc", "Residences for Special Full-Time Servants in the Field")</f>
        <v>Residences for Special Full-Time Servants in the Field</v>
      </c>
      <c r="K1325" s="25"/>
      <c r="L1325" s="19"/>
      <c r="M1325" s="20"/>
      <c r="N1325" s="21" t="s">
        <v>4491</v>
      </c>
    </row>
    <row r="1326" spans="1:14">
      <c r="A1326" s="12" t="s">
        <v>1403</v>
      </c>
      <c r="B1326" s="13"/>
      <c r="C1326" s="14"/>
      <c r="D1326" s="15">
        <v>42002</v>
      </c>
      <c r="E1326" s="16" t="s">
        <v>25</v>
      </c>
      <c r="F1326" s="16" t="s">
        <v>21</v>
      </c>
      <c r="G1326" s="17" t="s">
        <v>807</v>
      </c>
      <c r="H1326" s="17" t="s">
        <v>871</v>
      </c>
      <c r="I1326" s="13" t="s">
        <v>4492</v>
      </c>
      <c r="J1326" s="23" t="str">
        <f>HYPERLINK("CorLog\GHA\Branch\20141229 GHA Branch Assessment of Inventory and Purchasing Processes (WHQ-to-GHA).doc", "Assessment of Inventory and Purchasing Processes")</f>
        <v>Assessment of Inventory and Purchasing Processes</v>
      </c>
      <c r="K1326" s="23"/>
      <c r="L1326" s="19" t="s">
        <v>4493</v>
      </c>
      <c r="M1326" s="20"/>
      <c r="N1326" s="21" t="s">
        <v>4494</v>
      </c>
    </row>
    <row r="1327" spans="1:14">
      <c r="A1327" s="12" t="s">
        <v>750</v>
      </c>
      <c r="B1327" s="13" t="s">
        <v>916</v>
      </c>
      <c r="C1327" s="14" t="s">
        <v>718</v>
      </c>
      <c r="D1327" s="15">
        <v>41999.788854166669</v>
      </c>
      <c r="E1327" s="16" t="s">
        <v>16</v>
      </c>
      <c r="F1327" s="16" t="s">
        <v>16</v>
      </c>
      <c r="G1327" s="17" t="s">
        <v>885</v>
      </c>
      <c r="H1327" s="17" t="s">
        <v>4495</v>
      </c>
      <c r="I1327" s="13" t="s">
        <v>4496</v>
      </c>
      <c r="J1327" s="23" t="str">
        <f>HYPERLINK("CorLog\ZMB\Kabompo RTO\20141226 ZMB Kabompo RTO SAN Manhole -2 DCP TESTS 20141222 (RDC-to-RDC).msg", "SAN Manhole -2 DCP TESTS 20141222")</f>
        <v>SAN Manhole -2 DCP TESTS 20141222</v>
      </c>
      <c r="K1327" s="25" t="s">
        <v>1626</v>
      </c>
      <c r="L1327" s="19"/>
      <c r="M1327" s="20"/>
      <c r="N1327" s="21" t="s">
        <v>4497</v>
      </c>
    </row>
    <row r="1328" spans="1:14">
      <c r="A1328" s="12" t="s">
        <v>1172</v>
      </c>
      <c r="B1328" s="13" t="s">
        <v>718</v>
      </c>
      <c r="C1328" s="14" t="s">
        <v>4498</v>
      </c>
      <c r="D1328" s="15">
        <v>41999.763020833336</v>
      </c>
      <c r="E1328" s="16" t="s">
        <v>17</v>
      </c>
      <c r="F1328" s="16" t="s">
        <v>16</v>
      </c>
      <c r="G1328" s="17" t="s">
        <v>790</v>
      </c>
      <c r="H1328" s="17" t="s">
        <v>867</v>
      </c>
      <c r="I1328" s="13" t="s">
        <v>4499</v>
      </c>
      <c r="J1328" s="23" t="str">
        <f>HYPERLINK("CorLog\GHA\BEX\20141226 GHA BEX Can we approve extra scaffolding (WDC-to-RDC).msg", "Can we approve extra scaffolding")</f>
        <v>Can we approve extra scaffolding</v>
      </c>
      <c r="K1328" s="25"/>
      <c r="L1328" s="19"/>
      <c r="M1328" s="20"/>
      <c r="N1328" s="21" t="s">
        <v>4500</v>
      </c>
    </row>
    <row r="1329" spans="1:14">
      <c r="A1329" s="12" t="s">
        <v>718</v>
      </c>
      <c r="B1329" s="13" t="s">
        <v>2431</v>
      </c>
      <c r="C1329" s="14" t="s">
        <v>4402</v>
      </c>
      <c r="D1329" s="15">
        <v>41999.688194444447</v>
      </c>
      <c r="E1329" s="16" t="s">
        <v>16</v>
      </c>
      <c r="F1329" s="16" t="s">
        <v>22</v>
      </c>
      <c r="G1329" s="17" t="s">
        <v>785</v>
      </c>
      <c r="H1329" s="17" t="s">
        <v>1031</v>
      </c>
      <c r="I1329" s="13" t="s">
        <v>4501</v>
      </c>
      <c r="J1329" s="23" t="str">
        <f>HYPERLINK("CorLog\COD\Lubumbashi RTO\20141226 COD Lubumbashi RTO Borehole Pipe spec (NEED DEPTH FIRST) (RDC-to-COD).msg", "Borehole Pipe spec (NEED DEPTH FIRST)")</f>
        <v>Borehole Pipe spec (NEED DEPTH FIRST)</v>
      </c>
      <c r="K1329" s="25"/>
      <c r="L1329" s="19"/>
      <c r="M1329" s="20"/>
      <c r="N1329" s="21" t="s">
        <v>4502</v>
      </c>
    </row>
    <row r="1330" spans="1:14">
      <c r="A1330" s="12" t="s">
        <v>718</v>
      </c>
      <c r="B1330" s="13" t="s">
        <v>1337</v>
      </c>
      <c r="C1330" s="14" t="s">
        <v>3329</v>
      </c>
      <c r="D1330" s="15">
        <v>41998.668055555558</v>
      </c>
      <c r="E1330" s="16" t="s">
        <v>16</v>
      </c>
      <c r="F1330" s="16" t="s">
        <v>18</v>
      </c>
      <c r="G1330" s="17" t="s">
        <v>885</v>
      </c>
      <c r="H1330" s="17" t="s">
        <v>1178</v>
      </c>
      <c r="I1330" s="13" t="s">
        <v>4503</v>
      </c>
      <c r="J1330" s="23" t="str">
        <f>HYPERLINK("CorLog\ZMB\Kabompo RTO\20141225 ZMB Kabompo RTO SDMO exhaust pipes J66K J130K 20141225 (RDC-to-ZMB).msg", "SDMO exhaust pipes J66K J130K 20141225")</f>
        <v>SDMO exhaust pipes J66K J130K 20141225</v>
      </c>
      <c r="K1330" s="25" t="s">
        <v>1270</v>
      </c>
      <c r="L1330" s="19"/>
      <c r="M1330" s="20"/>
      <c r="N1330" s="21" t="s">
        <v>4504</v>
      </c>
    </row>
    <row r="1331" spans="1:14">
      <c r="A1331" s="12" t="s">
        <v>718</v>
      </c>
      <c r="B1331" s="13" t="s">
        <v>964</v>
      </c>
      <c r="C1331" s="14" t="s">
        <v>1418</v>
      </c>
      <c r="D1331" s="15">
        <v>41998.61041666667</v>
      </c>
      <c r="E1331" s="16" t="s">
        <v>16</v>
      </c>
      <c r="F1331" s="16" t="s">
        <v>16</v>
      </c>
      <c r="G1331" s="17" t="s">
        <v>719</v>
      </c>
      <c r="H1331" s="17" t="s">
        <v>4505</v>
      </c>
      <c r="I1331" s="13" t="s">
        <v>4506</v>
      </c>
      <c r="J1331" s="23" t="str">
        <f>HYPERLINK("CorLog\Reference\20141225 Reference ZAF RTO CPT PSN NLBR import list xlsx (RDC-to-RDC).msg", "ZAF RTO CPT PSN NLBR import list xlsx")</f>
        <v>ZAF RTO CPT PSN NLBR import list xlsx</v>
      </c>
      <c r="K1331" s="25" t="s">
        <v>1211</v>
      </c>
      <c r="L1331" s="19"/>
      <c r="M1331" s="20"/>
      <c r="N1331" s="21" t="s">
        <v>4507</v>
      </c>
    </row>
    <row r="1332" spans="1:14">
      <c r="A1332" s="12" t="s">
        <v>718</v>
      </c>
      <c r="B1332" s="13" t="s">
        <v>1969</v>
      </c>
      <c r="C1332" s="14" t="s">
        <v>4508</v>
      </c>
      <c r="D1332" s="15">
        <v>41997.70208333333</v>
      </c>
      <c r="E1332" s="16" t="s">
        <v>16</v>
      </c>
      <c r="F1332" s="16" t="s">
        <v>22</v>
      </c>
      <c r="G1332" s="17" t="s">
        <v>2627</v>
      </c>
      <c r="H1332" s="17" t="s">
        <v>1687</v>
      </c>
      <c r="I1332" s="13" t="s">
        <v>4478</v>
      </c>
      <c r="J1332" s="23" t="str">
        <f>HYPERLINK("CorLog\COD\Kamina RTO\20141224 COD Kamina RTO Interior door frame T-Anchor bracket (RDC-to-COD).msg", "Interior door frame T-Anchor bracket")</f>
        <v>Interior door frame T-Anchor bracket</v>
      </c>
      <c r="K1332" s="25" t="s">
        <v>1211</v>
      </c>
      <c r="L1332" s="19"/>
      <c r="M1332" s="20"/>
      <c r="N1332" s="21" t="s">
        <v>4509</v>
      </c>
    </row>
    <row r="1333" spans="1:14">
      <c r="A1333" s="12" t="s">
        <v>718</v>
      </c>
      <c r="B1333" s="13" t="s">
        <v>1447</v>
      </c>
      <c r="C1333" s="14"/>
      <c r="D1333" s="15">
        <v>41997.626388888886</v>
      </c>
      <c r="E1333" s="16" t="s">
        <v>16</v>
      </c>
      <c r="F1333" s="16" t="s">
        <v>16</v>
      </c>
      <c r="G1333" s="17" t="s">
        <v>738</v>
      </c>
      <c r="H1333" s="17" t="s">
        <v>731</v>
      </c>
      <c r="I1333" s="13" t="s">
        <v>4510</v>
      </c>
      <c r="J1333" s="23" t="str">
        <f>HYPERLINK("CorLog\GHA\BEX 2\20141224 GHA BEX 2 DC-41 No 1 Review (RDC-to-RDC).msg", "DC-41 No 1 Review")</f>
        <v>DC-41 No 1 Review</v>
      </c>
      <c r="K1333" s="25" t="s">
        <v>1243</v>
      </c>
      <c r="L1333" s="19"/>
      <c r="M1333" s="20"/>
      <c r="N1333" s="21" t="s">
        <v>4511</v>
      </c>
    </row>
    <row r="1334" spans="1:14">
      <c r="A1334" s="12" t="s">
        <v>750</v>
      </c>
      <c r="B1334" s="13" t="s">
        <v>1069</v>
      </c>
      <c r="C1334" s="14" t="s">
        <v>4467</v>
      </c>
      <c r="D1334" s="15">
        <v>41997.62060185185</v>
      </c>
      <c r="E1334" s="16" t="s">
        <v>16</v>
      </c>
      <c r="F1334" s="16" t="s">
        <v>18</v>
      </c>
      <c r="G1334" s="17" t="s">
        <v>1070</v>
      </c>
      <c r="H1334" s="17" t="s">
        <v>851</v>
      </c>
      <c r="I1334" s="13" t="s">
        <v>4512</v>
      </c>
      <c r="J1334" s="23" t="str">
        <f>HYPERLINK("CorLog\ZMB\Katete RTO\20141224 ZMB Katete RTO DCP Wallfence; West Footing (RDC-to-ZMB).msg", "DCP Wallfence; West Footing")</f>
        <v>DCP Wallfence; West Footing</v>
      </c>
      <c r="K1334" s="25"/>
      <c r="L1334" s="19"/>
      <c r="M1334" s="20"/>
      <c r="N1334" s="21" t="s">
        <v>4513</v>
      </c>
    </row>
    <row r="1335" spans="1:14">
      <c r="A1335" s="12" t="s">
        <v>718</v>
      </c>
      <c r="B1335" s="13" t="s">
        <v>717</v>
      </c>
      <c r="C1335" s="14" t="s">
        <v>4514</v>
      </c>
      <c r="D1335" s="15">
        <v>41997.494444444441</v>
      </c>
      <c r="E1335" s="16" t="s">
        <v>16</v>
      </c>
      <c r="F1335" s="16" t="s">
        <v>16</v>
      </c>
      <c r="G1335" s="17" t="s">
        <v>913</v>
      </c>
      <c r="H1335" s="17" t="s">
        <v>3251</v>
      </c>
      <c r="I1335" s="13" t="s">
        <v>4515</v>
      </c>
      <c r="J1335" s="23" t="str">
        <f>HYPERLINK("CorLog\COD\Branch\20141224 COD Branch Choral recording studio combined with all AV; new drawing option (RDC-to-RDC).msg", "Choral recording studio combined with all AV; new drawing option")</f>
        <v>Choral recording studio combined with all AV; new drawing option</v>
      </c>
      <c r="K1335" s="25" t="s">
        <v>1274</v>
      </c>
      <c r="L1335" s="19"/>
      <c r="M1335" s="20"/>
      <c r="N1335" s="21" t="s">
        <v>4516</v>
      </c>
    </row>
    <row r="1336" spans="1:14">
      <c r="A1336" s="12" t="s">
        <v>1069</v>
      </c>
      <c r="B1336" s="13" t="s">
        <v>718</v>
      </c>
      <c r="C1336" s="14"/>
      <c r="D1336" s="15">
        <v>41997.491446759261</v>
      </c>
      <c r="E1336" s="16" t="s">
        <v>18</v>
      </c>
      <c r="F1336" s="16" t="s">
        <v>16</v>
      </c>
      <c r="G1336" s="17" t="s">
        <v>1070</v>
      </c>
      <c r="H1336" s="17" t="s">
        <v>4517</v>
      </c>
      <c r="I1336" s="13" t="s">
        <v>4518</v>
      </c>
      <c r="J1336" s="23" t="str">
        <f>HYPERLINK("CorLog\ZMB\Katete\20141224 ZMB Katete Zesco Quote for Transformer and Moving Pole (ZMB-to-RDC).msg", "Zesco Quote for Transformer and Moving Pole")</f>
        <v>Zesco Quote for Transformer and Moving Pole</v>
      </c>
      <c r="K1336" s="25" t="s">
        <v>1211</v>
      </c>
      <c r="L1336" s="19"/>
      <c r="M1336" s="20"/>
      <c r="N1336" s="21" t="s">
        <v>4519</v>
      </c>
    </row>
    <row r="1337" spans="1:14">
      <c r="A1337" s="12" t="s">
        <v>718</v>
      </c>
      <c r="B1337" s="13" t="s">
        <v>1069</v>
      </c>
      <c r="C1337" s="14" t="s">
        <v>4520</v>
      </c>
      <c r="D1337" s="15">
        <v>41997.488194444442</v>
      </c>
      <c r="E1337" s="16" t="s">
        <v>16</v>
      </c>
      <c r="F1337" s="16" t="s">
        <v>18</v>
      </c>
      <c r="G1337" s="17" t="s">
        <v>1070</v>
      </c>
      <c r="H1337" s="17" t="s">
        <v>4521</v>
      </c>
      <c r="I1337" s="13" t="s">
        <v>4518</v>
      </c>
      <c r="J1337" s="23" t="str">
        <f>HYPERLINK("CorLog\ZMB\Katete\20141224 ZMB Katete Zesco Quote for Transformer and Moving Pole (RDC-to-ZMB).msg", "Zesco Quote for Transformer and Moving Pole")</f>
        <v>Zesco Quote for Transformer and Moving Pole</v>
      </c>
      <c r="K1337" s="25" t="s">
        <v>1211</v>
      </c>
      <c r="L1337" s="19"/>
      <c r="M1337" s="20"/>
      <c r="N1337" s="21" t="s">
        <v>4522</v>
      </c>
    </row>
    <row r="1338" spans="1:14">
      <c r="A1338" s="12" t="s">
        <v>718</v>
      </c>
      <c r="B1338" s="13" t="s">
        <v>1653</v>
      </c>
      <c r="C1338" s="14" t="s">
        <v>4523</v>
      </c>
      <c r="D1338" s="15">
        <v>41997.449305555558</v>
      </c>
      <c r="E1338" s="16" t="s">
        <v>16</v>
      </c>
      <c r="F1338" s="16" t="s">
        <v>21</v>
      </c>
      <c r="G1338" s="17" t="s">
        <v>823</v>
      </c>
      <c r="H1338" s="17" t="s">
        <v>829</v>
      </c>
      <c r="I1338" s="13" t="s">
        <v>4524</v>
      </c>
      <c r="J1338" s="23" t="str">
        <f>HYPERLINK("CorLog\GHA\LDC\20141224 GHA LDC RDC review of NLBR- 60pc Folding table for KH use (RDC-to-GHA).msg", "RDC review of NLBR-  60pc Folding table for KH use")</f>
        <v>RDC review of NLBR-  60pc Folding table for KH use</v>
      </c>
      <c r="K1338" s="25" t="s">
        <v>1211</v>
      </c>
      <c r="L1338" s="19"/>
      <c r="M1338" s="20"/>
      <c r="N1338" s="21" t="s">
        <v>4525</v>
      </c>
    </row>
    <row r="1339" spans="1:14">
      <c r="A1339" s="12" t="s">
        <v>718</v>
      </c>
      <c r="B1339" s="13" t="s">
        <v>1484</v>
      </c>
      <c r="C1339" s="14" t="s">
        <v>4526</v>
      </c>
      <c r="D1339" s="15">
        <v>41997.382638888892</v>
      </c>
      <c r="E1339" s="16" t="s">
        <v>16</v>
      </c>
      <c r="F1339" s="16" t="s">
        <v>18</v>
      </c>
      <c r="G1339" s="17" t="s">
        <v>1070</v>
      </c>
      <c r="H1339" s="17" t="s">
        <v>4527</v>
      </c>
      <c r="I1339" s="13" t="s">
        <v>4528</v>
      </c>
      <c r="J1339" s="23" t="str">
        <f>HYPERLINK("CorLog\ZMB\Katete RTO\20141224 ZMB Katete RTO Use of Local Water Tanks (APPROVED) (RDC-to-ZMB).msg", "Use of Local Water Tanks (APPROVED)")</f>
        <v>Use of Local Water Tanks (APPROVED)</v>
      </c>
      <c r="K1339" s="25" t="s">
        <v>1211</v>
      </c>
      <c r="L1339" s="19"/>
      <c r="M1339" s="20"/>
      <c r="N1339" s="21" t="s">
        <v>4529</v>
      </c>
    </row>
    <row r="1340" spans="1:14">
      <c r="A1340" s="12" t="s">
        <v>757</v>
      </c>
      <c r="B1340" s="13" t="s">
        <v>718</v>
      </c>
      <c r="C1340" s="14" t="s">
        <v>3476</v>
      </c>
      <c r="D1340" s="15">
        <v>41996.832766203705</v>
      </c>
      <c r="E1340" s="16" t="s">
        <v>21</v>
      </c>
      <c r="F1340" s="16" t="s">
        <v>16</v>
      </c>
      <c r="G1340" s="17" t="s">
        <v>738</v>
      </c>
      <c r="H1340" s="17" t="s">
        <v>4066</v>
      </c>
      <c r="I1340" s="13" t="s">
        <v>4530</v>
      </c>
      <c r="J1340" s="23" t="str">
        <f>HYPERLINK("CorLog\GHA\BEX 2\20141223 GHA BEX 2 Water flow Creek (GHA-to-RDC).msg", "Water flow Creek")</f>
        <v>Water flow Creek</v>
      </c>
      <c r="K1340" s="25" t="s">
        <v>1211</v>
      </c>
      <c r="L1340" s="19"/>
      <c r="M1340" s="20"/>
      <c r="N1340" s="21" t="s">
        <v>4531</v>
      </c>
    </row>
    <row r="1341" spans="1:14">
      <c r="A1341" s="12" t="s">
        <v>718</v>
      </c>
      <c r="B1341" s="13" t="s">
        <v>3215</v>
      </c>
      <c r="C1341" s="14" t="s">
        <v>4532</v>
      </c>
      <c r="D1341" s="15">
        <v>41996.713900462964</v>
      </c>
      <c r="E1341" s="16" t="s">
        <v>16</v>
      </c>
      <c r="F1341" s="16" t="s">
        <v>21</v>
      </c>
      <c r="G1341" s="17" t="s">
        <v>807</v>
      </c>
      <c r="H1341" s="17" t="s">
        <v>1000</v>
      </c>
      <c r="I1341" s="13" t="s">
        <v>4533</v>
      </c>
      <c r="J1341" s="23" t="str">
        <f>HYPERLINK("CorLog\GHA\Branch\20141223 GHA Branch IF GHS moved out (RDC-to-GHA).msg", "IF GHS moved out")</f>
        <v>IF GHS moved out</v>
      </c>
      <c r="K1341" s="25"/>
      <c r="L1341" s="19"/>
      <c r="M1341" s="20"/>
      <c r="N1341" s="21" t="s">
        <v>4534</v>
      </c>
    </row>
    <row r="1342" spans="1:14">
      <c r="A1342" s="12" t="s">
        <v>718</v>
      </c>
      <c r="B1342" s="13" t="s">
        <v>750</v>
      </c>
      <c r="C1342" s="14" t="s">
        <v>4535</v>
      </c>
      <c r="D1342" s="15">
        <v>41996.580555555556</v>
      </c>
      <c r="E1342" s="16" t="s">
        <v>16</v>
      </c>
      <c r="F1342" s="16" t="s">
        <v>16</v>
      </c>
      <c r="G1342" s="17" t="s">
        <v>885</v>
      </c>
      <c r="H1342" s="17" t="s">
        <v>4536</v>
      </c>
      <c r="I1342" s="13" t="s">
        <v>4537</v>
      </c>
      <c r="J1342" s="23" t="str">
        <f>HYPERLINK("CorLog\ZMB\Kabompo RTO\20141223 ZMB Kabompo RTO ZMB-Katete Contracted Fence November 2014 Report (RDC-to-RDC).msg", "ZMB-Katete Contracted Fence November 2014 Report")</f>
        <v>ZMB-Katete Contracted Fence November 2014 Report</v>
      </c>
      <c r="K1342" s="25" t="s">
        <v>1243</v>
      </c>
      <c r="L1342" s="19"/>
      <c r="M1342" s="20"/>
      <c r="N1342" s="21" t="s">
        <v>4538</v>
      </c>
    </row>
    <row r="1343" spans="1:14">
      <c r="A1343" s="12" t="s">
        <v>972</v>
      </c>
      <c r="B1343" s="13" t="s">
        <v>718</v>
      </c>
      <c r="C1343" s="14" t="s">
        <v>4539</v>
      </c>
      <c r="D1343" s="15">
        <v>41996.578414351854</v>
      </c>
      <c r="E1343" s="16" t="s">
        <v>18</v>
      </c>
      <c r="F1343" s="16" t="s">
        <v>16</v>
      </c>
      <c r="G1343" s="17" t="s">
        <v>1070</v>
      </c>
      <c r="H1343" s="17" t="s">
        <v>953</v>
      </c>
      <c r="I1343" s="13" t="s">
        <v>4540</v>
      </c>
      <c r="J1343" s="23" t="str">
        <f>HYPERLINK("CorLog\ZMB\Katete RTO\20141223 ZMB Katete RTO Contracted Fence November 2014 Report (ZMB-to-RDC).msg", "Contracted Fence November 2014 Report")</f>
        <v>Contracted Fence November 2014 Report</v>
      </c>
      <c r="K1343" s="25" t="s">
        <v>1243</v>
      </c>
      <c r="L1343" s="19"/>
      <c r="M1343" s="20"/>
      <c r="N1343" s="21" t="s">
        <v>4541</v>
      </c>
    </row>
    <row r="1344" spans="1:14">
      <c r="A1344" s="12" t="s">
        <v>718</v>
      </c>
      <c r="B1344" s="13" t="s">
        <v>972</v>
      </c>
      <c r="C1344" s="14" t="s">
        <v>4542</v>
      </c>
      <c r="D1344" s="15">
        <v>41996.481249999997</v>
      </c>
      <c r="E1344" s="16" t="s">
        <v>16</v>
      </c>
      <c r="F1344" s="16" t="s">
        <v>18</v>
      </c>
      <c r="G1344" s="17" t="s">
        <v>1070</v>
      </c>
      <c r="H1344" s="17" t="s">
        <v>829</v>
      </c>
      <c r="I1344" s="13" t="s">
        <v>4543</v>
      </c>
      <c r="J1344" s="23" t="str">
        <f>HYPERLINK("CorLog\ZMB\Katete RTO\20141223 ZMB Katete RTO RDC review of Draft NLBR; REQ 520-9408; 20141223; Electrical; Cables Conduit &amp; Adapters (RDC-to-ZMB).msg", "RDC review of Draft NLBR; REQ 520-9408; 20141223; Electrical; Cables Conduit &amp; Adapters")</f>
        <v>RDC review of Draft NLBR; REQ 520-9408; 20141223; Electrical; Cables Conduit &amp; Adapters</v>
      </c>
      <c r="K1344" s="25" t="s">
        <v>1211</v>
      </c>
      <c r="L1344" s="19"/>
      <c r="M1344" s="20"/>
      <c r="N1344" s="21" t="s">
        <v>4544</v>
      </c>
    </row>
    <row r="1345" spans="1:14">
      <c r="A1345" s="12" t="s">
        <v>718</v>
      </c>
      <c r="B1345" s="13" t="s">
        <v>717</v>
      </c>
      <c r="C1345" s="14" t="s">
        <v>4545</v>
      </c>
      <c r="D1345" s="15">
        <v>41996.439583333333</v>
      </c>
      <c r="E1345" s="16" t="s">
        <v>16</v>
      </c>
      <c r="F1345" s="16" t="s">
        <v>16</v>
      </c>
      <c r="G1345" s="17" t="s">
        <v>1662</v>
      </c>
      <c r="H1345" s="17" t="s">
        <v>2288</v>
      </c>
      <c r="I1345" s="13" t="s">
        <v>4546</v>
      </c>
      <c r="J1345" s="23" t="str">
        <f>HYPERLINK("CorLog\MDG\Toliara RTO\20141223 MDG Toliara RTO Have we exhausted all options to rent buy (MINUTES) (RDC-to-RDC).msg", "Have we exhausted all options to rent buy (MINUTES)")</f>
        <v>Have we exhausted all options to rent buy (MINUTES)</v>
      </c>
      <c r="K1345" s="25"/>
      <c r="L1345" s="19"/>
      <c r="M1345" s="20"/>
      <c r="N1345" s="21" t="s">
        <v>4547</v>
      </c>
    </row>
    <row r="1346" spans="1:14">
      <c r="A1346" s="12" t="s">
        <v>750</v>
      </c>
      <c r="B1346" s="13" t="s">
        <v>718</v>
      </c>
      <c r="C1346" s="14" t="s">
        <v>1258</v>
      </c>
      <c r="D1346" s="15">
        <v>41996.372407407405</v>
      </c>
      <c r="E1346" s="16" t="s">
        <v>16</v>
      </c>
      <c r="F1346" s="16" t="s">
        <v>16</v>
      </c>
      <c r="G1346" s="17" t="s">
        <v>790</v>
      </c>
      <c r="H1346" s="17" t="s">
        <v>4045</v>
      </c>
      <c r="I1346" s="13" t="s">
        <v>4548</v>
      </c>
      <c r="J1346" s="23" t="str">
        <f>HYPERLINK("CorLog\GHA\BEX\20141223 GHA BEX Location of control joints for exterior cement rendering (RDC-to-RDC).msg", "Location of control joints for exterior cement rendering")</f>
        <v>Location of control joints for exterior cement rendering</v>
      </c>
      <c r="K1346" s="25" t="s">
        <v>1274</v>
      </c>
      <c r="L1346" s="19"/>
      <c r="M1346" s="20"/>
      <c r="N1346" s="21" t="s">
        <v>4549</v>
      </c>
    </row>
    <row r="1347" spans="1:14">
      <c r="A1347" s="12" t="s">
        <v>4550</v>
      </c>
      <c r="B1347" s="13"/>
      <c r="C1347" s="14"/>
      <c r="D1347" s="15">
        <v>41996</v>
      </c>
      <c r="E1347" s="16" t="s">
        <v>17</v>
      </c>
      <c r="F1347" s="16" t="s">
        <v>16</v>
      </c>
      <c r="G1347" s="17" t="s">
        <v>719</v>
      </c>
      <c r="H1347" s="17" t="s">
        <v>1716</v>
      </c>
      <c r="I1347" s="13" t="s">
        <v>4551</v>
      </c>
      <c r="J1347" s="23" t="str">
        <f>HYPERLINK("CorLog\Reference\20141223 Reference WDC Procurement and Cost Management Workshop (WDC-to-RDC).doc", "WDC Procurement and Cost Management Workshop")</f>
        <v>WDC Procurement and Cost Management Workshop</v>
      </c>
      <c r="K1347" s="23"/>
      <c r="L1347" s="19"/>
      <c r="M1347" s="20"/>
      <c r="N1347" s="21" t="s">
        <v>4552</v>
      </c>
    </row>
    <row r="1348" spans="1:14">
      <c r="A1348" s="12" t="s">
        <v>1537</v>
      </c>
      <c r="B1348" s="13"/>
      <c r="C1348" s="14"/>
      <c r="D1348" s="15">
        <v>41996</v>
      </c>
      <c r="E1348" s="16" t="s">
        <v>25</v>
      </c>
      <c r="F1348" s="16" t="s">
        <v>18</v>
      </c>
      <c r="G1348" s="17" t="s">
        <v>780</v>
      </c>
      <c r="H1348" s="17" t="s">
        <v>2384</v>
      </c>
      <c r="I1348" s="13" t="s">
        <v>1539</v>
      </c>
      <c r="J1348" s="23" t="str">
        <f>HYPERLINK("CorLog\ZMB\LDC\20141223 ZMB LDC Zambia Assembly Hall Overall Plan (WHQ-to-ZMB).docx", "Zambia Assembly Hall Overall Plan")</f>
        <v>Zambia Assembly Hall Overall Plan</v>
      </c>
      <c r="K1348" s="23"/>
      <c r="L1348" s="19"/>
      <c r="M1348" s="20"/>
      <c r="N1348" s="21" t="s">
        <v>4553</v>
      </c>
    </row>
    <row r="1349" spans="1:14">
      <c r="A1349" s="12" t="s">
        <v>4554</v>
      </c>
      <c r="B1349" s="13"/>
      <c r="C1349" s="14"/>
      <c r="D1349" s="15">
        <v>41996</v>
      </c>
      <c r="E1349" s="16" t="s">
        <v>25</v>
      </c>
      <c r="F1349" s="16" t="s">
        <v>30</v>
      </c>
      <c r="G1349" s="17" t="s">
        <v>979</v>
      </c>
      <c r="H1349" s="17" t="s">
        <v>1000</v>
      </c>
      <c r="I1349" s="13" t="s">
        <v>4555</v>
      </c>
      <c r="J1349" s="23" t="str">
        <f>HYPERLINK("CorLog\RTO\Projects\20141223 RTO Projects Adjustment in Number of Project Teams for Sign Languages (WHQ-to-ALL).docx", "Adjustment in Number of Project Teams for Sign Languages")</f>
        <v>Adjustment in Number of Project Teams for Sign Languages</v>
      </c>
      <c r="K1349" s="23"/>
      <c r="L1349" s="19"/>
      <c r="M1349" s="20"/>
      <c r="N1349" s="21" t="s">
        <v>4556</v>
      </c>
    </row>
    <row r="1350" spans="1:14">
      <c r="A1350" s="12" t="s">
        <v>718</v>
      </c>
      <c r="B1350" s="13" t="s">
        <v>827</v>
      </c>
      <c r="C1350" s="14" t="s">
        <v>2579</v>
      </c>
      <c r="D1350" s="15">
        <v>41995.673611111109</v>
      </c>
      <c r="E1350" s="16" t="s">
        <v>16</v>
      </c>
      <c r="F1350" s="16" t="s">
        <v>21</v>
      </c>
      <c r="G1350" s="17" t="s">
        <v>790</v>
      </c>
      <c r="H1350" s="17" t="s">
        <v>1565</v>
      </c>
      <c r="I1350" s="13" t="s">
        <v>4557</v>
      </c>
      <c r="J1350" s="23" t="str">
        <f>HYPERLINK("CorLog\GHA\BEX\20141222 GHA BEX Mitek hat channel splicing detail (RDC-to-GHA).msg", "Mitek hat channel splicing detail")</f>
        <v>Mitek hat channel splicing detail</v>
      </c>
      <c r="K1350" s="25" t="s">
        <v>1211</v>
      </c>
      <c r="L1350" s="19"/>
      <c r="M1350" s="20"/>
      <c r="N1350" s="21" t="s">
        <v>4558</v>
      </c>
    </row>
    <row r="1351" spans="1:14">
      <c r="A1351" s="12" t="s">
        <v>718</v>
      </c>
      <c r="B1351" s="13" t="s">
        <v>1547</v>
      </c>
      <c r="C1351" s="14" t="s">
        <v>4559</v>
      </c>
      <c r="D1351" s="15">
        <v>41995.625</v>
      </c>
      <c r="E1351" s="16" t="s">
        <v>16</v>
      </c>
      <c r="F1351" s="16" t="s">
        <v>14</v>
      </c>
      <c r="G1351" s="17" t="s">
        <v>1662</v>
      </c>
      <c r="H1351" s="17" t="s">
        <v>1015</v>
      </c>
      <c r="I1351" s="13" t="s">
        <v>4546</v>
      </c>
      <c r="J1351" s="23" t="str">
        <f>HYPERLINK("CorLog\MDG\Toliara RTO\20141222 MDG Toliara RTO Have we exhausted all options to rent buy (MINUTES) (RDC-to-MDG).msg", "Have we exhausted all options to rent buy (MINUTES)")</f>
        <v>Have we exhausted all options to rent buy (MINUTES)</v>
      </c>
      <c r="K1351" s="25"/>
      <c r="L1351" s="19"/>
      <c r="M1351" s="20"/>
      <c r="N1351" s="21" t="s">
        <v>4560</v>
      </c>
    </row>
    <row r="1352" spans="1:14">
      <c r="A1352" s="12" t="s">
        <v>728</v>
      </c>
      <c r="B1352" s="13" t="s">
        <v>718</v>
      </c>
      <c r="C1352" s="14" t="s">
        <v>1160</v>
      </c>
      <c r="D1352" s="15">
        <v>41995.604016203702</v>
      </c>
      <c r="E1352" s="16" t="s">
        <v>20</v>
      </c>
      <c r="F1352" s="16" t="s">
        <v>16</v>
      </c>
      <c r="G1352" s="17" t="s">
        <v>719</v>
      </c>
      <c r="H1352" s="17" t="s">
        <v>1634</v>
      </c>
      <c r="I1352" s="13" t="s">
        <v>4561</v>
      </c>
      <c r="J1352" s="23" t="str">
        <f>HYPERLINK("CorLog\Reference\20141222 Reference Workflow for Project Tracking (MOZ-to-RDC).msg", "Workflow for Project Tracking")</f>
        <v>Workflow for Project Tracking</v>
      </c>
      <c r="K1352" s="25" t="s">
        <v>1243</v>
      </c>
      <c r="L1352" s="19"/>
      <c r="M1352" s="20"/>
      <c r="N1352" s="21" t="s">
        <v>4562</v>
      </c>
    </row>
    <row r="1353" spans="1:14">
      <c r="A1353" s="12" t="s">
        <v>718</v>
      </c>
      <c r="B1353" s="13" t="s">
        <v>1818</v>
      </c>
      <c r="C1353" s="14" t="s">
        <v>795</v>
      </c>
      <c r="D1353" s="15">
        <v>41995.584027777775</v>
      </c>
      <c r="E1353" s="16" t="s">
        <v>16</v>
      </c>
      <c r="F1353" s="16" t="s">
        <v>16</v>
      </c>
      <c r="G1353" s="17" t="s">
        <v>857</v>
      </c>
      <c r="H1353" s="17" t="s">
        <v>4563</v>
      </c>
      <c r="I1353" s="13" t="s">
        <v>4564</v>
      </c>
      <c r="J1353" s="23" t="str">
        <f>HYPERLINK("CorLog\GHA\Kikam RTO\20141222 GHA Kikam RTO exact location of borehole (RDC-to-RDC).msg", "exact location of borehole")</f>
        <v>exact location of borehole</v>
      </c>
      <c r="K1353" s="25" t="s">
        <v>1211</v>
      </c>
      <c r="L1353" s="19"/>
      <c r="M1353" s="20"/>
      <c r="N1353" s="21" t="s">
        <v>4565</v>
      </c>
    </row>
    <row r="1354" spans="1:14">
      <c r="A1354" s="12" t="s">
        <v>718</v>
      </c>
      <c r="B1354" s="13" t="s">
        <v>1337</v>
      </c>
      <c r="C1354" s="14" t="s">
        <v>4566</v>
      </c>
      <c r="D1354" s="15">
        <v>41995.572222222225</v>
      </c>
      <c r="E1354" s="16" t="s">
        <v>16</v>
      </c>
      <c r="F1354" s="16" t="s">
        <v>18</v>
      </c>
      <c r="G1354" s="17" t="s">
        <v>885</v>
      </c>
      <c r="H1354" s="17" t="s">
        <v>3330</v>
      </c>
      <c r="I1354" s="13" t="s">
        <v>4567</v>
      </c>
      <c r="J1354" s="23" t="str">
        <f>HYPERLINK("CorLog\ZMB\Kabompo RTO\20141222 ZMB Kabompo RTO Electrical Phase rotation Issue (SOLUTION) (RDC-to-ZMB).msg", "Electrical Phase rotation Issue (SOLUTION)")</f>
        <v>Electrical Phase rotation Issue (SOLUTION)</v>
      </c>
      <c r="K1354" s="25" t="s">
        <v>1243</v>
      </c>
      <c r="L1354" s="19"/>
      <c r="M1354" s="20"/>
      <c r="N1354" s="21" t="s">
        <v>4568</v>
      </c>
    </row>
    <row r="1355" spans="1:14">
      <c r="A1355" s="12" t="s">
        <v>718</v>
      </c>
      <c r="B1355" s="13" t="s">
        <v>1969</v>
      </c>
      <c r="C1355" s="14" t="s">
        <v>4569</v>
      </c>
      <c r="D1355" s="15">
        <v>41995.489583333336</v>
      </c>
      <c r="E1355" s="16" t="s">
        <v>16</v>
      </c>
      <c r="F1355" s="16" t="s">
        <v>22</v>
      </c>
      <c r="G1355" s="17" t="s">
        <v>2627</v>
      </c>
      <c r="H1355" s="17" t="s">
        <v>1687</v>
      </c>
      <c r="I1355" s="13" t="s">
        <v>4570</v>
      </c>
      <c r="J1355" s="23" t="str">
        <f>HYPERLINK("CorLog\COD\Kamina RTO\20141222 COD Kamina RTO TER Measurements missing (RDC-to-COD).msg", "TER Measurements missing")</f>
        <v>TER Measurements missing</v>
      </c>
      <c r="K1355" s="25" t="s">
        <v>1270</v>
      </c>
      <c r="L1355" s="19"/>
      <c r="M1355" s="20"/>
      <c r="N1355" s="21" t="s">
        <v>4571</v>
      </c>
    </row>
    <row r="1356" spans="1:14">
      <c r="A1356" s="12" t="s">
        <v>718</v>
      </c>
      <c r="B1356" s="13" t="s">
        <v>972</v>
      </c>
      <c r="C1356" s="14" t="s">
        <v>4572</v>
      </c>
      <c r="D1356" s="15">
        <v>41995.406944444447</v>
      </c>
      <c r="E1356" s="16" t="s">
        <v>16</v>
      </c>
      <c r="F1356" s="16" t="s">
        <v>18</v>
      </c>
      <c r="G1356" s="17" t="s">
        <v>1070</v>
      </c>
      <c r="H1356" s="17" t="s">
        <v>781</v>
      </c>
      <c r="I1356" s="13" t="s">
        <v>4573</v>
      </c>
      <c r="J1356" s="23" t="str">
        <f>HYPERLINK("CorLog\ZMB\Katete RTO\20141222 ZMB Katete RTO DC-51 CV Request Katete RTO Carpenter (RDC-to-ZMB).msg", "DC-51 CV Request Katete RTO Carpenter")</f>
        <v>DC-51 CV Request Katete RTO Carpenter</v>
      </c>
      <c r="K1356" s="25"/>
      <c r="L1356" s="19"/>
      <c r="M1356" s="20"/>
      <c r="N1356" s="21" t="s">
        <v>4574</v>
      </c>
    </row>
    <row r="1357" spans="1:14">
      <c r="A1357" s="12" t="s">
        <v>718</v>
      </c>
      <c r="B1357" s="13" t="s">
        <v>827</v>
      </c>
      <c r="C1357" s="14" t="s">
        <v>3489</v>
      </c>
      <c r="D1357" s="15">
        <v>41995.365972222222</v>
      </c>
      <c r="E1357" s="16" t="s">
        <v>16</v>
      </c>
      <c r="F1357" s="16" t="s">
        <v>21</v>
      </c>
      <c r="G1357" s="17" t="s">
        <v>790</v>
      </c>
      <c r="H1357" s="17" t="s">
        <v>886</v>
      </c>
      <c r="I1357" s="13" t="s">
        <v>4575</v>
      </c>
      <c r="J1357" s="23" t="str">
        <f>HYPERLINK("CorLog\GHA\BEX\20141222 GHA BEX Quote Request - Exterior Light Fittings for Residence Buildings (RDC-to-GHA).msg", "Quote Request - Exterior Light Fittings for Residence Buildings")</f>
        <v>Quote Request - Exterior Light Fittings for Residence Buildings</v>
      </c>
      <c r="K1357" s="25" t="s">
        <v>1499</v>
      </c>
      <c r="L1357" s="19"/>
      <c r="M1357" s="20"/>
      <c r="N1357" s="21" t="s">
        <v>4576</v>
      </c>
    </row>
    <row r="1358" spans="1:14">
      <c r="A1358" s="12" t="s">
        <v>718</v>
      </c>
      <c r="B1358" s="13" t="s">
        <v>827</v>
      </c>
      <c r="C1358" s="14" t="s">
        <v>4577</v>
      </c>
      <c r="D1358" s="15">
        <v>41995.363194444442</v>
      </c>
      <c r="E1358" s="16" t="s">
        <v>16</v>
      </c>
      <c r="F1358" s="16" t="s">
        <v>21</v>
      </c>
      <c r="G1358" s="17" t="s">
        <v>790</v>
      </c>
      <c r="H1358" s="17" t="s">
        <v>886</v>
      </c>
      <c r="I1358" s="13" t="s">
        <v>4578</v>
      </c>
      <c r="J1358" s="23" t="str">
        <f>HYPERLINK("CorLog\GHA\BEX\20141222 GHA BEX Earth Wire Around New Residences (RDC-to-GHA).msg", "Earth Wire Around New Residences")</f>
        <v>Earth Wire Around New Residences</v>
      </c>
      <c r="K1358" s="25" t="s">
        <v>1243</v>
      </c>
      <c r="L1358" s="19"/>
      <c r="M1358" s="20"/>
      <c r="N1358" s="21" t="s">
        <v>4579</v>
      </c>
    </row>
    <row r="1359" spans="1:14">
      <c r="A1359" s="12" t="s">
        <v>718</v>
      </c>
      <c r="B1359" s="13" t="s">
        <v>827</v>
      </c>
      <c r="C1359" s="14" t="s">
        <v>4399</v>
      </c>
      <c r="D1359" s="15">
        <v>41995.363194444442</v>
      </c>
      <c r="E1359" s="16" t="s">
        <v>16</v>
      </c>
      <c r="F1359" s="16" t="s">
        <v>21</v>
      </c>
      <c r="G1359" s="17" t="s">
        <v>790</v>
      </c>
      <c r="H1359" s="17" t="s">
        <v>829</v>
      </c>
      <c r="I1359" s="13" t="s">
        <v>4580</v>
      </c>
      <c r="J1359" s="23" t="str">
        <f>HYPERLINK("CorLog\GHA\BEX\20141222 GHA BEX RDC review of NLBR Package - 32 - SUBMITTAL (RDC-to-GHA).msg", "RDC review of NLBR Package - 32 - SUBMITTAL")</f>
        <v>RDC review of NLBR Package - 32 - SUBMITTAL</v>
      </c>
      <c r="K1359" s="25" t="s">
        <v>1369</v>
      </c>
      <c r="L1359" s="19"/>
      <c r="M1359" s="20"/>
      <c r="N1359" s="21" t="s">
        <v>4581</v>
      </c>
    </row>
    <row r="1360" spans="1:14">
      <c r="A1360" s="12" t="s">
        <v>718</v>
      </c>
      <c r="B1360" s="13" t="s">
        <v>827</v>
      </c>
      <c r="C1360" s="14" t="s">
        <v>4582</v>
      </c>
      <c r="D1360" s="15">
        <v>41995.359027777777</v>
      </c>
      <c r="E1360" s="16" t="s">
        <v>16</v>
      </c>
      <c r="F1360" s="16" t="s">
        <v>21</v>
      </c>
      <c r="G1360" s="17" t="s">
        <v>790</v>
      </c>
      <c r="H1360" s="17" t="s">
        <v>829</v>
      </c>
      <c r="I1360" s="13" t="s">
        <v>4583</v>
      </c>
      <c r="J1360" s="23" t="str">
        <f>HYPERLINK("CorLog\GHA\BEX\20141222 GHA BEX RDC Review of NLBR 53366 Package no 35 (RDC-to-GHA).msg", "RDC Review of NLBR 53366 Package no 35")</f>
        <v>RDC Review of NLBR 53366 Package no 35</v>
      </c>
      <c r="K1360" s="25" t="s">
        <v>1211</v>
      </c>
      <c r="L1360" s="19"/>
      <c r="M1360" s="20"/>
      <c r="N1360" s="21" t="s">
        <v>4584</v>
      </c>
    </row>
    <row r="1361" spans="1:14">
      <c r="A1361" s="12" t="s">
        <v>718</v>
      </c>
      <c r="B1361" s="13" t="s">
        <v>827</v>
      </c>
      <c r="C1361" s="14" t="s">
        <v>4399</v>
      </c>
      <c r="D1361" s="15">
        <v>41995.356249999997</v>
      </c>
      <c r="E1361" s="16" t="s">
        <v>16</v>
      </c>
      <c r="F1361" s="16" t="s">
        <v>21</v>
      </c>
      <c r="G1361" s="17" t="s">
        <v>790</v>
      </c>
      <c r="H1361" s="17" t="s">
        <v>829</v>
      </c>
      <c r="I1361" s="13" t="s">
        <v>4585</v>
      </c>
      <c r="J1361" s="23" t="str">
        <f>HYPERLINK("CorLog\GHA\BEX\20141222 GHA BEX RDC review of NLBR Package - 34 - New Tiles Proposal (RDC-to-GHA).msg", "RDC review of NLBR Package - 34 - New Tiles Proposal")</f>
        <v>RDC review of NLBR Package - 34 - New Tiles Proposal</v>
      </c>
      <c r="K1361" s="25" t="s">
        <v>1369</v>
      </c>
      <c r="L1361" s="19"/>
      <c r="M1361" s="20"/>
      <c r="N1361" s="21" t="s">
        <v>4586</v>
      </c>
    </row>
    <row r="1362" spans="1:14">
      <c r="A1362" s="12" t="s">
        <v>750</v>
      </c>
      <c r="B1362" s="13" t="s">
        <v>1818</v>
      </c>
      <c r="C1362" s="14" t="s">
        <v>4587</v>
      </c>
      <c r="D1362" s="15">
        <v>41995.355046296296</v>
      </c>
      <c r="E1362" s="16" t="s">
        <v>16</v>
      </c>
      <c r="F1362" s="16" t="s">
        <v>16</v>
      </c>
      <c r="G1362" s="17" t="s">
        <v>785</v>
      </c>
      <c r="H1362" s="17" t="s">
        <v>4588</v>
      </c>
      <c r="I1362" s="13" t="s">
        <v>4589</v>
      </c>
      <c r="J1362" s="23" t="str">
        <f>HYPERLINK("CorLog\COD\Lubumbashi RTO\20141222 COD Lubumbashi RTO Civil proposal (RDC-to-RDC).msg", "Civil proposal")</f>
        <v>Civil proposal</v>
      </c>
      <c r="K1362" s="25" t="s">
        <v>1274</v>
      </c>
      <c r="L1362" s="19"/>
      <c r="M1362" s="20"/>
      <c r="N1362" s="21" t="s">
        <v>4590</v>
      </c>
    </row>
    <row r="1363" spans="1:14">
      <c r="A1363" s="12" t="s">
        <v>718</v>
      </c>
      <c r="B1363" s="13" t="s">
        <v>717</v>
      </c>
      <c r="C1363" s="14" t="s">
        <v>4591</v>
      </c>
      <c r="D1363" s="15">
        <v>41995.345138888886</v>
      </c>
      <c r="E1363" s="16" t="s">
        <v>16</v>
      </c>
      <c r="F1363" s="16" t="s">
        <v>16</v>
      </c>
      <c r="G1363" s="17" t="s">
        <v>913</v>
      </c>
      <c r="H1363" s="17" t="s">
        <v>4592</v>
      </c>
      <c r="I1363" s="13" t="s">
        <v>4593</v>
      </c>
      <c r="J1363" s="23" t="str">
        <f>HYPERLINK("CorLog\COD\Branch\20141222 COD Branch Draft DC-41 for New Editing offices in Shipping (RDC-to-RDC).msg", "Draft DC-41 for New Editing offices in Shipping")</f>
        <v>Draft DC-41 for New Editing offices in Shipping</v>
      </c>
      <c r="K1363" s="25" t="s">
        <v>1369</v>
      </c>
      <c r="L1363" s="19"/>
      <c r="M1363" s="20"/>
      <c r="N1363" s="21" t="s">
        <v>4594</v>
      </c>
    </row>
    <row r="1364" spans="1:14">
      <c r="A1364" s="12" t="s">
        <v>2740</v>
      </c>
      <c r="B1364" s="13"/>
      <c r="C1364" s="14"/>
      <c r="D1364" s="15">
        <v>41995</v>
      </c>
      <c r="E1364" s="16" t="s">
        <v>25</v>
      </c>
      <c r="F1364" s="16" t="s">
        <v>22</v>
      </c>
      <c r="G1364" s="17" t="s">
        <v>1169</v>
      </c>
      <c r="H1364" s="17" t="s">
        <v>731</v>
      </c>
      <c r="I1364" s="13" t="s">
        <v>4315</v>
      </c>
      <c r="J1364" s="23" t="str">
        <f>HYPERLINK("CorLog\COD\Kikwit RTO\20141222 COD Kikwit RTO DC-41 No 2 Kikwit Remote Translation Office (WHQ-to-COD).docx", "DC-41 No 2 Kikwit Remote Translation Office")</f>
        <v>DC-41 No 2 Kikwit Remote Translation Office</v>
      </c>
      <c r="K1364" s="23"/>
      <c r="L1364" s="19"/>
      <c r="M1364" s="20"/>
      <c r="N1364" s="21" t="s">
        <v>4595</v>
      </c>
    </row>
    <row r="1365" spans="1:14">
      <c r="A1365" s="12" t="s">
        <v>2740</v>
      </c>
      <c r="B1365" s="13"/>
      <c r="C1365" s="14"/>
      <c r="D1365" s="15">
        <v>41995</v>
      </c>
      <c r="E1365" s="16" t="s">
        <v>25</v>
      </c>
      <c r="F1365" s="16" t="s">
        <v>22</v>
      </c>
      <c r="G1365" s="17" t="s">
        <v>785</v>
      </c>
      <c r="H1365" s="17" t="s">
        <v>731</v>
      </c>
      <c r="I1365" s="13" t="s">
        <v>2365</v>
      </c>
      <c r="J1365" s="23" t="str">
        <f>HYPERLINK("CorLog\COD\Lubumbashi RTO\20141222 COD Lubumbashi RTO DC-41 No 2 Congo (Kinshasa) Lubumbashi RTO (USD 1,700,450) (WHQ-to-COD).docx", "DC-41 No 2 Congo (Kinshasa) Lubumbashi RTO (USD 1,700,450)")</f>
        <v>DC-41 No 2 Congo (Kinshasa) Lubumbashi RTO (USD 1,700,450)</v>
      </c>
      <c r="K1365" s="23"/>
      <c r="L1365" s="19"/>
      <c r="M1365" s="20"/>
      <c r="N1365" s="21" t="s">
        <v>4596</v>
      </c>
    </row>
    <row r="1366" spans="1:14">
      <c r="A1366" s="12" t="s">
        <v>718</v>
      </c>
      <c r="B1366" s="13" t="s">
        <v>757</v>
      </c>
      <c r="C1366" s="14"/>
      <c r="D1366" s="15">
        <v>41994.784722222219</v>
      </c>
      <c r="E1366" s="16" t="s">
        <v>16</v>
      </c>
      <c r="F1366" s="16" t="s">
        <v>21</v>
      </c>
      <c r="G1366" s="17" t="s">
        <v>857</v>
      </c>
      <c r="H1366" s="17" t="s">
        <v>2688</v>
      </c>
      <c r="I1366" s="13" t="s">
        <v>4597</v>
      </c>
      <c r="J1366" s="23" t="str">
        <f>HYPERLINK("CorLog\GHA\Kikam RTO\20141221 GHA Kikam RTO Civil Layout Drawings (RDC-to-GHA).msg", "Civil Layout Drawings")</f>
        <v>Civil Layout Drawings</v>
      </c>
      <c r="K1366" s="25" t="s">
        <v>1211</v>
      </c>
      <c r="L1366" s="19"/>
      <c r="M1366" s="20"/>
      <c r="N1366" s="21" t="s">
        <v>4598</v>
      </c>
    </row>
    <row r="1367" spans="1:14">
      <c r="A1367" s="12" t="s">
        <v>718</v>
      </c>
      <c r="B1367" s="13" t="s">
        <v>1969</v>
      </c>
      <c r="C1367" s="14" t="s">
        <v>4599</v>
      </c>
      <c r="D1367" s="15">
        <v>41994.756944444445</v>
      </c>
      <c r="E1367" s="16" t="s">
        <v>16</v>
      </c>
      <c r="F1367" s="16" t="s">
        <v>22</v>
      </c>
      <c r="G1367" s="17" t="s">
        <v>2627</v>
      </c>
      <c r="H1367" s="17" t="s">
        <v>4600</v>
      </c>
      <c r="I1367" s="13" t="s">
        <v>4601</v>
      </c>
      <c r="J1367" s="23" t="str">
        <f>HYPERLINK("CorLog\COD\Kamina RTO\20141221 COD Kamina RTO Field sketch, stirrup length corrected (RDC-to-COD).msg", "Field sketch, stirrup length corrected")</f>
        <v>Field sketch, stirrup length corrected</v>
      </c>
      <c r="K1367" s="25" t="s">
        <v>1211</v>
      </c>
      <c r="L1367" s="19"/>
      <c r="M1367" s="20"/>
      <c r="N1367" s="21" t="s">
        <v>4602</v>
      </c>
    </row>
    <row r="1368" spans="1:14">
      <c r="A1368" s="12" t="s">
        <v>718</v>
      </c>
      <c r="B1368" s="13" t="s">
        <v>1069</v>
      </c>
      <c r="C1368" s="14" t="s">
        <v>4391</v>
      </c>
      <c r="D1368" s="15">
        <v>41994.73541666667</v>
      </c>
      <c r="E1368" s="16" t="s">
        <v>16</v>
      </c>
      <c r="F1368" s="16" t="s">
        <v>18</v>
      </c>
      <c r="G1368" s="17" t="s">
        <v>1070</v>
      </c>
      <c r="H1368" s="17" t="s">
        <v>953</v>
      </c>
      <c r="I1368" s="13" t="s">
        <v>4603</v>
      </c>
      <c r="J1368" s="23" t="str">
        <f>HYPERLINK("CorLog\ZMB\Katete RTO\20141221 ZMB Katete RTO Renting out WT Scaffold (RDC-to-ZMB).msg", "Renting out WT Scaffold")</f>
        <v>Renting out WT Scaffold</v>
      </c>
      <c r="K1368" s="25"/>
      <c r="L1368" s="19"/>
      <c r="M1368" s="20"/>
      <c r="N1368" s="21" t="s">
        <v>4604</v>
      </c>
    </row>
    <row r="1369" spans="1:14">
      <c r="A1369" s="12" t="s">
        <v>771</v>
      </c>
      <c r="B1369" s="13" t="s">
        <v>718</v>
      </c>
      <c r="C1369" s="14" t="s">
        <v>4605</v>
      </c>
      <c r="D1369" s="15">
        <v>41992.975069444445</v>
      </c>
      <c r="E1369" s="16" t="s">
        <v>17</v>
      </c>
      <c r="F1369" s="16" t="s">
        <v>16</v>
      </c>
      <c r="G1369" s="17" t="s">
        <v>4606</v>
      </c>
      <c r="H1369" s="17" t="s">
        <v>1867</v>
      </c>
      <c r="I1369" s="13" t="s">
        <v>4607</v>
      </c>
      <c r="J1369" s="23" t="str">
        <f>HYPERLINK("CorLog\COD\BEX\20141219 COD BEX Sign language in studio (WDC-to-RDC).msg", "Sign language in studio")</f>
        <v>Sign language in studio</v>
      </c>
      <c r="K1369" s="25" t="s">
        <v>1211</v>
      </c>
      <c r="L1369" s="19"/>
      <c r="M1369" s="20"/>
      <c r="N1369" s="21" t="s">
        <v>4608</v>
      </c>
    </row>
    <row r="1370" spans="1:14">
      <c r="A1370" s="12" t="s">
        <v>718</v>
      </c>
      <c r="B1370" s="13" t="s">
        <v>1529</v>
      </c>
      <c r="C1370" s="14" t="s">
        <v>4609</v>
      </c>
      <c r="D1370" s="15">
        <v>41992.618750000001</v>
      </c>
      <c r="E1370" s="16" t="s">
        <v>16</v>
      </c>
      <c r="F1370" s="16" t="s">
        <v>18</v>
      </c>
      <c r="G1370" s="17" t="s">
        <v>979</v>
      </c>
      <c r="H1370" s="17" t="s">
        <v>3453</v>
      </c>
      <c r="I1370" s="13" t="s">
        <v>4610</v>
      </c>
      <c r="J1370" s="23" t="str">
        <f>HYPERLINK("CorLog\RTO\Projects\20141219 RTO Projects RTO Fall Protection Plate system - PAINT-RUST etc (RDC-to-ZMB).msg", "RTO Fall Protection Plate system - PAINT-RUST etc")</f>
        <v>RTO Fall Protection Plate system - PAINT-RUST etc</v>
      </c>
      <c r="K1370" s="25" t="s">
        <v>1243</v>
      </c>
      <c r="L1370" s="19"/>
      <c r="M1370" s="20"/>
      <c r="N1370" s="21" t="s">
        <v>4611</v>
      </c>
    </row>
    <row r="1371" spans="1:14">
      <c r="A1371" s="12" t="s">
        <v>718</v>
      </c>
      <c r="B1371" s="13" t="s">
        <v>2195</v>
      </c>
      <c r="C1371" s="14" t="s">
        <v>4612</v>
      </c>
      <c r="D1371" s="15">
        <v>41992.573611111111</v>
      </c>
      <c r="E1371" s="16" t="s">
        <v>16</v>
      </c>
      <c r="F1371" s="16" t="s">
        <v>935</v>
      </c>
      <c r="G1371" s="17" t="s">
        <v>790</v>
      </c>
      <c r="H1371" s="17" t="s">
        <v>829</v>
      </c>
      <c r="I1371" s="13" t="s">
        <v>4613</v>
      </c>
      <c r="J1371" s="23" t="str">
        <f>HYPERLINK("CorLog\GHA\BEX\20141219 GHA BEX Construction material ($7,870 20) (RDC-to-GPD).msg", "Construction material ($7,870 20)")</f>
        <v>Construction material ($7,870 20)</v>
      </c>
      <c r="K1371" s="25"/>
      <c r="L1371" s="19"/>
      <c r="M1371" s="20"/>
      <c r="N1371" s="21" t="s">
        <v>4614</v>
      </c>
    </row>
    <row r="1372" spans="1:14">
      <c r="A1372" s="12" t="s">
        <v>718</v>
      </c>
      <c r="B1372" s="13" t="s">
        <v>2195</v>
      </c>
      <c r="C1372" s="14" t="s">
        <v>4615</v>
      </c>
      <c r="D1372" s="15">
        <v>41992.571527777778</v>
      </c>
      <c r="E1372" s="16" t="s">
        <v>16</v>
      </c>
      <c r="F1372" s="16" t="s">
        <v>935</v>
      </c>
      <c r="G1372" s="17" t="s">
        <v>790</v>
      </c>
      <c r="H1372" s="17" t="s">
        <v>829</v>
      </c>
      <c r="I1372" s="13" t="s">
        <v>4616</v>
      </c>
      <c r="J1372" s="23" t="str">
        <f>HYPERLINK("CorLog\GHA\BEX\20141219 GHA BEX 4633 Construction materials ($74,356 92) (RDC-to-GPD).msg", "4633 Construction materials ($74,356 92)")</f>
        <v>4633 Construction materials ($74,356 92)</v>
      </c>
      <c r="K1372" s="25"/>
      <c r="L1372" s="19"/>
      <c r="M1372" s="20"/>
      <c r="N1372" s="21" t="s">
        <v>4617</v>
      </c>
    </row>
    <row r="1373" spans="1:14">
      <c r="A1373" s="12" t="s">
        <v>750</v>
      </c>
      <c r="B1373" s="13" t="s">
        <v>1258</v>
      </c>
      <c r="C1373" s="14" t="s">
        <v>4618</v>
      </c>
      <c r="D1373" s="15">
        <v>41992.48778935185</v>
      </c>
      <c r="E1373" s="16" t="s">
        <v>16</v>
      </c>
      <c r="F1373" s="16" t="s">
        <v>16</v>
      </c>
      <c r="G1373" s="17" t="s">
        <v>946</v>
      </c>
      <c r="H1373" s="17" t="s">
        <v>854</v>
      </c>
      <c r="I1373" s="13" t="s">
        <v>4619</v>
      </c>
      <c r="J1373" s="23" t="str">
        <f>HYPERLINK("CorLog\ZMB\Mongu RTO\20141219 ZMB Mongu RTO Gable wall above Ring Beam - 250 CAVITY or 200 CMU Single (RDC-to-RDC).msg", "Gable wall above Ring Beam - 250 CAVITY or 200 CMU Single")</f>
        <v>Gable wall above Ring Beam - 250 CAVITY or 200 CMU Single</v>
      </c>
      <c r="K1373" s="25" t="s">
        <v>1211</v>
      </c>
      <c r="L1373" s="19"/>
      <c r="M1373" s="20"/>
      <c r="N1373" s="21" t="s">
        <v>4620</v>
      </c>
    </row>
    <row r="1374" spans="1:14">
      <c r="A1374" s="12" t="s">
        <v>4621</v>
      </c>
      <c r="B1374" s="13"/>
      <c r="C1374" s="14"/>
      <c r="D1374" s="15">
        <v>41992</v>
      </c>
      <c r="E1374" s="16" t="s">
        <v>25</v>
      </c>
      <c r="F1374" s="16" t="s">
        <v>30</v>
      </c>
      <c r="G1374" s="17" t="s">
        <v>719</v>
      </c>
      <c r="H1374" s="17" t="s">
        <v>4622</v>
      </c>
      <c r="I1374" s="13" t="s">
        <v>4623</v>
      </c>
      <c r="J1374" s="23" t="str">
        <f>HYPERLINK("CorLog\Reference\20141219 Reference Spiritual Programs for Construction Groups and Assembly Hall Servants (WHQ-to-ALL).doc", "Spiritual Programs for Construction Groups and Assembly Hall Servants")</f>
        <v>Spiritual Programs for Construction Groups and Assembly Hall Servants</v>
      </c>
      <c r="K1374" s="23"/>
      <c r="L1374" s="19"/>
      <c r="M1374" s="20"/>
      <c r="N1374" s="21" t="s">
        <v>4624</v>
      </c>
    </row>
    <row r="1375" spans="1:14">
      <c r="A1375" s="12" t="s">
        <v>718</v>
      </c>
      <c r="B1375" s="13" t="s">
        <v>771</v>
      </c>
      <c r="C1375" s="14" t="s">
        <v>998</v>
      </c>
      <c r="D1375" s="15">
        <v>41991.769444444442</v>
      </c>
      <c r="E1375" s="16" t="s">
        <v>16</v>
      </c>
      <c r="F1375" s="16" t="s">
        <v>17</v>
      </c>
      <c r="G1375" s="17" t="s">
        <v>807</v>
      </c>
      <c r="H1375" s="17" t="s">
        <v>3538</v>
      </c>
      <c r="I1375" s="13" t="s">
        <v>4625</v>
      </c>
      <c r="J1375" s="23" t="str">
        <f>HYPERLINK("CorLog\GHA\Branch\20141218 GHA Branch Ghana - Space for Translation and Residence Room Design (RDC-to-WDC).msg", "Ghana - Space for Translation and Residence Room Design")</f>
        <v>Ghana - Space for Translation and Residence Room Design</v>
      </c>
      <c r="K1375" s="25"/>
      <c r="L1375" s="19"/>
      <c r="M1375" s="20"/>
      <c r="N1375" s="21" t="s">
        <v>4626</v>
      </c>
    </row>
    <row r="1376" spans="1:14">
      <c r="A1376" s="12" t="s">
        <v>750</v>
      </c>
      <c r="B1376" s="13" t="s">
        <v>717</v>
      </c>
      <c r="C1376" s="14" t="s">
        <v>4627</v>
      </c>
      <c r="D1376" s="15">
        <v>41991.683032407411</v>
      </c>
      <c r="E1376" s="16" t="s">
        <v>16</v>
      </c>
      <c r="F1376" s="16" t="s">
        <v>16</v>
      </c>
      <c r="G1376" s="17" t="s">
        <v>979</v>
      </c>
      <c r="H1376" s="17" t="s">
        <v>4628</v>
      </c>
      <c r="I1376" s="13" t="s">
        <v>4629</v>
      </c>
      <c r="J1376" s="23" t="str">
        <f>HYPERLINK("CorLog\RTO\Projects\20141218 RTO Projects Brickforce - Galvanized Tensile Strength; Cross Strand Spg; Widths (RDC-to-RDC).msg", "Brickforce - Galvanized Tensile Strength; Cross Strand Spg; Widths")</f>
        <v>Brickforce - Galvanized Tensile Strength; Cross Strand Spg; Widths</v>
      </c>
      <c r="K1376" s="25" t="s">
        <v>2761</v>
      </c>
      <c r="L1376" s="19"/>
      <c r="M1376" s="20"/>
      <c r="N1376" s="21" t="s">
        <v>4630</v>
      </c>
    </row>
    <row r="1377" spans="1:14">
      <c r="A1377" s="12" t="s">
        <v>718</v>
      </c>
      <c r="B1377" s="13" t="s">
        <v>1069</v>
      </c>
      <c r="C1377" s="14" t="s">
        <v>4631</v>
      </c>
      <c r="D1377" s="15">
        <v>41991.640972222223</v>
      </c>
      <c r="E1377" s="16" t="s">
        <v>16</v>
      </c>
      <c r="F1377" s="16" t="s">
        <v>18</v>
      </c>
      <c r="G1377" s="17" t="s">
        <v>1070</v>
      </c>
      <c r="H1377" s="17" t="s">
        <v>854</v>
      </c>
      <c r="I1377" s="13" t="s">
        <v>4632</v>
      </c>
      <c r="J1377" s="23" t="str">
        <f>HYPERLINK("CorLog\ZMB\Katete RTO\20141218 ZMB Katete RTO Res and Office Footing Stirrups 950mm (RDC-to-ZMB).msg", "Res and Office Footing Stirrups 950mm")</f>
        <v>Res and Office Footing Stirrups 950mm</v>
      </c>
      <c r="K1377" s="25" t="s">
        <v>1211</v>
      </c>
      <c r="L1377" s="19"/>
      <c r="M1377" s="20"/>
      <c r="N1377" s="21" t="s">
        <v>4633</v>
      </c>
    </row>
    <row r="1378" spans="1:14">
      <c r="A1378" s="12"/>
      <c r="B1378" s="13" t="s">
        <v>718</v>
      </c>
      <c r="C1378" s="14"/>
      <c r="D1378" s="15">
        <v>41991.504837962966</v>
      </c>
      <c r="E1378" s="16" t="s">
        <v>16</v>
      </c>
      <c r="F1378" s="16" t="s">
        <v>16</v>
      </c>
      <c r="G1378" s="17" t="s">
        <v>979</v>
      </c>
      <c r="H1378" s="17" t="s">
        <v>1562</v>
      </c>
      <c r="I1378" s="13" t="s">
        <v>4634</v>
      </c>
      <c r="J1378" s="23" t="str">
        <f>HYPERLINK("CorLog\RTO\Projects\20141218 RTO Projects How to fix larger custom-made guttering to GRS roofsheets (RDC-to-RDC).msg", "How to fix larger custom-made guttering to GRS roofsheets")</f>
        <v>How to fix larger custom-made guttering to GRS roofsheets</v>
      </c>
      <c r="K1378" s="25" t="s">
        <v>1270</v>
      </c>
      <c r="L1378" s="19"/>
      <c r="M1378" s="20"/>
      <c r="N1378" s="21" t="s">
        <v>4635</v>
      </c>
    </row>
    <row r="1379" spans="1:14">
      <c r="A1379" s="12" t="s">
        <v>718</v>
      </c>
      <c r="B1379" s="13" t="s">
        <v>1653</v>
      </c>
      <c r="C1379" s="14" t="s">
        <v>4636</v>
      </c>
      <c r="D1379" s="15">
        <v>41991.451388888891</v>
      </c>
      <c r="E1379" s="16" t="s">
        <v>16</v>
      </c>
      <c r="F1379" s="16" t="s">
        <v>21</v>
      </c>
      <c r="G1379" s="17" t="s">
        <v>823</v>
      </c>
      <c r="H1379" s="17" t="s">
        <v>829</v>
      </c>
      <c r="I1379" s="13" t="s">
        <v>4637</v>
      </c>
      <c r="J1379" s="23" t="str">
        <f>HYPERLINK("CorLog\GHA\LDC\20141218 GHA LDC RDC review of NLBR 5935 Steel doors and hardware for KHs (RDC-to-GHA).msg", "RDC review of NLBR 5935 Steel doors and hardware for KHs")</f>
        <v>RDC review of NLBR 5935 Steel doors and hardware for KHs</v>
      </c>
      <c r="K1379" s="25" t="s">
        <v>1211</v>
      </c>
      <c r="L1379" s="19"/>
      <c r="M1379" s="20"/>
      <c r="N1379" s="21" t="s">
        <v>4638</v>
      </c>
    </row>
    <row r="1380" spans="1:14">
      <c r="A1380" s="12" t="s">
        <v>4639</v>
      </c>
      <c r="B1380" s="13"/>
      <c r="C1380" s="14"/>
      <c r="D1380" s="15">
        <v>41991</v>
      </c>
      <c r="E1380" s="16" t="s">
        <v>21</v>
      </c>
      <c r="F1380" s="16" t="s">
        <v>17</v>
      </c>
      <c r="G1380" s="17" t="s">
        <v>823</v>
      </c>
      <c r="H1380" s="17" t="s">
        <v>731</v>
      </c>
      <c r="I1380" s="13" t="s">
        <v>4640</v>
      </c>
      <c r="J1380" s="23" t="str">
        <f>HYPERLINK("CorLog\GHA\LDC\20141218 GHA LDC Ghana Nyanyanu Assembly Hall DC-41 No 1 (GHA-to-WDC).docx", "Ghana Nyanyanu Assembly Hall DC-41 No 1")</f>
        <v>Ghana Nyanyanu Assembly Hall DC-41 No 1</v>
      </c>
      <c r="K1380" s="23" t="str">
        <f>HYPERLINK("CorLog\GHA\LDC\20141218 GHA LDC Ghana Nyanyanu Assembly Hall DC-41 No 1 (GHA-to-WDC).zip", "Zipped")</f>
        <v>Zipped</v>
      </c>
      <c r="L1380" s="19" t="s">
        <v>4641</v>
      </c>
      <c r="M1380" s="20"/>
      <c r="N1380" s="21" t="s">
        <v>4642</v>
      </c>
    </row>
    <row r="1381" spans="1:14">
      <c r="A1381" s="12" t="s">
        <v>718</v>
      </c>
      <c r="B1381" s="13" t="s">
        <v>724</v>
      </c>
      <c r="C1381" s="14"/>
      <c r="D1381" s="15">
        <v>41990.786805555559</v>
      </c>
      <c r="E1381" s="16" t="s">
        <v>16</v>
      </c>
      <c r="F1381" s="16" t="s">
        <v>16</v>
      </c>
      <c r="G1381" s="17" t="s">
        <v>999</v>
      </c>
      <c r="H1381" s="17" t="s">
        <v>995</v>
      </c>
      <c r="I1381" s="13" t="s">
        <v>4643</v>
      </c>
      <c r="J1381" s="23" t="str">
        <f>HYPERLINK("CorLog\ZMB\Branch\20141217 ZMB Branch PO Visit Report for BEX and RTOs (RDC-to-RDC).msg", "PO Visit Report for BEX and RTOs")</f>
        <v>PO Visit Report for BEX and RTOs</v>
      </c>
      <c r="K1381" s="25" t="s">
        <v>1243</v>
      </c>
      <c r="L1381" s="19"/>
      <c r="M1381" s="20"/>
      <c r="N1381" s="21" t="s">
        <v>4644</v>
      </c>
    </row>
    <row r="1382" spans="1:14">
      <c r="A1382" s="12" t="s">
        <v>718</v>
      </c>
      <c r="B1382" s="13" t="s">
        <v>1026</v>
      </c>
      <c r="C1382" s="14" t="s">
        <v>4645</v>
      </c>
      <c r="D1382" s="15">
        <v>41990.786111111112</v>
      </c>
      <c r="E1382" s="16" t="s">
        <v>16</v>
      </c>
      <c r="F1382" s="16" t="s">
        <v>18</v>
      </c>
      <c r="G1382" s="17" t="s">
        <v>999</v>
      </c>
      <c r="H1382" s="17" t="s">
        <v>995</v>
      </c>
      <c r="I1382" s="13" t="s">
        <v>4643</v>
      </c>
      <c r="J1382" s="23" t="str">
        <f>HYPERLINK("CorLog\ZMB\Branch\20141217 ZMB Branch PO Visit Report for BEX and RTOs (RDC-to-ZMB).msg", "PO Visit Report for BEX and RTOs")</f>
        <v>PO Visit Report for BEX and RTOs</v>
      </c>
      <c r="K1382" s="25" t="s">
        <v>1243</v>
      </c>
      <c r="L1382" s="19"/>
      <c r="M1382" s="20"/>
      <c r="N1382" s="21" t="s">
        <v>4646</v>
      </c>
    </row>
    <row r="1383" spans="1:14">
      <c r="A1383" s="12" t="s">
        <v>750</v>
      </c>
      <c r="B1383" s="13" t="s">
        <v>1337</v>
      </c>
      <c r="C1383" s="14" t="s">
        <v>4647</v>
      </c>
      <c r="D1383" s="15">
        <v>41990.779513888891</v>
      </c>
      <c r="E1383" s="16" t="s">
        <v>16</v>
      </c>
      <c r="F1383" s="16" t="s">
        <v>18</v>
      </c>
      <c r="G1383" s="17" t="s">
        <v>885</v>
      </c>
      <c r="H1383" s="17" t="s">
        <v>947</v>
      </c>
      <c r="I1383" s="13" t="s">
        <v>4648</v>
      </c>
      <c r="J1383" s="23" t="str">
        <f>HYPERLINK("CorLog\ZMB\Kabompo RTO\20141217 ZMB Kabompo RTO Sitework Manhole -1 from Septic Tank 20141217 (RDC-to-ZMB).msg", "Sitework Manhole -1 from Septic Tank 20141217")</f>
        <v>Sitework Manhole -1 from Septic Tank 20141217</v>
      </c>
      <c r="K1383" s="25" t="s">
        <v>1482</v>
      </c>
      <c r="L1383" s="19"/>
      <c r="M1383" s="20"/>
      <c r="N1383" s="21" t="s">
        <v>4649</v>
      </c>
    </row>
    <row r="1384" spans="1:14">
      <c r="A1384" s="12" t="s">
        <v>718</v>
      </c>
      <c r="B1384" s="13" t="s">
        <v>1069</v>
      </c>
      <c r="C1384" s="14" t="s">
        <v>4650</v>
      </c>
      <c r="D1384" s="15">
        <v>41990.490972222222</v>
      </c>
      <c r="E1384" s="16" t="s">
        <v>16</v>
      </c>
      <c r="F1384" s="16" t="s">
        <v>18</v>
      </c>
      <c r="G1384" s="17" t="s">
        <v>1070</v>
      </c>
      <c r="H1384" s="17" t="s">
        <v>2688</v>
      </c>
      <c r="I1384" s="13" t="s">
        <v>4651</v>
      </c>
      <c r="J1384" s="23" t="str">
        <f>HYPERLINK("CorLog\ZMB\Katete RTO\20141217 ZMB Katete RTO Issuing Revised Civil Drawings--C-101, C-102, C-103 (Rev 1) (RDC-to-ZMB).msg", "Issuing Revised Civil Drawings--C-101, C-102, C-103 (Rev 1)")</f>
        <v>Issuing Revised Civil Drawings--C-101, C-102, C-103 (Rev 1)</v>
      </c>
      <c r="K1384" s="25" t="s">
        <v>1270</v>
      </c>
      <c r="L1384" s="19"/>
      <c r="M1384" s="20"/>
      <c r="N1384" s="21" t="s">
        <v>4652</v>
      </c>
    </row>
    <row r="1385" spans="1:14">
      <c r="A1385" s="12" t="s">
        <v>718</v>
      </c>
      <c r="B1385" s="13" t="s">
        <v>1529</v>
      </c>
      <c r="C1385" s="14" t="s">
        <v>4653</v>
      </c>
      <c r="D1385" s="15">
        <v>41990.479861111111</v>
      </c>
      <c r="E1385" s="16" t="s">
        <v>16</v>
      </c>
      <c r="F1385" s="16" t="s">
        <v>18</v>
      </c>
      <c r="G1385" s="17" t="s">
        <v>946</v>
      </c>
      <c r="H1385" s="17" t="s">
        <v>829</v>
      </c>
      <c r="I1385" s="13" t="s">
        <v>4654</v>
      </c>
      <c r="J1385" s="23" t="str">
        <f>HYPERLINK("CorLog\ZMB\Mongu RTO\20141217 ZMB Mongu RTO RDC review of NLBR 9205 for CEILINGS &amp; Concrete Floor Sealant (RDC-to-ZMB).msg", "RDC review of NLBR 9205 for CEILINGS &amp; Concrete Floor Sealant")</f>
        <v>RDC review of NLBR 9205 for CEILINGS &amp; Concrete Floor Sealant</v>
      </c>
      <c r="K1385" s="25" t="s">
        <v>1243</v>
      </c>
      <c r="L1385" s="19"/>
      <c r="M1385" s="20"/>
      <c r="N1385" s="21" t="s">
        <v>4655</v>
      </c>
    </row>
    <row r="1386" spans="1:14">
      <c r="A1386" s="12" t="s">
        <v>750</v>
      </c>
      <c r="B1386" s="13" t="s">
        <v>837</v>
      </c>
      <c r="C1386" s="14" t="s">
        <v>718</v>
      </c>
      <c r="D1386" s="15">
        <v>41990.453680555554</v>
      </c>
      <c r="E1386" s="16" t="s">
        <v>16</v>
      </c>
      <c r="F1386" s="16" t="s">
        <v>18</v>
      </c>
      <c r="G1386" s="17" t="s">
        <v>838</v>
      </c>
      <c r="H1386" s="17" t="s">
        <v>4656</v>
      </c>
      <c r="I1386" s="13" t="s">
        <v>4657</v>
      </c>
      <c r="J1386" s="23" t="str">
        <f>HYPERLINK("CorLog\ZMB\Choma RTO\20141217 ZMB Choma RTO Sand Analysis (RDC-to-ZMB).msg", "Sand Analysis")</f>
        <v>Sand Analysis</v>
      </c>
      <c r="K1386" s="25" t="s">
        <v>1274</v>
      </c>
      <c r="L1386" s="19"/>
      <c r="M1386" s="20"/>
      <c r="N1386" s="21" t="s">
        <v>4658</v>
      </c>
    </row>
    <row r="1387" spans="1:14">
      <c r="A1387" s="12" t="s">
        <v>1818</v>
      </c>
      <c r="B1387" s="13" t="s">
        <v>718</v>
      </c>
      <c r="C1387" s="14" t="s">
        <v>750</v>
      </c>
      <c r="D1387" s="15">
        <v>41990.44263888889</v>
      </c>
      <c r="E1387" s="16" t="s">
        <v>16</v>
      </c>
      <c r="F1387" s="16" t="s">
        <v>16</v>
      </c>
      <c r="G1387" s="17" t="s">
        <v>1070</v>
      </c>
      <c r="H1387" s="17" t="s">
        <v>2179</v>
      </c>
      <c r="I1387" s="13" t="s">
        <v>4659</v>
      </c>
      <c r="J1387" s="23" t="str">
        <f>HYPERLINK("CorLog\ZMB\Katete\20141217 ZMB Katete Termite poisons (RDC-to-RDC).msg", "Termite poisons")</f>
        <v>Termite poisons</v>
      </c>
      <c r="K1387" s="25" t="s">
        <v>1369</v>
      </c>
      <c r="L1387" s="19"/>
      <c r="M1387" s="20"/>
      <c r="N1387" s="21" t="s">
        <v>4660</v>
      </c>
    </row>
    <row r="1388" spans="1:14">
      <c r="A1388" s="12" t="s">
        <v>750</v>
      </c>
      <c r="B1388" s="13" t="s">
        <v>837</v>
      </c>
      <c r="C1388" s="14" t="s">
        <v>718</v>
      </c>
      <c r="D1388" s="15">
        <v>41990.352638888886</v>
      </c>
      <c r="E1388" s="16" t="s">
        <v>16</v>
      </c>
      <c r="F1388" s="16" t="s">
        <v>18</v>
      </c>
      <c r="G1388" s="17" t="s">
        <v>838</v>
      </c>
      <c r="H1388" s="17" t="s">
        <v>854</v>
      </c>
      <c r="I1388" s="13" t="s">
        <v>4661</v>
      </c>
      <c r="J1388" s="23" t="str">
        <f>HYPERLINK("CorLog\ZMB\Choma RTO\20141217 ZMB Choma RTO Choma sand analysis (RDC-to-ZMB).msg", "Choma sand analysis")</f>
        <v>Choma sand analysis</v>
      </c>
      <c r="K1388" s="25" t="s">
        <v>1211</v>
      </c>
      <c r="L1388" s="19"/>
      <c r="M1388" s="20"/>
      <c r="N1388" s="21" t="s">
        <v>4662</v>
      </c>
    </row>
    <row r="1389" spans="1:14">
      <c r="A1389" s="12" t="s">
        <v>1181</v>
      </c>
      <c r="B1389" s="13" t="s">
        <v>1069</v>
      </c>
      <c r="C1389" s="14" t="s">
        <v>4663</v>
      </c>
      <c r="D1389" s="15">
        <v>41989.590081018519</v>
      </c>
      <c r="E1389" s="16" t="s">
        <v>16</v>
      </c>
      <c r="F1389" s="16" t="s">
        <v>18</v>
      </c>
      <c r="G1389" s="17" t="s">
        <v>1070</v>
      </c>
      <c r="H1389" s="17" t="s">
        <v>4664</v>
      </c>
      <c r="I1389" s="13" t="s">
        <v>4665</v>
      </c>
      <c r="J1389" s="23" t="str">
        <f>HYPERLINK("CorLog\ZMB\Katete RTO\20141216 ZMB Katete RTO Windows for Audio Editing room (RDC-to-ZMB).msg", "Windows for Audio Editing room")</f>
        <v>Windows for Audio Editing room</v>
      </c>
      <c r="K1389" s="25"/>
      <c r="L1389" s="19"/>
      <c r="M1389" s="20"/>
      <c r="N1389" s="21" t="s">
        <v>4666</v>
      </c>
    </row>
    <row r="1390" spans="1:14">
      <c r="A1390" s="12" t="s">
        <v>750</v>
      </c>
      <c r="B1390" s="13" t="s">
        <v>1529</v>
      </c>
      <c r="C1390" s="14" t="s">
        <v>4667</v>
      </c>
      <c r="D1390" s="15">
        <v>41989.437858796293</v>
      </c>
      <c r="E1390" s="16" t="s">
        <v>16</v>
      </c>
      <c r="F1390" s="16" t="s">
        <v>18</v>
      </c>
      <c r="G1390" s="17" t="s">
        <v>946</v>
      </c>
      <c r="H1390" s="17" t="s">
        <v>4628</v>
      </c>
      <c r="I1390" s="13" t="s">
        <v>4668</v>
      </c>
      <c r="J1390" s="23" t="str">
        <f>HYPERLINK("CorLog\ZMB\Mongu RTO\20141216 ZMB Mongu RTO Res Building Missing Valmatex at 2 wall intersections (RDC-to-ZMB).msg", "Res Building Missing Valmatex at 2 wall intersections")</f>
        <v>Res Building Missing Valmatex at 2 wall intersections</v>
      </c>
      <c r="K1390" s="25" t="s">
        <v>1270</v>
      </c>
      <c r="L1390" s="19"/>
      <c r="M1390" s="20"/>
      <c r="N1390" s="21" t="s">
        <v>4669</v>
      </c>
    </row>
    <row r="1391" spans="1:14">
      <c r="A1391" s="12" t="s">
        <v>718</v>
      </c>
      <c r="B1391" s="13" t="s">
        <v>827</v>
      </c>
      <c r="C1391" s="14" t="s">
        <v>4670</v>
      </c>
      <c r="D1391" s="15">
        <v>41989.43472222222</v>
      </c>
      <c r="E1391" s="16" t="s">
        <v>16</v>
      </c>
      <c r="F1391" s="16" t="s">
        <v>21</v>
      </c>
      <c r="G1391" s="17" t="s">
        <v>790</v>
      </c>
      <c r="H1391" s="17" t="s">
        <v>829</v>
      </c>
      <c r="I1391" s="13" t="s">
        <v>4671</v>
      </c>
      <c r="J1391" s="23" t="str">
        <f>HYPERLINK("CorLog\GHA\BEX\20141216 GHA BEX RDC review of NLBR Package - 33 - SUBMITTAL (RDC-to-GHA).msg", "RDC review of NLBR Package - 33 - SUBMITTAL")</f>
        <v>RDC review of NLBR Package - 33 - SUBMITTAL</v>
      </c>
      <c r="K1391" s="25" t="s">
        <v>1270</v>
      </c>
      <c r="L1391" s="19"/>
      <c r="M1391" s="20"/>
      <c r="N1391" s="21" t="s">
        <v>4672</v>
      </c>
    </row>
    <row r="1392" spans="1:14">
      <c r="A1392" s="12" t="s">
        <v>718</v>
      </c>
      <c r="B1392" s="13" t="s">
        <v>1069</v>
      </c>
      <c r="C1392" s="14" t="s">
        <v>4673</v>
      </c>
      <c r="D1392" s="15">
        <v>41989.411111111112</v>
      </c>
      <c r="E1392" s="16" t="s">
        <v>16</v>
      </c>
      <c r="F1392" s="16" t="s">
        <v>18</v>
      </c>
      <c r="G1392" s="17" t="s">
        <v>1070</v>
      </c>
      <c r="H1392" s="17" t="s">
        <v>829</v>
      </c>
      <c r="I1392" s="13" t="s">
        <v>4674</v>
      </c>
      <c r="J1392" s="23" t="str">
        <f>HYPERLINK("CorLog\ZMB\Katete RTO\20141216 ZMB Katete RTO RDC reivew of Draft NLBR; REQ 520-9238; 20141211; Aluminum Doors &amp; Windows (RDC-to-ZMB).msg", "RDC reivew of Draft NLBR; REQ 520-9238; 20141211; Aluminum Doors &amp; Windows")</f>
        <v>RDC reivew of Draft NLBR; REQ 520-9238; 20141211; Aluminum Doors &amp; Windows</v>
      </c>
      <c r="K1392" s="25" t="s">
        <v>1270</v>
      </c>
      <c r="L1392" s="19"/>
      <c r="M1392" s="20"/>
      <c r="N1392" s="21" t="s">
        <v>4675</v>
      </c>
    </row>
    <row r="1393" spans="1:14">
      <c r="A1393" s="12" t="s">
        <v>1447</v>
      </c>
      <c r="B1393" s="13" t="s">
        <v>1653</v>
      </c>
      <c r="C1393" s="14" t="s">
        <v>718</v>
      </c>
      <c r="D1393" s="15">
        <v>41988.670393518521</v>
      </c>
      <c r="E1393" s="16" t="s">
        <v>16</v>
      </c>
      <c r="F1393" s="16" t="s">
        <v>21</v>
      </c>
      <c r="G1393" s="17" t="s">
        <v>823</v>
      </c>
      <c r="H1393" s="17" t="s">
        <v>1714</v>
      </c>
      <c r="I1393" s="13" t="s">
        <v>4676</v>
      </c>
      <c r="J1393" s="23" t="str">
        <f>HYPERLINK("CorLog\GHA\LDC\20141215 GHA LDC TECHNICAL REVIEW GHA DC-41: Hyanyanu AH Budget and Drawings (RDC-to-GHA).msg", "TECHNICAL REVIEW GHA DC-41: Hyanyanu AH Budget and Drawings")</f>
        <v>TECHNICAL REVIEW GHA DC-41: Hyanyanu AH Budget and Drawings</v>
      </c>
      <c r="K1393" s="25" t="s">
        <v>1243</v>
      </c>
      <c r="L1393" s="19"/>
      <c r="M1393" s="20"/>
      <c r="N1393" s="21" t="s">
        <v>4677</v>
      </c>
    </row>
    <row r="1394" spans="1:14">
      <c r="A1394" s="12" t="s">
        <v>750</v>
      </c>
      <c r="B1394" s="13" t="s">
        <v>1069</v>
      </c>
      <c r="C1394" s="14" t="s">
        <v>4647</v>
      </c>
      <c r="D1394" s="15">
        <v>41988.661620370367</v>
      </c>
      <c r="E1394" s="16" t="s">
        <v>16</v>
      </c>
      <c r="F1394" s="16" t="s">
        <v>18</v>
      </c>
      <c r="G1394" s="17" t="s">
        <v>1070</v>
      </c>
      <c r="H1394" s="17" t="s">
        <v>851</v>
      </c>
      <c r="I1394" s="13" t="s">
        <v>4678</v>
      </c>
      <c r="J1394" s="23" t="str">
        <f>HYPERLINK("CorLog\ZMB\Katete RTO\20141215 ZMB Katete RTO DCP Septic (RDC-to-ZMB).msg", "DCP Septic")</f>
        <v>DCP Septic</v>
      </c>
      <c r="K1394" s="25"/>
      <c r="L1394" s="19"/>
      <c r="M1394" s="20"/>
      <c r="N1394" s="21" t="s">
        <v>4679</v>
      </c>
    </row>
    <row r="1395" spans="1:14">
      <c r="A1395" s="12" t="s">
        <v>778</v>
      </c>
      <c r="B1395" s="13" t="s">
        <v>724</v>
      </c>
      <c r="C1395" s="14" t="s">
        <v>4680</v>
      </c>
      <c r="D1395" s="15">
        <v>41988.621469907404</v>
      </c>
      <c r="E1395" s="16" t="s">
        <v>17</v>
      </c>
      <c r="F1395" s="16" t="s">
        <v>16</v>
      </c>
      <c r="G1395" s="17" t="s">
        <v>1065</v>
      </c>
      <c r="H1395" s="17" t="s">
        <v>1524</v>
      </c>
      <c r="I1395" s="13" t="s">
        <v>4681</v>
      </c>
      <c r="J1395" s="23" t="str">
        <f>HYPERLINK("CorLog\ZMB\RTO Projects\20141215 ZMB RTO Projects WDC recommendation on makeup of ZMB CCs (WDC-to-RDC).msg", "WDC recommendation on makeup of ZMB CCs")</f>
        <v>WDC recommendation on makeup of ZMB CCs</v>
      </c>
      <c r="K1395" s="25"/>
      <c r="L1395" s="19"/>
      <c r="M1395" s="20"/>
      <c r="N1395" s="21" t="s">
        <v>4682</v>
      </c>
    </row>
    <row r="1396" spans="1:14">
      <c r="A1396" s="12" t="s">
        <v>1258</v>
      </c>
      <c r="B1396" s="13" t="s">
        <v>750</v>
      </c>
      <c r="C1396" s="14" t="s">
        <v>1646</v>
      </c>
      <c r="D1396" s="15">
        <v>41988.588935185187</v>
      </c>
      <c r="E1396" s="16" t="s">
        <v>16</v>
      </c>
      <c r="F1396" s="16" t="s">
        <v>16</v>
      </c>
      <c r="G1396" s="17" t="s">
        <v>790</v>
      </c>
      <c r="H1396" s="17" t="s">
        <v>4683</v>
      </c>
      <c r="I1396" s="13" t="s">
        <v>4684</v>
      </c>
      <c r="J1396" s="23" t="str">
        <f>HYPERLINK("CorLog\GHA\BEX\20141215 GHA BEX Proposal Window Dimension and Installation Method (SS COMMENTS) (RDC-to-RDC).msg", "Proposal Window Dimension and Installation Method (SS COMMENTS)")</f>
        <v>Proposal Window Dimension and Installation Method (SS COMMENTS)</v>
      </c>
      <c r="K1396" s="25" t="s">
        <v>1270</v>
      </c>
      <c r="L1396" s="19"/>
      <c r="M1396" s="20"/>
      <c r="N1396" s="21" t="s">
        <v>4685</v>
      </c>
    </row>
    <row r="1397" spans="1:14">
      <c r="A1397" s="12" t="s">
        <v>3873</v>
      </c>
      <c r="B1397" s="13" t="s">
        <v>749</v>
      </c>
      <c r="C1397" s="14" t="s">
        <v>4686</v>
      </c>
      <c r="D1397" s="15">
        <v>41988.445613425924</v>
      </c>
      <c r="E1397" s="16" t="s">
        <v>20</v>
      </c>
      <c r="F1397" s="16" t="s">
        <v>16</v>
      </c>
      <c r="G1397" s="17" t="s">
        <v>1544</v>
      </c>
      <c r="H1397" s="17" t="s">
        <v>4687</v>
      </c>
      <c r="I1397" s="13" t="s">
        <v>4688</v>
      </c>
      <c r="J1397" s="23" t="str">
        <f>HYPERLINK("CorLog\SALTO\20141215 SALTO 2014-12-09 MOZ SALTO Revised Scope DOOR SURVEY UPDATED (MOZ-to-RDC).msg", "2014-12-09 MOZ SALTO Revised Scope DOOR SURVEY UPDATED")</f>
        <v>2014-12-09 MOZ SALTO Revised Scope DOOR SURVEY UPDATED</v>
      </c>
      <c r="K1397" s="25" t="s">
        <v>1274</v>
      </c>
      <c r="L1397" s="19"/>
      <c r="M1397" s="20"/>
      <c r="N1397" s="21" t="s">
        <v>4689</v>
      </c>
    </row>
    <row r="1398" spans="1:14">
      <c r="A1398" s="12" t="s">
        <v>1258</v>
      </c>
      <c r="B1398" s="13" t="s">
        <v>750</v>
      </c>
      <c r="C1398" s="14"/>
      <c r="D1398" s="15">
        <v>41988.420127314814</v>
      </c>
      <c r="E1398" s="16" t="s">
        <v>16</v>
      </c>
      <c r="F1398" s="16" t="s">
        <v>16</v>
      </c>
      <c r="G1398" s="17" t="s">
        <v>790</v>
      </c>
      <c r="H1398" s="17" t="s">
        <v>4683</v>
      </c>
      <c r="I1398" s="13" t="s">
        <v>4690</v>
      </c>
      <c r="J1398" s="23" t="str">
        <f>HYPERLINK("CorLog\GHA\BEX\20141215 GHA BEX Proposal Window Dimension and Installation Method (RDC-to-RDC).msg", "Proposal Window Dimension and Installation Method")</f>
        <v>Proposal Window Dimension and Installation Method</v>
      </c>
      <c r="K1398" s="25" t="s">
        <v>1270</v>
      </c>
      <c r="L1398" s="19"/>
      <c r="M1398" s="20"/>
      <c r="N1398" s="21" t="s">
        <v>4691</v>
      </c>
    </row>
    <row r="1399" spans="1:14">
      <c r="A1399" s="12" t="s">
        <v>750</v>
      </c>
      <c r="B1399" s="13" t="s">
        <v>837</v>
      </c>
      <c r="C1399" s="14" t="s">
        <v>4692</v>
      </c>
      <c r="D1399" s="15">
        <v>41985.71671296296</v>
      </c>
      <c r="E1399" s="16" t="s">
        <v>16</v>
      </c>
      <c r="F1399" s="16" t="s">
        <v>18</v>
      </c>
      <c r="G1399" s="17" t="s">
        <v>838</v>
      </c>
      <c r="H1399" s="17" t="s">
        <v>4628</v>
      </c>
      <c r="I1399" s="13" t="s">
        <v>4693</v>
      </c>
      <c r="J1399" s="23" t="str">
        <f>HYPERLINK("CorLog\ZMB\Choma RTO\20141212 ZMB Choma RTO Weepholes in the cavity wall (RDC-to-ZMB).msg", "Weepholes in the cavity wall")</f>
        <v>Weepholes in the cavity wall</v>
      </c>
      <c r="K1399" s="25" t="s">
        <v>1270</v>
      </c>
      <c r="L1399" s="19"/>
      <c r="M1399" s="20"/>
      <c r="N1399" s="21" t="s">
        <v>4694</v>
      </c>
    </row>
    <row r="1400" spans="1:14">
      <c r="A1400" s="12" t="s">
        <v>827</v>
      </c>
      <c r="B1400" s="13" t="s">
        <v>750</v>
      </c>
      <c r="C1400" s="14" t="s">
        <v>4695</v>
      </c>
      <c r="D1400" s="15">
        <v>41985.685011574074</v>
      </c>
      <c r="E1400" s="16" t="s">
        <v>21</v>
      </c>
      <c r="F1400" s="16" t="s">
        <v>16</v>
      </c>
      <c r="G1400" s="17" t="s">
        <v>790</v>
      </c>
      <c r="H1400" s="17" t="s">
        <v>4696</v>
      </c>
      <c r="I1400" s="13" t="s">
        <v>4697</v>
      </c>
      <c r="J1400" s="23" t="str">
        <f>HYPERLINK("CorLog\GHA\BEX\20141212 GHA BEX Barge board, fascia and soffit detail (GHA-to-RDC).msg", "Barge board, fascia and soffit detail")</f>
        <v>Barge board, fascia and soffit detail</v>
      </c>
      <c r="K1400" s="25" t="s">
        <v>1211</v>
      </c>
      <c r="L1400" s="19"/>
      <c r="M1400" s="20"/>
      <c r="N1400" s="21" t="s">
        <v>4698</v>
      </c>
    </row>
    <row r="1401" spans="1:14">
      <c r="A1401" s="12" t="s">
        <v>750</v>
      </c>
      <c r="B1401" s="13" t="s">
        <v>1529</v>
      </c>
      <c r="C1401" s="14" t="s">
        <v>4647</v>
      </c>
      <c r="D1401" s="15">
        <v>41985.606307870374</v>
      </c>
      <c r="E1401" s="16" t="s">
        <v>16</v>
      </c>
      <c r="F1401" s="16" t="s">
        <v>18</v>
      </c>
      <c r="G1401" s="17" t="s">
        <v>946</v>
      </c>
      <c r="H1401" s="17" t="s">
        <v>829</v>
      </c>
      <c r="I1401" s="13" t="s">
        <v>4699</v>
      </c>
      <c r="J1401" s="23" t="str">
        <f>HYPERLINK("CorLog\ZMB\Mongu RTO\20141212 ZMB-Mongu RTO NLBR DRAFT 9086 Utility Roof Structure 5 Porch Awnings; Hardware (STRUCT REPLY) (RDC-to-ZMB).msg", "NLBR DRAFT 9086 Utility Roof Structure 5 Porch Awnings; Hardware (STRUCT REPLY)")</f>
        <v>NLBR DRAFT 9086 Utility Roof Structure 5 Porch Awnings; Hardware (STRUCT REPLY)</v>
      </c>
      <c r="K1401" s="25" t="s">
        <v>1211</v>
      </c>
      <c r="L1401" s="19"/>
      <c r="M1401" s="20"/>
      <c r="N1401" s="21" t="s">
        <v>4700</v>
      </c>
    </row>
    <row r="1402" spans="1:14">
      <c r="A1402" s="12" t="s">
        <v>750</v>
      </c>
      <c r="B1402" s="13" t="s">
        <v>1529</v>
      </c>
      <c r="C1402" s="14" t="s">
        <v>4701</v>
      </c>
      <c r="D1402" s="15">
        <v>41985.564756944441</v>
      </c>
      <c r="E1402" s="16" t="s">
        <v>16</v>
      </c>
      <c r="F1402" s="16" t="s">
        <v>18</v>
      </c>
      <c r="G1402" s="17" t="s">
        <v>946</v>
      </c>
      <c r="H1402" s="17" t="s">
        <v>886</v>
      </c>
      <c r="I1402" s="13" t="s">
        <v>4702</v>
      </c>
      <c r="J1402" s="23" t="str">
        <f>HYPERLINK("CorLog\ZMB\Mongu RTO\20141212 ZMB Mongu RTO ELEC OK Electrical Conduits run HORIZ in walls QUICK ANSWER (RDC-to-ZMB).msg", "ELEC OK Electrical Conduits run HORIZ in walls QUICK ANSWER")</f>
        <v>ELEC OK Electrical Conduits run HORIZ in walls QUICK ANSWER</v>
      </c>
      <c r="K1402" s="25" t="s">
        <v>1211</v>
      </c>
      <c r="L1402" s="19"/>
      <c r="M1402" s="20"/>
      <c r="N1402" s="21" t="s">
        <v>4703</v>
      </c>
    </row>
    <row r="1403" spans="1:14">
      <c r="A1403" s="12" t="s">
        <v>750</v>
      </c>
      <c r="B1403" s="13" t="s">
        <v>1529</v>
      </c>
      <c r="C1403" s="14" t="s">
        <v>4704</v>
      </c>
      <c r="D1403" s="15">
        <v>41985.416990740741</v>
      </c>
      <c r="E1403" s="16" t="s">
        <v>16</v>
      </c>
      <c r="F1403" s="16" t="s">
        <v>18</v>
      </c>
      <c r="G1403" s="17" t="s">
        <v>946</v>
      </c>
      <c r="H1403" s="17" t="s">
        <v>854</v>
      </c>
      <c r="I1403" s="13" t="s">
        <v>4705</v>
      </c>
      <c r="J1403" s="23" t="str">
        <f>HYPERLINK("CorLog\ZMB\Mongu RTO\20141212 ZMB Mongu RTO Grease Trap Foundation Detail C-506 (Y16s B2) FIELD SKETCH (RDC-to-ZMB).msg", "Grease Trap Foundation Detail C-506 (Y16s B2) FIELD SKETCH")</f>
        <v>Grease Trap Foundation Detail C-506 (Y16s B2) FIELD SKETCH</v>
      </c>
      <c r="K1403" s="25" t="s">
        <v>1499</v>
      </c>
      <c r="L1403" s="19"/>
      <c r="M1403" s="20"/>
      <c r="N1403" s="21" t="s">
        <v>4706</v>
      </c>
    </row>
    <row r="1404" spans="1:14">
      <c r="A1404" s="12" t="s">
        <v>750</v>
      </c>
      <c r="B1404" s="13" t="s">
        <v>1258</v>
      </c>
      <c r="C1404" s="14" t="s">
        <v>4707</v>
      </c>
      <c r="D1404" s="15">
        <v>41985.379756944443</v>
      </c>
      <c r="E1404" s="16" t="s">
        <v>16</v>
      </c>
      <c r="F1404" s="16" t="s">
        <v>16</v>
      </c>
      <c r="G1404" s="17" t="s">
        <v>738</v>
      </c>
      <c r="H1404" s="17" t="s">
        <v>4708</v>
      </c>
      <c r="I1404" s="13" t="s">
        <v>4709</v>
      </c>
      <c r="J1404" s="23" t="str">
        <f>HYPERLINK("CorLog\GHA\BEX 2\20141212 GHA BEX 2 Second Gate Entry Position (RDC-to-RDC).msg", "Second Gate Entry Position")</f>
        <v>Second Gate Entry Position</v>
      </c>
      <c r="K1404" s="25" t="s">
        <v>1270</v>
      </c>
      <c r="L1404" s="19"/>
      <c r="M1404" s="20"/>
      <c r="N1404" s="21" t="s">
        <v>4710</v>
      </c>
    </row>
    <row r="1405" spans="1:14">
      <c r="A1405" s="12" t="s">
        <v>4711</v>
      </c>
      <c r="B1405" s="13" t="s">
        <v>749</v>
      </c>
      <c r="C1405" s="14" t="s">
        <v>4712</v>
      </c>
      <c r="D1405" s="15">
        <v>41984.932337962964</v>
      </c>
      <c r="E1405" s="16" t="s">
        <v>26</v>
      </c>
      <c r="F1405" s="16" t="s">
        <v>16</v>
      </c>
      <c r="G1405" s="17" t="s">
        <v>1544</v>
      </c>
      <c r="H1405" s="17" t="s">
        <v>1426</v>
      </c>
      <c r="I1405" s="13" t="s">
        <v>4713</v>
      </c>
      <c r="J1405" s="23" t="str">
        <f>HYPERLINK("CorLog\SALTO\20141211 SALTO SAF LPD Salto Keyless Access DOOR LOCATIONS (GBR-to-RDC).msg", "SAF LPD Salto Keyless Access DOOR LOCATIONS")</f>
        <v>SAF LPD Salto Keyless Access DOOR LOCATIONS</v>
      </c>
      <c r="K1405" s="25" t="s">
        <v>1626</v>
      </c>
      <c r="L1405" s="19"/>
      <c r="M1405" s="20"/>
      <c r="N1405" s="21" t="s">
        <v>4714</v>
      </c>
    </row>
    <row r="1406" spans="1:14">
      <c r="A1406" s="12" t="s">
        <v>718</v>
      </c>
      <c r="B1406" s="13" t="s">
        <v>1529</v>
      </c>
      <c r="C1406" s="14" t="s">
        <v>4715</v>
      </c>
      <c r="D1406" s="15">
        <v>41984.811805555553</v>
      </c>
      <c r="E1406" s="16" t="s">
        <v>16</v>
      </c>
      <c r="F1406" s="16" t="s">
        <v>18</v>
      </c>
      <c r="G1406" s="17" t="s">
        <v>946</v>
      </c>
      <c r="H1406" s="17" t="s">
        <v>1489</v>
      </c>
      <c r="I1406" s="13" t="s">
        <v>4716</v>
      </c>
      <c r="J1406" s="23" t="str">
        <f>HYPERLINK("CorLog\ZMB\Mongu RTO\20141211 ZMB Mongu RTO Tuffa Tank - Which side to mount cabinet (RDC-to-ZMB).msg", "Tuffa Tank - Which side to mount cabinet")</f>
        <v>Tuffa Tank - Which side to mount cabinet</v>
      </c>
      <c r="K1406" s="25" t="s">
        <v>1270</v>
      </c>
      <c r="L1406" s="19"/>
      <c r="M1406" s="20"/>
      <c r="N1406" s="21" t="s">
        <v>4717</v>
      </c>
    </row>
    <row r="1407" spans="1:14">
      <c r="A1407" s="12" t="s">
        <v>750</v>
      </c>
      <c r="B1407" s="13" t="s">
        <v>1337</v>
      </c>
      <c r="C1407" s="14" t="s">
        <v>4718</v>
      </c>
      <c r="D1407" s="15">
        <v>41984.548449074071</v>
      </c>
      <c r="E1407" s="16" t="s">
        <v>16</v>
      </c>
      <c r="F1407" s="16" t="s">
        <v>18</v>
      </c>
      <c r="G1407" s="17" t="s">
        <v>885</v>
      </c>
      <c r="H1407" s="17" t="s">
        <v>3453</v>
      </c>
      <c r="I1407" s="13" t="s">
        <v>4719</v>
      </c>
      <c r="J1407" s="23" t="str">
        <f>HYPERLINK("CorLog\ZMB\Kabompo RTO\20141211 ZMB Kabompo RTO Office Res Bldg Mono Truss Internal Wall Plate (RDC-to-ZMB).msg", "Office Res Bldg Mono Truss Internal Wall Plate")</f>
        <v>Office Res Bldg Mono Truss Internal Wall Plate</v>
      </c>
      <c r="K1407" s="25" t="s">
        <v>1499</v>
      </c>
      <c r="L1407" s="19"/>
      <c r="M1407" s="20"/>
      <c r="N1407" s="21" t="s">
        <v>4720</v>
      </c>
    </row>
    <row r="1408" spans="1:14">
      <c r="A1408" s="12" t="s">
        <v>4721</v>
      </c>
      <c r="B1408" s="13"/>
      <c r="C1408" s="14"/>
      <c r="D1408" s="15">
        <v>41984</v>
      </c>
      <c r="E1408" s="16" t="s">
        <v>25</v>
      </c>
      <c r="F1408" s="16" t="s">
        <v>30</v>
      </c>
      <c r="G1408" s="17" t="s">
        <v>30</v>
      </c>
      <c r="H1408" s="17" t="s">
        <v>4722</v>
      </c>
      <c r="I1408" s="13" t="s">
        <v>4723</v>
      </c>
      <c r="J1408" s="23" t="str">
        <f>HYPERLINK("CorLog\ALL\20141211 ALL WDC Construction Oversight Training Classes (WHQ-to-ALL).docx", "WDC Construction Oversight Training Classes")</f>
        <v>WDC Construction Oversight Training Classes</v>
      </c>
      <c r="K1408" s="23"/>
      <c r="L1408" s="19"/>
      <c r="M1408" s="20"/>
      <c r="N1408" s="21" t="s">
        <v>4724</v>
      </c>
    </row>
    <row r="1409" spans="1:14">
      <c r="A1409" s="12" t="s">
        <v>874</v>
      </c>
      <c r="B1409" s="13"/>
      <c r="C1409" s="14"/>
      <c r="D1409" s="15">
        <v>41984</v>
      </c>
      <c r="E1409" s="16" t="s">
        <v>25</v>
      </c>
      <c r="F1409" s="16" t="s">
        <v>30</v>
      </c>
      <c r="G1409" s="17" t="s">
        <v>719</v>
      </c>
      <c r="H1409" s="17" t="s">
        <v>4725</v>
      </c>
      <c r="I1409" s="13" t="s">
        <v>4726</v>
      </c>
      <c r="J1409" s="23" t="str">
        <f>HYPERLINK("CorLog\Reference\20141211 Reference Circular—Job Hazard Analysis Form (WHQ-to-ALL).doc", "Circular—Job Hazard Analysis Form")</f>
        <v>Circular—Job Hazard Analysis Form</v>
      </c>
      <c r="K1409" s="23" t="str">
        <f>HYPERLINK("CorLog\Reference\20141211 Reference Circular—Job Hazard Analysis Form (WHQ-to-ALL).zip", "Zipped")</f>
        <v>Zipped</v>
      </c>
      <c r="L1409" s="19"/>
      <c r="M1409" s="20"/>
      <c r="N1409" s="21" t="s">
        <v>4727</v>
      </c>
    </row>
    <row r="1410" spans="1:14">
      <c r="A1410" s="12" t="s">
        <v>750</v>
      </c>
      <c r="B1410" s="13" t="s">
        <v>1337</v>
      </c>
      <c r="C1410" s="14" t="s">
        <v>4647</v>
      </c>
      <c r="D1410" s="15">
        <v>41983.691435185188</v>
      </c>
      <c r="E1410" s="16" t="s">
        <v>16</v>
      </c>
      <c r="F1410" s="16" t="s">
        <v>18</v>
      </c>
      <c r="G1410" s="17" t="s">
        <v>885</v>
      </c>
      <c r="H1410" s="17" t="s">
        <v>854</v>
      </c>
      <c r="I1410" s="13" t="s">
        <v>4728</v>
      </c>
      <c r="J1410" s="23" t="str">
        <f>HYPERLINK("CorLog\ZMB\Kabompo RTO\20141210 ZMB Kabompo RTO Office Ring Beam CONTROL JOINT 20141210 (RDC-to-ZMB).msg", "Office Ring Beam CONTROL JOINT 20141210")</f>
        <v>Office Ring Beam CONTROL JOINT 20141210</v>
      </c>
      <c r="K1410" s="25" t="s">
        <v>1270</v>
      </c>
      <c r="L1410" s="19"/>
      <c r="M1410" s="20"/>
      <c r="N1410" s="21" t="s">
        <v>4729</v>
      </c>
    </row>
    <row r="1411" spans="1:14">
      <c r="A1411" s="12" t="s">
        <v>737</v>
      </c>
      <c r="B1411" s="13" t="s">
        <v>718</v>
      </c>
      <c r="C1411" s="14" t="s">
        <v>4730</v>
      </c>
      <c r="D1411" s="15">
        <v>41983.553449074076</v>
      </c>
      <c r="E1411" s="16" t="s">
        <v>21</v>
      </c>
      <c r="F1411" s="16" t="s">
        <v>16</v>
      </c>
      <c r="G1411" s="17" t="s">
        <v>1544</v>
      </c>
      <c r="H1411" s="17" t="s">
        <v>1426</v>
      </c>
      <c r="I1411" s="13" t="s">
        <v>4731</v>
      </c>
      <c r="J1411" s="23" t="str">
        <f>HYPERLINK("CorLog\SALTO\20141210 SALTO Ghana Branch External Electronic door key system (GHA-to-RDC).msg", "Ghana Branch External Electronic door key system")</f>
        <v>Ghana Branch External Electronic door key system</v>
      </c>
      <c r="K1411" s="25" t="s">
        <v>1211</v>
      </c>
      <c r="L1411" s="19"/>
      <c r="M1411" s="20"/>
      <c r="N1411" s="21" t="s">
        <v>4732</v>
      </c>
    </row>
    <row r="1412" spans="1:14">
      <c r="A1412" s="12" t="s">
        <v>1818</v>
      </c>
      <c r="B1412" s="13" t="s">
        <v>1529</v>
      </c>
      <c r="C1412" s="14" t="s">
        <v>4733</v>
      </c>
      <c r="D1412" s="15">
        <v>41983.441192129627</v>
      </c>
      <c r="E1412" s="16" t="s">
        <v>16</v>
      </c>
      <c r="F1412" s="16" t="s">
        <v>18</v>
      </c>
      <c r="G1412" s="17" t="s">
        <v>946</v>
      </c>
      <c r="H1412" s="17" t="s">
        <v>1277</v>
      </c>
      <c r="I1412" s="13" t="s">
        <v>4734</v>
      </c>
      <c r="J1412" s="23" t="str">
        <f>HYPERLINK("CorLog\ZMB\Mongu RTO\20141210 ZMB Mongu RTO FRP septic tank questions (RDC-to-ZMB).msg", "FRP septic tank questions")</f>
        <v>FRP septic tank questions</v>
      </c>
      <c r="K1412" s="25" t="s">
        <v>1243</v>
      </c>
      <c r="L1412" s="19"/>
      <c r="M1412" s="20"/>
      <c r="N1412" s="21" t="s">
        <v>4735</v>
      </c>
    </row>
    <row r="1413" spans="1:14">
      <c r="A1413" s="12" t="s">
        <v>1258</v>
      </c>
      <c r="B1413" s="13" t="s">
        <v>750</v>
      </c>
      <c r="C1413" s="14" t="s">
        <v>718</v>
      </c>
      <c r="D1413" s="15">
        <v>41983.416539351849</v>
      </c>
      <c r="E1413" s="16" t="s">
        <v>16</v>
      </c>
      <c r="F1413" s="16" t="s">
        <v>16</v>
      </c>
      <c r="G1413" s="17" t="s">
        <v>790</v>
      </c>
      <c r="H1413" s="17" t="s">
        <v>829</v>
      </c>
      <c r="I1413" s="13" t="s">
        <v>4580</v>
      </c>
      <c r="J1413" s="23" t="str">
        <f>HYPERLINK("CorLog\GHA\BEX\20141210 GHA BEX RDC review of NLBR Package - 32 - SUBMITTAL (RDC-to-RDC).msg", "RDC review of NLBR Package - 32 - SUBMITTAL")</f>
        <v>RDC review of NLBR Package - 32 - SUBMITTAL</v>
      </c>
      <c r="K1413" s="25" t="s">
        <v>1243</v>
      </c>
      <c r="L1413" s="19"/>
      <c r="M1413" s="20"/>
      <c r="N1413" s="21" t="s">
        <v>4736</v>
      </c>
    </row>
    <row r="1414" spans="1:14">
      <c r="A1414" s="12" t="s">
        <v>718</v>
      </c>
      <c r="B1414" s="13" t="s">
        <v>827</v>
      </c>
      <c r="C1414" s="14" t="s">
        <v>4737</v>
      </c>
      <c r="D1414" s="15">
        <v>41982.820833333331</v>
      </c>
      <c r="E1414" s="16" t="s">
        <v>16</v>
      </c>
      <c r="F1414" s="16" t="s">
        <v>21</v>
      </c>
      <c r="G1414" s="17" t="s">
        <v>790</v>
      </c>
      <c r="H1414" s="17" t="s">
        <v>829</v>
      </c>
      <c r="I1414" s="13" t="s">
        <v>4580</v>
      </c>
      <c r="J1414" s="23" t="str">
        <f>HYPERLINK("CorLog\GHA\BEX\20141209 GHA BEX RDC review of NLBR Package - 32 - SUBMITTAL (RDC-to-GHA).msg", "RDC review of NLBR Package - 32 - SUBMITTAL")</f>
        <v>RDC review of NLBR Package - 32 - SUBMITTAL</v>
      </c>
      <c r="K1414" s="25" t="s">
        <v>1270</v>
      </c>
      <c r="L1414" s="19"/>
      <c r="M1414" s="20"/>
      <c r="N1414" s="21" t="s">
        <v>4738</v>
      </c>
    </row>
    <row r="1415" spans="1:14">
      <c r="A1415" s="12" t="s">
        <v>750</v>
      </c>
      <c r="B1415" s="13" t="s">
        <v>1529</v>
      </c>
      <c r="C1415" s="14" t="s">
        <v>4739</v>
      </c>
      <c r="D1415" s="15">
        <v>41982.669560185182</v>
      </c>
      <c r="E1415" s="16" t="s">
        <v>16</v>
      </c>
      <c r="F1415" s="16" t="s">
        <v>18</v>
      </c>
      <c r="G1415" s="17" t="s">
        <v>946</v>
      </c>
      <c r="H1415" s="17" t="s">
        <v>851</v>
      </c>
      <c r="I1415" s="13" t="s">
        <v>4740</v>
      </c>
      <c r="J1415" s="23" t="str">
        <f>HYPERLINK("CorLog\ZMB\Mongu RTO\20141209 ZMB Mongu RTO Office Building Prelayer DCP Results 14 12 09 (under SOG) (RDC-to-ZMB).msg", "Office Building Prelayer DCP Results 14 12 09 (under SOG)")</f>
        <v>Office Building Prelayer DCP Results 14 12 09 (under SOG)</v>
      </c>
      <c r="K1415" s="25"/>
      <c r="L1415" s="19"/>
      <c r="M1415" s="20"/>
      <c r="N1415" s="21" t="s">
        <v>4741</v>
      </c>
    </row>
    <row r="1416" spans="1:14">
      <c r="A1416" s="12" t="s">
        <v>750</v>
      </c>
      <c r="B1416" s="13" t="s">
        <v>1529</v>
      </c>
      <c r="C1416" s="14" t="s">
        <v>4739</v>
      </c>
      <c r="D1416" s="15">
        <v>41982.620370370372</v>
      </c>
      <c r="E1416" s="16" t="s">
        <v>16</v>
      </c>
      <c r="F1416" s="16" t="s">
        <v>18</v>
      </c>
      <c r="G1416" s="17" t="s">
        <v>946</v>
      </c>
      <c r="H1416" s="17" t="s">
        <v>851</v>
      </c>
      <c r="I1416" s="13" t="s">
        <v>4742</v>
      </c>
      <c r="J1416" s="23" t="str">
        <f>HYPERLINK("CorLog\ZMB\Mongu RTO\20141209 ZMB Mongu RTO Office Building Pre-layer DCP Results (under SOG) (RDC-to-ZMB).msg", "Office Building Pre-layer DCP Results (under SOG)")</f>
        <v>Office Building Pre-layer DCP Results (under SOG)</v>
      </c>
      <c r="K1416" s="25"/>
      <c r="L1416" s="19"/>
      <c r="M1416" s="20"/>
      <c r="N1416" s="21" t="s">
        <v>4743</v>
      </c>
    </row>
    <row r="1417" spans="1:14">
      <c r="A1417" s="12" t="s">
        <v>1147</v>
      </c>
      <c r="B1417" s="13" t="s">
        <v>718</v>
      </c>
      <c r="C1417" s="14" t="s">
        <v>4744</v>
      </c>
      <c r="D1417" s="15">
        <v>41981.719108796293</v>
      </c>
      <c r="E1417" s="16" t="s">
        <v>16</v>
      </c>
      <c r="F1417" s="16" t="s">
        <v>16</v>
      </c>
      <c r="G1417" s="17" t="s">
        <v>790</v>
      </c>
      <c r="H1417" s="17" t="s">
        <v>858</v>
      </c>
      <c r="I1417" s="13" t="s">
        <v>4745</v>
      </c>
      <c r="J1417" s="23" t="str">
        <f>HYPERLINK("CorLog\GHA\BEX\20141208 GHA BEX Ghana A08 Reports for GHA0011, GHA0012, GHA0013, GHA0014 (RDC-to-RDC).msg", "Ghana A08 Reports for GHA0011, GHA0012, GHA0013, GHA0014")</f>
        <v>Ghana A08 Reports for GHA0011, GHA0012, GHA0013, GHA0014</v>
      </c>
      <c r="K1417" s="25" t="s">
        <v>1274</v>
      </c>
      <c r="L1417" s="19"/>
      <c r="M1417" s="20"/>
      <c r="N1417" s="21" t="s">
        <v>4746</v>
      </c>
    </row>
    <row r="1418" spans="1:14">
      <c r="A1418" s="12" t="s">
        <v>750</v>
      </c>
      <c r="B1418" s="13" t="s">
        <v>1187</v>
      </c>
      <c r="C1418" s="14" t="s">
        <v>4747</v>
      </c>
      <c r="D1418" s="15">
        <v>41981.667222222219</v>
      </c>
      <c r="E1418" s="16" t="s">
        <v>16</v>
      </c>
      <c r="F1418" s="16" t="s">
        <v>15</v>
      </c>
      <c r="G1418" s="17" t="s">
        <v>790</v>
      </c>
      <c r="H1418" s="17" t="s">
        <v>4748</v>
      </c>
      <c r="I1418" s="13" t="s">
        <v>4749</v>
      </c>
      <c r="J1418" s="23" t="str">
        <f>HYPERLINK("CorLog\GHA\BEX\20141208 GHA BEX WSP MRH Engineering (Update TOPO SURVEY) (RDC-to-ZAF).msg", "WSP MRH Engineering (Update TOPO SURVEY)")</f>
        <v>WSP MRH Engineering (Update TOPO SURVEY)</v>
      </c>
      <c r="K1418" s="25"/>
      <c r="L1418" s="19"/>
      <c r="M1418" s="20"/>
      <c r="N1418" s="21" t="s">
        <v>4750</v>
      </c>
    </row>
    <row r="1419" spans="1:14">
      <c r="A1419" s="12" t="s">
        <v>4751</v>
      </c>
      <c r="B1419" s="13" t="s">
        <v>4752</v>
      </c>
      <c r="C1419" s="14" t="s">
        <v>4753</v>
      </c>
      <c r="D1419" s="15">
        <v>41981.617210648146</v>
      </c>
      <c r="E1419" s="16" t="s">
        <v>18</v>
      </c>
      <c r="F1419" s="16" t="s">
        <v>18</v>
      </c>
      <c r="G1419" s="17" t="s">
        <v>1065</v>
      </c>
      <c r="H1419" s="17" t="s">
        <v>725</v>
      </c>
      <c r="I1419" s="13" t="s">
        <v>4754</v>
      </c>
      <c r="J1419" s="23" t="str">
        <f>HYPERLINK("CorLog\ZMB\RTO Projects\20141208 ZMB RTO Projects Petty Cash Auditing (ZMB-to-ZMB).msg", "Petty Cash Auditing")</f>
        <v>Petty Cash Auditing</v>
      </c>
      <c r="K1419" s="25"/>
      <c r="L1419" s="19"/>
      <c r="M1419" s="20"/>
      <c r="N1419" s="21" t="s">
        <v>4755</v>
      </c>
    </row>
    <row r="1420" spans="1:14">
      <c r="A1420" s="12" t="s">
        <v>718</v>
      </c>
      <c r="B1420" s="13" t="s">
        <v>827</v>
      </c>
      <c r="C1420" s="14" t="s">
        <v>4756</v>
      </c>
      <c r="D1420" s="15">
        <v>41981.53402777778</v>
      </c>
      <c r="E1420" s="16" t="s">
        <v>16</v>
      </c>
      <c r="F1420" s="16" t="s">
        <v>21</v>
      </c>
      <c r="G1420" s="17" t="s">
        <v>790</v>
      </c>
      <c r="H1420" s="17" t="s">
        <v>829</v>
      </c>
      <c r="I1420" s="13" t="s">
        <v>4580</v>
      </c>
      <c r="J1420" s="23" t="str">
        <f>HYPERLINK("CorLog\GHA\BEX\20141208 GHA BEX RDC review of NLBR Package - 32 - SUBMITTAL (RDC-to-GHA).msg", "RDC review of NLBR Package - 32 - SUBMITTAL")</f>
        <v>RDC review of NLBR Package - 32 - SUBMITTAL</v>
      </c>
      <c r="K1420" s="25" t="s">
        <v>4757</v>
      </c>
      <c r="L1420" s="19"/>
      <c r="M1420" s="20"/>
      <c r="N1420" s="21" t="s">
        <v>4758</v>
      </c>
    </row>
    <row r="1421" spans="1:14">
      <c r="A1421" s="12" t="s">
        <v>1310</v>
      </c>
      <c r="B1421" s="13" t="s">
        <v>724</v>
      </c>
      <c r="C1421" s="14"/>
      <c r="D1421" s="15">
        <v>41981.366365740738</v>
      </c>
      <c r="E1421" s="16" t="s">
        <v>16</v>
      </c>
      <c r="F1421" s="16" t="s">
        <v>16</v>
      </c>
      <c r="G1421" s="17" t="s">
        <v>719</v>
      </c>
      <c r="H1421" s="17" t="s">
        <v>2367</v>
      </c>
      <c r="I1421" s="13" t="s">
        <v>2374</v>
      </c>
      <c r="J1421" s="23" t="str">
        <f>HYPERLINK("CorLog\Reference\20141208 Reference Revised Incident Report (TO-5) (RDC-to-RDC).msg", "Revised Incident Report (TO-5)")</f>
        <v>Revised Incident Report (TO-5)</v>
      </c>
      <c r="K1421" s="25" t="s">
        <v>1270</v>
      </c>
      <c r="L1421" s="19"/>
      <c r="M1421" s="20"/>
      <c r="N1421" s="21" t="s">
        <v>4759</v>
      </c>
    </row>
    <row r="1422" spans="1:14">
      <c r="A1422" s="12" t="s">
        <v>750</v>
      </c>
      <c r="B1422" s="13" t="s">
        <v>718</v>
      </c>
      <c r="C1422" s="14"/>
      <c r="D1422" s="15">
        <v>41981.346550925926</v>
      </c>
      <c r="E1422" s="16" t="s">
        <v>16</v>
      </c>
      <c r="F1422" s="16" t="s">
        <v>16</v>
      </c>
      <c r="G1422" s="17" t="s">
        <v>738</v>
      </c>
      <c r="H1422" s="17" t="s">
        <v>1846</v>
      </c>
      <c r="I1422" s="13" t="s">
        <v>4760</v>
      </c>
      <c r="J1422" s="23" t="str">
        <f>HYPERLINK("CorLog\GHA\BEX 2\20141208 GHA BEX 2 Service Building Current Design (RDC-to-RDC).msg", "Service Building Current Design")</f>
        <v>Service Building Current Design</v>
      </c>
      <c r="K1422" s="25" t="s">
        <v>1270</v>
      </c>
      <c r="L1422" s="19"/>
      <c r="M1422" s="20"/>
      <c r="N1422" s="21" t="s">
        <v>4761</v>
      </c>
    </row>
    <row r="1423" spans="1:14">
      <c r="A1423" s="12" t="s">
        <v>1418</v>
      </c>
      <c r="B1423" s="13" t="s">
        <v>718</v>
      </c>
      <c r="C1423" s="14"/>
      <c r="D1423" s="15">
        <v>41981.335023148145</v>
      </c>
      <c r="E1423" s="16" t="s">
        <v>16</v>
      </c>
      <c r="F1423" s="16" t="s">
        <v>16</v>
      </c>
      <c r="G1423" s="17" t="s">
        <v>857</v>
      </c>
      <c r="H1423" s="17" t="s">
        <v>4762</v>
      </c>
      <c r="I1423" s="13" t="s">
        <v>4763</v>
      </c>
      <c r="J1423" s="23" t="str">
        <f>HYPERLINK("CorLog\GHA\Kikam RTO\20141208 GHA Kikam RTO Confirm electrical information (RDC-to-RDC).msg", "Confirm electrical information")</f>
        <v>Confirm electrical information</v>
      </c>
      <c r="K1423" s="25"/>
      <c r="L1423" s="19"/>
      <c r="M1423" s="20"/>
      <c r="N1423" s="21" t="s">
        <v>4764</v>
      </c>
    </row>
    <row r="1424" spans="1:14">
      <c r="A1424" s="12" t="s">
        <v>718</v>
      </c>
      <c r="B1424" s="13" t="s">
        <v>1866</v>
      </c>
      <c r="C1424" s="14" t="s">
        <v>4765</v>
      </c>
      <c r="D1424" s="15">
        <v>41980.613194444442</v>
      </c>
      <c r="E1424" s="16" t="s">
        <v>16</v>
      </c>
      <c r="F1424" s="16" t="s">
        <v>16</v>
      </c>
      <c r="G1424" s="17" t="s">
        <v>913</v>
      </c>
      <c r="H1424" s="17" t="s">
        <v>3251</v>
      </c>
      <c r="I1424" s="13" t="s">
        <v>4766</v>
      </c>
      <c r="J1424" s="23" t="str">
        <f>HYPERLINK("CorLog\COD\Branch\20141207 COD Branch Combining all AV facilities into one building (RDC-to-RDC).msg", "Combining all AV facilities into one building")</f>
        <v>Combining all AV facilities into one building</v>
      </c>
      <c r="K1424" s="25" t="s">
        <v>1274</v>
      </c>
      <c r="L1424" s="19"/>
      <c r="M1424" s="20"/>
      <c r="N1424" s="21" t="s">
        <v>4767</v>
      </c>
    </row>
    <row r="1425" spans="1:14">
      <c r="A1425" s="12" t="s">
        <v>718</v>
      </c>
      <c r="B1425" s="13" t="s">
        <v>1969</v>
      </c>
      <c r="C1425" s="14" t="s">
        <v>4768</v>
      </c>
      <c r="D1425" s="15">
        <v>41980.602083333331</v>
      </c>
      <c r="E1425" s="16" t="s">
        <v>16</v>
      </c>
      <c r="F1425" s="16" t="s">
        <v>22</v>
      </c>
      <c r="G1425" s="17" t="s">
        <v>2627</v>
      </c>
      <c r="H1425" s="17" t="s">
        <v>1040</v>
      </c>
      <c r="I1425" s="13" t="s">
        <v>4769</v>
      </c>
      <c r="J1425" s="23" t="str">
        <f>HYPERLINK("CorLog\COD\Kamina RTO\20141207 COD Kamina RTO FS KQ-S-101-S2--location of saw-cut (RDC-to-COD).msg", "FS KQ-S-101-S2--location of saw-cut")</f>
        <v>FS KQ-S-101-S2--location of saw-cut</v>
      </c>
      <c r="K1425" s="25" t="s">
        <v>1211</v>
      </c>
      <c r="L1425" s="19"/>
      <c r="M1425" s="20"/>
      <c r="N1425" s="21" t="s">
        <v>4770</v>
      </c>
    </row>
    <row r="1426" spans="1:14">
      <c r="A1426" s="12" t="s">
        <v>718</v>
      </c>
      <c r="B1426" s="13" t="s">
        <v>1069</v>
      </c>
      <c r="C1426" s="14" t="s">
        <v>4673</v>
      </c>
      <c r="D1426" s="15">
        <v>41980.59652777778</v>
      </c>
      <c r="E1426" s="16" t="s">
        <v>16</v>
      </c>
      <c r="F1426" s="16" t="s">
        <v>18</v>
      </c>
      <c r="G1426" s="17" t="s">
        <v>1070</v>
      </c>
      <c r="H1426" s="17" t="s">
        <v>829</v>
      </c>
      <c r="I1426" s="13" t="s">
        <v>4771</v>
      </c>
      <c r="J1426" s="23" t="str">
        <f>HYPERLINK("CorLog\ZMB\Katete RTO\20141207 ZMB Katete RTO RDC review of Draft NLBR; REQ 520-8847; Plumbing; Order 2; 20141113 (RDC-to-ZMB).msg", "RDC review of Draft NLBR; REQ 520-8847; Plumbing; Order 2; 20141113")</f>
        <v>RDC review of Draft NLBR; REQ 520-8847; Plumbing; Order 2; 20141113</v>
      </c>
      <c r="K1426" s="25" t="s">
        <v>1211</v>
      </c>
      <c r="L1426" s="19"/>
      <c r="M1426" s="20"/>
      <c r="N1426" s="21" t="s">
        <v>4772</v>
      </c>
    </row>
    <row r="1427" spans="1:14">
      <c r="A1427" s="12" t="s">
        <v>718</v>
      </c>
      <c r="B1427" s="13" t="s">
        <v>883</v>
      </c>
      <c r="C1427" s="14" t="s">
        <v>4773</v>
      </c>
      <c r="D1427" s="15">
        <v>41980.574999999997</v>
      </c>
      <c r="E1427" s="16" t="s">
        <v>16</v>
      </c>
      <c r="F1427" s="16" t="s">
        <v>18</v>
      </c>
      <c r="G1427" s="17" t="s">
        <v>885</v>
      </c>
      <c r="H1427" s="17" t="s">
        <v>3069</v>
      </c>
      <c r="I1427" s="13" t="s">
        <v>4774</v>
      </c>
      <c r="J1427" s="23" t="str">
        <f>HYPERLINK("CorLog\ZMB\Kabompo RTO\20141207 ZMB Kabompo RTO Scalding tempuratures from Solar Panel (RDC-to-).msg", "Scalding tempuratures from Solar Panel")</f>
        <v>Scalding tempuratures from Solar Panel</v>
      </c>
      <c r="K1427" s="25" t="s">
        <v>1243</v>
      </c>
      <c r="L1427" s="19"/>
      <c r="M1427" s="20"/>
      <c r="N1427" s="21" t="s">
        <v>4775</v>
      </c>
    </row>
    <row r="1428" spans="1:14">
      <c r="A1428" s="12" t="s">
        <v>724</v>
      </c>
      <c r="B1428" s="13" t="s">
        <v>1357</v>
      </c>
      <c r="C1428" s="14" t="s">
        <v>718</v>
      </c>
      <c r="D1428" s="15">
        <v>41980.55300925926</v>
      </c>
      <c r="E1428" s="16" t="s">
        <v>16</v>
      </c>
      <c r="F1428" s="16" t="s">
        <v>17</v>
      </c>
      <c r="G1428" s="17" t="s">
        <v>780</v>
      </c>
      <c r="H1428" s="17" t="s">
        <v>2384</v>
      </c>
      <c r="I1428" s="13" t="s">
        <v>1539</v>
      </c>
      <c r="J1428" s="23" t="str">
        <f>HYPERLINK("CorLog\ZMB\LDC\20141207 ZMB LDC Zambia Assembly Hall Overall Plan (RDC-to-WDC).msg", "Zambia Assembly Hall Overall Plan")</f>
        <v>Zambia Assembly Hall Overall Plan</v>
      </c>
      <c r="K1428" s="25"/>
      <c r="L1428" s="19"/>
      <c r="M1428" s="20"/>
      <c r="N1428" s="21" t="s">
        <v>4776</v>
      </c>
    </row>
    <row r="1429" spans="1:14">
      <c r="A1429" s="12" t="s">
        <v>750</v>
      </c>
      <c r="B1429" s="13" t="s">
        <v>1181</v>
      </c>
      <c r="C1429" s="14" t="s">
        <v>4777</v>
      </c>
      <c r="D1429" s="15">
        <v>41978.6640162037</v>
      </c>
      <c r="E1429" s="16" t="s">
        <v>16</v>
      </c>
      <c r="F1429" s="16" t="s">
        <v>16</v>
      </c>
      <c r="G1429" s="17" t="s">
        <v>790</v>
      </c>
      <c r="H1429" s="17" t="s">
        <v>3453</v>
      </c>
      <c r="I1429" s="13" t="s">
        <v>4778</v>
      </c>
      <c r="J1429" s="23" t="str">
        <f>HYPERLINK("CorLog\GHA\BEX\20141205 GHA BEX Roof Structure Wall Plate (INTERNAL SIDE OF RING BM) (RDC-to-RDC).msg", "Roof Structure Wall Plate (INTERNAL SIDE OF RING BM)")</f>
        <v>Roof Structure Wall Plate (INTERNAL SIDE OF RING BM)</v>
      </c>
      <c r="K1429" s="25" t="s">
        <v>1369</v>
      </c>
      <c r="L1429" s="19"/>
      <c r="M1429" s="20"/>
      <c r="N1429" s="21" t="s">
        <v>4779</v>
      </c>
    </row>
    <row r="1430" spans="1:14">
      <c r="A1430" s="12" t="s">
        <v>1069</v>
      </c>
      <c r="B1430" s="13" t="s">
        <v>1818</v>
      </c>
      <c r="C1430" s="14" t="s">
        <v>4780</v>
      </c>
      <c r="D1430" s="15">
        <v>41978.636516203704</v>
      </c>
      <c r="E1430" s="16" t="s">
        <v>18</v>
      </c>
      <c r="F1430" s="16" t="s">
        <v>16</v>
      </c>
      <c r="G1430" s="17" t="s">
        <v>1070</v>
      </c>
      <c r="H1430" s="17" t="s">
        <v>839</v>
      </c>
      <c r="I1430" s="13" t="s">
        <v>4781</v>
      </c>
      <c r="J1430" s="23" t="str">
        <f>HYPERLINK("CorLog\ZMB\Katete\20141205 ZMB Katete Percolation Test results (ZMB-to-RDC).msg", "Percolation Test results")</f>
        <v>Percolation Test results</v>
      </c>
      <c r="K1430" s="25" t="s">
        <v>1211</v>
      </c>
      <c r="L1430" s="19"/>
      <c r="M1430" s="20"/>
      <c r="N1430" s="21" t="s">
        <v>4782</v>
      </c>
    </row>
    <row r="1431" spans="1:14">
      <c r="A1431" s="12" t="s">
        <v>750</v>
      </c>
      <c r="B1431" s="13" t="s">
        <v>1069</v>
      </c>
      <c r="C1431" s="14" t="s">
        <v>4783</v>
      </c>
      <c r="D1431" s="15">
        <v>41978.388078703705</v>
      </c>
      <c r="E1431" s="16" t="s">
        <v>16</v>
      </c>
      <c r="F1431" s="16" t="s">
        <v>18</v>
      </c>
      <c r="G1431" s="17" t="s">
        <v>1070</v>
      </c>
      <c r="H1431" s="17" t="s">
        <v>851</v>
      </c>
      <c r="I1431" s="13" t="s">
        <v>4784</v>
      </c>
      <c r="J1431" s="23" t="str">
        <f>HYPERLINK("CorLog\ZMB\Katete RTO\20141205 ZMB Katete RTO DCP Tests; Office and Residence (PRELIM - Assess 1 2m wide ftg) (RDC-to-ZMB).msg", "DCP Tests; Office and Residence (PRELIM - Assess 1 2m wide ftg)")</f>
        <v>DCP Tests; Office and Residence (PRELIM - Assess 1 2m wide ftg)</v>
      </c>
      <c r="K1431" s="25" t="s">
        <v>1243</v>
      </c>
      <c r="L1431" s="19"/>
      <c r="M1431" s="20"/>
      <c r="N1431" s="21" t="s">
        <v>4785</v>
      </c>
    </row>
    <row r="1432" spans="1:14">
      <c r="A1432" s="12" t="s">
        <v>998</v>
      </c>
      <c r="B1432" s="13" t="s">
        <v>771</v>
      </c>
      <c r="C1432" s="14"/>
      <c r="D1432" s="15">
        <v>41976.885138888887</v>
      </c>
      <c r="E1432" s="16" t="s">
        <v>17</v>
      </c>
      <c r="F1432" s="16" t="s">
        <v>17</v>
      </c>
      <c r="G1432" s="17" t="s">
        <v>913</v>
      </c>
      <c r="H1432" s="17" t="s">
        <v>4786</v>
      </c>
      <c r="I1432" s="13" t="s">
        <v>4787</v>
      </c>
      <c r="J1432" s="23" t="str">
        <f>HYPERLINK("CorLog\COD\Branch\20141203 COD Branch Revised Choral studio drawing without the sign language studio (WDC-to-WDC).msg", "Revised Choral studio drawing without the sign language studio")</f>
        <v>Revised Choral studio drawing without the sign language studio</v>
      </c>
      <c r="K1432" s="25" t="s">
        <v>1211</v>
      </c>
      <c r="L1432" s="19"/>
      <c r="M1432" s="20"/>
      <c r="N1432" s="21" t="s">
        <v>4788</v>
      </c>
    </row>
    <row r="1433" spans="1:14">
      <c r="A1433" s="12" t="s">
        <v>972</v>
      </c>
      <c r="B1433" s="13" t="s">
        <v>718</v>
      </c>
      <c r="C1433" s="14"/>
      <c r="D1433" s="15">
        <v>41976.654398148145</v>
      </c>
      <c r="E1433" s="16" t="s">
        <v>18</v>
      </c>
      <c r="F1433" s="16" t="s">
        <v>16</v>
      </c>
      <c r="G1433" s="17" t="s">
        <v>1065</v>
      </c>
      <c r="H1433" s="17" t="s">
        <v>1524</v>
      </c>
      <c r="I1433" s="13" t="s">
        <v>4789</v>
      </c>
      <c r="J1433" s="23" t="str">
        <f>HYPERLINK("CorLog\ZMB\RTO Projects\20141203 ZMB RTO Projects Construction Committee in Zambia (ZMB-to-RDC).msg", "Construction Committee in Zambia")</f>
        <v>Construction Committee in Zambia</v>
      </c>
      <c r="K1433" s="25"/>
      <c r="L1433" s="19"/>
      <c r="M1433" s="20"/>
      <c r="N1433" s="21" t="s">
        <v>4790</v>
      </c>
    </row>
    <row r="1434" spans="1:14">
      <c r="A1434" s="12" t="s">
        <v>750</v>
      </c>
      <c r="B1434" s="13" t="s">
        <v>916</v>
      </c>
      <c r="C1434" s="14" t="s">
        <v>4791</v>
      </c>
      <c r="D1434" s="15">
        <v>41976.619074074071</v>
      </c>
      <c r="E1434" s="16" t="s">
        <v>16</v>
      </c>
      <c r="F1434" s="16" t="s">
        <v>16</v>
      </c>
      <c r="G1434" s="17" t="s">
        <v>946</v>
      </c>
      <c r="H1434" s="17" t="s">
        <v>4792</v>
      </c>
      <c r="I1434" s="13" t="s">
        <v>4793</v>
      </c>
      <c r="J1434" s="23" t="str">
        <f>HYPERLINK("CorLog\ZMB\Mongu RTO\20141203 ZMB Mongu RTO Concrete Base for light pole (RDC-to-RDC).msg", "Concrete Base for light pole")</f>
        <v>Concrete Base for light pole</v>
      </c>
      <c r="K1434" s="25" t="s">
        <v>3933</v>
      </c>
      <c r="L1434" s="19"/>
      <c r="M1434" s="20"/>
      <c r="N1434" s="21" t="s">
        <v>4794</v>
      </c>
    </row>
    <row r="1435" spans="1:14">
      <c r="A1435" s="12" t="s">
        <v>718</v>
      </c>
      <c r="B1435" s="13" t="s">
        <v>1529</v>
      </c>
      <c r="C1435" s="14" t="s">
        <v>4795</v>
      </c>
      <c r="D1435" s="15">
        <v>41976.529166666667</v>
      </c>
      <c r="E1435" s="16" t="s">
        <v>16</v>
      </c>
      <c r="F1435" s="16" t="s">
        <v>18</v>
      </c>
      <c r="G1435" s="17" t="s">
        <v>946</v>
      </c>
      <c r="H1435" s="17" t="s">
        <v>829</v>
      </c>
      <c r="I1435" s="13" t="s">
        <v>4796</v>
      </c>
      <c r="J1435" s="23" t="str">
        <f>HYPERLINK("CorLog\ZMB\Mongu RTO\20141203 ZMB Mongu RTO RDC review of NLBR 9069 Un-ordered electrical parts (RDC-to-ZMB).msg", "RDC review of NLBR 9069 Un-ordered electrical parts")</f>
        <v>RDC review of NLBR 9069 Un-ordered electrical parts</v>
      </c>
      <c r="K1435" s="25" t="s">
        <v>1211</v>
      </c>
      <c r="L1435" s="19"/>
      <c r="M1435" s="20"/>
      <c r="N1435" s="21" t="s">
        <v>4797</v>
      </c>
    </row>
    <row r="1436" spans="1:14">
      <c r="A1436" s="12" t="s">
        <v>1176</v>
      </c>
      <c r="B1436" s="13" t="s">
        <v>827</v>
      </c>
      <c r="C1436" s="14" t="s">
        <v>718</v>
      </c>
      <c r="D1436" s="15">
        <v>41976.411689814813</v>
      </c>
      <c r="E1436" s="16" t="s">
        <v>16</v>
      </c>
      <c r="F1436" s="16" t="s">
        <v>21</v>
      </c>
      <c r="G1436" s="17" t="s">
        <v>790</v>
      </c>
      <c r="H1436" s="17" t="s">
        <v>3802</v>
      </c>
      <c r="I1436" s="13" t="s">
        <v>4798</v>
      </c>
      <c r="J1436" s="23" t="str">
        <f>HYPERLINK("CorLog\GHA\BEX\20141203 GHA BEX Commissioning of Generators (RDC-to-GHA).msg", "Commissioning of Generators")</f>
        <v>Commissioning of Generators</v>
      </c>
      <c r="K1436" s="25" t="s">
        <v>1243</v>
      </c>
      <c r="L1436" s="19"/>
      <c r="M1436" s="20"/>
      <c r="N1436" s="21" t="s">
        <v>4799</v>
      </c>
    </row>
    <row r="1437" spans="1:14">
      <c r="A1437" s="12" t="s">
        <v>750</v>
      </c>
      <c r="B1437" s="13" t="s">
        <v>964</v>
      </c>
      <c r="C1437" s="14" t="s">
        <v>4800</v>
      </c>
      <c r="D1437" s="15">
        <v>41976.371458333335</v>
      </c>
      <c r="E1437" s="16" t="s">
        <v>16</v>
      </c>
      <c r="F1437" s="16" t="s">
        <v>16</v>
      </c>
      <c r="G1437" s="17" t="s">
        <v>790</v>
      </c>
      <c r="H1437" s="17" t="s">
        <v>886</v>
      </c>
      <c r="I1437" s="13" t="s">
        <v>4801</v>
      </c>
      <c r="J1437" s="23" t="str">
        <f>HYPERLINK("CorLog\GHA\BEX\20141203 GHA BEX Exterior Light Fittings for Residence Buildings (RDC-to-RDC).msg", "Exterior Light Fittings for Residence Buildings")</f>
        <v>Exterior Light Fittings for Residence Buildings</v>
      </c>
      <c r="K1437" s="25" t="s">
        <v>1243</v>
      </c>
      <c r="L1437" s="19"/>
      <c r="M1437" s="20"/>
      <c r="N1437" s="21" t="s">
        <v>4802</v>
      </c>
    </row>
    <row r="1438" spans="1:14">
      <c r="A1438" s="12" t="s">
        <v>998</v>
      </c>
      <c r="B1438" s="13" t="s">
        <v>1003</v>
      </c>
      <c r="C1438" s="14"/>
      <c r="D1438" s="15">
        <v>41975.731053240743</v>
      </c>
      <c r="E1438" s="16" t="s">
        <v>17</v>
      </c>
      <c r="F1438" s="16" t="s">
        <v>22</v>
      </c>
      <c r="G1438" s="17" t="s">
        <v>4606</v>
      </c>
      <c r="H1438" s="17" t="s">
        <v>1707</v>
      </c>
      <c r="I1438" s="13" t="s">
        <v>4803</v>
      </c>
      <c r="J1438" s="23" t="str">
        <f>HYPERLINK("CorLog\COD\BEX\20141202 COD BEX Choral Studio Notes 2014-12-01 docx (WDC-to-COD).msg", "Choral Studio Notes 2014-12-01 docx")</f>
        <v>Choral Studio Notes 2014-12-01 docx</v>
      </c>
      <c r="K1438" s="25" t="s">
        <v>1211</v>
      </c>
      <c r="L1438" s="19"/>
      <c r="M1438" s="20"/>
      <c r="N1438" s="21" t="s">
        <v>4804</v>
      </c>
    </row>
    <row r="1439" spans="1:14">
      <c r="A1439" s="12" t="s">
        <v>1818</v>
      </c>
      <c r="B1439" s="13" t="s">
        <v>750</v>
      </c>
      <c r="C1439" s="14" t="s">
        <v>4805</v>
      </c>
      <c r="D1439" s="15">
        <v>41975.672800925924</v>
      </c>
      <c r="E1439" s="16" t="s">
        <v>16</v>
      </c>
      <c r="F1439" s="16" t="s">
        <v>16</v>
      </c>
      <c r="G1439" s="17" t="s">
        <v>1070</v>
      </c>
      <c r="H1439" s="17" t="s">
        <v>851</v>
      </c>
      <c r="I1439" s="13" t="s">
        <v>4784</v>
      </c>
      <c r="J1439" s="23" t="str">
        <f>HYPERLINK("CorLog\ZMB\Katete RTO\20141202 ZMB Katete RTO DCP Tests; Office and Residence (PRELIM - Assess 1 2m wide ftg) (RDC-to-RDC).msg", "DCP Tests; Office and Residence (PRELIM - Assess 1 2m wide ftg)")</f>
        <v>DCP Tests; Office and Residence (PRELIM - Assess 1 2m wide ftg)</v>
      </c>
      <c r="K1439" s="25" t="s">
        <v>1211</v>
      </c>
      <c r="L1439" s="19"/>
      <c r="M1439" s="20"/>
      <c r="N1439" s="21" t="s">
        <v>4806</v>
      </c>
    </row>
    <row r="1440" spans="1:14">
      <c r="A1440" s="12" t="s">
        <v>4265</v>
      </c>
      <c r="B1440" s="13" t="s">
        <v>718</v>
      </c>
      <c r="C1440" s="14" t="s">
        <v>4266</v>
      </c>
      <c r="D1440" s="15">
        <v>41975.521678240744</v>
      </c>
      <c r="E1440" s="16" t="s">
        <v>15</v>
      </c>
      <c r="F1440" s="16" t="s">
        <v>16</v>
      </c>
      <c r="G1440" s="17" t="s">
        <v>1169</v>
      </c>
      <c r="H1440" s="17" t="s">
        <v>1819</v>
      </c>
      <c r="I1440" s="13" t="s">
        <v>4267</v>
      </c>
      <c r="J1440" s="23" t="str">
        <f>HYPERLINK("CorLog\COD\Kikwit RTO\20141202 COD Kikwit RTO Civil drawing package--final comments (ZAF-to-RDC).msg", "Civil drawing package--final comments")</f>
        <v>Civil drawing package--final comments</v>
      </c>
      <c r="K1440" s="25" t="s">
        <v>1482</v>
      </c>
      <c r="L1440" s="19"/>
      <c r="M1440" s="20"/>
      <c r="N1440" s="21" t="s">
        <v>4807</v>
      </c>
    </row>
    <row r="1441" spans="1:14">
      <c r="A1441" s="12" t="s">
        <v>750</v>
      </c>
      <c r="B1441" s="13" t="s">
        <v>1529</v>
      </c>
      <c r="C1441" s="14" t="s">
        <v>4647</v>
      </c>
      <c r="D1441" s="15">
        <v>41975.486076388886</v>
      </c>
      <c r="E1441" s="16" t="s">
        <v>16</v>
      </c>
      <c r="F1441" s="16" t="s">
        <v>18</v>
      </c>
      <c r="G1441" s="17" t="s">
        <v>946</v>
      </c>
      <c r="H1441" s="17" t="s">
        <v>854</v>
      </c>
      <c r="I1441" s="13" t="s">
        <v>4808</v>
      </c>
      <c r="J1441" s="23" t="str">
        <f>HYPERLINK("CorLog\ZMB\Mongu RTO\20141202 ZMB Mongu RTO Utility Building Steel Structure and Porches Need to be Galvanized (RDC-to-ZMB).msg", "Utility Building Steel Structure and Porches Need to be Galvanized")</f>
        <v>Utility Building Steel Structure and Porches Need to be Galvanized</v>
      </c>
      <c r="K1441" s="25" t="s">
        <v>1243</v>
      </c>
      <c r="L1441" s="19"/>
      <c r="M1441" s="20"/>
      <c r="N1441" s="21" t="s">
        <v>4809</v>
      </c>
    </row>
    <row r="1442" spans="1:14">
      <c r="A1442" s="12" t="s">
        <v>4810</v>
      </c>
      <c r="B1442" s="13" t="s">
        <v>4711</v>
      </c>
      <c r="C1442" s="14" t="s">
        <v>4811</v>
      </c>
      <c r="D1442" s="15">
        <v>41975.349039351851</v>
      </c>
      <c r="E1442" s="16" t="s">
        <v>16</v>
      </c>
      <c r="F1442" s="16" t="s">
        <v>26</v>
      </c>
      <c r="G1442" s="17" t="s">
        <v>1544</v>
      </c>
      <c r="H1442" s="17" t="s">
        <v>1426</v>
      </c>
      <c r="I1442" s="13" t="s">
        <v>4812</v>
      </c>
      <c r="J1442" s="23" t="str">
        <f>HYPERLINK("CorLog\SALTO\20141202 SALTO SAF LPD Salto Keyless Access FUEL AND GATE SYSTEMS (RDC-to-GBR).msg", "SAF LPD Salto Keyless Access FUEL AND GATE SYSTEMS")</f>
        <v>SAF LPD Salto Keyless Access FUEL AND GATE SYSTEMS</v>
      </c>
      <c r="K1442" s="25" t="s">
        <v>1270</v>
      </c>
      <c r="L1442" s="19"/>
      <c r="M1442" s="20"/>
      <c r="N1442" s="21" t="s">
        <v>4813</v>
      </c>
    </row>
    <row r="1443" spans="1:14">
      <c r="A1443" s="12" t="s">
        <v>750</v>
      </c>
      <c r="B1443" s="13" t="s">
        <v>1529</v>
      </c>
      <c r="C1443" s="14" t="s">
        <v>4814</v>
      </c>
      <c r="D1443" s="15">
        <v>41975.344224537039</v>
      </c>
      <c r="E1443" s="16" t="s">
        <v>16</v>
      </c>
      <c r="F1443" s="16" t="s">
        <v>18</v>
      </c>
      <c r="G1443" s="17" t="s">
        <v>946</v>
      </c>
      <c r="H1443" s="17" t="s">
        <v>4815</v>
      </c>
      <c r="I1443" s="13" t="s">
        <v>4816</v>
      </c>
      <c r="J1443" s="23" t="str">
        <f>HYPERLINK("CorLog\ZMB\Mongu RTO\20141202 ZMB Mongu RTO 2 Q's on Cavity Wall details (MORTAR FILLETR6 BAR in OUTER SKIN) (RDC-to-ZMB).msg", "2 Q's on Cavity Wall details (MORTAR FILLETR6 BAR in OUTER SKIN)")</f>
        <v>2 Q's on Cavity Wall details (MORTAR FILLETR6 BAR in OUTER SKIN)</v>
      </c>
      <c r="K1443" s="25" t="s">
        <v>1499</v>
      </c>
      <c r="L1443" s="19"/>
      <c r="M1443" s="20"/>
      <c r="N1443" s="21" t="s">
        <v>4817</v>
      </c>
    </row>
    <row r="1444" spans="1:14">
      <c r="A1444" s="12" t="s">
        <v>4818</v>
      </c>
      <c r="B1444" s="13" t="s">
        <v>718</v>
      </c>
      <c r="C1444" s="14" t="s">
        <v>724</v>
      </c>
      <c r="D1444" s="15">
        <v>41974.741423611114</v>
      </c>
      <c r="E1444" s="16" t="s">
        <v>17</v>
      </c>
      <c r="F1444" s="16" t="s">
        <v>16</v>
      </c>
      <c r="G1444" s="17" t="s">
        <v>790</v>
      </c>
      <c r="H1444" s="17" t="s">
        <v>781</v>
      </c>
      <c r="I1444" s="13" t="s">
        <v>4819</v>
      </c>
      <c r="J1444" s="23" t="str">
        <f>HYPERLINK("CorLog\GHA\BEX\20141201 GHA BEX Explaining need for 2x BCV plumbers (WDC-to-RDC).msg", "Explaining need for 2x BCV plumbers")</f>
        <v>Explaining need for 2x BCV plumbers</v>
      </c>
      <c r="K1444" s="25"/>
      <c r="L1444" s="19"/>
      <c r="M1444" s="20"/>
      <c r="N1444" s="21" t="s">
        <v>4820</v>
      </c>
    </row>
    <row r="1445" spans="1:14">
      <c r="A1445" s="12" t="s">
        <v>718</v>
      </c>
      <c r="B1445" s="13" t="s">
        <v>1052</v>
      </c>
      <c r="C1445" s="14" t="s">
        <v>724</v>
      </c>
      <c r="D1445" s="15">
        <v>41974.704861111109</v>
      </c>
      <c r="E1445" s="16" t="s">
        <v>16</v>
      </c>
      <c r="F1445" s="16" t="s">
        <v>17</v>
      </c>
      <c r="G1445" s="17" t="s">
        <v>790</v>
      </c>
      <c r="H1445" s="17" t="s">
        <v>781</v>
      </c>
      <c r="I1445" s="13" t="s">
        <v>4821</v>
      </c>
      <c r="J1445" s="23" t="str">
        <f>HYPERLINK("CorLog\GHA\BEX\20141201 GHA BEX Construction Personnel Request DC-51 (RDC-to-WDC).msg", "Construction Personnel Request DC-51")</f>
        <v>Construction Personnel Request DC-51</v>
      </c>
      <c r="K1445" s="25"/>
      <c r="L1445" s="19" t="s">
        <v>4822</v>
      </c>
      <c r="M1445" s="20"/>
      <c r="N1445" s="21" t="s">
        <v>4823</v>
      </c>
    </row>
    <row r="1446" spans="1:14">
      <c r="A1446" s="12" t="s">
        <v>795</v>
      </c>
      <c r="B1446" s="13" t="s">
        <v>750</v>
      </c>
      <c r="C1446" s="14" t="s">
        <v>4824</v>
      </c>
      <c r="D1446" s="15">
        <v>41974.575937499998</v>
      </c>
      <c r="E1446" s="16" t="s">
        <v>16</v>
      </c>
      <c r="F1446" s="16" t="s">
        <v>16</v>
      </c>
      <c r="G1446" s="17" t="s">
        <v>790</v>
      </c>
      <c r="H1446" s="17" t="s">
        <v>829</v>
      </c>
      <c r="I1446" s="13" t="s">
        <v>4825</v>
      </c>
      <c r="J1446" s="23" t="str">
        <f>HYPERLINK("CorLog\GHA\BEX\20141201 GHA BEX RDC review of NLBR Package - 29 - SUBMITTAL (RDC-to-RDC).msg", "RDC review of NLBR Package - 29 - SUBMITTAL")</f>
        <v>RDC review of NLBR Package - 29 - SUBMITTAL</v>
      </c>
      <c r="K1446" s="25" t="s">
        <v>1243</v>
      </c>
      <c r="L1446" s="19"/>
      <c r="M1446" s="20"/>
      <c r="N1446" s="21" t="s">
        <v>4826</v>
      </c>
    </row>
    <row r="1447" spans="1:14">
      <c r="A1447" s="12" t="s">
        <v>718</v>
      </c>
      <c r="B1447" s="13" t="s">
        <v>1969</v>
      </c>
      <c r="C1447" s="14" t="s">
        <v>4827</v>
      </c>
      <c r="D1447" s="15">
        <v>41973.35</v>
      </c>
      <c r="E1447" s="16" t="s">
        <v>16</v>
      </c>
      <c r="F1447" s="16" t="s">
        <v>22</v>
      </c>
      <c r="G1447" s="17" t="s">
        <v>2627</v>
      </c>
      <c r="H1447" s="17" t="s">
        <v>1687</v>
      </c>
      <c r="I1447" s="13" t="s">
        <v>4828</v>
      </c>
      <c r="J1447" s="23" t="str">
        <f>HYPERLINK("CorLog\COD\Kamina RTO\20141130 COD Kamina RTO Confirm sill height of windows (RDC-to-COD).msg", "Confirm sill height of windows")</f>
        <v>Confirm sill height of windows</v>
      </c>
      <c r="K1447" s="25" t="s">
        <v>3933</v>
      </c>
      <c r="L1447" s="19"/>
      <c r="M1447" s="20"/>
      <c r="N1447" s="21" t="s">
        <v>4829</v>
      </c>
    </row>
    <row r="1448" spans="1:14">
      <c r="A1448" s="12" t="s">
        <v>827</v>
      </c>
      <c r="B1448" s="13" t="s">
        <v>718</v>
      </c>
      <c r="C1448" s="14" t="s">
        <v>4830</v>
      </c>
      <c r="D1448" s="15">
        <v>41971.809178240743</v>
      </c>
      <c r="E1448" s="16" t="s">
        <v>21</v>
      </c>
      <c r="F1448" s="16" t="s">
        <v>16</v>
      </c>
      <c r="G1448" s="17" t="s">
        <v>738</v>
      </c>
      <c r="H1448" s="17" t="s">
        <v>4831</v>
      </c>
      <c r="I1448" s="13" t="s">
        <v>4832</v>
      </c>
      <c r="J1448" s="23" t="str">
        <f>HYPERLINK("CorLog\GHA\BEX 2\20141128 GHA BEX 2 Laundry check-in comments (GHA-to-RDC).msg", "Laundry check-in comments")</f>
        <v>Laundry check-in comments</v>
      </c>
      <c r="K1448" s="25"/>
      <c r="L1448" s="19"/>
      <c r="M1448" s="20"/>
      <c r="N1448" s="21" t="s">
        <v>4833</v>
      </c>
    </row>
    <row r="1449" spans="1:14">
      <c r="A1449" s="12" t="s">
        <v>4834</v>
      </c>
      <c r="B1449" s="13" t="s">
        <v>718</v>
      </c>
      <c r="C1449" s="14" t="s">
        <v>4835</v>
      </c>
      <c r="D1449" s="15">
        <v>41971.801249999997</v>
      </c>
      <c r="E1449" s="16" t="s">
        <v>16</v>
      </c>
      <c r="F1449" s="16" t="s">
        <v>16</v>
      </c>
      <c r="G1449" s="17" t="s">
        <v>719</v>
      </c>
      <c r="H1449" s="17" t="s">
        <v>4836</v>
      </c>
      <c r="I1449" s="13" t="s">
        <v>4837</v>
      </c>
      <c r="J1449" s="23" t="str">
        <f>HYPERLINK("CorLog\Reference\20141128 Reference CDP cost summary template (draft) (RDC-to-RDC).msg", "CDP cost summary template (draft)")</f>
        <v>CDP cost summary template (draft)</v>
      </c>
      <c r="K1449" s="25" t="s">
        <v>1211</v>
      </c>
      <c r="L1449" s="19"/>
      <c r="M1449" s="20"/>
      <c r="N1449" s="21" t="s">
        <v>4838</v>
      </c>
    </row>
    <row r="1450" spans="1:14">
      <c r="A1450" s="12" t="s">
        <v>718</v>
      </c>
      <c r="B1450" s="13" t="s">
        <v>827</v>
      </c>
      <c r="C1450" s="14" t="s">
        <v>4839</v>
      </c>
      <c r="D1450" s="15">
        <v>41971.720833333333</v>
      </c>
      <c r="E1450" s="16" t="s">
        <v>16</v>
      </c>
      <c r="F1450" s="16" t="s">
        <v>21</v>
      </c>
      <c r="G1450" s="17" t="s">
        <v>790</v>
      </c>
      <c r="H1450" s="17" t="s">
        <v>829</v>
      </c>
      <c r="I1450" s="13" t="s">
        <v>4840</v>
      </c>
      <c r="J1450" s="23" t="str">
        <f>HYPERLINK("CorLog\GHA\BEX\20141128 GHA BEX RDC review of NLBR Package -31 - Submittal (RDC-to-GHA).msg", "RDC review of NLBR Package -31 - Submittal")</f>
        <v>RDC review of NLBR Package -31 - Submittal</v>
      </c>
      <c r="K1450" s="25" t="s">
        <v>1211</v>
      </c>
      <c r="L1450" s="19"/>
      <c r="M1450" s="20"/>
      <c r="N1450" s="21" t="s">
        <v>4841</v>
      </c>
    </row>
    <row r="1451" spans="1:14">
      <c r="A1451" s="12" t="s">
        <v>718</v>
      </c>
      <c r="B1451" s="13" t="s">
        <v>827</v>
      </c>
      <c r="C1451" s="14" t="s">
        <v>4842</v>
      </c>
      <c r="D1451" s="15">
        <v>41971.70416666667</v>
      </c>
      <c r="E1451" s="16" t="s">
        <v>16</v>
      </c>
      <c r="F1451" s="16" t="s">
        <v>21</v>
      </c>
      <c r="G1451" s="17" t="s">
        <v>790</v>
      </c>
      <c r="H1451" s="17" t="s">
        <v>829</v>
      </c>
      <c r="I1451" s="13" t="s">
        <v>4825</v>
      </c>
      <c r="J1451" s="23" t="str">
        <f>HYPERLINK("CorLog\GHA\BEX\20141128 GHA BEX RDC review of NLBR Package - 29 - SUBMITTAL (RDC-to-GHA).msg", "RDC review of NLBR Package - 29 - SUBMITTAL")</f>
        <v>RDC review of NLBR Package - 29 - SUBMITTAL</v>
      </c>
      <c r="K1451" s="25" t="s">
        <v>1499</v>
      </c>
      <c r="L1451" s="19"/>
      <c r="M1451" s="20"/>
      <c r="N1451" s="21" t="s">
        <v>4843</v>
      </c>
    </row>
    <row r="1452" spans="1:14">
      <c r="A1452" s="12" t="s">
        <v>718</v>
      </c>
      <c r="B1452" s="13" t="s">
        <v>972</v>
      </c>
      <c r="C1452" s="14" t="s">
        <v>4844</v>
      </c>
      <c r="D1452" s="15">
        <v>41971.699305555558</v>
      </c>
      <c r="E1452" s="16" t="s">
        <v>16</v>
      </c>
      <c r="F1452" s="16" t="s">
        <v>18</v>
      </c>
      <c r="G1452" s="17" t="s">
        <v>946</v>
      </c>
      <c r="H1452" s="17" t="s">
        <v>829</v>
      </c>
      <c r="I1452" s="13" t="s">
        <v>4845</v>
      </c>
      <c r="J1452" s="23" t="str">
        <f>HYPERLINK("CorLog\ZMB\Mongu RTO\20141128 ZMB Mongu RTO RDC review of NLBR Grundfos Borehole Pump System (RDC-to-ZMB).msg", "RDC review of NLBR Grundfos Borehole Pump System")</f>
        <v>RDC review of NLBR Grundfos Borehole Pump System</v>
      </c>
      <c r="K1452" s="25" t="s">
        <v>1211</v>
      </c>
      <c r="L1452" s="19"/>
      <c r="M1452" s="20"/>
      <c r="N1452" s="21" t="s">
        <v>4846</v>
      </c>
    </row>
    <row r="1453" spans="1:14">
      <c r="A1453" s="12" t="s">
        <v>718</v>
      </c>
      <c r="B1453" s="13" t="s">
        <v>1337</v>
      </c>
      <c r="C1453" s="14" t="s">
        <v>1181</v>
      </c>
      <c r="D1453" s="15">
        <v>41971.693055555559</v>
      </c>
      <c r="E1453" s="16" t="s">
        <v>16</v>
      </c>
      <c r="F1453" s="16" t="s">
        <v>18</v>
      </c>
      <c r="G1453" s="17" t="s">
        <v>885</v>
      </c>
      <c r="H1453" s="17" t="s">
        <v>1687</v>
      </c>
      <c r="I1453" s="13" t="s">
        <v>4847</v>
      </c>
      <c r="J1453" s="23" t="str">
        <f>HYPERLINK("CorLog\ZMB\Kabompo RTO\20141128 ZMB Kabompo RTO More detailed info needed for E-02 and E-03 kitchen prep tables (RDC-to-ZMB).msg", "More detailed info needed for E-02 and E-03 kitchen prep tables")</f>
        <v>More detailed info needed for E-02 and E-03 kitchen prep tables</v>
      </c>
      <c r="K1453" s="25" t="s">
        <v>1243</v>
      </c>
      <c r="L1453" s="19"/>
      <c r="M1453" s="20"/>
      <c r="N1453" s="21" t="s">
        <v>4848</v>
      </c>
    </row>
    <row r="1454" spans="1:14">
      <c r="A1454" s="12" t="s">
        <v>718</v>
      </c>
      <c r="B1454" s="13" t="s">
        <v>972</v>
      </c>
      <c r="C1454" s="14" t="s">
        <v>4849</v>
      </c>
      <c r="D1454" s="15">
        <v>41971.679166666669</v>
      </c>
      <c r="E1454" s="16" t="s">
        <v>16</v>
      </c>
      <c r="F1454" s="16" t="s">
        <v>18</v>
      </c>
      <c r="G1454" s="17" t="s">
        <v>946</v>
      </c>
      <c r="H1454" s="17" t="s">
        <v>829</v>
      </c>
      <c r="I1454" s="13" t="s">
        <v>4850</v>
      </c>
      <c r="J1454" s="23" t="str">
        <f>HYPERLINK("CorLog\ZMB\Mongu RTO\20141128 ZMB Mongu RTO RDC review of DRAFT 9502 Roofing Systems Mongu RTO (RDC-to-ZMB).msg", "RDC review of DRAFT 9502 Roofing Systems Mongu RTO")</f>
        <v>RDC review of DRAFT 9502 Roofing Systems Mongu RTO</v>
      </c>
      <c r="K1454" s="25" t="s">
        <v>1243</v>
      </c>
      <c r="L1454" s="19"/>
      <c r="M1454" s="20"/>
      <c r="N1454" s="21" t="s">
        <v>4851</v>
      </c>
    </row>
    <row r="1455" spans="1:14">
      <c r="A1455" s="12" t="s">
        <v>1258</v>
      </c>
      <c r="B1455" s="13" t="s">
        <v>718</v>
      </c>
      <c r="C1455" s="14"/>
      <c r="D1455" s="15">
        <v>41971.670092592591</v>
      </c>
      <c r="E1455" s="16" t="s">
        <v>16</v>
      </c>
      <c r="F1455" s="16" t="s">
        <v>16</v>
      </c>
      <c r="G1455" s="17" t="s">
        <v>738</v>
      </c>
      <c r="H1455" s="17" t="s">
        <v>1846</v>
      </c>
      <c r="I1455" s="13" t="s">
        <v>4852</v>
      </c>
      <c r="J1455" s="23" t="str">
        <f>HYPERLINK("CorLog\GHA\BEX 2\20141128 GHA BEX 2 Conceptual Residence - New Design Standards (RDC-to-RDC).msg", "Conceptual Residence - New Design Standards")</f>
        <v>Conceptual Residence - New Design Standards</v>
      </c>
      <c r="K1455" s="25" t="s">
        <v>1243</v>
      </c>
      <c r="L1455" s="19"/>
      <c r="M1455" s="20"/>
      <c r="N1455" s="21" t="s">
        <v>4853</v>
      </c>
    </row>
    <row r="1456" spans="1:14">
      <c r="A1456" s="12" t="s">
        <v>806</v>
      </c>
      <c r="B1456" s="13" t="s">
        <v>718</v>
      </c>
      <c r="C1456" s="14"/>
      <c r="D1456" s="15">
        <v>41971.414282407408</v>
      </c>
      <c r="E1456" s="16" t="s">
        <v>15</v>
      </c>
      <c r="F1456" s="16" t="s">
        <v>16</v>
      </c>
      <c r="G1456" s="17" t="s">
        <v>4854</v>
      </c>
      <c r="H1456" s="17" t="s">
        <v>4855</v>
      </c>
      <c r="I1456" s="13" t="s">
        <v>4856</v>
      </c>
      <c r="J1456" s="23" t="str">
        <f>HYPERLINK("CorLog\LKA\BEX\20141128 LKA BEX LKA As-builts - 2014-11-18 AUSRDC to SARDC re Sri Lanka drawing (ZAF-to-RDC).msg", "LKA As-builts - 2014-11-18 AUSRDC to SARDC re Sri Lanka drawing")</f>
        <v>LKA As-builts - 2014-11-18 AUSRDC to SARDC re Sri Lanka drawing</v>
      </c>
      <c r="K1456" s="25" t="s">
        <v>1243</v>
      </c>
      <c r="L1456" s="19"/>
      <c r="M1456" s="20"/>
      <c r="N1456" s="21" t="s">
        <v>4857</v>
      </c>
    </row>
    <row r="1457" spans="1:14">
      <c r="A1457" s="12" t="s">
        <v>718</v>
      </c>
      <c r="B1457" s="13" t="s">
        <v>1337</v>
      </c>
      <c r="C1457" s="14" t="s">
        <v>4858</v>
      </c>
      <c r="D1457" s="15">
        <v>41971.34652777778</v>
      </c>
      <c r="E1457" s="16" t="s">
        <v>16</v>
      </c>
      <c r="F1457" s="16" t="s">
        <v>18</v>
      </c>
      <c r="G1457" s="17" t="s">
        <v>885</v>
      </c>
      <c r="H1457" s="17" t="s">
        <v>2688</v>
      </c>
      <c r="I1457" s="13" t="s">
        <v>4859</v>
      </c>
      <c r="J1457" s="23" t="str">
        <f>HYPERLINK("CorLog\ZMB\Kabompo RTO\20141128 ZMB Kabompo RTO Revised C-103 utilities plan Layout (AGREED) (RDC-to-ZMB).msg", "Revised C-103 utilities plan Layout (AGREED)")</f>
        <v>Revised C-103 utilities plan Layout (AGREED)</v>
      </c>
      <c r="K1457" s="25" t="s">
        <v>1211</v>
      </c>
      <c r="L1457" s="19"/>
      <c r="M1457" s="20"/>
      <c r="N1457" s="21" t="s">
        <v>4860</v>
      </c>
    </row>
    <row r="1458" spans="1:14">
      <c r="A1458" s="12" t="s">
        <v>1172</v>
      </c>
      <c r="B1458" s="13" t="s">
        <v>718</v>
      </c>
      <c r="C1458" s="14" t="s">
        <v>4861</v>
      </c>
      <c r="D1458" s="15">
        <v>41971.018773148149</v>
      </c>
      <c r="E1458" s="16" t="s">
        <v>17</v>
      </c>
      <c r="F1458" s="16" t="s">
        <v>16</v>
      </c>
      <c r="G1458" s="17" t="s">
        <v>1169</v>
      </c>
      <c r="H1458" s="17" t="s">
        <v>867</v>
      </c>
      <c r="I1458" s="13" t="s">
        <v>4862</v>
      </c>
      <c r="J1458" s="23" t="str">
        <f>HYPERLINK("CorLog\COD\Kikwit RTO\20141128 COD Kikwit RTO Budget memos, worksheets and analysis; detailed risk estimates (WDC-to-RDC).msg", "Budget memos, worksheets and analysis; detailed risk estimates")</f>
        <v>Budget memos, worksheets and analysis; detailed risk estimates</v>
      </c>
      <c r="K1458" s="25"/>
      <c r="L1458" s="19"/>
      <c r="M1458" s="20"/>
      <c r="N1458" s="21" t="s">
        <v>4863</v>
      </c>
    </row>
    <row r="1459" spans="1:14">
      <c r="A1459" s="12" t="s">
        <v>718</v>
      </c>
      <c r="B1459" s="13" t="s">
        <v>972</v>
      </c>
      <c r="C1459" s="14" t="s">
        <v>4864</v>
      </c>
      <c r="D1459" s="15">
        <v>41970.750694444447</v>
      </c>
      <c r="E1459" s="16" t="s">
        <v>16</v>
      </c>
      <c r="F1459" s="16" t="s">
        <v>18</v>
      </c>
      <c r="G1459" s="17" t="s">
        <v>885</v>
      </c>
      <c r="H1459" s="17" t="s">
        <v>829</v>
      </c>
      <c r="I1459" s="13" t="s">
        <v>4865</v>
      </c>
      <c r="J1459" s="23" t="str">
        <f>HYPERLINK("CorLog\ZMB\Kabompo RTO\20141127 ZMB Kabompo RTO RDC review of Draft NLBR for Cook chill and Electrical BO (RDC-to-ZMB).msg", "RDC review of Draft NLBR for Cook chill and Electrical BO")</f>
        <v>RDC review of Draft NLBR for Cook chill and Electrical BO</v>
      </c>
      <c r="K1459" s="25" t="s">
        <v>1243</v>
      </c>
      <c r="L1459" s="19"/>
      <c r="M1459" s="20"/>
      <c r="N1459" s="21" t="s">
        <v>4866</v>
      </c>
    </row>
    <row r="1460" spans="1:14">
      <c r="A1460" s="12" t="s">
        <v>718</v>
      </c>
      <c r="B1460" s="13" t="s">
        <v>4867</v>
      </c>
      <c r="C1460" s="14" t="s">
        <v>4868</v>
      </c>
      <c r="D1460" s="15">
        <v>41970.699305555558</v>
      </c>
      <c r="E1460" s="16" t="s">
        <v>16</v>
      </c>
      <c r="F1460" s="16" t="s">
        <v>22</v>
      </c>
      <c r="G1460" s="17" t="s">
        <v>2627</v>
      </c>
      <c r="H1460" s="17" t="s">
        <v>854</v>
      </c>
      <c r="I1460" s="13" t="s">
        <v>4869</v>
      </c>
      <c r="J1460" s="23" t="str">
        <f>HYPERLINK("CorLog\COD\Kamina RTO\20141127 COD Kamina RTO Fire wall footing, weep hole spacing (RDC-to-COD).msg", "Fire wall footing, weep hole spacing")</f>
        <v>Fire wall footing, weep hole spacing</v>
      </c>
      <c r="K1460" s="25" t="s">
        <v>1482</v>
      </c>
      <c r="L1460" s="19"/>
      <c r="M1460" s="20"/>
      <c r="N1460" s="21" t="s">
        <v>4870</v>
      </c>
    </row>
    <row r="1461" spans="1:14">
      <c r="A1461" s="12" t="s">
        <v>972</v>
      </c>
      <c r="B1461" s="13" t="s">
        <v>2298</v>
      </c>
      <c r="C1461" s="14" t="s">
        <v>4871</v>
      </c>
      <c r="D1461" s="15">
        <v>41970.69259259259</v>
      </c>
      <c r="E1461" s="16" t="s">
        <v>18</v>
      </c>
      <c r="F1461" s="16" t="s">
        <v>18</v>
      </c>
      <c r="G1461" s="17" t="s">
        <v>1065</v>
      </c>
      <c r="H1461" s="17" t="s">
        <v>2379</v>
      </c>
      <c r="I1461" s="13" t="s">
        <v>4872</v>
      </c>
      <c r="J1461" s="23" t="str">
        <f>HYPERLINK("CorLog\ZMB\RTO Projects\20141127 ZMB RTO Projects Trucking needs for Construction Department in Zambia (ZMB-to-ZMB).msg", "Trucking needs for Construction Department in Zambia")</f>
        <v>Trucking needs for Construction Department in Zambia</v>
      </c>
      <c r="K1461" s="25"/>
      <c r="L1461" s="19"/>
      <c r="M1461" s="20"/>
      <c r="N1461" s="21" t="s">
        <v>4873</v>
      </c>
    </row>
    <row r="1462" spans="1:14">
      <c r="A1462" s="12" t="s">
        <v>4550</v>
      </c>
      <c r="B1462" s="13"/>
      <c r="C1462" s="14"/>
      <c r="D1462" s="15">
        <v>41970</v>
      </c>
      <c r="E1462" s="16" t="s">
        <v>25</v>
      </c>
      <c r="F1462" s="16" t="s">
        <v>30</v>
      </c>
      <c r="G1462" s="17" t="s">
        <v>719</v>
      </c>
      <c r="H1462" s="17" t="s">
        <v>2029</v>
      </c>
      <c r="I1462" s="13" t="s">
        <v>4874</v>
      </c>
      <c r="J1462" s="23" t="str">
        <f>HYPERLINK("CorLog\Reference\20141127 Reference Submitting Funding Requests (DC-41 and DC-42) for Approval (WHQ-to-ALL).docx", "Submitting Funding Requests (DC-41 and DC-42) for Approval")</f>
        <v>Submitting Funding Requests (DC-41 and DC-42) for Approval</v>
      </c>
      <c r="K1462" s="25"/>
      <c r="L1462" s="19"/>
      <c r="M1462" s="20"/>
      <c r="N1462" s="21" t="s">
        <v>4875</v>
      </c>
    </row>
    <row r="1463" spans="1:14">
      <c r="A1463" s="12" t="s">
        <v>718</v>
      </c>
      <c r="B1463" s="13" t="s">
        <v>827</v>
      </c>
      <c r="C1463" s="14" t="s">
        <v>4876</v>
      </c>
      <c r="D1463" s="15">
        <v>41969.681944444441</v>
      </c>
      <c r="E1463" s="16" t="s">
        <v>16</v>
      </c>
      <c r="F1463" s="16" t="s">
        <v>21</v>
      </c>
      <c r="G1463" s="17" t="s">
        <v>790</v>
      </c>
      <c r="H1463" s="17" t="s">
        <v>1565</v>
      </c>
      <c r="I1463" s="13" t="s">
        <v>4877</v>
      </c>
      <c r="J1463" s="23" t="str">
        <f>HYPERLINK("CorLog\GHA\BEX\20141126 GHA BEX MiTek Roof Structure Splice connection (MiTeks Response) (RDC-to-GHA).msg", "MiTek Roof Structure Splice connection (MiTeks Response)")</f>
        <v>MiTek Roof Structure Splice connection (MiTeks Response)</v>
      </c>
      <c r="K1463" s="25" t="s">
        <v>1270</v>
      </c>
      <c r="L1463" s="19"/>
      <c r="M1463" s="20"/>
      <c r="N1463" s="21" t="s">
        <v>4878</v>
      </c>
    </row>
    <row r="1464" spans="1:14">
      <c r="A1464" s="12" t="s">
        <v>750</v>
      </c>
      <c r="B1464" s="13" t="s">
        <v>1866</v>
      </c>
      <c r="C1464" s="14" t="s">
        <v>4879</v>
      </c>
      <c r="D1464" s="15">
        <v>41969.350231481483</v>
      </c>
      <c r="E1464" s="16" t="s">
        <v>16</v>
      </c>
      <c r="F1464" s="16" t="s">
        <v>16</v>
      </c>
      <c r="G1464" s="17" t="s">
        <v>979</v>
      </c>
      <c r="H1464" s="17" t="s">
        <v>2836</v>
      </c>
      <c r="I1464" s="13" t="s">
        <v>4880</v>
      </c>
      <c r="J1464" s="23" t="str">
        <f>HYPERLINK("CorLog\RTO\Projects\20141126 RTO Projects Office and Residence Guidelines - Meeting with RDCs (RDC-to-RDC).msg", "Office and Residence Guidelines - Meeting with RDCs")</f>
        <v>Office and Residence Guidelines - Meeting with RDCs</v>
      </c>
      <c r="K1464" s="25"/>
      <c r="L1464" s="19"/>
      <c r="M1464" s="20"/>
      <c r="N1464" s="21" t="s">
        <v>4881</v>
      </c>
    </row>
    <row r="1465" spans="1:14">
      <c r="A1465" s="12" t="s">
        <v>2417</v>
      </c>
      <c r="B1465" s="13"/>
      <c r="C1465" s="14"/>
      <c r="D1465" s="15">
        <v>41969</v>
      </c>
      <c r="E1465" s="16" t="s">
        <v>16</v>
      </c>
      <c r="F1465" s="16" t="s">
        <v>15</v>
      </c>
      <c r="G1465" s="17" t="s">
        <v>823</v>
      </c>
      <c r="H1465" s="17" t="s">
        <v>1858</v>
      </c>
      <c r="I1465" s="13" t="s">
        <v>4882</v>
      </c>
      <c r="J1465" s="23" t="str">
        <f>HYPERLINK("CorLog\GHA\LDC\20141126 GHA LDC Standard Two-Level Kingdom Hall Design for Ghana (RDC-to-ZAF).docx", "Standard Two-Level Kingdom Hall Design for Ghana")</f>
        <v>Standard Two-Level Kingdom Hall Design for Ghana</v>
      </c>
      <c r="K1465" s="23" t="str">
        <f>HYPERLINK("CorLog\GHA\LDC\20141126 GHA LDC Standard Two-Level Kingdom Hall Design for Ghana (RDC-to-ZAF).zip", "Zipped")</f>
        <v>Zipped</v>
      </c>
      <c r="L1465" s="19"/>
      <c r="M1465" s="20"/>
      <c r="N1465" s="21" t="s">
        <v>4883</v>
      </c>
    </row>
    <row r="1466" spans="1:14">
      <c r="A1466" s="12" t="s">
        <v>2100</v>
      </c>
      <c r="B1466" s="13"/>
      <c r="C1466" s="14"/>
      <c r="D1466" s="15">
        <v>41969</v>
      </c>
      <c r="E1466" s="16" t="s">
        <v>15</v>
      </c>
      <c r="F1466" s="16" t="s">
        <v>30</v>
      </c>
      <c r="G1466" s="17" t="s">
        <v>28</v>
      </c>
      <c r="H1466" s="17" t="s">
        <v>4884</v>
      </c>
      <c r="I1466" s="13" t="s">
        <v>4885</v>
      </c>
      <c r="J1466" s="23" t="str">
        <f>HYPERLINK("CorLog\LDC\20141126 LDC 1st Quarter 2015 Local Design Construction Department Report (DC-71) (ZAF-to-ALL).docx", "1st Quarter 2015 Local Design Construction Department Report (DC-71)")</f>
        <v>1st Quarter 2015 Local Design Construction Department Report (DC-71)</v>
      </c>
      <c r="K1466" s="23" t="str">
        <f>HYPERLINK("CorLog\LDC\20141126 LDC 1st Quarter 2015 Local Design Construction Department Report (DC-71) (ZAF-to-ALL).zip", "Zipped")</f>
        <v>Zipped</v>
      </c>
      <c r="L1466" s="19"/>
      <c r="M1466" s="20"/>
      <c r="N1466" s="21" t="s">
        <v>4886</v>
      </c>
    </row>
    <row r="1467" spans="1:14">
      <c r="A1467" s="12" t="s">
        <v>718</v>
      </c>
      <c r="B1467" s="13" t="s">
        <v>827</v>
      </c>
      <c r="C1467" s="14" t="s">
        <v>4410</v>
      </c>
      <c r="D1467" s="15">
        <v>41968.786805555559</v>
      </c>
      <c r="E1467" s="16" t="s">
        <v>16</v>
      </c>
      <c r="F1467" s="16" t="s">
        <v>21</v>
      </c>
      <c r="G1467" s="17" t="s">
        <v>730</v>
      </c>
      <c r="H1467" s="17" t="s">
        <v>4887</v>
      </c>
      <c r="I1467" s="13" t="s">
        <v>4888</v>
      </c>
      <c r="J1467" s="23" t="str">
        <f>HYPERLINK("CorLog\GHA\Baatsona SKE\20141125 GHA Baatsona SKE Electrical review comments (RDC-to-GHA).msg", "Electrical review comments")</f>
        <v>Electrical review comments</v>
      </c>
      <c r="K1467" s="25" t="s">
        <v>1211</v>
      </c>
      <c r="L1467" s="19"/>
      <c r="M1467" s="20"/>
      <c r="N1467" s="21" t="s">
        <v>4889</v>
      </c>
    </row>
    <row r="1468" spans="1:14">
      <c r="A1468" s="12" t="s">
        <v>718</v>
      </c>
      <c r="B1468" s="13" t="s">
        <v>827</v>
      </c>
      <c r="C1468" s="14" t="s">
        <v>4756</v>
      </c>
      <c r="D1468" s="15">
        <v>41968.763888888891</v>
      </c>
      <c r="E1468" s="16" t="s">
        <v>16</v>
      </c>
      <c r="F1468" s="16" t="s">
        <v>21</v>
      </c>
      <c r="G1468" s="17" t="s">
        <v>730</v>
      </c>
      <c r="H1468" s="17" t="s">
        <v>4890</v>
      </c>
      <c r="I1468" s="13" t="s">
        <v>4891</v>
      </c>
      <c r="J1468" s="23" t="str">
        <f>HYPERLINK("CorLog\GHA\Baatsona SKE\20141125 GHA Baatsona SKE RDC review of final AFC Drawings and Tender Package (RDC-to-GHA).msg", "RDC review of final AFC Drawings and Tender Package")</f>
        <v>RDC review of final AFC Drawings and Tender Package</v>
      </c>
      <c r="K1468" s="25" t="s">
        <v>1243</v>
      </c>
      <c r="L1468" s="19"/>
      <c r="M1468" s="20"/>
      <c r="N1468" s="21" t="s">
        <v>4892</v>
      </c>
    </row>
    <row r="1469" spans="1:14">
      <c r="A1469" s="12" t="s">
        <v>718</v>
      </c>
      <c r="B1469" s="13" t="s">
        <v>2612</v>
      </c>
      <c r="C1469" s="14" t="s">
        <v>4893</v>
      </c>
      <c r="D1469" s="15">
        <v>41968.717361111114</v>
      </c>
      <c r="E1469" s="16" t="s">
        <v>16</v>
      </c>
      <c r="F1469" s="16" t="s">
        <v>21</v>
      </c>
      <c r="G1469" s="17" t="s">
        <v>790</v>
      </c>
      <c r="H1469" s="17" t="s">
        <v>4894</v>
      </c>
      <c r="I1469" s="13" t="s">
        <v>4895</v>
      </c>
      <c r="J1469" s="23" t="str">
        <f>HYPERLINK("CorLog\GHA\BEX\20141125 GHA BEX MTO pricing for windows (RDC-to-GHA).msg", "MTO pricing for windows")</f>
        <v>MTO pricing for windows</v>
      </c>
      <c r="K1469" s="25"/>
      <c r="L1469" s="19"/>
      <c r="M1469" s="20"/>
      <c r="N1469" s="21" t="s">
        <v>4896</v>
      </c>
    </row>
    <row r="1470" spans="1:14">
      <c r="A1470" s="12" t="s">
        <v>827</v>
      </c>
      <c r="B1470" s="13" t="s">
        <v>718</v>
      </c>
      <c r="C1470" s="14" t="s">
        <v>757</v>
      </c>
      <c r="D1470" s="15">
        <v>41968.690821759257</v>
      </c>
      <c r="E1470" s="16" t="s">
        <v>21</v>
      </c>
      <c r="F1470" s="16" t="s">
        <v>16</v>
      </c>
      <c r="G1470" s="17" t="s">
        <v>790</v>
      </c>
      <c r="H1470" s="17" t="s">
        <v>903</v>
      </c>
      <c r="I1470" s="13" t="s">
        <v>4897</v>
      </c>
      <c r="J1470" s="23" t="str">
        <f>HYPERLINK("CorLog\GHA\BEX\20141125 GHA BEX Creek - South Wall Exit (GHA-to-RDC).msg", "Creek - South Wall Exit")</f>
        <v>Creek - South Wall Exit</v>
      </c>
      <c r="K1470" s="25" t="s">
        <v>1211</v>
      </c>
      <c r="L1470" s="19"/>
      <c r="M1470" s="20"/>
      <c r="N1470" s="21" t="s">
        <v>4898</v>
      </c>
    </row>
    <row r="1471" spans="1:14">
      <c r="A1471" s="12" t="s">
        <v>724</v>
      </c>
      <c r="B1471" s="13" t="s">
        <v>1653</v>
      </c>
      <c r="C1471" s="14" t="s">
        <v>4899</v>
      </c>
      <c r="D1471" s="15">
        <v>41968.687685185185</v>
      </c>
      <c r="E1471" s="16" t="s">
        <v>16</v>
      </c>
      <c r="F1471" s="16" t="s">
        <v>21</v>
      </c>
      <c r="G1471" s="17" t="s">
        <v>823</v>
      </c>
      <c r="H1471" s="17" t="s">
        <v>4900</v>
      </c>
      <c r="I1471" s="13" t="s">
        <v>4901</v>
      </c>
      <c r="J1471" s="23" t="str">
        <f>HYPERLINK("CorLog\GHA\LDC\20141125 GHA LDC Budget approvals and requisitions (RDC-to-GHA).msg", "Budget approvals and requisitions")</f>
        <v>Budget approvals and requisitions</v>
      </c>
      <c r="K1471" s="25"/>
      <c r="L1471" s="19"/>
      <c r="M1471" s="20"/>
      <c r="N1471" s="21" t="s">
        <v>4902</v>
      </c>
    </row>
    <row r="1472" spans="1:14">
      <c r="A1472" s="12" t="s">
        <v>750</v>
      </c>
      <c r="B1472" s="13" t="s">
        <v>718</v>
      </c>
      <c r="C1472" s="14" t="s">
        <v>4289</v>
      </c>
      <c r="D1472" s="15">
        <v>41968.498912037037</v>
      </c>
      <c r="E1472" s="16" t="s">
        <v>16</v>
      </c>
      <c r="F1472" s="16" t="s">
        <v>16</v>
      </c>
      <c r="G1472" s="17" t="s">
        <v>2627</v>
      </c>
      <c r="H1472" s="17" t="s">
        <v>854</v>
      </c>
      <c r="I1472" s="13" t="s">
        <v>4903</v>
      </c>
      <c r="J1472" s="23" t="str">
        <f>HYPERLINK("CorLog\COD\Kamina RTO\20141125 COD Kamina RTO Photo Report - Dewatering Rockfill (RDC-to-RDC).msg", "Photo Report - Dewatering Rockfill")</f>
        <v>Photo Report - Dewatering Rockfill</v>
      </c>
      <c r="K1472" s="25" t="s">
        <v>1270</v>
      </c>
      <c r="L1472" s="19"/>
      <c r="M1472" s="20"/>
      <c r="N1472" s="21" t="s">
        <v>4904</v>
      </c>
    </row>
    <row r="1473" spans="1:14">
      <c r="A1473" s="12" t="s">
        <v>718</v>
      </c>
      <c r="B1473" s="13" t="s">
        <v>1337</v>
      </c>
      <c r="C1473" s="14" t="s">
        <v>4905</v>
      </c>
      <c r="D1473" s="15">
        <v>41968.42083333333</v>
      </c>
      <c r="E1473" s="16" t="s">
        <v>16</v>
      </c>
      <c r="F1473" s="16" t="s">
        <v>18</v>
      </c>
      <c r="G1473" s="17" t="s">
        <v>885</v>
      </c>
      <c r="H1473" s="17" t="s">
        <v>1687</v>
      </c>
      <c r="I1473" s="13" t="s">
        <v>4906</v>
      </c>
      <c r="J1473" s="23" t="str">
        <f>HYPERLINK("CorLog\ZMB\Kabompo RTO\20141125 ZMB Kabompo RTO Kitchen Layout extractor mounting location (RDC-to-ZMB).msg", "Kitchen Layout extractor mounting location")</f>
        <v>Kitchen Layout extractor mounting location</v>
      </c>
      <c r="K1473" s="25" t="s">
        <v>1211</v>
      </c>
      <c r="L1473" s="19"/>
      <c r="M1473" s="20"/>
      <c r="N1473" s="21" t="s">
        <v>4907</v>
      </c>
    </row>
    <row r="1474" spans="1:14">
      <c r="A1474" s="12" t="s">
        <v>750</v>
      </c>
      <c r="B1474" s="13" t="s">
        <v>724</v>
      </c>
      <c r="C1474" s="14" t="s">
        <v>4908</v>
      </c>
      <c r="D1474" s="15">
        <v>41968.3434837963</v>
      </c>
      <c r="E1474" s="16" t="s">
        <v>16</v>
      </c>
      <c r="F1474" s="16" t="s">
        <v>16</v>
      </c>
      <c r="G1474" s="17" t="s">
        <v>979</v>
      </c>
      <c r="H1474" s="17" t="s">
        <v>2995</v>
      </c>
      <c r="I1474" s="13" t="s">
        <v>4909</v>
      </c>
      <c r="J1474" s="23" t="str">
        <f>HYPERLINK("CorLog\RTO\Projects\20141125 RTO Projects Septic tank proposal (Lower Dividing Wall) - KEEP AT 100mm (RDC-to-RDC).msg", "Septic tank proposal (Lower Dividing Wall) - KEEP AT 100mm")</f>
        <v>Septic tank proposal (Lower Dividing Wall) - KEEP AT 100mm</v>
      </c>
      <c r="K1474" s="25" t="s">
        <v>1211</v>
      </c>
      <c r="L1474" s="19"/>
      <c r="M1474" s="20"/>
      <c r="N1474" s="21" t="s">
        <v>4910</v>
      </c>
    </row>
    <row r="1475" spans="1:14">
      <c r="A1475" s="12" t="s">
        <v>2101</v>
      </c>
      <c r="B1475" s="13"/>
      <c r="C1475" s="14"/>
      <c r="D1475" s="15">
        <v>41968</v>
      </c>
      <c r="E1475" s="16" t="s">
        <v>15</v>
      </c>
      <c r="F1475" s="16" t="s">
        <v>18</v>
      </c>
      <c r="G1475" s="17" t="s">
        <v>1065</v>
      </c>
      <c r="H1475" s="17" t="s">
        <v>1178</v>
      </c>
      <c r="I1475" s="13" t="s">
        <v>4911</v>
      </c>
      <c r="J1475" s="23" t="str">
        <f>HYPERLINK("CorLog\ZMB\RTO Projects\20141125 ZMB RTO Projects Parts for SDMO Generators (ZAF-to-ZMB).docx", "Parts for SDMO Generators")</f>
        <v>Parts for SDMO Generators</v>
      </c>
      <c r="K1475" s="23" t="str">
        <f>HYPERLINK("CorLog\ZMB\RTO Projects\20141125 ZMB RTO Projects Parts for SDMO Generators (ZAF-to-ZMB).zip", "Zipped")</f>
        <v>Zipped</v>
      </c>
      <c r="L1475" s="19"/>
      <c r="M1475" s="20"/>
      <c r="N1475" s="21" t="s">
        <v>4912</v>
      </c>
    </row>
    <row r="1476" spans="1:14">
      <c r="A1476" s="12" t="s">
        <v>1340</v>
      </c>
      <c r="B1476" s="13"/>
      <c r="C1476" s="14"/>
      <c r="D1476" s="15">
        <v>41968</v>
      </c>
      <c r="E1476" s="16" t="s">
        <v>15</v>
      </c>
      <c r="F1476" s="16" t="s">
        <v>30</v>
      </c>
      <c r="G1476" s="17" t="s">
        <v>719</v>
      </c>
      <c r="H1476" s="17" t="s">
        <v>4913</v>
      </c>
      <c r="I1476" s="13" t="s">
        <v>4914</v>
      </c>
      <c r="J1476" s="23" t="str">
        <f>HYPERLINK("CorLog\Reference\20141125 Reference Theocratic Facility Solar Photovoltaic System Evaluation and Design Support (ZAF-to-ALL).docx", "Theocratic Facility Solar Photovoltaic System Evaluation and Design Support")</f>
        <v>Theocratic Facility Solar Photovoltaic System Evaluation and Design Support</v>
      </c>
      <c r="K1476" s="23"/>
      <c r="L1476" s="19"/>
      <c r="M1476" s="20"/>
      <c r="N1476" s="21" t="s">
        <v>4915</v>
      </c>
    </row>
    <row r="1477" spans="1:14">
      <c r="A1477" s="12" t="s">
        <v>2612</v>
      </c>
      <c r="B1477" s="13" t="s">
        <v>718</v>
      </c>
      <c r="C1477" s="14"/>
      <c r="D1477" s="15">
        <v>41967.664155092592</v>
      </c>
      <c r="E1477" s="16" t="s">
        <v>21</v>
      </c>
      <c r="F1477" s="16" t="s">
        <v>16</v>
      </c>
      <c r="G1477" s="17" t="s">
        <v>857</v>
      </c>
      <c r="H1477" s="17" t="s">
        <v>839</v>
      </c>
      <c r="I1477" s="13" t="s">
        <v>4916</v>
      </c>
      <c r="J1477" s="23" t="str">
        <f>HYPERLINK("CorLog\GHA\Kikam RTO\20141124 GHA Kikam RTO Percolation Test (GHA-to-RDC).msg", "Percolation Test")</f>
        <v>Percolation Test</v>
      </c>
      <c r="K1477" s="25" t="s">
        <v>1211</v>
      </c>
      <c r="L1477" s="19"/>
      <c r="M1477" s="20"/>
      <c r="N1477" s="21" t="s">
        <v>4917</v>
      </c>
    </row>
    <row r="1478" spans="1:14">
      <c r="A1478" s="12" t="s">
        <v>771</v>
      </c>
      <c r="B1478" s="13" t="s">
        <v>724</v>
      </c>
      <c r="C1478" s="14" t="s">
        <v>4918</v>
      </c>
      <c r="D1478" s="15">
        <v>41964.901932870373</v>
      </c>
      <c r="E1478" s="16" t="s">
        <v>17</v>
      </c>
      <c r="F1478" s="16" t="s">
        <v>16</v>
      </c>
      <c r="G1478" s="17" t="s">
        <v>1065</v>
      </c>
      <c r="H1478" s="17" t="s">
        <v>4919</v>
      </c>
      <c r="I1478" s="13" t="s">
        <v>4920</v>
      </c>
      <c r="J1478" s="23" t="str">
        <f>HYPERLINK("CorLog\ZMB\RTO Projects\20141121 ZMB RTO Projects Zambia CC make up (WDC-to-RDC).msg", "Zambia CC make up")</f>
        <v>Zambia CC make up</v>
      </c>
      <c r="K1478" s="25"/>
      <c r="L1478" s="19"/>
      <c r="M1478" s="20"/>
      <c r="N1478" s="21" t="s">
        <v>4921</v>
      </c>
    </row>
    <row r="1479" spans="1:14">
      <c r="A1479" s="12" t="s">
        <v>718</v>
      </c>
      <c r="B1479" s="13" t="s">
        <v>827</v>
      </c>
      <c r="C1479" s="14" t="s">
        <v>4922</v>
      </c>
      <c r="D1479" s="15">
        <v>41964.70416666667</v>
      </c>
      <c r="E1479" s="16" t="s">
        <v>16</v>
      </c>
      <c r="F1479" s="16" t="s">
        <v>21</v>
      </c>
      <c r="G1479" s="17" t="s">
        <v>790</v>
      </c>
      <c r="H1479" s="17" t="s">
        <v>3453</v>
      </c>
      <c r="I1479" s="13" t="s">
        <v>4923</v>
      </c>
      <c r="J1479" s="23" t="str">
        <f>HYPERLINK("CorLog\GHA\BEX\20141121 GHA BEX Ring Beam Galv Anchor Bar; Close off Top of Gable (STRUCT REPLY) (RDC-to-GHA).msg", "Ring Beam Galv Anchor Bar; Close off Top of Gable (STRUCT REPLY)")</f>
        <v>Ring Beam Galv Anchor Bar; Close off Top of Gable (STRUCT REPLY)</v>
      </c>
      <c r="K1479" s="25" t="s">
        <v>1499</v>
      </c>
      <c r="L1479" s="19"/>
      <c r="M1479" s="20"/>
      <c r="N1479" s="21" t="s">
        <v>4924</v>
      </c>
    </row>
    <row r="1480" spans="1:14">
      <c r="A1480" s="12" t="s">
        <v>1552</v>
      </c>
      <c r="B1480" s="13" t="s">
        <v>724</v>
      </c>
      <c r="C1480" s="14" t="s">
        <v>718</v>
      </c>
      <c r="D1480" s="15">
        <v>41964.694189814814</v>
      </c>
      <c r="E1480" s="16" t="s">
        <v>18</v>
      </c>
      <c r="F1480" s="16" t="s">
        <v>16</v>
      </c>
      <c r="G1480" s="17" t="s">
        <v>780</v>
      </c>
      <c r="H1480" s="17" t="s">
        <v>4925</v>
      </c>
      <c r="I1480" s="13" t="s">
        <v>1539</v>
      </c>
      <c r="J1480" s="23" t="str">
        <f>HYPERLINK("CorLog\ZMB\LDC\20141121 ZMB LDC Zambia Assembly Hall Overall Plan (ZMB-to-RDC).msg", "Zambia Assembly Hall Overall Plan")</f>
        <v>Zambia Assembly Hall Overall Plan</v>
      </c>
      <c r="K1480" s="25" t="s">
        <v>1243</v>
      </c>
      <c r="L1480" s="19"/>
      <c r="M1480" s="20"/>
      <c r="N1480" s="21" t="s">
        <v>4926</v>
      </c>
    </row>
    <row r="1481" spans="1:14">
      <c r="A1481" s="12" t="s">
        <v>972</v>
      </c>
      <c r="B1481" s="13" t="s">
        <v>718</v>
      </c>
      <c r="C1481" s="14" t="s">
        <v>4927</v>
      </c>
      <c r="D1481" s="15">
        <v>41964.484791666669</v>
      </c>
      <c r="E1481" s="16" t="s">
        <v>18</v>
      </c>
      <c r="F1481" s="16" t="s">
        <v>16</v>
      </c>
      <c r="G1481" s="17" t="s">
        <v>1065</v>
      </c>
      <c r="H1481" s="17" t="s">
        <v>995</v>
      </c>
      <c r="I1481" s="13" t="s">
        <v>4928</v>
      </c>
      <c r="J1481" s="23" t="str">
        <f>HYPERLINK("CorLog\ZMB\RTO Projects\20141121 ZMB RTO Projects Requested information for RDC Visit (ZMB-to-RDC).msg", "Requested information for RDC Visit")</f>
        <v>Requested information for RDC Visit</v>
      </c>
      <c r="K1481" s="25" t="s">
        <v>2761</v>
      </c>
      <c r="L1481" s="19"/>
      <c r="M1481" s="20"/>
      <c r="N1481" s="21" t="s">
        <v>4929</v>
      </c>
    </row>
    <row r="1482" spans="1:14">
      <c r="A1482" s="12" t="s">
        <v>4621</v>
      </c>
      <c r="B1482" s="13"/>
      <c r="C1482" s="14"/>
      <c r="D1482" s="15">
        <v>41964</v>
      </c>
      <c r="E1482" s="16" t="s">
        <v>25</v>
      </c>
      <c r="F1482" s="16" t="s">
        <v>30</v>
      </c>
      <c r="G1482" s="17" t="s">
        <v>719</v>
      </c>
      <c r="H1482" s="17" t="s">
        <v>4622</v>
      </c>
      <c r="I1482" s="13" t="s">
        <v>4623</v>
      </c>
      <c r="J1482" s="23" t="str">
        <f>HYPERLINK("CorLog\Reference\20141121 Reference Spiritual Programs for Construction Groups and Assembly Hall Servants (WHQ-to-ALL).doc", "Spiritual Programs for Construction Groups and Assembly Hall Servants")</f>
        <v>Spiritual Programs for Construction Groups and Assembly Hall Servants</v>
      </c>
      <c r="K1482" s="23"/>
      <c r="L1482" s="19"/>
      <c r="M1482" s="20"/>
      <c r="N1482" s="21" t="s">
        <v>4930</v>
      </c>
    </row>
    <row r="1483" spans="1:14">
      <c r="A1483" s="12" t="s">
        <v>2417</v>
      </c>
      <c r="B1483" s="13"/>
      <c r="C1483" s="14"/>
      <c r="D1483" s="15">
        <v>41964</v>
      </c>
      <c r="E1483" s="16" t="s">
        <v>15</v>
      </c>
      <c r="F1483" s="16" t="s">
        <v>18</v>
      </c>
      <c r="G1483" s="17" t="s">
        <v>838</v>
      </c>
      <c r="H1483" s="17" t="s">
        <v>4931</v>
      </c>
      <c r="I1483" s="13" t="s">
        <v>4932</v>
      </c>
      <c r="J1483" s="23" t="str">
        <f>HYPERLINK("CorLog\ZMB\Choma RTO\20141121 ZMB Choma RTO DC-41 No 1 Setup and Vehicles (ZAF-to-ZMB).docx", "DC-41 No 1 Setup and Vehicles")</f>
        <v>DC-41 No 1 Setup and Vehicles</v>
      </c>
      <c r="K1483" s="23" t="str">
        <f>HYPERLINK("CorLog\ZMB\Choma RTO\20141121 ZMB Choma RTO DC-41 No 1 Setup and Vehicles (ZAF-to-ZMB).zip", "Zipped")</f>
        <v>Zipped</v>
      </c>
      <c r="L1483" s="19"/>
      <c r="M1483" s="20"/>
      <c r="N1483" s="21" t="s">
        <v>4933</v>
      </c>
    </row>
    <row r="1484" spans="1:14">
      <c r="A1484" s="12" t="s">
        <v>4115</v>
      </c>
      <c r="B1484" s="13"/>
      <c r="C1484" s="14"/>
      <c r="D1484" s="15">
        <v>41964</v>
      </c>
      <c r="E1484" s="16" t="s">
        <v>15</v>
      </c>
      <c r="F1484" s="16" t="s">
        <v>17</v>
      </c>
      <c r="G1484" s="17" t="s">
        <v>1432</v>
      </c>
      <c r="H1484" s="17" t="s">
        <v>4925</v>
      </c>
      <c r="I1484" s="13" t="s">
        <v>4934</v>
      </c>
      <c r="J1484" s="23" t="str">
        <f>HYPERLINK("CorLog\COD\LDC\20141121 COD LDC Kikwit Assembly Hall Planning Study (ZAF-to-WDC).docx", "Kikwit Assembly Hall Planning Study")</f>
        <v>Kikwit Assembly Hall Planning Study</v>
      </c>
      <c r="K1484" s="23" t="str">
        <f>HYPERLINK("CorLog\COD\LDC\20141121 COD LDC Kikwit Assembly Hall Planning Study (ZAF-to-WDC).zip", "Zipped")</f>
        <v>Zipped</v>
      </c>
      <c r="L1484" s="19"/>
      <c r="M1484" s="20"/>
      <c r="N1484" s="21" t="s">
        <v>4935</v>
      </c>
    </row>
    <row r="1485" spans="1:14">
      <c r="A1485" s="12" t="s">
        <v>1043</v>
      </c>
      <c r="B1485" s="13"/>
      <c r="C1485" s="14"/>
      <c r="D1485" s="15">
        <v>41964</v>
      </c>
      <c r="E1485" s="16" t="s">
        <v>25</v>
      </c>
      <c r="F1485" s="16" t="s">
        <v>22</v>
      </c>
      <c r="G1485" s="17" t="s">
        <v>1432</v>
      </c>
      <c r="H1485" s="17" t="s">
        <v>2029</v>
      </c>
      <c r="I1485" s="13" t="s">
        <v>4936</v>
      </c>
      <c r="J1485" s="23" t="str">
        <f>HYPERLINK("CorLog\COD\LDC\20141121 COD LDC Assembly Hall Kamina Project-Project Approval Request (DC-41) (WHQ-to-COD).docx", "Assembly Hall Kamina Project-Project Approval Request (DC-41)")</f>
        <v>Assembly Hall Kamina Project-Project Approval Request (DC-41)</v>
      </c>
      <c r="K1485" s="23"/>
      <c r="L1485" s="19"/>
      <c r="M1485" s="20"/>
      <c r="N1485" s="21" t="s">
        <v>4937</v>
      </c>
    </row>
    <row r="1486" spans="1:14">
      <c r="A1486" s="12" t="s">
        <v>717</v>
      </c>
      <c r="B1486" s="13" t="s">
        <v>1052</v>
      </c>
      <c r="C1486" s="14" t="s">
        <v>4938</v>
      </c>
      <c r="D1486" s="15">
        <v>41963.75240740741</v>
      </c>
      <c r="E1486" s="16" t="s">
        <v>16</v>
      </c>
      <c r="F1486" s="16" t="s">
        <v>17</v>
      </c>
      <c r="G1486" s="17" t="s">
        <v>1169</v>
      </c>
      <c r="H1486" s="17" t="s">
        <v>867</v>
      </c>
      <c r="I1486" s="13" t="s">
        <v>4939</v>
      </c>
      <c r="J1486" s="23" t="str">
        <f>HYPERLINK("CorLog\COD\Kikwit RTO\20141120 COD Kikwit RTO MSL costs (RDC-to-WDC).msg", "MSL costs")</f>
        <v>MSL costs</v>
      </c>
      <c r="K1486" s="25"/>
      <c r="L1486" s="19"/>
      <c r="M1486" s="20"/>
      <c r="N1486" s="21" t="s">
        <v>4940</v>
      </c>
    </row>
    <row r="1487" spans="1:14">
      <c r="A1487" s="12" t="s">
        <v>750</v>
      </c>
      <c r="B1487" s="13" t="s">
        <v>1337</v>
      </c>
      <c r="C1487" s="14" t="s">
        <v>4941</v>
      </c>
      <c r="D1487" s="15">
        <v>41963.737928240742</v>
      </c>
      <c r="E1487" s="16" t="s">
        <v>16</v>
      </c>
      <c r="F1487" s="16" t="s">
        <v>18</v>
      </c>
      <c r="G1487" s="17" t="s">
        <v>885</v>
      </c>
      <c r="H1487" s="17" t="s">
        <v>851</v>
      </c>
      <c r="I1487" s="13" t="s">
        <v>4942</v>
      </c>
      <c r="J1487" s="23" t="str">
        <f>HYPERLINK("CorLog\ZMB\Kabompo RTO\20141120 ZMB Kabompo RTO RES Backfill below S-O-G Soilcrete (RDC-to-ZMB).msg", "RES Backfill below S-O-G Soilcrete")</f>
        <v>RES Backfill below S-O-G Soilcrete</v>
      </c>
      <c r="K1487" s="25" t="s">
        <v>1712</v>
      </c>
      <c r="L1487" s="19"/>
      <c r="M1487" s="20"/>
      <c r="N1487" s="21" t="s">
        <v>4943</v>
      </c>
    </row>
    <row r="1488" spans="1:14">
      <c r="A1488" s="12" t="s">
        <v>4121</v>
      </c>
      <c r="B1488" s="13" t="s">
        <v>718</v>
      </c>
      <c r="C1488" s="14"/>
      <c r="D1488" s="15">
        <v>41963.632164351853</v>
      </c>
      <c r="E1488" s="16" t="s">
        <v>27</v>
      </c>
      <c r="F1488" s="16" t="s">
        <v>16</v>
      </c>
      <c r="G1488" s="17" t="s">
        <v>4122</v>
      </c>
      <c r="H1488" s="17" t="s">
        <v>1426</v>
      </c>
      <c r="I1488" s="13" t="s">
        <v>4944</v>
      </c>
      <c r="J1488" s="23" t="str">
        <f>HYPERLINK("CorLog\KEN\Branch\20141120 KEN Branch Key matrix (KEN-to-RDC).msg", "Key matrix")</f>
        <v>Key matrix</v>
      </c>
      <c r="K1488" s="25" t="s">
        <v>1211</v>
      </c>
      <c r="L1488" s="19"/>
      <c r="M1488" s="20"/>
      <c r="N1488" s="21" t="s">
        <v>3189</v>
      </c>
    </row>
    <row r="1489" spans="1:14">
      <c r="A1489" s="12" t="s">
        <v>718</v>
      </c>
      <c r="B1489" s="13" t="s">
        <v>827</v>
      </c>
      <c r="C1489" s="14" t="s">
        <v>4945</v>
      </c>
      <c r="D1489" s="15">
        <v>41963.484027777777</v>
      </c>
      <c r="E1489" s="16" t="s">
        <v>16</v>
      </c>
      <c r="F1489" s="16" t="s">
        <v>21</v>
      </c>
      <c r="G1489" s="17" t="s">
        <v>790</v>
      </c>
      <c r="H1489" s="17" t="s">
        <v>829</v>
      </c>
      <c r="I1489" s="13" t="s">
        <v>4946</v>
      </c>
      <c r="J1489" s="23" t="str">
        <f>HYPERLINK("CorLog\GHA\BEX\20141120 GHA BEX RDC review of NLBR Package no 28 (RDC-to-GHA).msg", "RDC review of NLBR Package no 28")</f>
        <v>RDC review of NLBR Package no 28</v>
      </c>
      <c r="K1489" s="25" t="s">
        <v>1211</v>
      </c>
      <c r="L1489" s="19"/>
      <c r="M1489" s="20"/>
      <c r="N1489" s="21" t="s">
        <v>4947</v>
      </c>
    </row>
    <row r="1490" spans="1:14">
      <c r="A1490" s="12" t="s">
        <v>1529</v>
      </c>
      <c r="B1490" s="13" t="s">
        <v>1181</v>
      </c>
      <c r="C1490" s="14" t="s">
        <v>718</v>
      </c>
      <c r="D1490" s="15">
        <v>41963.258171296293</v>
      </c>
      <c r="E1490" s="16" t="s">
        <v>18</v>
      </c>
      <c r="F1490" s="16" t="s">
        <v>16</v>
      </c>
      <c r="G1490" s="17" t="s">
        <v>946</v>
      </c>
      <c r="H1490" s="17" t="s">
        <v>1562</v>
      </c>
      <c r="I1490" s="13" t="s">
        <v>4948</v>
      </c>
      <c r="J1490" s="23" t="str">
        <f>HYPERLINK("CorLog\ZMB\Mongu RTO\20141120 ZMB Mongu RTO GRS (revised quantities 4861114K R1 (ZMB-to-RDC).msg", "GRS (revised quantities 4861114K R1")</f>
        <v>GRS (revised quantities 4861114K R1</v>
      </c>
      <c r="K1490" s="25" t="s">
        <v>1270</v>
      </c>
      <c r="L1490" s="19"/>
      <c r="M1490" s="20"/>
      <c r="N1490" s="21" t="s">
        <v>4949</v>
      </c>
    </row>
    <row r="1491" spans="1:14">
      <c r="A1491" s="12" t="s">
        <v>724</v>
      </c>
      <c r="B1491" s="13" t="s">
        <v>4950</v>
      </c>
      <c r="C1491" s="14" t="s">
        <v>4951</v>
      </c>
      <c r="D1491" s="15">
        <v>41962.489699074074</v>
      </c>
      <c r="E1491" s="16" t="s">
        <v>16</v>
      </c>
      <c r="F1491" s="16" t="s">
        <v>18</v>
      </c>
      <c r="G1491" s="17" t="s">
        <v>885</v>
      </c>
      <c r="H1491" s="17" t="s">
        <v>781</v>
      </c>
      <c r="I1491" s="13" t="s">
        <v>4952</v>
      </c>
      <c r="J1491" s="23" t="str">
        <f>HYPERLINK("CorLog\ZMB\Kabompo RTO\20141119 ZMB Kabompo RTO Personnel issue (RDC-to-ZMB).msg", "Personnel issue")</f>
        <v>Personnel issue</v>
      </c>
      <c r="K1491" s="25"/>
      <c r="L1491" s="19"/>
      <c r="M1491" s="20"/>
      <c r="N1491" s="21" t="s">
        <v>4953</v>
      </c>
    </row>
    <row r="1492" spans="1:14">
      <c r="A1492" s="12" t="s">
        <v>972</v>
      </c>
      <c r="B1492" s="13" t="s">
        <v>4927</v>
      </c>
      <c r="C1492" s="14" t="s">
        <v>4954</v>
      </c>
      <c r="D1492" s="15">
        <v>41962.394120370373</v>
      </c>
      <c r="E1492" s="16" t="s">
        <v>18</v>
      </c>
      <c r="F1492" s="16" t="s">
        <v>18</v>
      </c>
      <c r="G1492" s="17" t="s">
        <v>1070</v>
      </c>
      <c r="H1492" s="17" t="s">
        <v>4536</v>
      </c>
      <c r="I1492" s="13" t="s">
        <v>4955</v>
      </c>
      <c r="J1492" s="23" t="str">
        <f>HYPERLINK("CorLog\ZMB\Katete RTO\20141119 ZMB Katete RTO ZMB Katete Contractor Fence Work Report (ZMB-to-ZMB).msg", "ZMB Katete Contractor Fence Work Report")</f>
        <v>ZMB Katete Contractor Fence Work Report</v>
      </c>
      <c r="K1492" s="25" t="s">
        <v>1243</v>
      </c>
      <c r="L1492" s="19"/>
      <c r="M1492" s="20"/>
      <c r="N1492" s="21" t="s">
        <v>4956</v>
      </c>
    </row>
    <row r="1493" spans="1:14">
      <c r="A1493" s="12" t="s">
        <v>750</v>
      </c>
      <c r="B1493" s="13" t="s">
        <v>718</v>
      </c>
      <c r="C1493" s="14" t="s">
        <v>4957</v>
      </c>
      <c r="D1493" s="15">
        <v>41961.706643518519</v>
      </c>
      <c r="E1493" s="16" t="s">
        <v>16</v>
      </c>
      <c r="F1493" s="16" t="s">
        <v>16</v>
      </c>
      <c r="G1493" s="17" t="s">
        <v>979</v>
      </c>
      <c r="H1493" s="17" t="s">
        <v>854</v>
      </c>
      <c r="I1493" s="13" t="s">
        <v>4958</v>
      </c>
      <c r="J1493" s="23" t="str">
        <f>HYPERLINK("CorLog\RTO\Projects\20141118 RTO Projects 1200mm wide footing POSSIBLE Reduction (RDC-to-RDC).msg", "1200mm wide footing POSSIBLE Reduction")</f>
        <v>1200mm wide footing POSSIBLE Reduction</v>
      </c>
      <c r="K1493" s="25" t="s">
        <v>1211</v>
      </c>
      <c r="L1493" s="19"/>
      <c r="M1493" s="20"/>
      <c r="N1493" s="21" t="s">
        <v>4959</v>
      </c>
    </row>
    <row r="1494" spans="1:14">
      <c r="A1494" s="12" t="s">
        <v>718</v>
      </c>
      <c r="B1494" s="13" t="s">
        <v>4265</v>
      </c>
      <c r="C1494" s="14" t="s">
        <v>4960</v>
      </c>
      <c r="D1494" s="15">
        <v>41961.629861111112</v>
      </c>
      <c r="E1494" s="16" t="s">
        <v>16</v>
      </c>
      <c r="F1494" s="16" t="s">
        <v>15</v>
      </c>
      <c r="G1494" s="17" t="s">
        <v>1169</v>
      </c>
      <c r="H1494" s="17" t="s">
        <v>1819</v>
      </c>
      <c r="I1494" s="13" t="s">
        <v>4267</v>
      </c>
      <c r="J1494" s="23" t="str">
        <f>HYPERLINK("CorLog\COD\Kikwit RTO\20141118 COD Kikwit RTO Civil drawing package--final comments (RDC-to-ZAF).msg", "Civil drawing package--final comments")</f>
        <v>Civil drawing package--final comments</v>
      </c>
      <c r="K1494" s="25" t="s">
        <v>3933</v>
      </c>
      <c r="L1494" s="19"/>
      <c r="M1494" s="20"/>
      <c r="N1494" s="21" t="s">
        <v>4961</v>
      </c>
    </row>
    <row r="1495" spans="1:14">
      <c r="A1495" s="12" t="s">
        <v>757</v>
      </c>
      <c r="B1495" s="13" t="s">
        <v>718</v>
      </c>
      <c r="C1495" s="14" t="s">
        <v>827</v>
      </c>
      <c r="D1495" s="15">
        <v>41961.622083333335</v>
      </c>
      <c r="E1495" s="16" t="s">
        <v>21</v>
      </c>
      <c r="F1495" s="16" t="s">
        <v>16</v>
      </c>
      <c r="G1495" s="17" t="s">
        <v>857</v>
      </c>
      <c r="H1495" s="17" t="s">
        <v>1000</v>
      </c>
      <c r="I1495" s="13" t="s">
        <v>4962</v>
      </c>
      <c r="J1495" s="23" t="str">
        <f>HYPERLINK("CorLog\GHA\Kikam RTO\20141118 GHA Kikam RTO Size of RTO (GHA-to-RDC).msg", "Size of RTO")</f>
        <v>Size of RTO</v>
      </c>
      <c r="K1495" s="25"/>
      <c r="L1495" s="19"/>
      <c r="M1495" s="20"/>
      <c r="N1495" s="21" t="s">
        <v>4963</v>
      </c>
    </row>
    <row r="1496" spans="1:14">
      <c r="A1496" s="12" t="s">
        <v>718</v>
      </c>
      <c r="B1496" s="13" t="s">
        <v>837</v>
      </c>
      <c r="C1496" s="14"/>
      <c r="D1496" s="15">
        <v>41961.35193287037</v>
      </c>
      <c r="E1496" s="16" t="s">
        <v>16</v>
      </c>
      <c r="F1496" s="16" t="s">
        <v>18</v>
      </c>
      <c r="G1496" s="17" t="s">
        <v>838</v>
      </c>
      <c r="H1496" s="17" t="s">
        <v>4964</v>
      </c>
      <c r="I1496" s="13" t="s">
        <v>4965</v>
      </c>
      <c r="J1496" s="23" t="str">
        <f>HYPERLINK("CorLog\ZMB\Choma RTO\20141118 ZMB Choma RTO Ordering pre-configured network from WHQ (RDC-to-ZMB).msg", "Ordering pre-configured network from WHQ")</f>
        <v>Ordering pre-configured network from WHQ</v>
      </c>
      <c r="K1496" s="25" t="s">
        <v>1270</v>
      </c>
      <c r="L1496" s="19"/>
      <c r="M1496" s="20"/>
      <c r="N1496" s="21" t="s">
        <v>4966</v>
      </c>
    </row>
    <row r="1497" spans="1:14">
      <c r="A1497" s="12" t="s">
        <v>718</v>
      </c>
      <c r="B1497" s="13" t="s">
        <v>2431</v>
      </c>
      <c r="C1497" s="14" t="s">
        <v>4967</v>
      </c>
      <c r="D1497" s="15">
        <v>41961.329861111109</v>
      </c>
      <c r="E1497" s="16" t="s">
        <v>16</v>
      </c>
      <c r="F1497" s="16" t="s">
        <v>22</v>
      </c>
      <c r="G1497" s="17" t="s">
        <v>785</v>
      </c>
      <c r="H1497" s="17" t="s">
        <v>1031</v>
      </c>
      <c r="I1497" s="13" t="s">
        <v>4968</v>
      </c>
      <c r="J1497" s="23" t="str">
        <f>HYPERLINK("CorLog\COD\Lubumbashi RTO\20141118 COD Lubumbashi RTO Borehole test using airline (RDC-to-COD).msg", "Borehole test using airline")</f>
        <v>Borehole test using airline</v>
      </c>
      <c r="K1497" s="25" t="s">
        <v>1211</v>
      </c>
      <c r="L1497" s="19"/>
      <c r="M1497" s="20"/>
      <c r="N1497" s="21" t="s">
        <v>4969</v>
      </c>
    </row>
    <row r="1498" spans="1:14">
      <c r="A1498" s="12" t="s">
        <v>1073</v>
      </c>
      <c r="B1498" s="13"/>
      <c r="C1498" s="14"/>
      <c r="D1498" s="15">
        <v>41961</v>
      </c>
      <c r="E1498" s="16" t="s">
        <v>25</v>
      </c>
      <c r="F1498" s="16" t="s">
        <v>16</v>
      </c>
      <c r="G1498" s="17" t="s">
        <v>30</v>
      </c>
      <c r="H1498" s="17" t="s">
        <v>4359</v>
      </c>
      <c r="I1498" s="13" t="s">
        <v>4914</v>
      </c>
      <c r="J1498" s="23" t="str">
        <f>HYPERLINK("CorLog\ALL\20141118 ALL Theocratic Facility Solar Photovoltaic System Evaluation and Design Support (WHQ-to-RDC).docx", "Theocratic Facility Solar Photovoltaic System Evaluation and Design Support")</f>
        <v>Theocratic Facility Solar Photovoltaic System Evaluation and Design Support</v>
      </c>
      <c r="K1498" s="23"/>
      <c r="L1498" s="19"/>
      <c r="M1498" s="20"/>
      <c r="N1498" s="21" t="s">
        <v>4970</v>
      </c>
    </row>
    <row r="1499" spans="1:14">
      <c r="A1499" s="12" t="s">
        <v>874</v>
      </c>
      <c r="B1499" s="13"/>
      <c r="C1499" s="14"/>
      <c r="D1499" s="15">
        <v>41961</v>
      </c>
      <c r="E1499" s="16" t="s">
        <v>25</v>
      </c>
      <c r="F1499" s="16" t="s">
        <v>30</v>
      </c>
      <c r="G1499" s="17" t="s">
        <v>719</v>
      </c>
      <c r="H1499" s="17" t="s">
        <v>4971</v>
      </c>
      <c r="I1499" s="13" t="s">
        <v>4972</v>
      </c>
      <c r="J1499" s="23" t="str">
        <f>HYPERLINK("CorLog\Reference\20141118 Reference Assembly Hall Design Construction Guidelines (WHQ-to-ALL).doc", "Assembly Hall Design Construction Guidelines")</f>
        <v>Assembly Hall Design Construction Guidelines</v>
      </c>
      <c r="K1499" s="23" t="str">
        <f>HYPERLINK("CorLog\Reference\20141118 Reference Assembly Hall Design Construction Guidelines (WHQ-to-ALL).zip", "Zipped")</f>
        <v>Zipped</v>
      </c>
      <c r="L1499" s="19"/>
      <c r="M1499" s="20"/>
      <c r="N1499" s="21" t="s">
        <v>4973</v>
      </c>
    </row>
    <row r="1500" spans="1:14">
      <c r="A1500" s="12" t="s">
        <v>874</v>
      </c>
      <c r="B1500" s="13"/>
      <c r="C1500" s="14"/>
      <c r="D1500" s="15">
        <v>41961</v>
      </c>
      <c r="E1500" s="16" t="s">
        <v>25</v>
      </c>
      <c r="F1500" s="16" t="s">
        <v>30</v>
      </c>
      <c r="G1500" s="17" t="s">
        <v>719</v>
      </c>
      <c r="H1500" s="17" t="s">
        <v>1728</v>
      </c>
      <c r="I1500" s="13" t="s">
        <v>4974</v>
      </c>
      <c r="J1500" s="23" t="str">
        <f>HYPERLINK("CorLog\Reference\20141118 Reference Remote Translation Office Facility Guidelines (WHQ-to-ALL).doc", "Remote Translation Office Facility Guidelines")</f>
        <v>Remote Translation Office Facility Guidelines</v>
      </c>
      <c r="K1500" s="23" t="str">
        <f>HYPERLINK("CorLog\Reference\20141118 Reference Remote Translation Office Facility Guidelines (WHQ-to-ALL).zip", "Zipped")</f>
        <v>Zipped</v>
      </c>
      <c r="L1500" s="19"/>
      <c r="M1500" s="20"/>
      <c r="N1500" s="21" t="s">
        <v>4975</v>
      </c>
    </row>
    <row r="1501" spans="1:14">
      <c r="A1501" s="12" t="s">
        <v>718</v>
      </c>
      <c r="B1501" s="13" t="s">
        <v>2195</v>
      </c>
      <c r="C1501" s="14" t="s">
        <v>4976</v>
      </c>
      <c r="D1501" s="15">
        <v>41960.709027777775</v>
      </c>
      <c r="E1501" s="16" t="s">
        <v>16</v>
      </c>
      <c r="F1501" s="16" t="s">
        <v>935</v>
      </c>
      <c r="G1501" s="17" t="s">
        <v>823</v>
      </c>
      <c r="H1501" s="17" t="s">
        <v>829</v>
      </c>
      <c r="I1501" s="13" t="s">
        <v>4977</v>
      </c>
      <c r="J1501" s="23" t="str">
        <f>HYPERLINK("CorLog\GHA\LDC\20141117 GHA LDC GHA-4577 Bench (RDC Approval) (RDC-to-GPD).msg", "GHA-4577 Bench (RDC Approval)")</f>
        <v>GHA-4577 Bench (RDC Approval)</v>
      </c>
      <c r="K1501" s="25"/>
      <c r="L1501" s="19"/>
      <c r="M1501" s="20"/>
      <c r="N1501" s="21" t="s">
        <v>4978</v>
      </c>
    </row>
    <row r="1502" spans="1:14">
      <c r="A1502" s="12" t="s">
        <v>718</v>
      </c>
      <c r="B1502" s="13" t="s">
        <v>2195</v>
      </c>
      <c r="C1502" s="14" t="s">
        <v>4976</v>
      </c>
      <c r="D1502" s="15">
        <v>41960.707638888889</v>
      </c>
      <c r="E1502" s="16" t="s">
        <v>16</v>
      </c>
      <c r="F1502" s="16" t="s">
        <v>935</v>
      </c>
      <c r="G1502" s="17" t="s">
        <v>823</v>
      </c>
      <c r="H1502" s="17" t="s">
        <v>829</v>
      </c>
      <c r="I1502" s="13" t="s">
        <v>4979</v>
      </c>
      <c r="J1502" s="23" t="str">
        <f>HYPERLINK("CorLog\GHA\LDC\20141117 GHA LDC GHA-4576 Sound equipment ($19,450 66) (RDC Approval) (RDC-to-GPD).msg", "GHA-4576 Sound equipment ($19,450 66) (RDC Approval)")</f>
        <v>GHA-4576 Sound equipment ($19,450 66) (RDC Approval)</v>
      </c>
      <c r="K1502" s="25"/>
      <c r="L1502" s="19"/>
      <c r="M1502" s="20"/>
      <c r="N1502" s="21" t="s">
        <v>4980</v>
      </c>
    </row>
    <row r="1503" spans="1:14">
      <c r="A1503" s="12" t="s">
        <v>718</v>
      </c>
      <c r="B1503" s="13" t="s">
        <v>827</v>
      </c>
      <c r="C1503" s="14" t="s">
        <v>4842</v>
      </c>
      <c r="D1503" s="15">
        <v>41960.690972222219</v>
      </c>
      <c r="E1503" s="16" t="s">
        <v>16</v>
      </c>
      <c r="F1503" s="16" t="s">
        <v>21</v>
      </c>
      <c r="G1503" s="17" t="s">
        <v>790</v>
      </c>
      <c r="H1503" s="17" t="s">
        <v>829</v>
      </c>
      <c r="I1503" s="13" t="s">
        <v>4981</v>
      </c>
      <c r="J1503" s="23" t="str">
        <f>HYPERLINK("CorLog\GHA\BEX\20141117 GHA BEX RDC review of NLBR Package -26 - Submittal (RDC-to-GHA).msg", "RDC review of NLBR Package -26 - Submittal")</f>
        <v>RDC review of NLBR Package -26 - Submittal</v>
      </c>
      <c r="K1503" s="25" t="s">
        <v>1499</v>
      </c>
      <c r="L1503" s="19"/>
      <c r="M1503" s="20"/>
      <c r="N1503" s="21" t="s">
        <v>4982</v>
      </c>
    </row>
    <row r="1504" spans="1:14">
      <c r="A1504" s="12" t="s">
        <v>718</v>
      </c>
      <c r="B1504" s="13" t="s">
        <v>1337</v>
      </c>
      <c r="C1504" s="14" t="s">
        <v>4983</v>
      </c>
      <c r="D1504" s="15">
        <v>41960.624305555553</v>
      </c>
      <c r="E1504" s="16" t="s">
        <v>16</v>
      </c>
      <c r="F1504" s="16" t="s">
        <v>18</v>
      </c>
      <c r="G1504" s="17" t="s">
        <v>885</v>
      </c>
      <c r="H1504" s="17" t="s">
        <v>2688</v>
      </c>
      <c r="I1504" s="13" t="s">
        <v>4984</v>
      </c>
      <c r="J1504" s="23" t="str">
        <f>HYPERLINK("CorLog\ZMB\Kabompo RTO\20141117 ZMB Kabompo RTO Revised dwgs C-504 5--Septic Tank manhole location (RDC-to-ZMB).msg", "Revised dwgs C-504 5--Septic Tank manhole location")</f>
        <v>Revised dwgs C-504 5--Septic Tank manhole location</v>
      </c>
      <c r="K1504" s="25" t="s">
        <v>1243</v>
      </c>
      <c r="L1504" s="19"/>
      <c r="M1504" s="20"/>
      <c r="N1504" s="21" t="s">
        <v>4985</v>
      </c>
    </row>
    <row r="1505" spans="1:14">
      <c r="A1505" s="12" t="s">
        <v>750</v>
      </c>
      <c r="B1505" s="13" t="s">
        <v>717</v>
      </c>
      <c r="C1505" s="14" t="s">
        <v>4986</v>
      </c>
      <c r="D1505" s="15">
        <v>41960.594710648147</v>
      </c>
      <c r="E1505" s="16" t="s">
        <v>16</v>
      </c>
      <c r="F1505" s="16" t="s">
        <v>16</v>
      </c>
      <c r="G1505" s="17" t="s">
        <v>719</v>
      </c>
      <c r="H1505" s="17" t="s">
        <v>725</v>
      </c>
      <c r="I1505" s="13" t="s">
        <v>4987</v>
      </c>
      <c r="J1505" s="23" t="str">
        <f>HYPERLINK("CorLog\Reference\20141117 Refierence Floats-How to Cash Up (non-PO) (RDC-to-RDC).msg", "Floats-How to Cash Up (non-PO)")</f>
        <v>Floats-How to Cash Up (non-PO)</v>
      </c>
      <c r="K1505" s="25" t="s">
        <v>1211</v>
      </c>
      <c r="L1505" s="19"/>
      <c r="M1505" s="20"/>
      <c r="N1505" s="21" t="s">
        <v>4988</v>
      </c>
    </row>
    <row r="1506" spans="1:14">
      <c r="A1506" s="12" t="s">
        <v>972</v>
      </c>
      <c r="B1506" s="13" t="s">
        <v>1337</v>
      </c>
      <c r="C1506" s="14" t="s">
        <v>4989</v>
      </c>
      <c r="D1506" s="15">
        <v>41960.277013888888</v>
      </c>
      <c r="E1506" s="16" t="s">
        <v>18</v>
      </c>
      <c r="F1506" s="16" t="s">
        <v>18</v>
      </c>
      <c r="G1506" s="17" t="s">
        <v>885</v>
      </c>
      <c r="H1506" s="17" t="s">
        <v>867</v>
      </c>
      <c r="I1506" s="13" t="s">
        <v>4990</v>
      </c>
      <c r="J1506" s="23" t="str">
        <f>HYPERLINK("CorLog\ZMB\Kabompo RTO\20141117 ZMB Kabompo RTO Which items will you be reselling to the next project (ZMB-to-ZMB).msg", "Which items will you be reselling to the next project")</f>
        <v>Which items will you be reselling to the next project</v>
      </c>
      <c r="K1506" s="25" t="s">
        <v>1211</v>
      </c>
      <c r="L1506" s="19"/>
      <c r="M1506" s="20"/>
      <c r="N1506" s="21" t="s">
        <v>4991</v>
      </c>
    </row>
    <row r="1507" spans="1:14">
      <c r="A1507" s="12" t="s">
        <v>2417</v>
      </c>
      <c r="B1507" s="13"/>
      <c r="C1507" s="14"/>
      <c r="D1507" s="15">
        <v>41960</v>
      </c>
      <c r="E1507" s="16" t="s">
        <v>15</v>
      </c>
      <c r="F1507" s="16" t="s">
        <v>22</v>
      </c>
      <c r="G1507" s="17" t="s">
        <v>785</v>
      </c>
      <c r="H1507" s="17" t="s">
        <v>731</v>
      </c>
      <c r="I1507" s="13" t="s">
        <v>4992</v>
      </c>
      <c r="J1507" s="23" t="str">
        <f>HYPERLINK("CorLog\COD\Lubumbashi RTO\20141117 COD Lubumbashi RTO DC-41 No 2 (ZAF-to-COD).docx", "DC-41 No 2")</f>
        <v>DC-41 No 2</v>
      </c>
      <c r="K1507" s="23" t="str">
        <f>HYPERLINK("CorLog\COD\Lubumbashi RTO\20141117 COD Lubumbashi RTO DC-41 No 2 (ZAF-to-COD).zip", "Zipped")</f>
        <v>Zipped</v>
      </c>
      <c r="L1507" s="19"/>
      <c r="M1507" s="20"/>
      <c r="N1507" s="21" t="s">
        <v>4993</v>
      </c>
    </row>
    <row r="1508" spans="1:14">
      <c r="A1508" s="12" t="s">
        <v>2417</v>
      </c>
      <c r="B1508" s="13"/>
      <c r="C1508" s="14"/>
      <c r="D1508" s="15">
        <v>41960</v>
      </c>
      <c r="E1508" s="16" t="s">
        <v>15</v>
      </c>
      <c r="F1508" s="16" t="s">
        <v>22</v>
      </c>
      <c r="G1508" s="17" t="s">
        <v>1169</v>
      </c>
      <c r="H1508" s="17" t="s">
        <v>731</v>
      </c>
      <c r="I1508" s="13" t="s">
        <v>4992</v>
      </c>
      <c r="J1508" s="23" t="str">
        <f>HYPERLINK("CorLog\COD\Kikwit RTO\20141117 COD Kikwit RTO DC-41 No 2 (ZAF-to-COD).docx", "DC-41 No 2")</f>
        <v>DC-41 No 2</v>
      </c>
      <c r="K1508" s="23" t="str">
        <f>HYPERLINK("CorLog\COD\Kikwit RTO\20141117 COD Kikwit RTO DC-41 No 2 (ZAF-to-COD).zip", "Zipped")</f>
        <v>Zipped</v>
      </c>
      <c r="L1508" s="19"/>
      <c r="M1508" s="20"/>
      <c r="N1508" s="21" t="s">
        <v>4994</v>
      </c>
    </row>
    <row r="1509" spans="1:14">
      <c r="A1509" s="12" t="s">
        <v>2417</v>
      </c>
      <c r="B1509" s="13"/>
      <c r="C1509" s="14"/>
      <c r="D1509" s="15">
        <v>41960</v>
      </c>
      <c r="E1509" s="16" t="s">
        <v>21</v>
      </c>
      <c r="F1509" s="16" t="s">
        <v>15</v>
      </c>
      <c r="G1509" s="17" t="s">
        <v>807</v>
      </c>
      <c r="H1509" s="17" t="s">
        <v>848</v>
      </c>
      <c r="I1509" s="13" t="s">
        <v>4995</v>
      </c>
      <c r="J1509" s="23" t="str">
        <f>HYPERLINK("CorLog\GHA\Branch\20141117 GHA Branch Vegetable and Potato Peeler Replacement Needed (GHA-to-ZAF).docx", "Vegetable and Potato Peeler Replacement Needed")</f>
        <v>Vegetable and Potato Peeler Replacement Needed</v>
      </c>
      <c r="K1509" s="23"/>
      <c r="L1509" s="19" t="s">
        <v>3083</v>
      </c>
      <c r="M1509" s="20"/>
      <c r="N1509" s="21" t="s">
        <v>4996</v>
      </c>
    </row>
    <row r="1510" spans="1:14">
      <c r="A1510" s="12" t="s">
        <v>827</v>
      </c>
      <c r="B1510" s="13" t="s">
        <v>4997</v>
      </c>
      <c r="C1510" s="14" t="s">
        <v>1757</v>
      </c>
      <c r="D1510" s="15">
        <v>41959.832858796297</v>
      </c>
      <c r="E1510" s="16" t="s">
        <v>21</v>
      </c>
      <c r="F1510" s="16" t="s">
        <v>21</v>
      </c>
      <c r="G1510" s="17" t="s">
        <v>730</v>
      </c>
      <c r="H1510" s="17" t="s">
        <v>953</v>
      </c>
      <c r="I1510" s="13" t="s">
        <v>4998</v>
      </c>
      <c r="J1510" s="23" t="str">
        <f>HYPERLINK("CorLog\GHA\Baatsona SKE\20141116 GHA Baatsona SKE 20141113 Progress meeting with consultant (GHA-to-).msg", "20141113 Progress meeting with consultant")</f>
        <v>20141113 Progress meeting with consultant</v>
      </c>
      <c r="K1510" s="25" t="s">
        <v>1211</v>
      </c>
      <c r="L1510" s="19"/>
      <c r="M1510" s="20"/>
      <c r="N1510" s="21" t="s">
        <v>4999</v>
      </c>
    </row>
    <row r="1511" spans="1:14">
      <c r="A1511" s="12" t="s">
        <v>964</v>
      </c>
      <c r="B1511" s="13" t="s">
        <v>718</v>
      </c>
      <c r="C1511" s="14" t="s">
        <v>750</v>
      </c>
      <c r="D1511" s="15">
        <v>41959.794444444444</v>
      </c>
      <c r="E1511" s="16" t="s">
        <v>16</v>
      </c>
      <c r="F1511" s="16" t="s">
        <v>16</v>
      </c>
      <c r="G1511" s="17" t="s">
        <v>738</v>
      </c>
      <c r="H1511" s="17" t="s">
        <v>5000</v>
      </c>
      <c r="I1511" s="13" t="s">
        <v>5001</v>
      </c>
      <c r="J1511" s="23" t="str">
        <f>HYPERLINK("CorLog\GHA\BEX 2\20141116 GHA BEX 2 MI comments on GPES Analysis 20141116 docx (RDC-to-RDC).msg", "MI comments on GPES Analysis 20141116 docx")</f>
        <v>MI comments on GPES Analysis 20141116 docx</v>
      </c>
      <c r="K1511" s="25" t="s">
        <v>1211</v>
      </c>
      <c r="L1511" s="19"/>
      <c r="M1511" s="20"/>
      <c r="N1511" s="21" t="s">
        <v>5002</v>
      </c>
    </row>
    <row r="1512" spans="1:14">
      <c r="A1512" s="12" t="s">
        <v>998</v>
      </c>
      <c r="B1512" s="13" t="s">
        <v>5003</v>
      </c>
      <c r="C1512" s="14" t="s">
        <v>771</v>
      </c>
      <c r="D1512" s="15">
        <v>41958.927777777775</v>
      </c>
      <c r="E1512" s="16" t="s">
        <v>17</v>
      </c>
      <c r="F1512" s="16" t="s">
        <v>14</v>
      </c>
      <c r="G1512" s="17" t="s">
        <v>966</v>
      </c>
      <c r="H1512" s="17" t="s">
        <v>5004</v>
      </c>
      <c r="I1512" s="13" t="s">
        <v>5005</v>
      </c>
      <c r="J1512" s="23" t="str">
        <f>HYPERLINK("CorLog\MDG\Branch\20141115 MDG Branch MDG Recording Studio Notes 2014-11-14 docx, PWG Mtg (WDC-to-MDG).msg", "MDG Recording Studio Notes 2014-11-14 docx, PWG Mtg")</f>
        <v>MDG Recording Studio Notes 2014-11-14 docx, PWG Mtg</v>
      </c>
      <c r="K1512" s="25"/>
      <c r="L1512" s="19"/>
      <c r="M1512" s="20"/>
      <c r="N1512" s="21" t="s">
        <v>5006</v>
      </c>
    </row>
    <row r="1513" spans="1:14">
      <c r="A1513" s="12" t="s">
        <v>718</v>
      </c>
      <c r="B1513" s="13" t="s">
        <v>2016</v>
      </c>
      <c r="C1513" s="14" t="s">
        <v>724</v>
      </c>
      <c r="D1513" s="15">
        <v>41958.729166666664</v>
      </c>
      <c r="E1513" s="16" t="s">
        <v>16</v>
      </c>
      <c r="F1513" s="16" t="s">
        <v>16</v>
      </c>
      <c r="G1513" s="17" t="s">
        <v>1169</v>
      </c>
      <c r="H1513" s="17" t="s">
        <v>867</v>
      </c>
      <c r="I1513" s="13" t="s">
        <v>5007</v>
      </c>
      <c r="J1513" s="23" t="str">
        <f>HYPERLINK("CorLog\COD\Kikwit RTO\20141115 COD Kikwit RTO NTE (AL) vs MSL costs (RDC-to-RDC).msg", "NTE (AL) vs MSL costs")</f>
        <v>NTE (AL) vs MSL costs</v>
      </c>
      <c r="K1513" s="25"/>
      <c r="L1513" s="19"/>
      <c r="M1513" s="20"/>
      <c r="N1513" s="21" t="s">
        <v>5008</v>
      </c>
    </row>
    <row r="1514" spans="1:14">
      <c r="A1514" s="12" t="s">
        <v>724</v>
      </c>
      <c r="B1514" s="13" t="s">
        <v>5009</v>
      </c>
      <c r="C1514" s="14" t="s">
        <v>5010</v>
      </c>
      <c r="D1514" s="15">
        <v>41958.466006944444</v>
      </c>
      <c r="E1514" s="16" t="s">
        <v>16</v>
      </c>
      <c r="F1514" s="16" t="s">
        <v>34</v>
      </c>
      <c r="G1514" s="17" t="s">
        <v>3248</v>
      </c>
      <c r="H1514" s="17" t="s">
        <v>1762</v>
      </c>
      <c r="I1514" s="13" t="s">
        <v>5011</v>
      </c>
      <c r="J1514" s="23" t="str">
        <f>HYPERLINK("CorLog\MWI\Chinteche RTO\20141115 MWI Chinteche RTO Few observations (RDC-to-MWI).msg", "Few observations")</f>
        <v>Few observations</v>
      </c>
      <c r="K1514" s="25" t="s">
        <v>1211</v>
      </c>
      <c r="L1514" s="19"/>
      <c r="M1514" s="20"/>
      <c r="N1514" s="21" t="s">
        <v>5012</v>
      </c>
    </row>
    <row r="1515" spans="1:14">
      <c r="A1515" s="12" t="s">
        <v>1043</v>
      </c>
      <c r="B1515" s="13"/>
      <c r="C1515" s="14"/>
      <c r="D1515" s="15">
        <v>41958</v>
      </c>
      <c r="E1515" s="16" t="s">
        <v>25</v>
      </c>
      <c r="F1515" s="16" t="s">
        <v>22</v>
      </c>
      <c r="G1515" s="17" t="s">
        <v>913</v>
      </c>
      <c r="H1515" s="17" t="s">
        <v>2379</v>
      </c>
      <c r="I1515" s="13" t="s">
        <v>2380</v>
      </c>
      <c r="J1515" s="23" t="str">
        <f>HYPERLINK("CorLog\COD\Branch\20141115 COD Branch New Offices in Shipping Area (WHQ-to-COD).docx", "New Offices in Shipping Area")</f>
        <v>New Offices in Shipping Area</v>
      </c>
      <c r="K1515" s="23"/>
      <c r="L1515" s="19"/>
      <c r="M1515" s="20"/>
      <c r="N1515" s="21" t="s">
        <v>5013</v>
      </c>
    </row>
    <row r="1516" spans="1:14">
      <c r="A1516" s="12" t="s">
        <v>750</v>
      </c>
      <c r="B1516" s="13" t="s">
        <v>1337</v>
      </c>
      <c r="C1516" s="14" t="s">
        <v>4941</v>
      </c>
      <c r="D1516" s="15">
        <v>41957.608449074076</v>
      </c>
      <c r="E1516" s="16" t="s">
        <v>16</v>
      </c>
      <c r="F1516" s="16" t="s">
        <v>18</v>
      </c>
      <c r="G1516" s="17" t="s">
        <v>885</v>
      </c>
      <c r="H1516" s="17" t="s">
        <v>851</v>
      </c>
      <c r="I1516" s="13" t="s">
        <v>5014</v>
      </c>
      <c r="J1516" s="23" t="str">
        <f>HYPERLINK("CorLog\ZMB\Kabompo RTO\20141114 ZMB Kabompo RTO DCP results Residence SLAB (Tests 36-45) (RDC-to-ZMB).msg", "DCP results Residence SLAB (Tests 36-45)")</f>
        <v>DCP results Residence SLAB (Tests 36-45)</v>
      </c>
      <c r="K1516" s="25"/>
      <c r="L1516" s="19"/>
      <c r="M1516" s="20"/>
      <c r="N1516" s="21" t="s">
        <v>5015</v>
      </c>
    </row>
    <row r="1517" spans="1:14">
      <c r="A1517" s="12" t="s">
        <v>750</v>
      </c>
      <c r="B1517" s="13" t="s">
        <v>1069</v>
      </c>
      <c r="C1517" s="14" t="s">
        <v>5016</v>
      </c>
      <c r="D1517" s="15">
        <v>41957.590821759259</v>
      </c>
      <c r="E1517" s="16" t="s">
        <v>16</v>
      </c>
      <c r="F1517" s="16" t="s">
        <v>18</v>
      </c>
      <c r="G1517" s="17" t="s">
        <v>1070</v>
      </c>
      <c r="H1517" s="17" t="s">
        <v>851</v>
      </c>
      <c r="I1517" s="13" t="s">
        <v>5017</v>
      </c>
      <c r="J1517" s="23" t="str">
        <f>HYPERLINK("CorLog\ZMB\Katete RTO\20141114 ZMB Katete RTO DCP Tests Boundary Wall (WEST) (RDC-to-ZMB).msg", "DCP Tests Boundary Wall (WEST)")</f>
        <v>DCP Tests Boundary Wall (WEST)</v>
      </c>
      <c r="K1517" s="25"/>
      <c r="L1517" s="19"/>
      <c r="M1517" s="20"/>
      <c r="N1517" s="21" t="s">
        <v>5018</v>
      </c>
    </row>
    <row r="1518" spans="1:14">
      <c r="A1518" s="12" t="s">
        <v>718</v>
      </c>
      <c r="B1518" s="13" t="s">
        <v>4867</v>
      </c>
      <c r="C1518" s="14" t="s">
        <v>5019</v>
      </c>
      <c r="D1518" s="15">
        <v>41957.559027777781</v>
      </c>
      <c r="E1518" s="16" t="s">
        <v>16</v>
      </c>
      <c r="F1518" s="16" t="s">
        <v>22</v>
      </c>
      <c r="G1518" s="17" t="s">
        <v>2627</v>
      </c>
      <c r="H1518" s="17" t="s">
        <v>3856</v>
      </c>
      <c r="I1518" s="13" t="s">
        <v>5020</v>
      </c>
      <c r="J1518" s="23" t="str">
        <f>HYPERLINK("CorLog\COD\Kamina RTO\20141114 COD Kamina RTO Ordering Timers for Solar Geysers (RDC-to-COD).msg", "Ordering Timers for Solar Geysers")</f>
        <v>Ordering Timers for Solar Geysers</v>
      </c>
      <c r="K1518" s="25" t="s">
        <v>1243</v>
      </c>
      <c r="L1518" s="19"/>
      <c r="M1518" s="20"/>
      <c r="N1518" s="21" t="s">
        <v>5021</v>
      </c>
    </row>
    <row r="1519" spans="1:14">
      <c r="A1519" s="12" t="s">
        <v>718</v>
      </c>
      <c r="B1519" s="13" t="s">
        <v>1069</v>
      </c>
      <c r="C1519" s="14" t="s">
        <v>5022</v>
      </c>
      <c r="D1519" s="15">
        <v>41957.547222222223</v>
      </c>
      <c r="E1519" s="16" t="s">
        <v>16</v>
      </c>
      <c r="F1519" s="16" t="s">
        <v>18</v>
      </c>
      <c r="G1519" s="17" t="s">
        <v>1070</v>
      </c>
      <c r="H1519" s="17" t="s">
        <v>947</v>
      </c>
      <c r="I1519" s="13" t="s">
        <v>5023</v>
      </c>
      <c r="J1519" s="23" t="str">
        <f>HYPERLINK("CorLog\ZMB\Katete RTO\20141114 ZMB Katete RTO revised septic tank location (RDC-to-ZMB).msg", "revised septic tank location")</f>
        <v>revised septic tank location</v>
      </c>
      <c r="K1519" s="25" t="s">
        <v>1243</v>
      </c>
      <c r="L1519" s="19"/>
      <c r="M1519" s="20"/>
      <c r="N1519" s="21" t="s">
        <v>5024</v>
      </c>
    </row>
    <row r="1520" spans="1:14">
      <c r="A1520" s="12" t="s">
        <v>964</v>
      </c>
      <c r="B1520" s="13" t="s">
        <v>717</v>
      </c>
      <c r="C1520" s="14" t="s">
        <v>5025</v>
      </c>
      <c r="D1520" s="15">
        <v>41957.547094907408</v>
      </c>
      <c r="E1520" s="16" t="s">
        <v>16</v>
      </c>
      <c r="F1520" s="16" t="s">
        <v>16</v>
      </c>
      <c r="G1520" s="17" t="s">
        <v>5026</v>
      </c>
      <c r="H1520" s="17" t="s">
        <v>5027</v>
      </c>
      <c r="I1520" s="13" t="s">
        <v>5028</v>
      </c>
      <c r="J1520" s="23" t="str">
        <f>HYPERLINK("CorLog\BEN\LDC\20141114 BEN LDC Generators for missionary home use in Burkina Faso (RDC-to-RDC).msg", "Generators for missionary home use in Burkina Faso")</f>
        <v>Generators for missionary home use in Burkina Faso</v>
      </c>
      <c r="K1520" s="25" t="s">
        <v>1211</v>
      </c>
      <c r="L1520" s="19"/>
      <c r="M1520" s="20"/>
      <c r="N1520" s="21" t="s">
        <v>5029</v>
      </c>
    </row>
    <row r="1521" spans="1:14">
      <c r="A1521" s="12" t="s">
        <v>1447</v>
      </c>
      <c r="B1521" s="13" t="s">
        <v>718</v>
      </c>
      <c r="C1521" s="14" t="s">
        <v>4289</v>
      </c>
      <c r="D1521" s="15">
        <v>41957.477592592593</v>
      </c>
      <c r="E1521" s="16" t="s">
        <v>16</v>
      </c>
      <c r="F1521" s="16" t="s">
        <v>16</v>
      </c>
      <c r="G1521" s="17" t="s">
        <v>785</v>
      </c>
      <c r="H1521" s="17" t="s">
        <v>731</v>
      </c>
      <c r="I1521" s="13" t="s">
        <v>5030</v>
      </c>
      <c r="J1521" s="23" t="str">
        <f>HYPERLINK("CorLog\COD\Lubumbashi RTO\20141114 COD Lubumbashi RTO RTOs at Lubumbashi and Kikwit (RDC-to-RDC).msg", "RTOs at Lubumbashi and Kikwit")</f>
        <v>RTOs at Lubumbashi and Kikwit</v>
      </c>
      <c r="K1521" s="25" t="s">
        <v>1243</v>
      </c>
      <c r="L1521" s="19"/>
      <c r="M1521" s="20"/>
      <c r="N1521" s="21" t="s">
        <v>5031</v>
      </c>
    </row>
    <row r="1522" spans="1:14">
      <c r="A1522" s="12" t="s">
        <v>2016</v>
      </c>
      <c r="B1522" s="13" t="s">
        <v>723</v>
      </c>
      <c r="C1522" s="14" t="s">
        <v>5032</v>
      </c>
      <c r="D1522" s="15">
        <v>41957.318541666667</v>
      </c>
      <c r="E1522" s="16" t="s">
        <v>16</v>
      </c>
      <c r="F1522" s="16" t="s">
        <v>16</v>
      </c>
      <c r="G1522" s="17" t="s">
        <v>1432</v>
      </c>
      <c r="H1522" s="17" t="s">
        <v>867</v>
      </c>
      <c r="I1522" s="13" t="s">
        <v>5033</v>
      </c>
      <c r="J1522" s="23" t="str">
        <f>HYPERLINK("CorLog\COD\LDC\20141114 COD LDC Renovation for Goma Shipping (RDC-to-RDC).msg", "Renovation for Goma Shipping")</f>
        <v>Renovation for Goma Shipping</v>
      </c>
      <c r="K1522" s="25"/>
      <c r="L1522" s="19"/>
      <c r="M1522" s="20"/>
      <c r="N1522" s="21" t="s">
        <v>5034</v>
      </c>
    </row>
    <row r="1523" spans="1:14">
      <c r="A1523" s="12" t="s">
        <v>5035</v>
      </c>
      <c r="B1523" s="13" t="s">
        <v>965</v>
      </c>
      <c r="C1523" s="14" t="s">
        <v>5036</v>
      </c>
      <c r="D1523" s="15">
        <v>41957.279467592591</v>
      </c>
      <c r="E1523" s="16" t="s">
        <v>18</v>
      </c>
      <c r="F1523" s="16" t="s">
        <v>16</v>
      </c>
      <c r="G1523" s="17" t="s">
        <v>946</v>
      </c>
      <c r="H1523" s="17" t="s">
        <v>1178</v>
      </c>
      <c r="I1523" s="13" t="s">
        <v>5037</v>
      </c>
      <c r="J1523" s="23" t="str">
        <f>HYPERLINK("CorLog\ZMB\Mongu RTO\20141114 ZMB Mongu RTO J66 genset spare parts (-to-).msg", "J66 genset spare parts")</f>
        <v>J66 genset spare parts</v>
      </c>
      <c r="K1523" s="25" t="s">
        <v>1369</v>
      </c>
      <c r="L1523" s="19"/>
      <c r="M1523" s="20"/>
      <c r="N1523" s="21" t="s">
        <v>5038</v>
      </c>
    </row>
    <row r="1524" spans="1:14">
      <c r="A1524" s="12" t="s">
        <v>874</v>
      </c>
      <c r="B1524" s="13"/>
      <c r="C1524" s="14"/>
      <c r="D1524" s="15">
        <v>41957</v>
      </c>
      <c r="E1524" s="16" t="s">
        <v>25</v>
      </c>
      <c r="F1524" s="16" t="s">
        <v>30</v>
      </c>
      <c r="G1524" s="17" t="s">
        <v>719</v>
      </c>
      <c r="H1524" s="17" t="s">
        <v>5039</v>
      </c>
      <c r="I1524" s="13" t="s">
        <v>5040</v>
      </c>
      <c r="J1524" s="23" t="str">
        <f>HYPERLINK("CorLog\Reference\20141114 Reference Financing Kingdom Hall and Assembly Hall Construction (WHQ-to-ALL).doc", "Financing Kingdom Hall and Assembly Hall Construction")</f>
        <v>Financing Kingdom Hall and Assembly Hall Construction</v>
      </c>
      <c r="K1524" s="23"/>
      <c r="L1524" s="19"/>
      <c r="M1524" s="20"/>
      <c r="N1524" s="21" t="s">
        <v>5041</v>
      </c>
    </row>
    <row r="1525" spans="1:14">
      <c r="A1525" s="12" t="s">
        <v>717</v>
      </c>
      <c r="B1525" s="13" t="s">
        <v>724</v>
      </c>
      <c r="C1525" s="14" t="s">
        <v>5042</v>
      </c>
      <c r="D1525" s="15">
        <v>41956.907523148147</v>
      </c>
      <c r="E1525" s="16" t="s">
        <v>16</v>
      </c>
      <c r="F1525" s="16" t="s">
        <v>16</v>
      </c>
      <c r="G1525" s="17" t="s">
        <v>979</v>
      </c>
      <c r="H1525" s="17" t="s">
        <v>5043</v>
      </c>
      <c r="I1525" s="13" t="s">
        <v>5044</v>
      </c>
      <c r="J1525" s="23" t="str">
        <f>HYPERLINK("CorLog\RTO\Projects\20141113 RTO Projects Cost of AHs in South America (RDC-to-RDC).msg", "Cost of AHs in South America")</f>
        <v>Cost of AHs in South America</v>
      </c>
      <c r="K1525" s="25" t="s">
        <v>1211</v>
      </c>
      <c r="L1525" s="19"/>
      <c r="M1525" s="20"/>
      <c r="N1525" s="21" t="s">
        <v>5045</v>
      </c>
    </row>
    <row r="1526" spans="1:14">
      <c r="A1526" s="12" t="s">
        <v>757</v>
      </c>
      <c r="B1526" s="13" t="s">
        <v>718</v>
      </c>
      <c r="C1526" s="14" t="s">
        <v>827</v>
      </c>
      <c r="D1526" s="15">
        <v>41956.710636574076</v>
      </c>
      <c r="E1526" s="16" t="s">
        <v>21</v>
      </c>
      <c r="F1526" s="16" t="s">
        <v>16</v>
      </c>
      <c r="G1526" s="17" t="s">
        <v>790</v>
      </c>
      <c r="H1526" s="17" t="s">
        <v>5046</v>
      </c>
      <c r="I1526" s="13" t="s">
        <v>5047</v>
      </c>
      <c r="J1526" s="23" t="str">
        <f>HYPERLINK("CorLog\GHA\BEX\20141113 GHA BEX Location of existing gate on new property (GHA-to-RDC).msg", "Location of existing gate on new property")</f>
        <v>Location of existing gate on new property</v>
      </c>
      <c r="K1526" s="25" t="s">
        <v>1211</v>
      </c>
      <c r="L1526" s="19"/>
      <c r="M1526" s="20"/>
      <c r="N1526" s="21" t="s">
        <v>5048</v>
      </c>
    </row>
    <row r="1527" spans="1:14">
      <c r="A1527" s="12" t="s">
        <v>750</v>
      </c>
      <c r="B1527" s="13" t="s">
        <v>998</v>
      </c>
      <c r="C1527" s="14" t="s">
        <v>771</v>
      </c>
      <c r="D1527" s="15">
        <v>41956.677407407406</v>
      </c>
      <c r="E1527" s="16" t="s">
        <v>16</v>
      </c>
      <c r="F1527" s="16" t="s">
        <v>17</v>
      </c>
      <c r="G1527" s="17" t="s">
        <v>738</v>
      </c>
      <c r="H1527" s="17" t="s">
        <v>5049</v>
      </c>
      <c r="I1527" s="13" t="s">
        <v>5050</v>
      </c>
      <c r="J1527" s="23" t="str">
        <f>HYPERLINK("CorLog\GHA\BEX 2\20141113 GHA BEX 2 Design CDP update; Culvert (RDC-to-WDC).msg", "Design CDP update; Culvert")</f>
        <v>Design CDP update; Culvert</v>
      </c>
      <c r="K1527" s="25"/>
      <c r="L1527" s="19"/>
      <c r="M1527" s="20"/>
      <c r="N1527" s="21" t="s">
        <v>5051</v>
      </c>
    </row>
    <row r="1528" spans="1:14">
      <c r="A1528" s="12" t="s">
        <v>827</v>
      </c>
      <c r="B1528" s="13" t="s">
        <v>718</v>
      </c>
      <c r="C1528" s="14"/>
      <c r="D1528" s="15">
        <v>41956.50267361111</v>
      </c>
      <c r="E1528" s="16" t="s">
        <v>21</v>
      </c>
      <c r="F1528" s="16" t="s">
        <v>16</v>
      </c>
      <c r="G1528" s="17" t="s">
        <v>730</v>
      </c>
      <c r="H1528" s="17" t="s">
        <v>953</v>
      </c>
      <c r="I1528" s="13" t="s">
        <v>5052</v>
      </c>
      <c r="J1528" s="23" t="str">
        <f>HYPERLINK("CorLog\GHA\Baatsona SKE\20141113 GHA Baatsona SKE Revised Civil drawings from Consultant (GHA-to-RDC).msg", "Revised Civil drawings from Consultant")</f>
        <v>Revised Civil drawings from Consultant</v>
      </c>
      <c r="K1528" s="25" t="s">
        <v>1211</v>
      </c>
      <c r="L1528" s="19"/>
      <c r="M1528" s="20"/>
      <c r="N1528" s="21" t="s">
        <v>5053</v>
      </c>
    </row>
    <row r="1529" spans="1:14">
      <c r="A1529" s="12" t="s">
        <v>1866</v>
      </c>
      <c r="B1529" s="13" t="s">
        <v>718</v>
      </c>
      <c r="C1529" s="14"/>
      <c r="D1529" s="15">
        <v>41956.419907407406</v>
      </c>
      <c r="E1529" s="16" t="s">
        <v>16</v>
      </c>
      <c r="F1529" s="16" t="s">
        <v>16</v>
      </c>
      <c r="G1529" s="17" t="s">
        <v>738</v>
      </c>
      <c r="H1529" s="17" t="s">
        <v>1846</v>
      </c>
      <c r="I1529" s="13" t="s">
        <v>5054</v>
      </c>
      <c r="J1529" s="23" t="str">
        <f>HYPERLINK("CorLog\GHA\BEX 2\20141113 GHA BEX 2 Ghana branch Services building (RDC-to-RDC).msg", "Ghana branch Services building")</f>
        <v>Ghana branch Services building</v>
      </c>
      <c r="K1529" s="25" t="s">
        <v>1270</v>
      </c>
      <c r="L1529" s="19"/>
      <c r="M1529" s="20"/>
      <c r="N1529" s="21" t="s">
        <v>5055</v>
      </c>
    </row>
    <row r="1530" spans="1:14">
      <c r="A1530" s="12" t="s">
        <v>2431</v>
      </c>
      <c r="B1530" s="13" t="s">
        <v>718</v>
      </c>
      <c r="C1530" s="14" t="s">
        <v>5056</v>
      </c>
      <c r="D1530" s="15">
        <v>41956.385613425926</v>
      </c>
      <c r="E1530" s="16" t="s">
        <v>22</v>
      </c>
      <c r="F1530" s="16" t="s">
        <v>16</v>
      </c>
      <c r="G1530" s="17" t="s">
        <v>785</v>
      </c>
      <c r="H1530" s="17" t="s">
        <v>2264</v>
      </c>
      <c r="I1530" s="13" t="s">
        <v>5057</v>
      </c>
      <c r="J1530" s="23" t="str">
        <f>HYPERLINK("CorLog\COD\Lubumbashi RTO\20141113 COD Lubumbashi RTO Borehole test results (COD-to-RDC).msg", "Borehole test results")</f>
        <v>Borehole test results</v>
      </c>
      <c r="K1530" s="25" t="s">
        <v>1211</v>
      </c>
      <c r="L1530" s="19"/>
      <c r="M1530" s="20"/>
      <c r="N1530" s="21" t="s">
        <v>5058</v>
      </c>
    </row>
    <row r="1531" spans="1:14">
      <c r="A1531" s="12" t="s">
        <v>718</v>
      </c>
      <c r="B1531" s="13" t="s">
        <v>827</v>
      </c>
      <c r="C1531" s="14" t="s">
        <v>5059</v>
      </c>
      <c r="D1531" s="15">
        <v>41956.354166666664</v>
      </c>
      <c r="E1531" s="16" t="s">
        <v>16</v>
      </c>
      <c r="F1531" s="16" t="s">
        <v>21</v>
      </c>
      <c r="G1531" s="17" t="s">
        <v>790</v>
      </c>
      <c r="H1531" s="17" t="s">
        <v>886</v>
      </c>
      <c r="I1531" s="13" t="s">
        <v>5060</v>
      </c>
      <c r="J1531" s="23" t="str">
        <f>HYPERLINK("CorLog\GHA\BEX\20141113 GHA BEX Electrical Q Switch disconnector for DB =0+C1 (RDC-to-GHA).msg", "Electrical Q Switch disconnector for DB =0+C1")</f>
        <v>Electrical Q Switch disconnector for DB =0+C1</v>
      </c>
      <c r="K1531" s="25" t="s">
        <v>1211</v>
      </c>
      <c r="L1531" s="19"/>
      <c r="M1531" s="20"/>
      <c r="N1531" s="21" t="s">
        <v>5061</v>
      </c>
    </row>
    <row r="1532" spans="1:14">
      <c r="A1532" s="12" t="s">
        <v>750</v>
      </c>
      <c r="B1532" s="13" t="s">
        <v>1237</v>
      </c>
      <c r="C1532" s="14" t="s">
        <v>5062</v>
      </c>
      <c r="D1532" s="15">
        <v>41955.774293981478</v>
      </c>
      <c r="E1532" s="16" t="s">
        <v>16</v>
      </c>
      <c r="F1532" s="16" t="s">
        <v>15</v>
      </c>
      <c r="G1532" s="17" t="s">
        <v>979</v>
      </c>
      <c r="H1532" s="17" t="s">
        <v>4628</v>
      </c>
      <c r="I1532" s="13" t="s">
        <v>5063</v>
      </c>
      <c r="J1532" s="23" t="str">
        <f>HYPERLINK("CorLog\RTO\Projects\20141112 RTO Projects Butterfly and Mod PWD Wall Tie Specs (JOLUKA Diameter 3 15mm) (RDC-to-).msg", "Butterfly and Mod PWD Wall Tie Specs (JOLUKA Diameter 3 15mm)")</f>
        <v>Butterfly and Mod PWD Wall Tie Specs (JOLUKA Diameter 3 15mm)</v>
      </c>
      <c r="K1532" s="25" t="s">
        <v>1499</v>
      </c>
      <c r="L1532" s="19"/>
      <c r="M1532" s="20"/>
      <c r="N1532" s="21" t="s">
        <v>5064</v>
      </c>
    </row>
    <row r="1533" spans="1:14">
      <c r="A1533" s="12" t="s">
        <v>718</v>
      </c>
      <c r="B1533" s="13" t="s">
        <v>1529</v>
      </c>
      <c r="C1533" s="14" t="s">
        <v>5065</v>
      </c>
      <c r="D1533" s="15">
        <v>41955.756249999999</v>
      </c>
      <c r="E1533" s="16" t="s">
        <v>16</v>
      </c>
      <c r="F1533" s="16" t="s">
        <v>18</v>
      </c>
      <c r="G1533" s="17" t="s">
        <v>946</v>
      </c>
      <c r="H1533" s="17" t="s">
        <v>1031</v>
      </c>
      <c r="I1533" s="13" t="s">
        <v>5066</v>
      </c>
      <c r="J1533" s="23" t="str">
        <f>HYPERLINK("CorLog\ZMB\Mongu RTO\20141112 ZMB Mongu RTO Approved borehole pump specifications (RDC-to-ZMB).msg", "Approved borehole pump specifications")</f>
        <v>Approved borehole pump specifications</v>
      </c>
      <c r="K1533" s="25" t="s">
        <v>1270</v>
      </c>
      <c r="L1533" s="19"/>
      <c r="M1533" s="20"/>
      <c r="N1533" s="21" t="s">
        <v>5067</v>
      </c>
    </row>
    <row r="1534" spans="1:14">
      <c r="A1534" s="12" t="s">
        <v>750</v>
      </c>
      <c r="B1534" s="13" t="s">
        <v>718</v>
      </c>
      <c r="C1534" s="14"/>
      <c r="D1534" s="15">
        <v>41955.68644675926</v>
      </c>
      <c r="E1534" s="16" t="s">
        <v>16</v>
      </c>
      <c r="F1534" s="16" t="s">
        <v>16</v>
      </c>
      <c r="G1534" s="17" t="s">
        <v>1432</v>
      </c>
      <c r="H1534" s="17" t="s">
        <v>5027</v>
      </c>
      <c r="I1534" s="13" t="s">
        <v>5068</v>
      </c>
      <c r="J1534" s="23" t="str">
        <f>HYPERLINK("CorLog\COD\LDC\20141112 COD LDC Brazaville MH Drainage questions (RDC-to-RDC).msg", "Brazaville MH Drainage questions")</f>
        <v>Brazaville MH Drainage questions</v>
      </c>
      <c r="K1534" s="25"/>
      <c r="L1534" s="19"/>
      <c r="M1534" s="20"/>
      <c r="N1534" s="21" t="s">
        <v>5069</v>
      </c>
    </row>
    <row r="1535" spans="1:14">
      <c r="A1535" s="12" t="s">
        <v>1818</v>
      </c>
      <c r="B1535" s="13" t="s">
        <v>1069</v>
      </c>
      <c r="C1535" s="14" t="s">
        <v>718</v>
      </c>
      <c r="D1535" s="15">
        <v>41955.658275462964</v>
      </c>
      <c r="E1535" s="16" t="s">
        <v>16</v>
      </c>
      <c r="F1535" s="16" t="s">
        <v>18</v>
      </c>
      <c r="G1535" s="17" t="s">
        <v>1070</v>
      </c>
      <c r="H1535" s="17" t="s">
        <v>947</v>
      </c>
      <c r="I1535" s="13" t="s">
        <v>5070</v>
      </c>
      <c r="J1535" s="23" t="str">
        <f>HYPERLINK("CorLog\ZMB\Katete RTO\20141112 ZMB Katete RTO Septic tank query (RDC-to-ZMB).msg", "Septic tank query")</f>
        <v>Septic tank query</v>
      </c>
      <c r="K1535" s="25" t="s">
        <v>1211</v>
      </c>
      <c r="L1535" s="19"/>
      <c r="M1535" s="20"/>
      <c r="N1535" s="21" t="s">
        <v>5071</v>
      </c>
    </row>
    <row r="1536" spans="1:14">
      <c r="A1536" s="12" t="s">
        <v>717</v>
      </c>
      <c r="B1536" s="13" t="s">
        <v>2016</v>
      </c>
      <c r="C1536" s="14" t="s">
        <v>5072</v>
      </c>
      <c r="D1536" s="15">
        <v>41955.575636574074</v>
      </c>
      <c r="E1536" s="16" t="s">
        <v>16</v>
      </c>
      <c r="F1536" s="16" t="s">
        <v>16</v>
      </c>
      <c r="G1536" s="17" t="s">
        <v>719</v>
      </c>
      <c r="H1536" s="17" t="s">
        <v>5073</v>
      </c>
      <c r="I1536" s="13" t="s">
        <v>5074</v>
      </c>
      <c r="J1536" s="23" t="str">
        <f>HYPERLINK("CorLog\Reference\20141112 Reference Hand compaction techniques - Good reference material (RDC-to-RDC).msg", "Hand compaction techniques - Good reference material")</f>
        <v>Hand compaction techniques - Good reference material</v>
      </c>
      <c r="K1536" s="25" t="s">
        <v>1243</v>
      </c>
      <c r="L1536" s="19"/>
      <c r="M1536" s="20"/>
      <c r="N1536" s="21" t="s">
        <v>5075</v>
      </c>
    </row>
    <row r="1537" spans="1:14">
      <c r="A1537" s="12" t="s">
        <v>718</v>
      </c>
      <c r="B1537" s="13" t="s">
        <v>4867</v>
      </c>
      <c r="C1537" s="14" t="s">
        <v>5076</v>
      </c>
      <c r="D1537" s="15">
        <v>41955.482638888891</v>
      </c>
      <c r="E1537" s="16" t="s">
        <v>16</v>
      </c>
      <c r="F1537" s="16" t="s">
        <v>22</v>
      </c>
      <c r="G1537" s="17" t="s">
        <v>2627</v>
      </c>
      <c r="H1537" s="17" t="s">
        <v>854</v>
      </c>
      <c r="I1537" s="13" t="s">
        <v>5077</v>
      </c>
      <c r="J1537" s="23" t="str">
        <f>HYPERLINK("CorLog\COD\Kamina RTO\20141112 COD Kamina RTO Missing Wall Ties (Option of Z-TIE ADDITIONAL) (RDC-to-COD).msg", "Missing Wall Ties (Option of Z-TIE ADDITIONAL)")</f>
        <v>Missing Wall Ties (Option of Z-TIE ADDITIONAL)</v>
      </c>
      <c r="K1537" s="25" t="s">
        <v>1274</v>
      </c>
      <c r="L1537" s="19"/>
      <c r="M1537" s="20"/>
      <c r="N1537" s="21" t="s">
        <v>5078</v>
      </c>
    </row>
    <row r="1538" spans="1:14">
      <c r="A1538" s="12" t="s">
        <v>718</v>
      </c>
      <c r="B1538" s="13" t="s">
        <v>1069</v>
      </c>
      <c r="C1538" s="14" t="s">
        <v>5079</v>
      </c>
      <c r="D1538" s="15">
        <v>41955.439583333333</v>
      </c>
      <c r="E1538" s="16" t="s">
        <v>16</v>
      </c>
      <c r="F1538" s="16" t="s">
        <v>18</v>
      </c>
      <c r="G1538" s="17" t="s">
        <v>1070</v>
      </c>
      <c r="H1538" s="17" t="s">
        <v>829</v>
      </c>
      <c r="I1538" s="13" t="s">
        <v>5080</v>
      </c>
      <c r="J1538" s="23" t="str">
        <f>HYPERLINK("CorLog\ZMB\Katete\20141112 ZMB Katete RDC review of Draft NLBR; Req-8403; Doors From China (RDC-to-ZMB).msg", "RDC review of Draft NLBR; Req-8403; Doors From China")</f>
        <v>RDC review of Draft NLBR; Req-8403; Doors From China</v>
      </c>
      <c r="K1538" s="25" t="s">
        <v>1270</v>
      </c>
      <c r="L1538" s="19"/>
      <c r="M1538" s="20"/>
      <c r="N1538" s="21" t="s">
        <v>5081</v>
      </c>
    </row>
    <row r="1539" spans="1:14">
      <c r="A1539" s="12" t="s">
        <v>718</v>
      </c>
      <c r="B1539" s="13" t="s">
        <v>2431</v>
      </c>
      <c r="C1539" s="14" t="s">
        <v>5082</v>
      </c>
      <c r="D1539" s="15">
        <v>41955.415277777778</v>
      </c>
      <c r="E1539" s="16" t="s">
        <v>16</v>
      </c>
      <c r="F1539" s="16" t="s">
        <v>22</v>
      </c>
      <c r="G1539" s="17" t="s">
        <v>785</v>
      </c>
      <c r="H1539" s="17" t="s">
        <v>1031</v>
      </c>
      <c r="I1539" s="13" t="s">
        <v>5083</v>
      </c>
      <c r="J1539" s="23" t="str">
        <f>HYPERLINK("CorLog\COD\Lubumbashi RTO\20141112 COD Lubumbashi RTO Revise New Borehole Location (RDC-to-COD).msg", "Revise New Borehole Location")</f>
        <v>Revise New Borehole Location</v>
      </c>
      <c r="K1539" s="25" t="s">
        <v>1243</v>
      </c>
      <c r="L1539" s="19"/>
      <c r="M1539" s="20"/>
      <c r="N1539" s="21" t="s">
        <v>5084</v>
      </c>
    </row>
    <row r="1540" spans="1:14">
      <c r="A1540" s="12" t="s">
        <v>718</v>
      </c>
      <c r="B1540" s="13" t="s">
        <v>827</v>
      </c>
      <c r="C1540" s="14" t="s">
        <v>5059</v>
      </c>
      <c r="D1540" s="15">
        <v>41955.369444444441</v>
      </c>
      <c r="E1540" s="16" t="s">
        <v>16</v>
      </c>
      <c r="F1540" s="16" t="s">
        <v>21</v>
      </c>
      <c r="G1540" s="17" t="s">
        <v>790</v>
      </c>
      <c r="H1540" s="17" t="s">
        <v>886</v>
      </c>
      <c r="I1540" s="13" t="s">
        <v>5060</v>
      </c>
      <c r="J1540" s="23" t="str">
        <f>HYPERLINK("CorLog\GHA\BEX\20141112 GHA BEX Electrical Q Switch disconnector for DB =0+C1 (RDC-to-GHA).msg", "Electrical Q Switch disconnector for DB =0+C1")</f>
        <v>Electrical Q Switch disconnector for DB =0+C1</v>
      </c>
      <c r="K1540" s="25" t="s">
        <v>1270</v>
      </c>
      <c r="L1540" s="19"/>
      <c r="M1540" s="20"/>
      <c r="N1540" s="21" t="s">
        <v>5085</v>
      </c>
    </row>
    <row r="1541" spans="1:14">
      <c r="A1541" s="12" t="s">
        <v>771</v>
      </c>
      <c r="B1541" s="13" t="s">
        <v>718</v>
      </c>
      <c r="C1541" s="14" t="s">
        <v>998</v>
      </c>
      <c r="D1541" s="15">
        <v>41955.111168981479</v>
      </c>
      <c r="E1541" s="16" t="s">
        <v>17</v>
      </c>
      <c r="F1541" s="16" t="s">
        <v>16</v>
      </c>
      <c r="G1541" s="17" t="s">
        <v>4606</v>
      </c>
      <c r="H1541" s="17" t="s">
        <v>1707</v>
      </c>
      <c r="I1541" s="13" t="s">
        <v>5086</v>
      </c>
      <c r="J1541" s="23" t="str">
        <f>HYPERLINK("CorLog\COD\BEX\20141112 COD BEX memos and approval history (WDC-to-RDC).msg", "memos and approval history")</f>
        <v>memos and approval history</v>
      </c>
      <c r="K1541" s="25"/>
      <c r="L1541" s="19"/>
      <c r="M1541" s="20"/>
      <c r="N1541" s="21" t="s">
        <v>5087</v>
      </c>
    </row>
    <row r="1542" spans="1:14">
      <c r="A1542" s="12" t="s">
        <v>5088</v>
      </c>
      <c r="B1542" s="13"/>
      <c r="C1542" s="14"/>
      <c r="D1542" s="15">
        <v>41955</v>
      </c>
      <c r="E1542" s="16" t="s">
        <v>17</v>
      </c>
      <c r="F1542" s="16" t="s">
        <v>15</v>
      </c>
      <c r="G1542" s="17" t="s">
        <v>2022</v>
      </c>
      <c r="H1542" s="17" t="s">
        <v>5089</v>
      </c>
      <c r="I1542" s="13" t="s">
        <v>5090</v>
      </c>
      <c r="J1542" s="23" t="str">
        <f>HYPERLINK("CorLog\Directive\20141112 Directive Policy on Office and Residence Space Designation (WDC-to-ZAF).docx", "Policy on Office and Residence Space Designation")</f>
        <v>Policy on Office and Residence Space Designation</v>
      </c>
      <c r="K1542" s="25" t="str">
        <f>HYPERLINK("CorLog\Directive\20141112 Directive Policy on Office and Residence Space Designation (WDC-to-ZAF).zip", "Zipped")</f>
        <v>Zipped</v>
      </c>
      <c r="L1542" s="19" t="s">
        <v>5091</v>
      </c>
      <c r="M1542" s="20"/>
      <c r="N1542" s="21" t="s">
        <v>5092</v>
      </c>
    </row>
    <row r="1543" spans="1:14">
      <c r="A1543" s="12" t="s">
        <v>2417</v>
      </c>
      <c r="B1543" s="13"/>
      <c r="C1543" s="14"/>
      <c r="D1543" s="15">
        <v>41955</v>
      </c>
      <c r="E1543" s="16" t="s">
        <v>22</v>
      </c>
      <c r="F1543" s="16" t="s">
        <v>15</v>
      </c>
      <c r="G1543" s="17" t="s">
        <v>785</v>
      </c>
      <c r="H1543" s="17" t="s">
        <v>2264</v>
      </c>
      <c r="I1543" s="13" t="s">
        <v>5093</v>
      </c>
      <c r="J1543" s="23" t="str">
        <f>HYPERLINK("CorLog\COD\Lubumbashi RTO\20141112 COD Lubumbashi RTO Borehole for Lubumbashi RTO (COD-to-ZAF).docx", "Borehole for Lubumbashi RTO")</f>
        <v>Borehole for Lubumbashi RTO</v>
      </c>
      <c r="K1543" s="25" t="str">
        <f>HYPERLINK("CorLog\COD\Lubumbashi RTO\20141112 COD Lubumbashi RTO Borehole for Lubumbashi RTO (COD-to-ZAF).zip", "Zipped")</f>
        <v>Zipped</v>
      </c>
      <c r="L1543" s="19" t="s">
        <v>5094</v>
      </c>
      <c r="M1543" s="20"/>
      <c r="N1543" s="21" t="s">
        <v>5095</v>
      </c>
    </row>
    <row r="1544" spans="1:14">
      <c r="A1544" s="12" t="s">
        <v>757</v>
      </c>
      <c r="B1544" s="13" t="s">
        <v>718</v>
      </c>
      <c r="C1544" s="14"/>
      <c r="D1544" s="15">
        <v>41954.655972222223</v>
      </c>
      <c r="E1544" s="16" t="s">
        <v>21</v>
      </c>
      <c r="F1544" s="16" t="s">
        <v>16</v>
      </c>
      <c r="G1544" s="17" t="s">
        <v>790</v>
      </c>
      <c r="H1544" s="17" t="s">
        <v>5046</v>
      </c>
      <c r="I1544" s="13" t="s">
        <v>5096</v>
      </c>
      <c r="J1544" s="23" t="str">
        <f>HYPERLINK("CorLog\GHA\BEX\20141111 GHA BEX New Gate Location (GHA-to-RDC).msg", "New Gate Location")</f>
        <v>New Gate Location</v>
      </c>
      <c r="K1544" s="25" t="s">
        <v>1211</v>
      </c>
      <c r="L1544" s="19"/>
      <c r="M1544" s="20"/>
      <c r="N1544" s="21" t="s">
        <v>5097</v>
      </c>
    </row>
    <row r="1545" spans="1:14">
      <c r="A1545" s="12" t="s">
        <v>4265</v>
      </c>
      <c r="B1545" s="13" t="s">
        <v>718</v>
      </c>
      <c r="C1545" s="14" t="s">
        <v>1187</v>
      </c>
      <c r="D1545" s="15">
        <v>41954.624259259261</v>
      </c>
      <c r="E1545" s="16" t="s">
        <v>15</v>
      </c>
      <c r="F1545" s="16" t="s">
        <v>16</v>
      </c>
      <c r="G1545" s="17" t="s">
        <v>1169</v>
      </c>
      <c r="H1545" s="17" t="s">
        <v>1819</v>
      </c>
      <c r="I1545" s="13" t="s">
        <v>5098</v>
      </c>
      <c r="J1545" s="23" t="str">
        <f>HYPERLINK("CorLog\COD\Kikwit RTO\20141111 COD Kikwit RTO Sewer layout (ZAF-to-RDC).msg", "Sewer layout")</f>
        <v>Sewer layout</v>
      </c>
      <c r="K1545" s="25" t="s">
        <v>1270</v>
      </c>
      <c r="L1545" s="19"/>
      <c r="M1545" s="20"/>
      <c r="N1545" s="21" t="s">
        <v>5099</v>
      </c>
    </row>
    <row r="1546" spans="1:14">
      <c r="A1546" s="12" t="s">
        <v>718</v>
      </c>
      <c r="B1546" s="13" t="s">
        <v>750</v>
      </c>
      <c r="C1546" s="14" t="s">
        <v>5100</v>
      </c>
      <c r="D1546" s="15">
        <v>41954.457638888889</v>
      </c>
      <c r="E1546" s="16" t="s">
        <v>16</v>
      </c>
      <c r="F1546" s="16" t="s">
        <v>16</v>
      </c>
      <c r="G1546" s="17" t="s">
        <v>979</v>
      </c>
      <c r="H1546" s="17" t="s">
        <v>4628</v>
      </c>
      <c r="I1546" s="13" t="s">
        <v>5101</v>
      </c>
      <c r="J1546" s="23" t="str">
        <f>HYPERLINK("CorLog\RTO\Projects\20141111 RTO Projects Admin Item No for Butterfly Wall Ties 3 15mm diameter (RFQ Rq-430917) (RDC-to-RDC).msg", "Admin Item No for Butterfly Wall Ties 3 15mm diameter (RFQ Rq-430917)")</f>
        <v>Admin Item No for Butterfly Wall Ties 3 15mm diameter (RFQ Rq-430917)</v>
      </c>
      <c r="K1546" s="25" t="s">
        <v>1243</v>
      </c>
      <c r="L1546" s="19"/>
      <c r="M1546" s="20"/>
      <c r="N1546" s="21" t="s">
        <v>5102</v>
      </c>
    </row>
    <row r="1547" spans="1:14">
      <c r="A1547" s="12" t="s">
        <v>718</v>
      </c>
      <c r="B1547" s="13" t="s">
        <v>972</v>
      </c>
      <c r="C1547" s="14" t="s">
        <v>5103</v>
      </c>
      <c r="D1547" s="15">
        <v>41954.45416666667</v>
      </c>
      <c r="E1547" s="16" t="s">
        <v>16</v>
      </c>
      <c r="F1547" s="16" t="s">
        <v>18</v>
      </c>
      <c r="G1547" s="17" t="s">
        <v>1070</v>
      </c>
      <c r="H1547" s="17" t="s">
        <v>829</v>
      </c>
      <c r="I1547" s="13" t="s">
        <v>5104</v>
      </c>
      <c r="J1547" s="23" t="str">
        <f>HYPERLINK("CorLog\ZMB\Katete RTO\20141111 ZMB Katete RTO RDC review of Draft NLBR; REQ 520-8810; Fluke Multimeter; Replacing NLBR 6087; 20141111 (RDC-to-ZMB).msg", "RDC review of Draft NLBR; REQ 520-8810; Fluke Multimeter; Replacing NLBR 6087; 20141111")</f>
        <v>RDC review of Draft NLBR; REQ 520-8810; Fluke Multimeter; Replacing NLBR 6087; 20141111</v>
      </c>
      <c r="K1547" s="25"/>
      <c r="L1547" s="19"/>
      <c r="M1547" s="20"/>
      <c r="N1547" s="21" t="s">
        <v>5105</v>
      </c>
    </row>
    <row r="1548" spans="1:14">
      <c r="A1548" s="12" t="s">
        <v>5106</v>
      </c>
      <c r="B1548" s="13" t="s">
        <v>1116</v>
      </c>
      <c r="C1548" s="14"/>
      <c r="D1548" s="15">
        <v>41954.369953703703</v>
      </c>
      <c r="E1548" s="16" t="s">
        <v>16</v>
      </c>
      <c r="F1548" s="16" t="s">
        <v>22</v>
      </c>
      <c r="G1548" s="17" t="s">
        <v>1432</v>
      </c>
      <c r="H1548" s="17" t="s">
        <v>961</v>
      </c>
      <c r="I1548" s="13" t="s">
        <v>5107</v>
      </c>
      <c r="J1548" s="23" t="str">
        <f>HYPERLINK("CorLog\COD\LDC\20141111 COD LDC Brazaville survey (RDC-to-COD).msg", "Brazaville survey")</f>
        <v>Brazaville survey</v>
      </c>
      <c r="K1548" s="25" t="s">
        <v>1211</v>
      </c>
      <c r="L1548" s="19"/>
      <c r="M1548" s="20"/>
      <c r="N1548" s="21" t="s">
        <v>5108</v>
      </c>
    </row>
    <row r="1549" spans="1:14">
      <c r="A1549" s="12" t="s">
        <v>750</v>
      </c>
      <c r="B1549" s="13" t="s">
        <v>723</v>
      </c>
      <c r="C1549" s="14" t="s">
        <v>5109</v>
      </c>
      <c r="D1549" s="15">
        <v>41953.847280092596</v>
      </c>
      <c r="E1549" s="16" t="s">
        <v>16</v>
      </c>
      <c r="F1549" s="16" t="s">
        <v>16</v>
      </c>
      <c r="G1549" s="17" t="s">
        <v>719</v>
      </c>
      <c r="H1549" s="17" t="s">
        <v>725</v>
      </c>
      <c r="I1549" s="13" t="s">
        <v>5110</v>
      </c>
      <c r="J1549" s="23" t="str">
        <f>HYPERLINK("CorLog\Reference\20141110 Reference WDC 'Not to Exceed' NTE and 'Maximum Spending' MSL Limits CDP STAGE (Meeting Notes) (RDC-to-RDC).msg", "WDC 'Not to Exceed' NTE and 'Maximum Spending' MSL Limits CDP STAGE (Meeting Notes)")</f>
        <v>WDC 'Not to Exceed' NTE and 'Maximum Spending' MSL Limits CDP STAGE (Meeting Notes)</v>
      </c>
      <c r="K1549" s="25" t="s">
        <v>1243</v>
      </c>
      <c r="L1549" s="19"/>
      <c r="M1549" s="20"/>
      <c r="N1549" s="21" t="s">
        <v>5111</v>
      </c>
    </row>
    <row r="1550" spans="1:14">
      <c r="A1550" s="12" t="s">
        <v>750</v>
      </c>
      <c r="B1550" s="13" t="s">
        <v>718</v>
      </c>
      <c r="C1550" s="14" t="s">
        <v>5112</v>
      </c>
      <c r="D1550" s="15">
        <v>41953.824155092596</v>
      </c>
      <c r="E1550" s="16" t="s">
        <v>16</v>
      </c>
      <c r="F1550" s="16" t="s">
        <v>16</v>
      </c>
      <c r="G1550" s="17" t="s">
        <v>885</v>
      </c>
      <c r="H1550" s="17" t="s">
        <v>851</v>
      </c>
      <c r="I1550" s="13" t="s">
        <v>5113</v>
      </c>
      <c r="J1550" s="23" t="str">
        <f>HYPERLINK("CorLog\ZMB\Kabompo RTO\20141110 ZMB Kabompo RTO Res Bldg SOG DCP tests 33-36 (RDC-to-RDC).msg", "Res Bldg SOG DCP tests 33-36")</f>
        <v>Res Bldg SOG DCP tests 33-36</v>
      </c>
      <c r="K1550" s="25"/>
      <c r="L1550" s="19"/>
      <c r="M1550" s="20"/>
      <c r="N1550" s="21" t="s">
        <v>5114</v>
      </c>
    </row>
    <row r="1551" spans="1:14">
      <c r="A1551" s="12" t="s">
        <v>1160</v>
      </c>
      <c r="B1551" s="13" t="s">
        <v>2016</v>
      </c>
      <c r="C1551" s="14" t="s">
        <v>724</v>
      </c>
      <c r="D1551" s="15">
        <v>41953.817777777775</v>
      </c>
      <c r="E1551" s="16" t="s">
        <v>20</v>
      </c>
      <c r="F1551" s="16" t="s">
        <v>16</v>
      </c>
      <c r="G1551" s="17" t="s">
        <v>30</v>
      </c>
      <c r="H1551" s="17" t="s">
        <v>5115</v>
      </c>
      <c r="I1551" s="13" t="s">
        <v>5116</v>
      </c>
      <c r="J1551" s="23" t="str">
        <f>HYPERLINK("CorLog\ALL\20141110 ALL Inspection of field residences (MOZ-to-RDC).msg", "Inspection of field residences")</f>
        <v>Inspection of field residences</v>
      </c>
      <c r="K1551" s="25" t="s">
        <v>1211</v>
      </c>
      <c r="L1551" s="19"/>
      <c r="M1551" s="20"/>
      <c r="N1551" s="21" t="s">
        <v>5117</v>
      </c>
    </row>
    <row r="1552" spans="1:14">
      <c r="A1552" s="12" t="s">
        <v>1529</v>
      </c>
      <c r="B1552" s="13" t="s">
        <v>750</v>
      </c>
      <c r="C1552" s="14" t="s">
        <v>5118</v>
      </c>
      <c r="D1552" s="15">
        <v>41953.489201388889</v>
      </c>
      <c r="E1552" s="16" t="s">
        <v>18</v>
      </c>
      <c r="F1552" s="16" t="s">
        <v>16</v>
      </c>
      <c r="G1552" s="17" t="s">
        <v>946</v>
      </c>
      <c r="H1552" s="17" t="s">
        <v>3453</v>
      </c>
      <c r="I1552" s="13" t="s">
        <v>5119</v>
      </c>
      <c r="J1552" s="23" t="str">
        <f>HYPERLINK("CorLog\ZMB\Mongu RTO\20141110 ZMB Mongu RTO Office Bldg Foundation Plan Query S-101 S-102 (ZMB-to-RDC).msg", "Office Bldg Foundation Plan Query S-101 S-102")</f>
        <v>Office Bldg Foundation Plan Query S-101 S-102</v>
      </c>
      <c r="K1552" s="25" t="s">
        <v>1274</v>
      </c>
      <c r="L1552" s="19"/>
      <c r="M1552" s="20"/>
      <c r="N1552" s="21" t="s">
        <v>5120</v>
      </c>
    </row>
    <row r="1553" spans="1:14">
      <c r="A1553" s="12" t="s">
        <v>1003</v>
      </c>
      <c r="B1553" s="13" t="s">
        <v>718</v>
      </c>
      <c r="C1553" s="14"/>
      <c r="D1553" s="15">
        <v>41953.444606481484</v>
      </c>
      <c r="E1553" s="16" t="s">
        <v>22</v>
      </c>
      <c r="F1553" s="16" t="s">
        <v>16</v>
      </c>
      <c r="G1553" s="17" t="s">
        <v>785</v>
      </c>
      <c r="H1553" s="17" t="s">
        <v>1031</v>
      </c>
      <c r="I1553" s="13" t="s">
        <v>5121</v>
      </c>
      <c r="J1553" s="23" t="str">
        <f>HYPERLINK("CorLog\COD\Lubumbashi RTO\20141110 COD Lubumbashi RTO Borehole Quotations (COD-to-RDC).msg", "Borehole Quotations")</f>
        <v>Borehole Quotations</v>
      </c>
      <c r="K1553" s="25" t="s">
        <v>2761</v>
      </c>
      <c r="L1553" s="19"/>
      <c r="M1553" s="20"/>
      <c r="N1553" s="21" t="s">
        <v>5122</v>
      </c>
    </row>
    <row r="1554" spans="1:14">
      <c r="A1554" s="12" t="s">
        <v>718</v>
      </c>
      <c r="B1554" s="13" t="s">
        <v>1337</v>
      </c>
      <c r="C1554" s="14" t="s">
        <v>5123</v>
      </c>
      <c r="D1554" s="15">
        <v>41953.444444444445</v>
      </c>
      <c r="E1554" s="16" t="s">
        <v>16</v>
      </c>
      <c r="F1554" s="16" t="s">
        <v>18</v>
      </c>
      <c r="G1554" s="17" t="s">
        <v>885</v>
      </c>
      <c r="H1554" s="17" t="s">
        <v>886</v>
      </c>
      <c r="I1554" s="13" t="s">
        <v>5124</v>
      </c>
      <c r="J1554" s="23" t="str">
        <f>HYPERLINK("CorLog\ZMB\Kabompo RTO\20141110 ZMB Kabompo RTO Battery type for DC UPS (RDC-to-ZMB).msg", "Battery type for DC UPS")</f>
        <v>Battery type for DC UPS</v>
      </c>
      <c r="K1554" s="25"/>
      <c r="L1554" s="19"/>
      <c r="M1554" s="20"/>
      <c r="N1554" s="21" t="s">
        <v>5125</v>
      </c>
    </row>
    <row r="1555" spans="1:14">
      <c r="A1555" s="12" t="s">
        <v>718</v>
      </c>
      <c r="B1555" s="13" t="s">
        <v>750</v>
      </c>
      <c r="C1555" s="14" t="s">
        <v>5126</v>
      </c>
      <c r="D1555" s="15">
        <v>41953.363194444442</v>
      </c>
      <c r="E1555" s="16" t="s">
        <v>16</v>
      </c>
      <c r="F1555" s="16" t="s">
        <v>16</v>
      </c>
      <c r="G1555" s="17" t="s">
        <v>790</v>
      </c>
      <c r="H1555" s="17" t="s">
        <v>4245</v>
      </c>
      <c r="I1555" s="13" t="s">
        <v>5127</v>
      </c>
      <c r="J1555" s="23" t="str">
        <f>HYPERLINK("CorLog\GHA\BEX\20141110 GHA BEX Water Damage to Fence (more photos) (RDC-to-RDC).msg", "Water Damage to Fence (more photos)")</f>
        <v>Water Damage to Fence (more photos)</v>
      </c>
      <c r="K1555" s="25" t="s">
        <v>1270</v>
      </c>
      <c r="L1555" s="19"/>
      <c r="M1555" s="20"/>
      <c r="N1555" s="21" t="s">
        <v>5128</v>
      </c>
    </row>
    <row r="1556" spans="1:14">
      <c r="A1556" s="12" t="s">
        <v>4639</v>
      </c>
      <c r="B1556" s="13"/>
      <c r="C1556" s="14"/>
      <c r="D1556" s="15">
        <v>41953</v>
      </c>
      <c r="E1556" s="16" t="s">
        <v>21</v>
      </c>
      <c r="F1556" s="16" t="s">
        <v>15</v>
      </c>
      <c r="G1556" s="17" t="s">
        <v>823</v>
      </c>
      <c r="H1556" s="17" t="s">
        <v>1858</v>
      </c>
      <c r="I1556" s="13" t="s">
        <v>4882</v>
      </c>
      <c r="J1556" s="23" t="str">
        <f>HYPERLINK("CorLog\GHA\LDC\20141110 GHA LDC Standard Two-Level Kingdom Hall Design for Ghana (GHA-to-ZAF).docx", "Standard Two-Level Kingdom Hall Design for Ghana")</f>
        <v>Standard Two-Level Kingdom Hall Design for Ghana</v>
      </c>
      <c r="K1556" s="25" t="str">
        <f>HYPERLINK("CorLog\GHA\LDC\20141110 GHA LDC Standard Two-Level Kingdom Hall Design for Ghana (GHA-to-ZAF).zip", "Zipped")</f>
        <v>Zipped</v>
      </c>
      <c r="L1556" s="19" t="s">
        <v>2014</v>
      </c>
      <c r="M1556" s="20"/>
      <c r="N1556" s="21" t="s">
        <v>4883</v>
      </c>
    </row>
    <row r="1557" spans="1:14">
      <c r="A1557" s="12" t="s">
        <v>998</v>
      </c>
      <c r="B1557" s="13" t="s">
        <v>1003</v>
      </c>
      <c r="C1557" s="14" t="s">
        <v>771</v>
      </c>
      <c r="D1557" s="15">
        <v>41952.86954861111</v>
      </c>
      <c r="E1557" s="16" t="s">
        <v>17</v>
      </c>
      <c r="F1557" s="16" t="s">
        <v>22</v>
      </c>
      <c r="G1557" s="17" t="s">
        <v>4606</v>
      </c>
      <c r="H1557" s="17" t="s">
        <v>1707</v>
      </c>
      <c r="I1557" s="13" t="s">
        <v>5129</v>
      </c>
      <c r="J1557" s="23" t="str">
        <f>HYPERLINK("CorLog\COD\BEX\20141109 COD BEX PWG Agenda 2014-11-07 docx (WDC-to-COD).msg", "PWG Agenda 2014-11-07 docx")</f>
        <v>PWG Agenda 2014-11-07 docx</v>
      </c>
      <c r="K1557" s="25"/>
      <c r="L1557" s="19"/>
      <c r="M1557" s="20"/>
      <c r="N1557" s="21" t="s">
        <v>5130</v>
      </c>
    </row>
    <row r="1558" spans="1:14">
      <c r="A1558" s="12" t="s">
        <v>827</v>
      </c>
      <c r="B1558" s="13" t="s">
        <v>718</v>
      </c>
      <c r="C1558" s="14" t="s">
        <v>757</v>
      </c>
      <c r="D1558" s="15">
        <v>41952.835266203707</v>
      </c>
      <c r="E1558" s="16" t="s">
        <v>21</v>
      </c>
      <c r="F1558" s="16" t="s">
        <v>16</v>
      </c>
      <c r="G1558" s="17" t="s">
        <v>790</v>
      </c>
      <c r="H1558" s="17" t="s">
        <v>903</v>
      </c>
      <c r="I1558" s="13" t="s">
        <v>5131</v>
      </c>
      <c r="J1558" s="23" t="str">
        <f>HYPERLINK("CorLog\GHA\BEX\20141109 GHA BEX Damage to Fence on South Side (GHA-to-RDC).msg", "Damage to Fence on South Side")</f>
        <v>Damage to Fence on South Side</v>
      </c>
      <c r="K1558" s="25" t="s">
        <v>1274</v>
      </c>
      <c r="L1558" s="19"/>
      <c r="M1558" s="20"/>
      <c r="N1558" s="21" t="s">
        <v>5132</v>
      </c>
    </row>
    <row r="1559" spans="1:14">
      <c r="A1559" s="12" t="s">
        <v>827</v>
      </c>
      <c r="B1559" s="13" t="s">
        <v>718</v>
      </c>
      <c r="C1559" s="14"/>
      <c r="D1559" s="15">
        <v>41950.796018518522</v>
      </c>
      <c r="E1559" s="16" t="s">
        <v>21</v>
      </c>
      <c r="F1559" s="16" t="s">
        <v>16</v>
      </c>
      <c r="G1559" s="17" t="s">
        <v>790</v>
      </c>
      <c r="H1559" s="17" t="s">
        <v>1277</v>
      </c>
      <c r="I1559" s="13" t="s">
        <v>5133</v>
      </c>
      <c r="J1559" s="23" t="str">
        <f>HYPERLINK("CorLog\GHA\BEX\20141107 GHA BEX Waste Water Analysis Pond inlet &amp; outlet (GHA-to-RDC).msg", "Waste Water Analysis Pond inlet &amp; outlet")</f>
        <v>Waste Water Analysis Pond inlet &amp; outlet</v>
      </c>
      <c r="K1559" s="25" t="s">
        <v>1211</v>
      </c>
      <c r="L1559" s="19"/>
      <c r="M1559" s="20"/>
      <c r="N1559" s="21" t="s">
        <v>5134</v>
      </c>
    </row>
    <row r="1560" spans="1:14">
      <c r="A1560" s="12" t="s">
        <v>827</v>
      </c>
      <c r="B1560" s="13" t="s">
        <v>718</v>
      </c>
      <c r="C1560" s="14" t="s">
        <v>757</v>
      </c>
      <c r="D1560" s="15">
        <v>41950.778055555558</v>
      </c>
      <c r="E1560" s="16" t="s">
        <v>21</v>
      </c>
      <c r="F1560" s="16" t="s">
        <v>16</v>
      </c>
      <c r="G1560" s="17" t="s">
        <v>790</v>
      </c>
      <c r="H1560" s="17" t="s">
        <v>781</v>
      </c>
      <c r="I1560" s="13" t="s">
        <v>5135</v>
      </c>
      <c r="J1560" s="23" t="str">
        <f>HYPERLINK("CorLog\GHA\BEX\20141107 GHA BEX New Arrangement for BCL (GHA-to-RDC).msg", "New Arrangement for BCL")</f>
        <v>New Arrangement for BCL</v>
      </c>
      <c r="K1560" s="25" t="s">
        <v>1270</v>
      </c>
      <c r="L1560" s="19"/>
      <c r="M1560" s="20"/>
      <c r="N1560" s="21" t="s">
        <v>5136</v>
      </c>
    </row>
    <row r="1561" spans="1:14">
      <c r="A1561" s="12" t="s">
        <v>718</v>
      </c>
      <c r="B1561" s="13" t="s">
        <v>771</v>
      </c>
      <c r="C1561" s="14"/>
      <c r="D1561" s="15">
        <v>41950.663194444445</v>
      </c>
      <c r="E1561" s="16" t="s">
        <v>16</v>
      </c>
      <c r="F1561" s="16" t="s">
        <v>17</v>
      </c>
      <c r="G1561" s="17" t="s">
        <v>4606</v>
      </c>
      <c r="H1561" s="17" t="s">
        <v>1707</v>
      </c>
      <c r="I1561" s="13" t="s">
        <v>5086</v>
      </c>
      <c r="J1561" s="23" t="str">
        <f>HYPERLINK("CorLog\COD\BEX\20141107 COD BEX memos and approval history (RDC-to-WDC).msg", "memos and approval history")</f>
        <v>memos and approval history</v>
      </c>
      <c r="K1561" s="25" t="s">
        <v>5137</v>
      </c>
      <c r="L1561" s="19"/>
      <c r="M1561" s="20"/>
      <c r="N1561" s="21" t="s">
        <v>5138</v>
      </c>
    </row>
    <row r="1562" spans="1:14">
      <c r="A1562" s="12"/>
      <c r="B1562" s="13"/>
      <c r="C1562" s="14"/>
      <c r="D1562" s="15">
        <v>41950.660520833335</v>
      </c>
      <c r="E1562" s="16" t="s">
        <v>22</v>
      </c>
      <c r="F1562" s="16" t="s">
        <v>15</v>
      </c>
      <c r="G1562" s="17" t="s">
        <v>4606</v>
      </c>
      <c r="H1562" s="17" t="s">
        <v>1867</v>
      </c>
      <c r="I1562" s="13" t="s">
        <v>5139</v>
      </c>
      <c r="J1562" s="23" t="str">
        <f>HYPERLINK("CorLog\COD\BEX\20141107 COD BEX COD Choral Studio; CDP for review by BC &amp; AV (COD-to-ZAF).docx", "COD Choral Studio; CDP for review by BC &amp; AV")</f>
        <v>COD Choral Studio; CDP for review by BC &amp; AV</v>
      </c>
      <c r="K1562" s="25" t="str">
        <f>HYPERLINK("CorLog\COD\BEX\20141107 COD BEX COD Choral Studio; CDP for review by BC &amp; AV (COD-to-ZAF).zip", "Zipped")</f>
        <v>Zipped</v>
      </c>
      <c r="L1562" s="19"/>
      <c r="M1562" s="20"/>
      <c r="N1562" s="21"/>
    </row>
    <row r="1563" spans="1:14">
      <c r="A1563" s="12"/>
      <c r="B1563" s="13"/>
      <c r="C1563" s="14"/>
      <c r="D1563" s="15">
        <v>41950.656180555554</v>
      </c>
      <c r="E1563" s="16" t="s">
        <v>22</v>
      </c>
      <c r="F1563" s="16" t="s">
        <v>25</v>
      </c>
      <c r="G1563" s="17" t="s">
        <v>4606</v>
      </c>
      <c r="H1563" s="17" t="s">
        <v>1707</v>
      </c>
      <c r="I1563" s="13" t="s">
        <v>5140</v>
      </c>
      <c r="J1563" s="23" t="str">
        <f>HYPERLINK("CorLog\COD\BEX\20141107 COD BEX New Editing Offices in Shipping Area (COD-to-WHQ).docx", "New Editing Offices in Shipping Area")</f>
        <v>New Editing Offices in Shipping Area</v>
      </c>
      <c r="K1563" s="25" t="str">
        <f>HYPERLINK("CorLog\COD\BEX\20141107 COD BEX New Editing Offices in Shipping Area (COD-to-WHQ).zip", "Zipped")</f>
        <v>Zipped</v>
      </c>
      <c r="L1563" s="19"/>
      <c r="M1563" s="20"/>
      <c r="N1563" s="21" t="s">
        <v>5141</v>
      </c>
    </row>
    <row r="1564" spans="1:14">
      <c r="A1564" s="12" t="s">
        <v>795</v>
      </c>
      <c r="B1564" s="13" t="s">
        <v>718</v>
      </c>
      <c r="C1564" s="14"/>
      <c r="D1564" s="15">
        <v>41950.366967592592</v>
      </c>
      <c r="E1564" s="16" t="s">
        <v>16</v>
      </c>
      <c r="F1564" s="16" t="s">
        <v>16</v>
      </c>
      <c r="G1564" s="17" t="s">
        <v>885</v>
      </c>
      <c r="H1564" s="17" t="s">
        <v>1178</v>
      </c>
      <c r="I1564" s="13" t="s">
        <v>5142</v>
      </c>
      <c r="J1564" s="23" t="str">
        <f>HYPERLINK("CorLog\ZMB\Kabompo RTO\20141107 ZMB Kabompo RTO Question regarding Floats for Fuel Tanks of Gensets (RDC-to-RDC).msg", "Question regarding Floats for Fuel Tanks of Gensets")</f>
        <v>Question regarding Floats for Fuel Tanks of Gensets</v>
      </c>
      <c r="K1564" s="25" t="s">
        <v>1270</v>
      </c>
      <c r="L1564" s="19"/>
      <c r="M1564" s="20"/>
      <c r="N1564" s="21" t="s">
        <v>5143</v>
      </c>
    </row>
    <row r="1565" spans="1:14">
      <c r="A1565" s="12" t="s">
        <v>757</v>
      </c>
      <c r="B1565" s="13" t="s">
        <v>718</v>
      </c>
      <c r="C1565" s="14"/>
      <c r="D1565" s="15">
        <v>41949.926736111112</v>
      </c>
      <c r="E1565" s="16" t="s">
        <v>21</v>
      </c>
      <c r="F1565" s="16" t="s">
        <v>16</v>
      </c>
      <c r="G1565" s="17" t="s">
        <v>790</v>
      </c>
      <c r="H1565" s="17" t="s">
        <v>2242</v>
      </c>
      <c r="I1565" s="13" t="s">
        <v>5144</v>
      </c>
      <c r="J1565" s="23" t="str">
        <f>HYPERLINK("CorLog\GHA\BEX\20141106 GHA BEX Site Pictures (GHA-to-RDC).msg", "Site Pictures")</f>
        <v>Site Pictures</v>
      </c>
      <c r="K1565" s="25" t="s">
        <v>1274</v>
      </c>
      <c r="L1565" s="19"/>
      <c r="M1565" s="20"/>
      <c r="N1565" s="21" t="s">
        <v>5145</v>
      </c>
    </row>
    <row r="1566" spans="1:14">
      <c r="A1566" s="12" t="s">
        <v>5146</v>
      </c>
      <c r="B1566" s="13" t="s">
        <v>964</v>
      </c>
      <c r="C1566" s="14" t="s">
        <v>5147</v>
      </c>
      <c r="D1566" s="15">
        <v>41949.871712962966</v>
      </c>
      <c r="E1566" s="16" t="s">
        <v>25</v>
      </c>
      <c r="F1566" s="16" t="s">
        <v>16</v>
      </c>
      <c r="G1566" s="17" t="s">
        <v>738</v>
      </c>
      <c r="H1566" s="17" t="s">
        <v>5148</v>
      </c>
      <c r="I1566" s="13" t="s">
        <v>5149</v>
      </c>
      <c r="J1566" s="23" t="str">
        <f>HYPERLINK("CorLog\GHA\BEX 2\20141106 GHA BEX 2 Ghana evaluation and PV Diesel systems (WHQ-to-RDC).msg", "Ghana evaluation and PV Diesel systems")</f>
        <v>Ghana evaluation and PV Diesel systems</v>
      </c>
      <c r="K1566" s="25" t="s">
        <v>5150</v>
      </c>
      <c r="L1566" s="19"/>
      <c r="M1566" s="20"/>
      <c r="N1566" s="21" t="s">
        <v>5151</v>
      </c>
    </row>
    <row r="1567" spans="1:14">
      <c r="A1567" s="12" t="s">
        <v>1818</v>
      </c>
      <c r="B1567" s="13" t="s">
        <v>750</v>
      </c>
      <c r="C1567" s="14"/>
      <c r="D1567" s="15">
        <v>41949.679884259262</v>
      </c>
      <c r="E1567" s="16" t="s">
        <v>16</v>
      </c>
      <c r="F1567" s="16" t="s">
        <v>16</v>
      </c>
      <c r="G1567" s="17" t="s">
        <v>946</v>
      </c>
      <c r="H1567" s="17" t="s">
        <v>5152</v>
      </c>
      <c r="I1567" s="13" t="s">
        <v>5153</v>
      </c>
      <c r="J1567" s="23" t="str">
        <f>HYPERLINK("CorLog\ZMB\Mongu RTO\20141106 ZMB Mongu RTO Septic tanks in series (RDC-to-RDC).msg", "Septic tanks in series")</f>
        <v>Septic tanks in series</v>
      </c>
      <c r="K1567" s="25" t="s">
        <v>1270</v>
      </c>
      <c r="L1567" s="19"/>
      <c r="M1567" s="20"/>
      <c r="N1567" s="21" t="s">
        <v>5154</v>
      </c>
    </row>
    <row r="1568" spans="1:14">
      <c r="A1568" s="12" t="s">
        <v>718</v>
      </c>
      <c r="B1568" s="13" t="s">
        <v>1069</v>
      </c>
      <c r="C1568" s="14" t="s">
        <v>972</v>
      </c>
      <c r="D1568" s="15">
        <v>41949.678472222222</v>
      </c>
      <c r="E1568" s="16" t="s">
        <v>16</v>
      </c>
      <c r="F1568" s="16" t="s">
        <v>18</v>
      </c>
      <c r="G1568" s="17" t="s">
        <v>979</v>
      </c>
      <c r="H1568" s="17" t="s">
        <v>4628</v>
      </c>
      <c r="I1568" s="13" t="s">
        <v>5155</v>
      </c>
      <c r="J1568" s="23" t="str">
        <f>HYPERLINK("CorLog\RTO\Projects\20141106 RTO Projects Butterfly Wall Ties - 2.5mm vs. 3.15mm diameter (MONGU KAMINA) (RDC-to-ZMB).msg", "Butterfly Wall Ties - 2.5mm vs. 3.15mm diameter (MONGU KAMINA)")</f>
        <v>Butterfly Wall Ties - 2.5mm vs. 3.15mm diameter (MONGU KAMINA)</v>
      </c>
      <c r="K1568" s="25" t="s">
        <v>1499</v>
      </c>
      <c r="L1568" s="19"/>
      <c r="M1568" s="20"/>
      <c r="N1568" s="21" t="s">
        <v>5156</v>
      </c>
    </row>
    <row r="1569" spans="1:14">
      <c r="A1569" s="12" t="s">
        <v>750</v>
      </c>
      <c r="B1569" s="13" t="s">
        <v>1069</v>
      </c>
      <c r="C1569" s="14" t="s">
        <v>5157</v>
      </c>
      <c r="D1569" s="15">
        <v>41949.675856481481</v>
      </c>
      <c r="E1569" s="16" t="s">
        <v>16</v>
      </c>
      <c r="F1569" s="16" t="s">
        <v>18</v>
      </c>
      <c r="G1569" s="17" t="s">
        <v>1070</v>
      </c>
      <c r="H1569" s="17" t="s">
        <v>851</v>
      </c>
      <c r="I1569" s="13" t="s">
        <v>5158</v>
      </c>
      <c r="J1569" s="23" t="str">
        <f>HYPERLINK("CorLog\ZMB\Katete\20141106 ZMB Katete DCP WFF EAST (Boundary Wall) (RDC-to-ZMB).msg", "DCP WFF EAST (Boundary Wall)")</f>
        <v>DCP WFF EAST (Boundary Wall)</v>
      </c>
      <c r="K1569" s="25"/>
      <c r="L1569" s="19"/>
      <c r="M1569" s="20"/>
      <c r="N1569" s="21" t="s">
        <v>5159</v>
      </c>
    </row>
    <row r="1570" spans="1:14">
      <c r="A1570" s="12" t="s">
        <v>718</v>
      </c>
      <c r="B1570" s="13" t="s">
        <v>827</v>
      </c>
      <c r="C1570" s="14" t="s">
        <v>4922</v>
      </c>
      <c r="D1570" s="15">
        <v>41949.571527777778</v>
      </c>
      <c r="E1570" s="16" t="s">
        <v>16</v>
      </c>
      <c r="F1570" s="16" t="s">
        <v>21</v>
      </c>
      <c r="G1570" s="17" t="s">
        <v>790</v>
      </c>
      <c r="H1570" s="17" t="s">
        <v>854</v>
      </c>
      <c r="I1570" s="13" t="s">
        <v>5160</v>
      </c>
      <c r="J1570" s="23" t="str">
        <f>HYPERLINK("CorLog\GHA\BEX\20141106 GHA BEX Mechanical Room Louvre Lintel query (NEEDED) (RDC-to-GHA).msg", "Mechanical Room Louvre Lintel query (NEEDED)")</f>
        <v>Mechanical Room Louvre Lintel query (NEEDED)</v>
      </c>
      <c r="K1570" s="25" t="s">
        <v>1274</v>
      </c>
      <c r="L1570" s="19"/>
      <c r="M1570" s="20"/>
      <c r="N1570" s="21" t="s">
        <v>5161</v>
      </c>
    </row>
    <row r="1571" spans="1:14">
      <c r="A1571" s="12" t="s">
        <v>2016</v>
      </c>
      <c r="B1571" s="13" t="s">
        <v>717</v>
      </c>
      <c r="C1571" s="14" t="s">
        <v>5162</v>
      </c>
      <c r="D1571" s="15">
        <v>41949.548437500001</v>
      </c>
      <c r="E1571" s="16" t="s">
        <v>16</v>
      </c>
      <c r="F1571" s="16" t="s">
        <v>16</v>
      </c>
      <c r="G1571" s="17" t="s">
        <v>30</v>
      </c>
      <c r="H1571" s="17" t="s">
        <v>1612</v>
      </c>
      <c r="I1571" s="13" t="s">
        <v>5163</v>
      </c>
      <c r="J1571" s="23" t="str">
        <f>HYPERLINK("CorLog\ALL\20141106 ALL Handle questions on renovations, major vs minor (RDC-to-RDC).msg", "Handle questions on renovations, major vs minor")</f>
        <v>Handle questions on renovations, major vs minor</v>
      </c>
      <c r="K1571" s="25"/>
      <c r="L1571" s="19"/>
      <c r="M1571" s="20"/>
      <c r="N1571" s="21" t="s">
        <v>5164</v>
      </c>
    </row>
    <row r="1572" spans="1:14">
      <c r="A1572" s="12" t="s">
        <v>718</v>
      </c>
      <c r="B1572" s="13" t="s">
        <v>827</v>
      </c>
      <c r="C1572" s="14" t="s">
        <v>1515</v>
      </c>
      <c r="D1572" s="15">
        <v>41949.472222222219</v>
      </c>
      <c r="E1572" s="16" t="s">
        <v>16</v>
      </c>
      <c r="F1572" s="16" t="s">
        <v>21</v>
      </c>
      <c r="G1572" s="17" t="s">
        <v>790</v>
      </c>
      <c r="H1572" s="17" t="s">
        <v>4628</v>
      </c>
      <c r="I1572" s="13" t="s">
        <v>5165</v>
      </c>
      <c r="J1572" s="23" t="str">
        <f>HYPERLINK("CorLog\GHA\BEX\20141106 GHA BEX Cavity at control joint location (No Change) (RDC-to-GHA).msg", "Cavity at control joint location (No Change)")</f>
        <v>Cavity at control joint location (No Change)</v>
      </c>
      <c r="K1572" s="25" t="s">
        <v>1243</v>
      </c>
      <c r="L1572" s="19"/>
      <c r="M1572" s="20"/>
      <c r="N1572" s="21" t="s">
        <v>5166</v>
      </c>
    </row>
    <row r="1573" spans="1:14">
      <c r="A1573" s="12" t="s">
        <v>718</v>
      </c>
      <c r="B1573" s="13" t="s">
        <v>1069</v>
      </c>
      <c r="C1573" s="14" t="s">
        <v>4768</v>
      </c>
      <c r="D1573" s="15">
        <v>41949.433333333334</v>
      </c>
      <c r="E1573" s="16" t="s">
        <v>16</v>
      </c>
      <c r="F1573" s="16" t="s">
        <v>18</v>
      </c>
      <c r="G1573" s="17" t="s">
        <v>1070</v>
      </c>
      <c r="H1573" s="17" t="s">
        <v>1040</v>
      </c>
      <c r="I1573" s="13" t="s">
        <v>5167</v>
      </c>
      <c r="J1573" s="23" t="str">
        <f>HYPERLINK("CorLog\ZMB\Katete RTO\20141106 ZMB Katete RTO Re-issue of LV-S-102-S3 dwg 6 Nov 2014 (RDC-to-ZMB).msg", "Re-issue of LV-S-102-S3 dwg 6 Nov 2014")</f>
        <v>Re-issue of LV-S-102-S3 dwg 6 Nov 2014</v>
      </c>
      <c r="K1573" s="25"/>
      <c r="L1573" s="19"/>
      <c r="M1573" s="20"/>
      <c r="N1573" s="21" t="s">
        <v>5168</v>
      </c>
    </row>
    <row r="1574" spans="1:14">
      <c r="A1574" s="12" t="s">
        <v>718</v>
      </c>
      <c r="B1574" s="13" t="s">
        <v>1069</v>
      </c>
      <c r="C1574" s="14" t="s">
        <v>5169</v>
      </c>
      <c r="D1574" s="15">
        <v>41949.390972222223</v>
      </c>
      <c r="E1574" s="16" t="s">
        <v>16</v>
      </c>
      <c r="F1574" s="16" t="s">
        <v>18</v>
      </c>
      <c r="G1574" s="17" t="s">
        <v>1070</v>
      </c>
      <c r="H1574" s="17" t="s">
        <v>1040</v>
      </c>
      <c r="I1574" s="13" t="s">
        <v>5167</v>
      </c>
      <c r="J1574" s="23" t="str">
        <f>HYPERLINK("CorLog\ZMB\Katete RTO\20141106 ZMB Katete RTO Re-issue of LV-S-102-S3 dwg 6 Nov 2014 (RDC-to-ZMB).msg", "Re-issue of LV-S-102-S3 dwg 6 Nov 2014")</f>
        <v>Re-issue of LV-S-102-S3 dwg 6 Nov 2014</v>
      </c>
      <c r="K1574" s="25" t="s">
        <v>1211</v>
      </c>
      <c r="L1574" s="19"/>
      <c r="M1574" s="20"/>
      <c r="N1574" s="21" t="s">
        <v>5170</v>
      </c>
    </row>
    <row r="1575" spans="1:14">
      <c r="A1575" s="12" t="s">
        <v>750</v>
      </c>
      <c r="B1575" s="13" t="s">
        <v>724</v>
      </c>
      <c r="C1575" s="14" t="s">
        <v>5171</v>
      </c>
      <c r="D1575" s="15">
        <v>41948.593807870369</v>
      </c>
      <c r="E1575" s="16" t="s">
        <v>16</v>
      </c>
      <c r="F1575" s="16" t="s">
        <v>16</v>
      </c>
      <c r="G1575" s="17" t="s">
        <v>979</v>
      </c>
      <c r="H1575" s="17" t="s">
        <v>3088</v>
      </c>
      <c r="I1575" s="13" t="s">
        <v>5172</v>
      </c>
      <c r="J1575" s="23" t="str">
        <f>HYPERLINK("CorLog\RTO\Projects\20141105 RTO Projects CONCEPTUAL ESTIMATE WDC FORMS (RDC-to-RDC).msg", "CONCEPTUAL ESTIMATE WDC FORMS")</f>
        <v>CONCEPTUAL ESTIMATE WDC FORMS</v>
      </c>
      <c r="K1575" s="25" t="s">
        <v>1499</v>
      </c>
      <c r="L1575" s="19"/>
      <c r="M1575" s="20"/>
      <c r="N1575" s="21" t="s">
        <v>5173</v>
      </c>
    </row>
    <row r="1576" spans="1:14">
      <c r="A1576" s="12" t="s">
        <v>718</v>
      </c>
      <c r="B1576" s="13" t="s">
        <v>1337</v>
      </c>
      <c r="C1576" s="14" t="s">
        <v>4673</v>
      </c>
      <c r="D1576" s="15">
        <v>41948.455555555556</v>
      </c>
      <c r="E1576" s="16" t="s">
        <v>16</v>
      </c>
      <c r="F1576" s="16" t="s">
        <v>18</v>
      </c>
      <c r="G1576" s="17" t="s">
        <v>885</v>
      </c>
      <c r="H1576" s="17" t="s">
        <v>1178</v>
      </c>
      <c r="I1576" s="13" t="s">
        <v>5142</v>
      </c>
      <c r="J1576" s="23" t="str">
        <f>HYPERLINK("CorLog\ZMB\Kabompo RTO\20141105 ZMB Kabompo RTO Question regarding Floats for Fuel Tanks of Gensets (RDC-to-ZMB).msg", "Question regarding Floats for Fuel Tanks of Gensets")</f>
        <v>Question regarding Floats for Fuel Tanks of Gensets</v>
      </c>
      <c r="K1576" s="25" t="s">
        <v>1369</v>
      </c>
      <c r="L1576" s="19"/>
      <c r="M1576" s="20"/>
      <c r="N1576" s="21" t="s">
        <v>5174</v>
      </c>
    </row>
    <row r="1577" spans="1:14">
      <c r="A1577" s="12" t="s">
        <v>718</v>
      </c>
      <c r="B1577" s="13" t="s">
        <v>4867</v>
      </c>
      <c r="C1577" s="14" t="s">
        <v>972</v>
      </c>
      <c r="D1577" s="15">
        <v>41948.336805555555</v>
      </c>
      <c r="E1577" s="16" t="s">
        <v>16</v>
      </c>
      <c r="F1577" s="16" t="s">
        <v>22</v>
      </c>
      <c r="G1577" s="17" t="s">
        <v>979</v>
      </c>
      <c r="H1577" s="17" t="s">
        <v>2412</v>
      </c>
      <c r="I1577" s="13" t="s">
        <v>5175</v>
      </c>
      <c r="J1577" s="23" t="str">
        <f>HYPERLINK("CorLog\RTO\Projects\20141105 RTO Projects Cook Chill equipment--complete order (RDC-to-COD).msg", "Cook Chill equipment--complete order")</f>
        <v>Cook Chill equipment--complete order</v>
      </c>
      <c r="K1577" s="25" t="s">
        <v>1243</v>
      </c>
      <c r="L1577" s="19"/>
      <c r="M1577" s="20"/>
      <c r="N1577" s="21" t="s">
        <v>5176</v>
      </c>
    </row>
    <row r="1578" spans="1:14">
      <c r="A1578" s="12" t="s">
        <v>4550</v>
      </c>
      <c r="B1578" s="13"/>
      <c r="C1578" s="14"/>
      <c r="D1578" s="15">
        <v>41948</v>
      </c>
      <c r="E1578" s="16" t="s">
        <v>17</v>
      </c>
      <c r="F1578" s="16" t="s">
        <v>15</v>
      </c>
      <c r="G1578" s="17" t="s">
        <v>30</v>
      </c>
      <c r="H1578" s="17" t="s">
        <v>5177</v>
      </c>
      <c r="I1578" s="13" t="s">
        <v>5178</v>
      </c>
      <c r="J1578" s="23" t="str">
        <f>HYPERLINK("CorLog\ALL\20141105 ALL Start-Up Budget for Projects (WDC-to-ZAF).docx", "Start-Up Budget for Projects")</f>
        <v>Start-Up Budget for Projects</v>
      </c>
      <c r="K1578" s="25"/>
      <c r="L1578" s="19"/>
      <c r="M1578" s="20"/>
      <c r="N1578" s="21" t="s">
        <v>5179</v>
      </c>
    </row>
    <row r="1579" spans="1:14">
      <c r="A1579" s="12" t="s">
        <v>778</v>
      </c>
      <c r="B1579" s="13" t="s">
        <v>717</v>
      </c>
      <c r="C1579" s="14" t="s">
        <v>724</v>
      </c>
      <c r="D1579" s="15">
        <v>41947.870682870373</v>
      </c>
      <c r="E1579" s="16" t="s">
        <v>17</v>
      </c>
      <c r="F1579" s="16" t="s">
        <v>16</v>
      </c>
      <c r="G1579" s="17" t="s">
        <v>738</v>
      </c>
      <c r="H1579" s="17" t="s">
        <v>781</v>
      </c>
      <c r="I1579" s="13" t="s">
        <v>5180</v>
      </c>
      <c r="J1579" s="23" t="str">
        <f>HYPERLINK("CorLog\GHA\BEX 2\20141104 GHA BEX 2 Ghana RTO plumber - Donnelly (WDC-to-RDC).msg", "Ghana RTO plumber - Donnelly")</f>
        <v>Ghana RTO plumber - Donnelly</v>
      </c>
      <c r="K1579" s="25"/>
      <c r="L1579" s="19"/>
      <c r="M1579" s="20"/>
      <c r="N1579" s="21" t="s">
        <v>5181</v>
      </c>
    </row>
    <row r="1580" spans="1:14">
      <c r="A1580" s="12" t="s">
        <v>718</v>
      </c>
      <c r="B1580" s="13" t="s">
        <v>1069</v>
      </c>
      <c r="C1580" s="14" t="s">
        <v>5182</v>
      </c>
      <c r="D1580" s="15">
        <v>41947.62777777778</v>
      </c>
      <c r="E1580" s="16" t="s">
        <v>16</v>
      </c>
      <c r="F1580" s="16" t="s">
        <v>18</v>
      </c>
      <c r="G1580" s="17" t="s">
        <v>1070</v>
      </c>
      <c r="H1580" s="17" t="s">
        <v>4815</v>
      </c>
      <c r="I1580" s="13" t="s">
        <v>5183</v>
      </c>
      <c r="J1580" s="23" t="str">
        <f>HYPERLINK("CorLog\ZMB\Katete RTO\20141104 ZMB Katete RTO Revised AFC &amp; Rebar bending schedules (RDC-to-ZMB).msg", "Revised AFC &amp; Rebar bending schedules")</f>
        <v>Revised AFC &amp; Rebar bending schedules</v>
      </c>
      <c r="K1580" s="25" t="s">
        <v>1274</v>
      </c>
      <c r="L1580" s="19"/>
      <c r="M1580" s="20"/>
      <c r="N1580" s="21" t="s">
        <v>5184</v>
      </c>
    </row>
    <row r="1581" spans="1:14">
      <c r="A1581" s="12" t="s">
        <v>718</v>
      </c>
      <c r="B1581" s="13" t="s">
        <v>827</v>
      </c>
      <c r="C1581" s="14" t="s">
        <v>4922</v>
      </c>
      <c r="D1581" s="15">
        <v>41947.4</v>
      </c>
      <c r="E1581" s="16" t="s">
        <v>16</v>
      </c>
      <c r="F1581" s="16" t="s">
        <v>21</v>
      </c>
      <c r="G1581" s="17" t="s">
        <v>790</v>
      </c>
      <c r="H1581" s="17" t="s">
        <v>1153</v>
      </c>
      <c r="I1581" s="13" t="s">
        <v>5185</v>
      </c>
      <c r="J1581" s="23" t="str">
        <f>HYPERLINK("CorLog\GHA\BEX\20141104 GHA BEX Retaining wall at walkway and steps (Approved) (RDC-to-GHA).msg", "Retaining wall at walkway and steps (Approved)")</f>
        <v>Retaining wall at walkway and steps (Approved)</v>
      </c>
      <c r="K1581" s="25" t="s">
        <v>1243</v>
      </c>
      <c r="L1581" s="19"/>
      <c r="M1581" s="20"/>
      <c r="N1581" s="21" t="s">
        <v>5186</v>
      </c>
    </row>
    <row r="1582" spans="1:14">
      <c r="A1582" s="12" t="s">
        <v>750</v>
      </c>
      <c r="B1582" s="13" t="s">
        <v>718</v>
      </c>
      <c r="C1582" s="14" t="s">
        <v>916</v>
      </c>
      <c r="D1582" s="15">
        <v>41947.367222222223</v>
      </c>
      <c r="E1582" s="16" t="s">
        <v>16</v>
      </c>
      <c r="F1582" s="16" t="s">
        <v>16</v>
      </c>
      <c r="G1582" s="17" t="s">
        <v>790</v>
      </c>
      <c r="H1582" s="17" t="s">
        <v>1153</v>
      </c>
      <c r="I1582" s="13" t="s">
        <v>5187</v>
      </c>
      <c r="J1582" s="23" t="str">
        <f>HYPERLINK("CorLog\GHA\BEX\20141104 GHA BEX Retaining wall at walkway and steps (Proposal) (RDC-to-RDC).msg", "Retaining wall at walkway and steps (Proposal)")</f>
        <v>Retaining wall at walkway and steps (Proposal)</v>
      </c>
      <c r="K1582" s="25" t="s">
        <v>1274</v>
      </c>
      <c r="L1582" s="19"/>
      <c r="M1582" s="20"/>
      <c r="N1582" s="21" t="s">
        <v>5188</v>
      </c>
    </row>
    <row r="1583" spans="1:14">
      <c r="A1583" s="12" t="s">
        <v>718</v>
      </c>
      <c r="B1583" s="13" t="s">
        <v>1969</v>
      </c>
      <c r="C1583" s="14" t="s">
        <v>5189</v>
      </c>
      <c r="D1583" s="15">
        <v>41947.356249999997</v>
      </c>
      <c r="E1583" s="16" t="s">
        <v>16</v>
      </c>
      <c r="F1583" s="16" t="s">
        <v>22</v>
      </c>
      <c r="G1583" s="17" t="s">
        <v>2627</v>
      </c>
      <c r="H1583" s="17" t="s">
        <v>803</v>
      </c>
      <c r="I1583" s="13" t="s">
        <v>5190</v>
      </c>
      <c r="J1583" s="23" t="str">
        <f>HYPERLINK("CorLog\COD\Kamina RTO\20141104 COD Kamina RTO Re-issue drawing S-102 (RDC-to-COD).msg", "Re-issue drawing S-102")</f>
        <v>Re-issue drawing S-102</v>
      </c>
      <c r="K1583" s="25" t="s">
        <v>1243</v>
      </c>
      <c r="L1583" s="19"/>
      <c r="M1583" s="20"/>
      <c r="N1583" s="21" t="s">
        <v>5191</v>
      </c>
    </row>
    <row r="1584" spans="1:14">
      <c r="A1584" s="12" t="s">
        <v>750</v>
      </c>
      <c r="B1584" s="13" t="s">
        <v>1337</v>
      </c>
      <c r="C1584" s="14" t="s">
        <v>5192</v>
      </c>
      <c r="D1584" s="15">
        <v>41946.859305555554</v>
      </c>
      <c r="E1584" s="16" t="s">
        <v>16</v>
      </c>
      <c r="F1584" s="16" t="s">
        <v>18</v>
      </c>
      <c r="G1584" s="17" t="s">
        <v>885</v>
      </c>
      <c r="H1584" s="17" t="s">
        <v>851</v>
      </c>
      <c r="I1584" s="13" t="s">
        <v>5193</v>
      </c>
      <c r="J1584" s="23" t="str">
        <f>HYPERLINK("CorLog\ZMB\Kabompo RTO\20141103 ZMB Kabompo RTO 1st Car Park slab DCP Test OK (RDC-to-ZMB).msg", "1st Car Park slab DCP Test OK")</f>
        <v>1st Car Park slab DCP Test OK</v>
      </c>
      <c r="K1584" s="25"/>
      <c r="L1584" s="19"/>
      <c r="M1584" s="20"/>
      <c r="N1584" s="21" t="s">
        <v>5194</v>
      </c>
    </row>
    <row r="1585" spans="1:14">
      <c r="A1585" s="12" t="s">
        <v>750</v>
      </c>
      <c r="B1585" s="13" t="s">
        <v>1337</v>
      </c>
      <c r="C1585" s="14" t="s">
        <v>4927</v>
      </c>
      <c r="D1585" s="15">
        <v>41946.856435185182</v>
      </c>
      <c r="E1585" s="16" t="s">
        <v>16</v>
      </c>
      <c r="F1585" s="16" t="s">
        <v>18</v>
      </c>
      <c r="G1585" s="17" t="s">
        <v>885</v>
      </c>
      <c r="H1585" s="17" t="s">
        <v>851</v>
      </c>
      <c r="I1585" s="13" t="s">
        <v>5195</v>
      </c>
      <c r="J1585" s="23" t="str">
        <f>HYPERLINK("CorLog\ZMB\Kabompo RTO\20141103 ZMB Kabompo RTO Res Bldg DCP Test results SOG OK (RDC-to-ZMB).msg", "Res Bldg DCP Test results SOG OK")</f>
        <v>Res Bldg DCP Test results SOG OK</v>
      </c>
      <c r="K1585" s="25"/>
      <c r="L1585" s="19"/>
      <c r="M1585" s="20"/>
      <c r="N1585" s="21" t="s">
        <v>5196</v>
      </c>
    </row>
    <row r="1586" spans="1:14">
      <c r="A1586" s="12" t="s">
        <v>1818</v>
      </c>
      <c r="B1586" s="13" t="s">
        <v>718</v>
      </c>
      <c r="C1586" s="14" t="s">
        <v>750</v>
      </c>
      <c r="D1586" s="15">
        <v>41946.645578703705</v>
      </c>
      <c r="E1586" s="16" t="s">
        <v>16</v>
      </c>
      <c r="F1586" s="16" t="s">
        <v>16</v>
      </c>
      <c r="G1586" s="17" t="s">
        <v>1169</v>
      </c>
      <c r="H1586" s="17" t="s">
        <v>1819</v>
      </c>
      <c r="I1586" s="13" t="s">
        <v>5197</v>
      </c>
      <c r="J1586" s="23" t="str">
        <f>HYPERLINK("CorLog\COD\Kikwit RTO\20141103 COD Kikwit RTO WSP civil design coordination--bulk earthworks and stormwater drainage (RDC-to-RDC).msg", "WSP civil design coordination--bulk earthworks and stormwater drainage")</f>
        <v>WSP civil design coordination--bulk earthworks and stormwater drainage</v>
      </c>
      <c r="K1586" s="25"/>
      <c r="L1586" s="19"/>
      <c r="M1586" s="20"/>
      <c r="N1586" s="21" t="s">
        <v>5198</v>
      </c>
    </row>
    <row r="1587" spans="1:14">
      <c r="A1587" s="12" t="s">
        <v>795</v>
      </c>
      <c r="B1587" s="13" t="s">
        <v>1818</v>
      </c>
      <c r="C1587" s="14"/>
      <c r="D1587" s="15">
        <v>41946.490983796299</v>
      </c>
      <c r="E1587" s="16" t="s">
        <v>16</v>
      </c>
      <c r="F1587" s="16" t="s">
        <v>16</v>
      </c>
      <c r="G1587" s="17" t="s">
        <v>885</v>
      </c>
      <c r="H1587" s="17" t="s">
        <v>2688</v>
      </c>
      <c r="I1587" s="13" t="s">
        <v>5199</v>
      </c>
      <c r="J1587" s="23" t="str">
        <f>HYPERLINK("CorLog\ZMB\Kabompo RTO\20141103 ZMB Kabompo RTO Revised C-103 utilities plan Layout (RDC-to-RDC).msg", "Revised C-103 utilities plan Layout")</f>
        <v>Revised C-103 utilities plan Layout</v>
      </c>
      <c r="K1587" s="25" t="s">
        <v>1211</v>
      </c>
      <c r="L1587" s="19"/>
      <c r="M1587" s="20"/>
      <c r="N1587" s="21" t="s">
        <v>5200</v>
      </c>
    </row>
    <row r="1588" spans="1:14">
      <c r="A1588" s="12" t="s">
        <v>5201</v>
      </c>
      <c r="B1588" s="13" t="s">
        <v>2631</v>
      </c>
      <c r="C1588" s="14"/>
      <c r="D1588" s="15">
        <v>41946.350011574075</v>
      </c>
      <c r="E1588" s="16" t="s">
        <v>15</v>
      </c>
      <c r="F1588" s="16" t="s">
        <v>15</v>
      </c>
      <c r="G1588" s="17" t="s">
        <v>1169</v>
      </c>
      <c r="H1588" s="17" t="s">
        <v>871</v>
      </c>
      <c r="I1588" s="13" t="s">
        <v>5202</v>
      </c>
      <c r="J1588" s="23" t="str">
        <f>HYPERLINK("CorLog\COD\Kikwit RTO\20141103 COD Kikwit RTO Container lists, need them soon!!! (ZAF-to-ZAF).msg", "Container lists, need them soon!!!")</f>
        <v>Container lists, need them soon!!!</v>
      </c>
      <c r="K1588" s="25"/>
      <c r="L1588" s="19"/>
      <c r="M1588" s="20"/>
      <c r="N1588" s="21" t="s">
        <v>5203</v>
      </c>
    </row>
    <row r="1589" spans="1:14">
      <c r="A1589" s="12" t="s">
        <v>718</v>
      </c>
      <c r="B1589" s="13" t="s">
        <v>821</v>
      </c>
      <c r="C1589" s="14" t="s">
        <v>4410</v>
      </c>
      <c r="D1589" s="15">
        <v>41946.329861111109</v>
      </c>
      <c r="E1589" s="16" t="s">
        <v>16</v>
      </c>
      <c r="F1589" s="16" t="s">
        <v>21</v>
      </c>
      <c r="G1589" s="17" t="s">
        <v>738</v>
      </c>
      <c r="H1589" s="17" t="s">
        <v>5204</v>
      </c>
      <c r="I1589" s="13" t="s">
        <v>5205</v>
      </c>
      <c r="J1589" s="23" t="str">
        <f>HYPERLINK("CorLog\GHA\BEX 2\20141103 GHA BEX 2 Example photos of fold-down louvred shade awnings (RDC-to-GHA).msg", "Example photos of fold-down louvred shade awnings")</f>
        <v>Example photos of fold-down louvred shade awnings</v>
      </c>
      <c r="K1589" s="25" t="s">
        <v>1274</v>
      </c>
      <c r="L1589" s="19"/>
      <c r="M1589" s="20"/>
      <c r="N1589" s="21" t="s">
        <v>5206</v>
      </c>
    </row>
    <row r="1590" spans="1:14">
      <c r="A1590" s="12" t="s">
        <v>717</v>
      </c>
      <c r="B1590" s="13" t="s">
        <v>5207</v>
      </c>
      <c r="C1590" s="14" t="s">
        <v>1710</v>
      </c>
      <c r="D1590" s="15">
        <v>41945.861886574072</v>
      </c>
      <c r="E1590" s="16" t="s">
        <v>16</v>
      </c>
      <c r="F1590" s="16" t="s">
        <v>16</v>
      </c>
      <c r="G1590" s="17" t="s">
        <v>30</v>
      </c>
      <c r="H1590" s="17" t="s">
        <v>5208</v>
      </c>
      <c r="I1590" s="13" t="s">
        <v>5209</v>
      </c>
      <c r="J1590" s="23" t="str">
        <f>HYPERLINK("CorLog\ALL\20141102 ALL TO apartment standard plans (RDC-to-RDC).msg", "TO apartment standard plans")</f>
        <v>TO apartment standard plans</v>
      </c>
      <c r="K1590" s="25" t="s">
        <v>1482</v>
      </c>
      <c r="L1590" s="19"/>
      <c r="M1590" s="20"/>
      <c r="N1590" s="21" t="s">
        <v>5210</v>
      </c>
    </row>
    <row r="1591" spans="1:14">
      <c r="A1591" s="12" t="s">
        <v>827</v>
      </c>
      <c r="B1591" s="13" t="s">
        <v>718</v>
      </c>
      <c r="C1591" s="14" t="s">
        <v>5211</v>
      </c>
      <c r="D1591" s="15">
        <v>41943.781967592593</v>
      </c>
      <c r="E1591" s="16" t="s">
        <v>21</v>
      </c>
      <c r="F1591" s="16" t="s">
        <v>16</v>
      </c>
      <c r="G1591" s="17" t="s">
        <v>790</v>
      </c>
      <c r="H1591" s="17" t="s">
        <v>930</v>
      </c>
      <c r="I1591" s="13" t="s">
        <v>5212</v>
      </c>
      <c r="J1591" s="23" t="str">
        <f>HYPERLINK("CorLog\GHA\BEX\20141031 GHA BEX Costs - Sheets at Water Treatment and Gen Bldg (GHA-to-RDC).msg", "Costs - Sheets at Water Treatment and Gen Bldg")</f>
        <v>Costs - Sheets at Water Treatment and Gen Bldg</v>
      </c>
      <c r="K1591" s="25"/>
      <c r="L1591" s="19"/>
      <c r="M1591" s="20"/>
      <c r="N1591" s="21" t="s">
        <v>5213</v>
      </c>
    </row>
    <row r="1592" spans="1:14">
      <c r="A1592" s="12" t="s">
        <v>1310</v>
      </c>
      <c r="B1592" s="13" t="s">
        <v>1761</v>
      </c>
      <c r="C1592" s="14"/>
      <c r="D1592" s="15">
        <v>41943.689652777779</v>
      </c>
      <c r="E1592" s="16" t="s">
        <v>16</v>
      </c>
      <c r="F1592" s="16" t="s">
        <v>16</v>
      </c>
      <c r="G1592" s="17" t="s">
        <v>719</v>
      </c>
      <c r="H1592" s="17" t="s">
        <v>725</v>
      </c>
      <c r="I1592" s="13" t="s">
        <v>5214</v>
      </c>
      <c r="J1592" s="23" t="str">
        <f>HYPERLINK("CorLog\Reference\20141031 Reference Cash floats or use of personal debit credit card (RDC-to-RDC).msg", "Cash floats or use of personal debit credit card")</f>
        <v>Cash floats or use of personal debit credit card</v>
      </c>
      <c r="K1592" s="25"/>
      <c r="L1592" s="19"/>
      <c r="M1592" s="20"/>
      <c r="N1592" s="21" t="s">
        <v>5215</v>
      </c>
    </row>
    <row r="1593" spans="1:14">
      <c r="A1593" s="12" t="s">
        <v>750</v>
      </c>
      <c r="B1593" s="13" t="s">
        <v>718</v>
      </c>
      <c r="C1593" s="14"/>
      <c r="D1593" s="15">
        <v>41943.679467592592</v>
      </c>
      <c r="E1593" s="16" t="s">
        <v>16</v>
      </c>
      <c r="F1593" s="16" t="s">
        <v>16</v>
      </c>
      <c r="G1593" s="17" t="s">
        <v>738</v>
      </c>
      <c r="H1593" s="17" t="s">
        <v>5000</v>
      </c>
      <c r="I1593" s="13" t="s">
        <v>5216</v>
      </c>
      <c r="J1593" s="23" t="str">
        <f>HYPERLINK("CorLog\GHA\BEX 2\20141031 GHA BEX 2 GHA PV (Solar) Power (MI analyze GPES proposal Cost-Benefit ) (RDC-to-RDC).msg", "GHA PV (Solar) Power (MI analyze GPES proposal Cost-Benefit )")</f>
        <v>GHA PV (Solar) Power (MI analyze GPES proposal Cost-Benefit )</v>
      </c>
      <c r="K1593" s="25"/>
      <c r="L1593" s="19"/>
      <c r="M1593" s="20"/>
      <c r="N1593" s="21" t="s">
        <v>5217</v>
      </c>
    </row>
    <row r="1594" spans="1:14">
      <c r="A1594" s="12" t="s">
        <v>771</v>
      </c>
      <c r="B1594" s="13" t="s">
        <v>718</v>
      </c>
      <c r="C1594" s="14" t="s">
        <v>5218</v>
      </c>
      <c r="D1594" s="15">
        <v>41943.609733796293</v>
      </c>
      <c r="E1594" s="16" t="s">
        <v>17</v>
      </c>
      <c r="F1594" s="16" t="s">
        <v>16</v>
      </c>
      <c r="G1594" s="17" t="s">
        <v>4606</v>
      </c>
      <c r="H1594" s="17" t="s">
        <v>1867</v>
      </c>
      <c r="I1594" s="13" t="s">
        <v>5219</v>
      </c>
      <c r="J1594" s="23" t="str">
        <f>HYPERLINK("CorLog\COD\BEX\20141031 COD BEX BC conceptual comments (WDC-to-RDC).msg", "BC conceptual comments")</f>
        <v>BC conceptual comments</v>
      </c>
      <c r="K1594" s="25" t="s">
        <v>1243</v>
      </c>
      <c r="L1594" s="19"/>
      <c r="M1594" s="20"/>
      <c r="N1594" s="21" t="s">
        <v>5220</v>
      </c>
    </row>
    <row r="1595" spans="1:14">
      <c r="A1595" s="12" t="s">
        <v>718</v>
      </c>
      <c r="B1595" s="13" t="s">
        <v>1529</v>
      </c>
      <c r="C1595" s="14" t="s">
        <v>5221</v>
      </c>
      <c r="D1595" s="15">
        <v>41943.592361111114</v>
      </c>
      <c r="E1595" s="16" t="s">
        <v>16</v>
      </c>
      <c r="F1595" s="16" t="s">
        <v>18</v>
      </c>
      <c r="G1595" s="17" t="s">
        <v>946</v>
      </c>
      <c r="H1595" s="17" t="s">
        <v>5222</v>
      </c>
      <c r="I1595" s="13" t="s">
        <v>5223</v>
      </c>
      <c r="J1595" s="23" t="str">
        <f>HYPERLINK("CorLog\ZMB\Mongu RTO\20141031 ZMB Mongu RTO Tuffa Tank order--how to process (RDC-to-ZMB).msg", "Tuffa Tank order--how to process")</f>
        <v>Tuffa Tank order--how to process</v>
      </c>
      <c r="K1595" s="25" t="s">
        <v>1211</v>
      </c>
      <c r="L1595" s="19"/>
      <c r="M1595" s="20"/>
      <c r="N1595" s="21" t="s">
        <v>5224</v>
      </c>
    </row>
    <row r="1596" spans="1:14">
      <c r="A1596" s="12" t="s">
        <v>718</v>
      </c>
      <c r="B1596" s="13" t="s">
        <v>972</v>
      </c>
      <c r="C1596" s="14" t="s">
        <v>5225</v>
      </c>
      <c r="D1596" s="15">
        <v>41943.556250000001</v>
      </c>
      <c r="E1596" s="16" t="s">
        <v>16</v>
      </c>
      <c r="F1596" s="16" t="s">
        <v>18</v>
      </c>
      <c r="G1596" s="17" t="s">
        <v>1070</v>
      </c>
      <c r="H1596" s="17" t="s">
        <v>829</v>
      </c>
      <c r="I1596" s="13" t="s">
        <v>5226</v>
      </c>
      <c r="J1596" s="23" t="str">
        <f>HYPERLINK("CorLog\ZMB\Katete RTO\20141031 ZMB Katete RTO RDC review of Draft NLBR; Req-520-8583; Plumbing; Orenco; Geotextile, Tuffa (RDC-to-ZMB).msg", "RDC review of Draft NLBR; Req-520-8583; Plumbing; Orenco; Geotextile, Tuffa")</f>
        <v>RDC review of Draft NLBR; Req-520-8583; Plumbing; Orenco; Geotextile, Tuffa</v>
      </c>
      <c r="K1596" s="25" t="s">
        <v>1243</v>
      </c>
      <c r="L1596" s="19"/>
      <c r="M1596" s="20"/>
      <c r="N1596" s="21" t="s">
        <v>5227</v>
      </c>
    </row>
    <row r="1597" spans="1:14">
      <c r="A1597" s="12" t="s">
        <v>718</v>
      </c>
      <c r="B1597" s="13" t="s">
        <v>1337</v>
      </c>
      <c r="C1597" s="14" t="s">
        <v>5228</v>
      </c>
      <c r="D1597" s="15">
        <v>41943.484027777777</v>
      </c>
      <c r="E1597" s="16" t="s">
        <v>16</v>
      </c>
      <c r="F1597" s="16" t="s">
        <v>18</v>
      </c>
      <c r="G1597" s="17" t="s">
        <v>885</v>
      </c>
      <c r="H1597" s="17" t="s">
        <v>5229</v>
      </c>
      <c r="I1597" s="13" t="s">
        <v>5230</v>
      </c>
      <c r="J1597" s="23" t="str">
        <f>HYPERLINK("CorLog\ZMB\Kabompo RTO\20141031 ZMB Kabompo RTO FS A-401 &amp; A-602 Kitchen layout update (RDC-to-ZMB).msg", "FS A-401 &amp; A-602 Kitchen layout update")</f>
        <v>FS A-401 &amp; A-602 Kitchen layout update</v>
      </c>
      <c r="K1597" s="25" t="s">
        <v>1270</v>
      </c>
      <c r="L1597" s="19"/>
      <c r="M1597" s="20"/>
      <c r="N1597" s="21" t="s">
        <v>5231</v>
      </c>
    </row>
    <row r="1598" spans="1:14">
      <c r="A1598" s="12" t="s">
        <v>718</v>
      </c>
      <c r="B1598" s="13" t="s">
        <v>4867</v>
      </c>
      <c r="C1598" s="14" t="s">
        <v>5232</v>
      </c>
      <c r="D1598" s="15">
        <v>41943.47152777778</v>
      </c>
      <c r="E1598" s="16" t="s">
        <v>16</v>
      </c>
      <c r="F1598" s="16" t="s">
        <v>22</v>
      </c>
      <c r="G1598" s="17" t="s">
        <v>2627</v>
      </c>
      <c r="H1598" s="17" t="s">
        <v>5229</v>
      </c>
      <c r="I1598" s="13" t="s">
        <v>5233</v>
      </c>
      <c r="J1598" s="23" t="str">
        <f>HYPERLINK("CorLog\COD\Kamina RTO\20141031 COD Kamina RTO FS A-401 &amp; A-602 Revised Kitchen Layout (RDC-to-COD).msg", "FS A-401 &amp; A-602 Revised Kitchen Layout")</f>
        <v>FS A-401 &amp; A-602 Revised Kitchen Layout</v>
      </c>
      <c r="K1598" s="25" t="s">
        <v>1270</v>
      </c>
      <c r="L1598" s="19"/>
      <c r="M1598" s="20"/>
      <c r="N1598" s="21" t="s">
        <v>5234</v>
      </c>
    </row>
    <row r="1599" spans="1:14">
      <c r="A1599" s="12" t="s">
        <v>827</v>
      </c>
      <c r="B1599" s="13" t="s">
        <v>718</v>
      </c>
      <c r="C1599" s="14" t="s">
        <v>757</v>
      </c>
      <c r="D1599" s="15">
        <v>41943.446284722224</v>
      </c>
      <c r="E1599" s="16" t="s">
        <v>21</v>
      </c>
      <c r="F1599" s="16" t="s">
        <v>16</v>
      </c>
      <c r="G1599" s="17" t="s">
        <v>730</v>
      </c>
      <c r="H1599" s="17" t="s">
        <v>953</v>
      </c>
      <c r="I1599" s="13" t="s">
        <v>5235</v>
      </c>
      <c r="J1599" s="23" t="str">
        <f>HYPERLINK("CorLog\GHA\Baatsona SKE\20141031 GHA Baatsona SKE Tender Documents Review Part 2 (GHA-to-RDC).msg", "Tender Documents Review Part 2")</f>
        <v>Tender Documents Review Part 2</v>
      </c>
      <c r="K1599" s="25"/>
      <c r="L1599" s="19"/>
      <c r="M1599" s="20"/>
      <c r="N1599" s="21" t="s">
        <v>5236</v>
      </c>
    </row>
    <row r="1600" spans="1:14">
      <c r="A1600" s="12" t="s">
        <v>718</v>
      </c>
      <c r="B1600" s="13" t="s">
        <v>757</v>
      </c>
      <c r="C1600" s="14" t="s">
        <v>1818</v>
      </c>
      <c r="D1600" s="15">
        <v>41943.393055555556</v>
      </c>
      <c r="E1600" s="16" t="s">
        <v>16</v>
      </c>
      <c r="F1600" s="16" t="s">
        <v>21</v>
      </c>
      <c r="G1600" s="17" t="s">
        <v>857</v>
      </c>
      <c r="H1600" s="17" t="s">
        <v>3586</v>
      </c>
      <c r="I1600" s="13" t="s">
        <v>5237</v>
      </c>
      <c r="J1600" s="23" t="str">
        <f>HYPERLINK("CorLog\GHA\Kikam RTO\20141031 GHA Kikam RTO Proposed site layout drawing, to enable temp setup (RDC-to-GHA).msg", "Proposed site layout drawing, to enable temp setup")</f>
        <v>Proposed site layout drawing, to enable temp setup</v>
      </c>
      <c r="K1600" s="25" t="s">
        <v>1211</v>
      </c>
      <c r="L1600" s="19"/>
      <c r="M1600" s="20"/>
      <c r="N1600" s="21" t="s">
        <v>5238</v>
      </c>
    </row>
    <row r="1601" spans="1:14">
      <c r="A1601" s="12" t="s">
        <v>817</v>
      </c>
      <c r="B1601" s="13"/>
      <c r="C1601" s="14"/>
      <c r="D1601" s="15">
        <v>41943</v>
      </c>
      <c r="E1601" s="16" t="s">
        <v>15</v>
      </c>
      <c r="F1601" s="16" t="s">
        <v>18</v>
      </c>
      <c r="G1601" s="17" t="s">
        <v>780</v>
      </c>
      <c r="H1601" s="17" t="s">
        <v>2384</v>
      </c>
      <c r="I1601" s="13" t="s">
        <v>1539</v>
      </c>
      <c r="J1601" s="23" t="str">
        <f>HYPERLINK("CorLog\ZMB\LDC\20141031 ZMB LDC Zambia Assembly Hall Overall Plan (ZAF-to-ZMB).docx", "Zambia Assembly Hall Overall Plan")</f>
        <v>Zambia Assembly Hall Overall Plan</v>
      </c>
      <c r="K1601" s="23"/>
      <c r="L1601" s="19"/>
      <c r="M1601" s="20"/>
      <c r="N1601" s="21" t="s">
        <v>5239</v>
      </c>
    </row>
    <row r="1602" spans="1:14">
      <c r="A1602" s="12" t="s">
        <v>2417</v>
      </c>
      <c r="B1602" s="13"/>
      <c r="C1602" s="14"/>
      <c r="D1602" s="15">
        <v>41943</v>
      </c>
      <c r="E1602" s="16" t="s">
        <v>15</v>
      </c>
      <c r="F1602" s="16" t="s">
        <v>18</v>
      </c>
      <c r="G1602" s="17" t="s">
        <v>1070</v>
      </c>
      <c r="H1602" s="17" t="s">
        <v>803</v>
      </c>
      <c r="I1602" s="13" t="s">
        <v>5240</v>
      </c>
      <c r="J1602" s="23" t="str">
        <f>HYPERLINK("CorLog\ZMB\Katete RTO\20141031 ZMB Katete RTO ZMB Katete RTO - AFC Drawing Package Issued (ZAF-to-ZMB).docx", "ZMB Katete RTO - AFC Drawing Package Issued")</f>
        <v>ZMB Katete RTO - AFC Drawing Package Issued</v>
      </c>
      <c r="K1602" s="25"/>
      <c r="L1602" s="19"/>
      <c r="M1602" s="20"/>
      <c r="N1602" s="21" t="s">
        <v>5241</v>
      </c>
    </row>
    <row r="1603" spans="1:14">
      <c r="A1603" s="12" t="s">
        <v>821</v>
      </c>
      <c r="B1603" s="13" t="s">
        <v>718</v>
      </c>
      <c r="C1603" s="14" t="s">
        <v>5242</v>
      </c>
      <c r="D1603" s="15">
        <v>41942.781875000001</v>
      </c>
      <c r="E1603" s="16" t="s">
        <v>21</v>
      </c>
      <c r="F1603" s="16" t="s">
        <v>16</v>
      </c>
      <c r="G1603" s="17" t="s">
        <v>738</v>
      </c>
      <c r="H1603" s="17" t="s">
        <v>1993</v>
      </c>
      <c r="I1603" s="13" t="s">
        <v>5243</v>
      </c>
      <c r="J1603" s="23" t="str">
        <f>HYPERLINK("CorLog\GHA\BEX 2\20141030 GHA BEX 2 Current Seniority Ghana Bethel (GHA-to-RDC).msg", "Current Seniority Ghana Bethel")</f>
        <v>Current Seniority Ghana Bethel</v>
      </c>
      <c r="K1603" s="25"/>
      <c r="L1603" s="19"/>
      <c r="M1603" s="20"/>
      <c r="N1603" s="21" t="s">
        <v>5244</v>
      </c>
    </row>
    <row r="1604" spans="1:14">
      <c r="A1604" s="12" t="s">
        <v>2612</v>
      </c>
      <c r="B1604" s="13" t="s">
        <v>718</v>
      </c>
      <c r="C1604" s="14"/>
      <c r="D1604" s="15">
        <v>41942.765451388892</v>
      </c>
      <c r="E1604" s="16" t="s">
        <v>21</v>
      </c>
      <c r="F1604" s="16" t="s">
        <v>16</v>
      </c>
      <c r="G1604" s="17" t="s">
        <v>730</v>
      </c>
      <c r="H1604" s="17" t="s">
        <v>953</v>
      </c>
      <c r="I1604" s="13" t="s">
        <v>5245</v>
      </c>
      <c r="J1604" s="23" t="str">
        <f>HYPERLINK("CorLog\GHA\Baatsona SKE\20141030 GHA Baatsona SKE Revised Drawings &amp; Tender Info- Final review RDC (GHA-to-RDC).msg", "Revised Drawings &amp; Tender Info- Final review RDC")</f>
        <v>Revised Drawings &amp; Tender Info- Final review RDC</v>
      </c>
      <c r="K1604" s="25"/>
      <c r="L1604" s="19"/>
      <c r="M1604" s="20"/>
      <c r="N1604" s="21" t="s">
        <v>5246</v>
      </c>
    </row>
    <row r="1605" spans="1:14">
      <c r="A1605" s="12" t="s">
        <v>718</v>
      </c>
      <c r="B1605" s="13" t="s">
        <v>827</v>
      </c>
      <c r="C1605" s="14" t="s">
        <v>4922</v>
      </c>
      <c r="D1605" s="15">
        <v>41942.760416666664</v>
      </c>
      <c r="E1605" s="16" t="s">
        <v>16</v>
      </c>
      <c r="F1605" s="16" t="s">
        <v>21</v>
      </c>
      <c r="G1605" s="17" t="s">
        <v>790</v>
      </c>
      <c r="H1605" s="17" t="s">
        <v>4628</v>
      </c>
      <c r="I1605" s="13" t="s">
        <v>5247</v>
      </c>
      <c r="J1605" s="23" t="str">
        <f>HYPERLINK("CorLog\GHA\BEX\20141030 GHA BEX Control joints Queries (RDC-to-GHA).msg", "Control joints Queries")</f>
        <v>Control joints Queries</v>
      </c>
      <c r="K1605" s="25" t="s">
        <v>1499</v>
      </c>
      <c r="L1605" s="19"/>
      <c r="M1605" s="20"/>
      <c r="N1605" s="21" t="s">
        <v>5248</v>
      </c>
    </row>
    <row r="1606" spans="1:14">
      <c r="A1606" s="12" t="s">
        <v>821</v>
      </c>
      <c r="B1606" s="13" t="s">
        <v>718</v>
      </c>
      <c r="C1606" s="14" t="s">
        <v>750</v>
      </c>
      <c r="D1606" s="15">
        <v>41942.749710648146</v>
      </c>
      <c r="E1606" s="16" t="s">
        <v>21</v>
      </c>
      <c r="F1606" s="16" t="s">
        <v>16</v>
      </c>
      <c r="G1606" s="17" t="s">
        <v>738</v>
      </c>
      <c r="H1606" s="17" t="s">
        <v>781</v>
      </c>
      <c r="I1606" s="13" t="s">
        <v>5249</v>
      </c>
      <c r="J1606" s="23" t="str">
        <f>HYPERLINK("CorLog\GHA\BEX 2\20141030 GHA BEX 2 Thank you all for profitable meeting (GHA-to-RDC).msg", "Thank you all for profitable meeting")</f>
        <v>Thank you all for profitable meeting</v>
      </c>
      <c r="K1606" s="25"/>
      <c r="L1606" s="19"/>
      <c r="M1606" s="20"/>
      <c r="N1606" s="21" t="s">
        <v>5250</v>
      </c>
    </row>
    <row r="1607" spans="1:14">
      <c r="A1607" s="12" t="s">
        <v>3215</v>
      </c>
      <c r="B1607" s="13" t="s">
        <v>718</v>
      </c>
      <c r="C1607" s="14" t="s">
        <v>750</v>
      </c>
      <c r="D1607" s="15">
        <v>41942.74726851852</v>
      </c>
      <c r="E1607" s="16" t="s">
        <v>21</v>
      </c>
      <c r="F1607" s="16" t="s">
        <v>16</v>
      </c>
      <c r="G1607" s="17" t="s">
        <v>738</v>
      </c>
      <c r="H1607" s="17" t="s">
        <v>781</v>
      </c>
      <c r="I1607" s="13" t="s">
        <v>5249</v>
      </c>
      <c r="J1607" s="23" t="str">
        <f>HYPERLINK("CorLog\GHA\BEX 2\20141030 GHA BEX 2 Thank you all for profitable meeting (GHA-to-RDC).msg", "Thank you all for profitable meeting")</f>
        <v>Thank you all for profitable meeting</v>
      </c>
      <c r="K1607" s="25"/>
      <c r="L1607" s="19"/>
      <c r="M1607" s="20"/>
      <c r="N1607" s="21" t="s">
        <v>5251</v>
      </c>
    </row>
    <row r="1608" spans="1:14">
      <c r="A1608" s="12" t="s">
        <v>750</v>
      </c>
      <c r="B1608" s="13" t="s">
        <v>1529</v>
      </c>
      <c r="C1608" s="14" t="s">
        <v>5036</v>
      </c>
      <c r="D1608" s="15">
        <v>41942.554293981484</v>
      </c>
      <c r="E1608" s="16" t="s">
        <v>16</v>
      </c>
      <c r="F1608" s="16" t="s">
        <v>18</v>
      </c>
      <c r="G1608" s="17" t="s">
        <v>946</v>
      </c>
      <c r="H1608" s="17" t="s">
        <v>5252</v>
      </c>
      <c r="I1608" s="13" t="s">
        <v>5253</v>
      </c>
      <c r="J1608" s="23" t="str">
        <f>HYPERLINK("CorLog\ZMB\Mongu RTO\20141030 ZMB Mongu RTO Elec MH Rebar Size subsitution and Soil Stabilization (RDC-to-ZMB).msg", "Elec MH Rebar Size subsitution and Soil Stabilization")</f>
        <v>Elec MH Rebar Size subsitution and Soil Stabilization</v>
      </c>
      <c r="K1608" s="25"/>
      <c r="L1608" s="19"/>
      <c r="M1608" s="20"/>
      <c r="N1608" s="21" t="s">
        <v>5254</v>
      </c>
    </row>
    <row r="1609" spans="1:14">
      <c r="A1609" s="12" t="s">
        <v>1310</v>
      </c>
      <c r="B1609" s="13" t="s">
        <v>1761</v>
      </c>
      <c r="C1609" s="14"/>
      <c r="D1609" s="15">
        <v>41942.472037037034</v>
      </c>
      <c r="E1609" s="16" t="s">
        <v>16</v>
      </c>
      <c r="F1609" s="16" t="s">
        <v>16</v>
      </c>
      <c r="G1609" s="17" t="s">
        <v>719</v>
      </c>
      <c r="H1609" s="17" t="s">
        <v>5255</v>
      </c>
      <c r="I1609" s="13" t="s">
        <v>5256</v>
      </c>
      <c r="J1609" s="23" t="str">
        <f>HYPERLINK("CorLog\Reference\20141030 Reference Cash Floats procedure changed (RDC-to-RDC).msg", "Cash Floats procedure changed")</f>
        <v>Cash Floats procedure changed</v>
      </c>
      <c r="K1609" s="25" t="s">
        <v>1211</v>
      </c>
      <c r="L1609" s="19"/>
      <c r="M1609" s="20"/>
      <c r="N1609" s="21" t="s">
        <v>5257</v>
      </c>
    </row>
    <row r="1610" spans="1:14">
      <c r="A1610" s="12" t="s">
        <v>718</v>
      </c>
      <c r="B1610" s="13" t="s">
        <v>4867</v>
      </c>
      <c r="C1610" s="14" t="s">
        <v>5258</v>
      </c>
      <c r="D1610" s="15">
        <v>41942.46875</v>
      </c>
      <c r="E1610" s="16" t="s">
        <v>16</v>
      </c>
      <c r="F1610" s="16" t="s">
        <v>22</v>
      </c>
      <c r="G1610" s="17" t="s">
        <v>2627</v>
      </c>
      <c r="H1610" s="17" t="s">
        <v>1040</v>
      </c>
      <c r="I1610" s="13" t="s">
        <v>5259</v>
      </c>
      <c r="J1610" s="23" t="str">
        <f>HYPERLINK("CorLog\COD\Kamina RTO\20141030 COD Kamina RTO Drawing Re-issue--KQ-S-101-R3; Residence Footing, Slab &amp; Ring Beam Plan (RDC-to-COD).msg", "Drawing Re-issue--KQ-S-101-R3; Residence Footing, Slab &amp; Ring Beam Plan")</f>
        <v>Drawing Re-issue--KQ-S-101-R3; Residence Footing, Slab &amp; Ring Beam Plan</v>
      </c>
      <c r="K1610" s="25" t="s">
        <v>1211</v>
      </c>
      <c r="L1610" s="19"/>
      <c r="M1610" s="20"/>
      <c r="N1610" s="21" t="s">
        <v>5260</v>
      </c>
    </row>
    <row r="1611" spans="1:14">
      <c r="A1611" s="12" t="s">
        <v>718</v>
      </c>
      <c r="B1611" s="13" t="s">
        <v>1337</v>
      </c>
      <c r="C1611" s="14" t="s">
        <v>5261</v>
      </c>
      <c r="D1611" s="15">
        <v>41942.388194444444</v>
      </c>
      <c r="E1611" s="16" t="s">
        <v>16</v>
      </c>
      <c r="F1611" s="16" t="s">
        <v>18</v>
      </c>
      <c r="G1611" s="17" t="s">
        <v>885</v>
      </c>
      <c r="H1611" s="17" t="s">
        <v>2843</v>
      </c>
      <c r="I1611" s="13" t="s">
        <v>5262</v>
      </c>
      <c r="J1611" s="23" t="str">
        <f>HYPERLINK("CorLog\ZMB\Kabompo RTO\20141030 ZMB Kabompo RTO Location of AC units--drawing conflict (RDC-to-ZMB).msg", "Location of AC units--drawing conflict")</f>
        <v>Location of AC units--drawing conflict</v>
      </c>
      <c r="K1611" s="25" t="s">
        <v>1243</v>
      </c>
      <c r="L1611" s="19"/>
      <c r="M1611" s="20"/>
      <c r="N1611" s="21" t="s">
        <v>5263</v>
      </c>
    </row>
    <row r="1612" spans="1:14">
      <c r="A1612" s="12" t="s">
        <v>750</v>
      </c>
      <c r="B1612" s="13" t="s">
        <v>718</v>
      </c>
      <c r="C1612" s="14" t="s">
        <v>5264</v>
      </c>
      <c r="D1612" s="15">
        <v>41942.37945601852</v>
      </c>
      <c r="E1612" s="16" t="s">
        <v>16</v>
      </c>
      <c r="F1612" s="16" t="s">
        <v>16</v>
      </c>
      <c r="G1612" s="17" t="s">
        <v>946</v>
      </c>
      <c r="H1612" s="17" t="s">
        <v>3964</v>
      </c>
      <c r="I1612" s="13" t="s">
        <v>5265</v>
      </c>
      <c r="J1612" s="23" t="str">
        <f>HYPERLINK("CorLog\ZMB\Mongu RTO\20141030 ZMB Mongu RTO FRP Septic Tank (SINGLE vs TWIN COMPARTMENTS) (RDC-to-RDC).msg", "FRP Septic Tank (SINGLE vs TWIN COMPARTMENTS)")</f>
        <v>FRP Septic Tank (SINGLE vs TWIN COMPARTMENTS)</v>
      </c>
      <c r="K1612" s="25" t="s">
        <v>1499</v>
      </c>
      <c r="L1612" s="19"/>
      <c r="M1612" s="20"/>
      <c r="N1612" s="21" t="s">
        <v>5266</v>
      </c>
    </row>
    <row r="1613" spans="1:14">
      <c r="A1613" s="12" t="s">
        <v>718</v>
      </c>
      <c r="B1613" s="13" t="s">
        <v>972</v>
      </c>
      <c r="C1613" s="14" t="s">
        <v>724</v>
      </c>
      <c r="D1613" s="15">
        <v>41942.325694444444</v>
      </c>
      <c r="E1613" s="16" t="s">
        <v>16</v>
      </c>
      <c r="F1613" s="16" t="s">
        <v>18</v>
      </c>
      <c r="G1613" s="17" t="s">
        <v>1070</v>
      </c>
      <c r="H1613" s="17" t="s">
        <v>781</v>
      </c>
      <c r="I1613" s="13" t="s">
        <v>5267</v>
      </c>
      <c r="J1613" s="23" t="str">
        <f>HYPERLINK("CorLog\ZMB\Katete RTO\20141030 ZMB Katete RTO BCV for Katete RTO (RDC-to-ZMB).msg", "BCV for Katete RTO")</f>
        <v>BCV for Katete RTO</v>
      </c>
      <c r="K1613" s="25"/>
      <c r="L1613" s="19"/>
      <c r="M1613" s="20"/>
      <c r="N1613" s="21" t="s">
        <v>5268</v>
      </c>
    </row>
    <row r="1614" spans="1:14">
      <c r="A1614" s="12" t="s">
        <v>1537</v>
      </c>
      <c r="B1614" s="13"/>
      <c r="C1614" s="14"/>
      <c r="D1614" s="15">
        <v>41942</v>
      </c>
      <c r="E1614" s="16" t="s">
        <v>17</v>
      </c>
      <c r="F1614" s="16" t="s">
        <v>15</v>
      </c>
      <c r="G1614" s="17" t="s">
        <v>28</v>
      </c>
      <c r="H1614" s="17" t="s">
        <v>2333</v>
      </c>
      <c r="I1614" s="13" t="s">
        <v>4281</v>
      </c>
      <c r="J1614" s="23" t="str">
        <f>HYPERLINK("CorLog\LDC\20141030 LDC Training Initiatives for Local Design Construction Departments (WDC-to-ZAF).docx", "Training Initiatives for Local Design Construction Departments")</f>
        <v>Training Initiatives for Local Design Construction Departments</v>
      </c>
      <c r="K1614" s="25" t="str">
        <f>HYPERLINK("CorLog\LDC\20141030 LDC Training Initiatives for Local Design Construction Departments (WDC-to-ZAF).zip", "Zipped")</f>
        <v>Zipped</v>
      </c>
      <c r="L1614" s="19"/>
      <c r="M1614" s="20"/>
      <c r="N1614" s="21" t="s">
        <v>5269</v>
      </c>
    </row>
    <row r="1615" spans="1:14">
      <c r="A1615" s="12" t="s">
        <v>827</v>
      </c>
      <c r="B1615" s="13" t="s">
        <v>718</v>
      </c>
      <c r="C1615" s="14" t="s">
        <v>5270</v>
      </c>
      <c r="D1615" s="15">
        <v>41941.741296296299</v>
      </c>
      <c r="E1615" s="16" t="s">
        <v>21</v>
      </c>
      <c r="F1615" s="16" t="s">
        <v>16</v>
      </c>
      <c r="G1615" s="17" t="s">
        <v>790</v>
      </c>
      <c r="H1615" s="17" t="s">
        <v>5271</v>
      </c>
      <c r="I1615" s="13" t="s">
        <v>5272</v>
      </c>
      <c r="J1615" s="23" t="str">
        <f>HYPERLINK("CorLog\GHA\BEX\20141029 GHA BEX Additional Scaffolding request (GHA-to-RDC).msg", "Additional Scaffolding request")</f>
        <v>Additional Scaffolding request</v>
      </c>
      <c r="K1615" s="25"/>
      <c r="L1615" s="19"/>
      <c r="M1615" s="20"/>
      <c r="N1615" s="21" t="s">
        <v>5273</v>
      </c>
    </row>
    <row r="1616" spans="1:14">
      <c r="A1616" s="12" t="s">
        <v>757</v>
      </c>
      <c r="B1616" s="13" t="s">
        <v>718</v>
      </c>
      <c r="C1616" s="14"/>
      <c r="D1616" s="15">
        <v>41941.729826388888</v>
      </c>
      <c r="E1616" s="16" t="s">
        <v>21</v>
      </c>
      <c r="F1616" s="16" t="s">
        <v>16</v>
      </c>
      <c r="G1616" s="17" t="s">
        <v>857</v>
      </c>
      <c r="H1616" s="17" t="s">
        <v>961</v>
      </c>
      <c r="I1616" s="13" t="s">
        <v>5274</v>
      </c>
      <c r="J1616" s="23" t="str">
        <f>HYPERLINK("CorLog\GHA\Kikam RTO\20141029 GHA Kikam RTO confirming original survey levels (NEW SURVEY) (GHA-to-RDC).msg", "confirming original survey levels (NEW SURVEY)")</f>
        <v>confirming original survey levels (NEW SURVEY)</v>
      </c>
      <c r="K1616" s="25" t="s">
        <v>1270</v>
      </c>
      <c r="L1616" s="19"/>
      <c r="M1616" s="20"/>
      <c r="N1616" s="21" t="s">
        <v>5275</v>
      </c>
    </row>
    <row r="1617" spans="1:14">
      <c r="A1617" s="12" t="s">
        <v>757</v>
      </c>
      <c r="B1617" s="13" t="s">
        <v>718</v>
      </c>
      <c r="C1617" s="14"/>
      <c r="D1617" s="15">
        <v>41941.683136574073</v>
      </c>
      <c r="E1617" s="16" t="s">
        <v>21</v>
      </c>
      <c r="F1617" s="16" t="s">
        <v>16</v>
      </c>
      <c r="G1617" s="17" t="s">
        <v>790</v>
      </c>
      <c r="H1617" s="17" t="s">
        <v>5276</v>
      </c>
      <c r="I1617" s="13" t="s">
        <v>5277</v>
      </c>
      <c r="J1617" s="23" t="str">
        <f>HYPERLINK("CorLog\GHA\BEX\20141029 GHA BEX can you quickly confirm the current m³ concrete cost (END) (GHA-to-RDC).msg", "can you quickly confirm the current m³ concrete cost (END)")</f>
        <v>can you quickly confirm the current m³ concrete cost (END)</v>
      </c>
      <c r="K1617" s="25"/>
      <c r="L1617" s="19"/>
      <c r="M1617" s="20"/>
      <c r="N1617" s="21" t="s">
        <v>5278</v>
      </c>
    </row>
    <row r="1618" spans="1:14">
      <c r="A1618" s="12" t="s">
        <v>718</v>
      </c>
      <c r="B1618" s="13" t="s">
        <v>1529</v>
      </c>
      <c r="C1618" s="14" t="s">
        <v>5279</v>
      </c>
      <c r="D1618" s="15">
        <v>41941.668749999997</v>
      </c>
      <c r="E1618" s="16" t="s">
        <v>16</v>
      </c>
      <c r="F1618" s="16" t="s">
        <v>18</v>
      </c>
      <c r="G1618" s="17" t="s">
        <v>946</v>
      </c>
      <c r="H1618" s="17" t="s">
        <v>886</v>
      </c>
      <c r="I1618" s="13" t="s">
        <v>5280</v>
      </c>
      <c r="J1618" s="23" t="str">
        <f>HYPERLINK("CorLog\ZMB\Mongu RTO\20141029 ZMB Mongu RTO Utility Bldg Lightning earth ring (REPLY) (RDC-to-ZMB).msg", "Utility Bldg Lightning earth ring (REPLY)")</f>
        <v>Utility Bldg Lightning earth ring (REPLY)</v>
      </c>
      <c r="K1618" s="25" t="s">
        <v>1211</v>
      </c>
      <c r="L1618" s="19"/>
      <c r="M1618" s="20"/>
      <c r="N1618" s="21" t="s">
        <v>5281</v>
      </c>
    </row>
    <row r="1619" spans="1:14">
      <c r="A1619" s="12" t="s">
        <v>718</v>
      </c>
      <c r="B1619" s="13" t="s">
        <v>1529</v>
      </c>
      <c r="C1619" s="14" t="s">
        <v>5282</v>
      </c>
      <c r="D1619" s="15">
        <v>41941.656944444447</v>
      </c>
      <c r="E1619" s="16" t="s">
        <v>16</v>
      </c>
      <c r="F1619" s="16" t="s">
        <v>18</v>
      </c>
      <c r="G1619" s="17" t="s">
        <v>946</v>
      </c>
      <c r="H1619" s="17" t="s">
        <v>854</v>
      </c>
      <c r="I1619" s="13" t="s">
        <v>5283</v>
      </c>
      <c r="J1619" s="23" t="str">
        <f>HYPERLINK("CorLog\ZMB\Mongu RTO\20141029 ZMB Mongu RTO Roof slope direction and drainage of utility structure (REPLY) (RDC-to-ZMB).msg", "Roof slope direction and drainage of utility structure (REPLY)")</f>
        <v>Roof slope direction and drainage of utility structure (REPLY)</v>
      </c>
      <c r="K1619" s="25" t="s">
        <v>1274</v>
      </c>
      <c r="L1619" s="19"/>
      <c r="M1619" s="20"/>
      <c r="N1619" s="21" t="s">
        <v>5284</v>
      </c>
    </row>
    <row r="1620" spans="1:14">
      <c r="A1620" s="12" t="s">
        <v>750</v>
      </c>
      <c r="B1620" s="13" t="s">
        <v>1784</v>
      </c>
      <c r="C1620" s="14" t="s">
        <v>1176</v>
      </c>
      <c r="D1620" s="15">
        <v>41941.656307870369</v>
      </c>
      <c r="E1620" s="16" t="s">
        <v>16</v>
      </c>
      <c r="F1620" s="16" t="s">
        <v>16</v>
      </c>
      <c r="G1620" s="17" t="s">
        <v>979</v>
      </c>
      <c r="H1620" s="17" t="s">
        <v>947</v>
      </c>
      <c r="I1620" s="13" t="s">
        <v>5285</v>
      </c>
      <c r="J1620" s="23" t="str">
        <f>HYPERLINK("CorLog\RTO\Projects\20141029 RTO Septic Tanks Re-locate MH 2ndry Chamber (ORENCO) VIEPE KABOMPO KATETE (RDC-to-RDC).msg", "Re-locate MH 2ndry Chamber (ORENCO) VIEPE KABOMPO KATETE")</f>
        <v>Re-locate MH 2ndry Chamber (ORENCO) VIEPE KABOMPO KATETE</v>
      </c>
      <c r="K1620" s="25" t="s">
        <v>1211</v>
      </c>
      <c r="L1620" s="19"/>
      <c r="M1620" s="20"/>
      <c r="N1620" s="21" t="s">
        <v>5286</v>
      </c>
    </row>
    <row r="1621" spans="1:14">
      <c r="A1621" s="12" t="s">
        <v>1181</v>
      </c>
      <c r="B1621" s="13" t="s">
        <v>1160</v>
      </c>
      <c r="C1621" s="14"/>
      <c r="D1621" s="15">
        <v>41941.587893518517</v>
      </c>
      <c r="E1621" s="16" t="s">
        <v>16</v>
      </c>
      <c r="F1621" s="16" t="s">
        <v>20</v>
      </c>
      <c r="G1621" s="17" t="s">
        <v>979</v>
      </c>
      <c r="H1621" s="17" t="s">
        <v>1565</v>
      </c>
      <c r="I1621" s="13" t="s">
        <v>5287</v>
      </c>
      <c r="J1621" s="23" t="str">
        <f>HYPERLINK("CorLog\RTO\Projects\20141029 RTO Projects Gutter back support plates (RDC-to-MOZ).msg", "Gutter back support plates")</f>
        <v>Gutter back support plates</v>
      </c>
      <c r="K1621" s="25" t="s">
        <v>1270</v>
      </c>
      <c r="L1621" s="19"/>
      <c r="M1621" s="20"/>
      <c r="N1621" s="21" t="s">
        <v>5288</v>
      </c>
    </row>
    <row r="1622" spans="1:14">
      <c r="A1622" s="12" t="s">
        <v>821</v>
      </c>
      <c r="B1622" s="13" t="s">
        <v>718</v>
      </c>
      <c r="C1622" s="14"/>
      <c r="D1622" s="15">
        <v>41941.498055555552</v>
      </c>
      <c r="E1622" s="16" t="s">
        <v>21</v>
      </c>
      <c r="F1622" s="16" t="s">
        <v>16</v>
      </c>
      <c r="G1622" s="17" t="s">
        <v>790</v>
      </c>
      <c r="H1622" s="17" t="s">
        <v>781</v>
      </c>
      <c r="I1622" s="13" t="s">
        <v>5289</v>
      </c>
      <c r="J1622" s="23" t="str">
        <f>HYPERLINK("CorLog\GHA\BEX\20141029 GHA BEX BCS who wish to marry (GHA-to-RDC).msg", "BCS who wish to marry")</f>
        <v>BCS who wish to marry</v>
      </c>
      <c r="K1622" s="25"/>
      <c r="L1622" s="19"/>
      <c r="M1622" s="20"/>
      <c r="N1622" s="21" t="s">
        <v>5290</v>
      </c>
    </row>
    <row r="1623" spans="1:14">
      <c r="A1623" s="12" t="s">
        <v>827</v>
      </c>
      <c r="B1623" s="13" t="s">
        <v>718</v>
      </c>
      <c r="C1623" s="14" t="s">
        <v>5291</v>
      </c>
      <c r="D1623" s="15">
        <v>41941.488958333335</v>
      </c>
      <c r="E1623" s="16" t="s">
        <v>21</v>
      </c>
      <c r="F1623" s="16" t="s">
        <v>16</v>
      </c>
      <c r="G1623" s="17" t="s">
        <v>790</v>
      </c>
      <c r="H1623" s="17" t="s">
        <v>5292</v>
      </c>
      <c r="I1623" s="13" t="s">
        <v>5293</v>
      </c>
      <c r="J1623" s="23" t="str">
        <f>HYPERLINK("CorLog\GHA\BEX\20141029 GHA BEX Generator install progress BOD test on septic system (GHA-to-RDC).msg", "Generator install progress BOD test on septic system")</f>
        <v>Generator install progress BOD test on septic system</v>
      </c>
      <c r="K1623" s="25"/>
      <c r="L1623" s="19"/>
      <c r="M1623" s="20"/>
      <c r="N1623" s="21" t="s">
        <v>5294</v>
      </c>
    </row>
    <row r="1624" spans="1:14">
      <c r="A1624" s="12" t="s">
        <v>718</v>
      </c>
      <c r="B1624" s="13" t="s">
        <v>972</v>
      </c>
      <c r="C1624" s="14" t="s">
        <v>5295</v>
      </c>
      <c r="D1624" s="15">
        <v>41941.477083333331</v>
      </c>
      <c r="E1624" s="16" t="s">
        <v>16</v>
      </c>
      <c r="F1624" s="16" t="s">
        <v>18</v>
      </c>
      <c r="G1624" s="17" t="s">
        <v>1070</v>
      </c>
      <c r="H1624" s="17" t="s">
        <v>829</v>
      </c>
      <c r="I1624" s="13" t="s">
        <v>5296</v>
      </c>
      <c r="J1624" s="23" t="str">
        <f>HYPERLINK("CorLog\ZMB\Katete RTO\20141029 ZMB Katete RTO RDC review of Draft NLBR; REQ 520-8613; Sound Doors (RDC-to-ZMB).msg", "RDC review of Draft NLBR; REQ 520-8613; Sound Doors")</f>
        <v>RDC review of Draft NLBR; REQ 520-8613; Sound Doors</v>
      </c>
      <c r="K1624" s="25" t="s">
        <v>1211</v>
      </c>
      <c r="L1624" s="19"/>
      <c r="M1624" s="20"/>
      <c r="N1624" s="21" t="s">
        <v>5297</v>
      </c>
    </row>
    <row r="1625" spans="1:14">
      <c r="A1625" s="12" t="s">
        <v>718</v>
      </c>
      <c r="B1625" s="13" t="s">
        <v>827</v>
      </c>
      <c r="C1625" s="14" t="s">
        <v>5059</v>
      </c>
      <c r="D1625" s="15">
        <v>41941.422222222223</v>
      </c>
      <c r="E1625" s="16" t="s">
        <v>16</v>
      </c>
      <c r="F1625" s="16" t="s">
        <v>21</v>
      </c>
      <c r="G1625" s="17" t="s">
        <v>790</v>
      </c>
      <c r="H1625" s="17" t="s">
        <v>5298</v>
      </c>
      <c r="I1625" s="13" t="s">
        <v>5299</v>
      </c>
      <c r="J1625" s="23" t="str">
        <f>HYPERLINK("CorLog\GHA\BEX\20141029 GHA BEX Revised drawing KW-E-603 rev 2 for generator related connections (RDC-to-GHA).msg", "Revised drawing KW-E-603 rev 2 for generator related connections")</f>
        <v>Revised drawing KW-E-603 rev 2 for generator related connections</v>
      </c>
      <c r="K1625" s="25" t="s">
        <v>1270</v>
      </c>
      <c r="L1625" s="19"/>
      <c r="M1625" s="20"/>
      <c r="N1625" s="21" t="s">
        <v>5300</v>
      </c>
    </row>
    <row r="1626" spans="1:14">
      <c r="A1626" s="12" t="s">
        <v>718</v>
      </c>
      <c r="B1626" s="13" t="s">
        <v>972</v>
      </c>
      <c r="C1626" s="14" t="s">
        <v>5295</v>
      </c>
      <c r="D1626" s="15">
        <v>41941.402777777781</v>
      </c>
      <c r="E1626" s="16" t="s">
        <v>16</v>
      </c>
      <c r="F1626" s="16" t="s">
        <v>18</v>
      </c>
      <c r="G1626" s="17" t="s">
        <v>1070</v>
      </c>
      <c r="H1626" s="17" t="s">
        <v>829</v>
      </c>
      <c r="I1626" s="13" t="s">
        <v>5301</v>
      </c>
      <c r="J1626" s="23" t="str">
        <f>HYPERLINK("CorLog\ZMB\Katete RTO\20141029 ZMB Katete RTO RDC review of Draft NLBR; REQ 520-8611; Electrical Conduit (RDC-to-ZMB).msg", "RDC review of Draft NLBR; REQ 520-8611; Electrical Conduit")</f>
        <v>RDC review of Draft NLBR; REQ 520-8611; Electrical Conduit</v>
      </c>
      <c r="K1626" s="25" t="s">
        <v>1211</v>
      </c>
      <c r="L1626" s="19"/>
      <c r="M1626" s="20"/>
      <c r="N1626" s="21" t="s">
        <v>5302</v>
      </c>
    </row>
    <row r="1627" spans="1:14">
      <c r="A1627" s="12" t="s">
        <v>750</v>
      </c>
      <c r="B1627" s="13" t="s">
        <v>718</v>
      </c>
      <c r="C1627" s="14"/>
      <c r="D1627" s="15">
        <v>41940.816747685189</v>
      </c>
      <c r="E1627" s="16" t="s">
        <v>16</v>
      </c>
      <c r="F1627" s="16" t="s">
        <v>16</v>
      </c>
      <c r="G1627" s="17" t="s">
        <v>790</v>
      </c>
      <c r="H1627" s="17" t="s">
        <v>5303</v>
      </c>
      <c r="I1627" s="13" t="s">
        <v>5304</v>
      </c>
      <c r="J1627" s="23" t="str">
        <f>HYPERLINK("CorLog\GHA\BEX\20141028 GHA BEX Cost of open V-culvert for comparison; Bridges (RDC-to-RDC).msg", "Cost of open V-culvert for comparison; Bridges")</f>
        <v>Cost of open V-culvert for comparison; Bridges</v>
      </c>
      <c r="K1627" s="25" t="s">
        <v>1211</v>
      </c>
      <c r="L1627" s="19"/>
      <c r="M1627" s="20"/>
      <c r="N1627" s="21" t="s">
        <v>5305</v>
      </c>
    </row>
    <row r="1628" spans="1:14">
      <c r="A1628" s="12" t="s">
        <v>718</v>
      </c>
      <c r="B1628" s="13" t="s">
        <v>972</v>
      </c>
      <c r="C1628" s="14" t="s">
        <v>5306</v>
      </c>
      <c r="D1628" s="15">
        <v>41940.714583333334</v>
      </c>
      <c r="E1628" s="16" t="s">
        <v>16</v>
      </c>
      <c r="F1628" s="16" t="s">
        <v>18</v>
      </c>
      <c r="G1628" s="17" t="s">
        <v>1070</v>
      </c>
      <c r="H1628" s="17" t="s">
        <v>829</v>
      </c>
      <c r="I1628" s="13" t="s">
        <v>5307</v>
      </c>
      <c r="J1628" s="23" t="str">
        <f>HYPERLINK("CorLog\ZMB\Katete\20141028 ZMB Katete Draft NLBR; REQ 520-8607; Electrical Consumables &amp; Sandpaper (RDC-to-ZMB).msg", "Draft NLBR; REQ 520-8607; Electrical Consumables &amp; Sandpaper")</f>
        <v>Draft NLBR; REQ 520-8607; Electrical Consumables &amp; Sandpaper</v>
      </c>
      <c r="K1628" s="25" t="s">
        <v>1211</v>
      </c>
      <c r="L1628" s="19"/>
      <c r="M1628" s="20"/>
      <c r="N1628" s="21" t="s">
        <v>5308</v>
      </c>
    </row>
    <row r="1629" spans="1:14">
      <c r="A1629" s="12" t="s">
        <v>718</v>
      </c>
      <c r="B1629" s="13" t="s">
        <v>972</v>
      </c>
      <c r="C1629" s="14" t="s">
        <v>5295</v>
      </c>
      <c r="D1629" s="15">
        <v>41940.695833333331</v>
      </c>
      <c r="E1629" s="16" t="s">
        <v>16</v>
      </c>
      <c r="F1629" s="16" t="s">
        <v>18</v>
      </c>
      <c r="G1629" s="17" t="s">
        <v>1070</v>
      </c>
      <c r="H1629" s="17" t="s">
        <v>829</v>
      </c>
      <c r="I1629" s="13" t="s">
        <v>5309</v>
      </c>
      <c r="J1629" s="23" t="str">
        <f>HYPERLINK("CorLog\ZMB\Katete RTO\20141028 ZMB Katete RTO RDC review of Draft NLBR; Req-8457; Distribution Boards (RDC-to-ZMB).msg", "RDC review of Draft NLBR; Req-8457; Distribution Boards")</f>
        <v>RDC review of Draft NLBR; Req-8457; Distribution Boards</v>
      </c>
      <c r="K1629" s="25" t="s">
        <v>1211</v>
      </c>
      <c r="L1629" s="19"/>
      <c r="M1629" s="20"/>
      <c r="N1629" s="21" t="s">
        <v>5310</v>
      </c>
    </row>
    <row r="1630" spans="1:14">
      <c r="A1630" s="12" t="s">
        <v>718</v>
      </c>
      <c r="B1630" s="13" t="s">
        <v>827</v>
      </c>
      <c r="C1630" s="14" t="s">
        <v>5311</v>
      </c>
      <c r="D1630" s="15">
        <v>41940.693749999999</v>
      </c>
      <c r="E1630" s="16" t="s">
        <v>16</v>
      </c>
      <c r="F1630" s="16" t="s">
        <v>21</v>
      </c>
      <c r="G1630" s="17" t="s">
        <v>790</v>
      </c>
      <c r="H1630" s="17" t="s">
        <v>829</v>
      </c>
      <c r="I1630" s="13" t="s">
        <v>5312</v>
      </c>
      <c r="J1630" s="23" t="str">
        <f>HYPERLINK("CorLog\GHA\BEX\20141028 GHA BEX RDC review of NLBR Package -24 - Submittal (RDC-to-GHA).msg", "RDC review of NLBR Package -24 - Submittal")</f>
        <v>RDC review of NLBR Package -24 - Submittal</v>
      </c>
      <c r="K1630" s="25" t="s">
        <v>1211</v>
      </c>
      <c r="L1630" s="19"/>
      <c r="M1630" s="20"/>
      <c r="N1630" s="21" t="s">
        <v>5313</v>
      </c>
    </row>
    <row r="1631" spans="1:14">
      <c r="A1631" s="12" t="s">
        <v>718</v>
      </c>
      <c r="B1631" s="13" t="s">
        <v>972</v>
      </c>
      <c r="C1631" s="14" t="s">
        <v>5314</v>
      </c>
      <c r="D1631" s="15">
        <v>41940.685416666667</v>
      </c>
      <c r="E1631" s="16" t="s">
        <v>16</v>
      </c>
      <c r="F1631" s="16" t="s">
        <v>18</v>
      </c>
      <c r="G1631" s="17" t="s">
        <v>1070</v>
      </c>
      <c r="H1631" s="17" t="s">
        <v>829</v>
      </c>
      <c r="I1631" s="13" t="s">
        <v>5315</v>
      </c>
      <c r="J1631" s="23" t="str">
        <f>HYPERLINK("CorLog\ZMB\Katete RTO\20141028 ZMB Katete RTO RDC review of Draft NLBR; Req- 8539; Scaffolding (RDC-to-ZMB).msg", "RDC review of Draft NLBR; Req- 8539; Scaffolding")</f>
        <v>RDC review of Draft NLBR; Req- 8539; Scaffolding</v>
      </c>
      <c r="K1631" s="25"/>
      <c r="L1631" s="19"/>
      <c r="M1631" s="20"/>
      <c r="N1631" s="21" t="s">
        <v>5316</v>
      </c>
    </row>
    <row r="1632" spans="1:14">
      <c r="A1632" s="12" t="s">
        <v>718</v>
      </c>
      <c r="B1632" s="13" t="s">
        <v>757</v>
      </c>
      <c r="C1632" s="14" t="s">
        <v>5317</v>
      </c>
      <c r="D1632" s="15">
        <v>41940.665972222225</v>
      </c>
      <c r="E1632" s="16" t="s">
        <v>16</v>
      </c>
      <c r="F1632" s="16" t="s">
        <v>21</v>
      </c>
      <c r="G1632" s="17" t="s">
        <v>857</v>
      </c>
      <c r="H1632" s="17" t="s">
        <v>5318</v>
      </c>
      <c r="I1632" s="13" t="s">
        <v>5237</v>
      </c>
      <c r="J1632" s="23" t="str">
        <f>HYPERLINK("CorLog\GHA\Kikam RTO\20141028 GHA Kikam RTO Proposed site layout drawing, to enable temp setup (RDC-to-GHA).msg", "Proposed site layout drawing, to enable temp setup")</f>
        <v>Proposed site layout drawing, to enable temp setup</v>
      </c>
      <c r="K1632" s="25" t="s">
        <v>1211</v>
      </c>
      <c r="L1632" s="19"/>
      <c r="M1632" s="20"/>
      <c r="N1632" s="21" t="s">
        <v>5319</v>
      </c>
    </row>
    <row r="1633" spans="1:14">
      <c r="A1633" s="12" t="s">
        <v>718</v>
      </c>
      <c r="B1633" s="13" t="s">
        <v>827</v>
      </c>
      <c r="C1633" s="14" t="s">
        <v>757</v>
      </c>
      <c r="D1633" s="15">
        <v>41940.663888888892</v>
      </c>
      <c r="E1633" s="16" t="s">
        <v>16</v>
      </c>
      <c r="F1633" s="16" t="s">
        <v>21</v>
      </c>
      <c r="G1633" s="17" t="s">
        <v>758</v>
      </c>
      <c r="H1633" s="17" t="s">
        <v>886</v>
      </c>
      <c r="I1633" s="13" t="s">
        <v>5320</v>
      </c>
      <c r="J1633" s="23" t="str">
        <f>HYPERLINK("CorLog\GHA\Viepe RTO\20141028 GHA Viepe RTO Electrical Query - BH52 LED115 (RDC-to-GHA).msg", "Electrical Query - BH52 LED115")</f>
        <v>Electrical Query - BH52 LED115</v>
      </c>
      <c r="K1633" s="25"/>
      <c r="L1633" s="19"/>
      <c r="M1633" s="20"/>
      <c r="N1633" s="21" t="s">
        <v>5321</v>
      </c>
    </row>
    <row r="1634" spans="1:14">
      <c r="A1634" s="12" t="s">
        <v>718</v>
      </c>
      <c r="B1634" s="13" t="s">
        <v>972</v>
      </c>
      <c r="C1634" s="14" t="s">
        <v>5225</v>
      </c>
      <c r="D1634" s="15">
        <v>41940.379166666666</v>
      </c>
      <c r="E1634" s="16" t="s">
        <v>16</v>
      </c>
      <c r="F1634" s="16" t="s">
        <v>18</v>
      </c>
      <c r="G1634" s="17" t="s">
        <v>946</v>
      </c>
      <c r="H1634" s="17" t="s">
        <v>829</v>
      </c>
      <c r="I1634" s="13" t="s">
        <v>5322</v>
      </c>
      <c r="J1634" s="23" t="str">
        <f>HYPERLINK("CorLog\ZMB\Mongu RTO\20141028 ZMB Mongu RTO RDC review of DRAFT NLBR 7152 for HKG Cabinets (RDC-to-ZMB).msg", "RDC review of DRAFT NLBR 7152 for HKG Cabinets")</f>
        <v>RDC review of DRAFT NLBR 7152 for HKG Cabinets</v>
      </c>
      <c r="K1634" s="25" t="s">
        <v>1270</v>
      </c>
      <c r="L1634" s="19"/>
      <c r="M1634" s="20"/>
      <c r="N1634" s="21" t="s">
        <v>5323</v>
      </c>
    </row>
    <row r="1635" spans="1:14">
      <c r="A1635" s="12" t="s">
        <v>718</v>
      </c>
      <c r="B1635" s="13" t="s">
        <v>972</v>
      </c>
      <c r="C1635" s="14"/>
      <c r="D1635" s="15">
        <v>41940.356944444444</v>
      </c>
      <c r="E1635" s="16" t="s">
        <v>16</v>
      </c>
      <c r="F1635" s="16" t="s">
        <v>18</v>
      </c>
      <c r="G1635" s="17" t="s">
        <v>1065</v>
      </c>
      <c r="H1635" s="17" t="s">
        <v>781</v>
      </c>
      <c r="I1635" s="13" t="s">
        <v>5324</v>
      </c>
      <c r="J1635" s="23" t="str">
        <f>HYPERLINK("CorLog\ZMB\RTO Projects\20141028 ZMB RTO Projects Extension of BCV beyond 6 months, visa (RDC-to-ZMB).msg", "Extension of BCV beyond 6 months, visa")</f>
        <v>Extension of BCV beyond 6 months, visa</v>
      </c>
      <c r="K1635" s="25"/>
      <c r="L1635" s="19"/>
      <c r="M1635" s="20"/>
      <c r="N1635" s="21" t="s">
        <v>5325</v>
      </c>
    </row>
    <row r="1636" spans="1:14">
      <c r="A1636" s="12" t="s">
        <v>4115</v>
      </c>
      <c r="B1636" s="13"/>
      <c r="C1636" s="14"/>
      <c r="D1636" s="15">
        <v>41940</v>
      </c>
      <c r="E1636" s="16" t="s">
        <v>15</v>
      </c>
      <c r="F1636" s="16" t="s">
        <v>22</v>
      </c>
      <c r="G1636" s="17" t="s">
        <v>1432</v>
      </c>
      <c r="H1636" s="17" t="s">
        <v>1000</v>
      </c>
      <c r="I1636" s="13" t="s">
        <v>5326</v>
      </c>
      <c r="J1636" s="23" t="str">
        <f>HYPERLINK("CorLog\COD\LDC\20141028 COD LDC Various Possible Small Projects (Reply) (ZAF-to-COD).docx", "Various Possible Small Projects (Reply)")</f>
        <v>Various Possible Small Projects (Reply)</v>
      </c>
      <c r="K1636" s="23"/>
      <c r="L1636" s="19" t="s">
        <v>5327</v>
      </c>
      <c r="M1636" s="20"/>
      <c r="N1636" s="21" t="s">
        <v>5328</v>
      </c>
    </row>
    <row r="1637" spans="1:14">
      <c r="A1637" s="12" t="s">
        <v>5329</v>
      </c>
      <c r="B1637" s="13"/>
      <c r="C1637" s="14"/>
      <c r="D1637" s="15">
        <v>41940</v>
      </c>
      <c r="E1637" s="16" t="s">
        <v>15</v>
      </c>
      <c r="F1637" s="16" t="s">
        <v>18</v>
      </c>
      <c r="G1637" s="17" t="s">
        <v>979</v>
      </c>
      <c r="H1637" s="17" t="s">
        <v>5222</v>
      </c>
      <c r="I1637" s="13" t="s">
        <v>5330</v>
      </c>
      <c r="J1637" s="23" t="str">
        <f>HYPERLINK("CorLog\RTO\Projects\20141028 RTO Projects RTO Tuffa Diesel Storage Systems (ZAF-to-ZMB).docx", "RTO Tuffa Diesel Storage Systems")</f>
        <v>RTO Tuffa Diesel Storage Systems</v>
      </c>
      <c r="K1637" s="25"/>
      <c r="L1637" s="19" t="s">
        <v>5331</v>
      </c>
      <c r="M1637" s="20"/>
      <c r="N1637" s="21" t="s">
        <v>5332</v>
      </c>
    </row>
    <row r="1638" spans="1:14">
      <c r="A1638" s="12" t="s">
        <v>874</v>
      </c>
      <c r="B1638" s="13"/>
      <c r="C1638" s="14"/>
      <c r="D1638" s="15">
        <v>41940</v>
      </c>
      <c r="E1638" s="16" t="s">
        <v>25</v>
      </c>
      <c r="F1638" s="16" t="s">
        <v>30</v>
      </c>
      <c r="G1638" s="17" t="s">
        <v>719</v>
      </c>
      <c r="H1638" s="17" t="s">
        <v>1363</v>
      </c>
      <c r="I1638" s="13" t="s">
        <v>5333</v>
      </c>
      <c r="J1638" s="23" t="str">
        <f>HYPERLINK("CorLog\Reference\20141028 Reference Provisions for Construction Groups (AH, KH, LDC) (WHQ-to-ALL).doc", "Provisions for Construction Groups (AH, KH, LDC)")</f>
        <v>Provisions for Construction Groups (AH, KH, LDC)</v>
      </c>
      <c r="K1638" s="25"/>
      <c r="L1638" s="19"/>
      <c r="M1638" s="20"/>
      <c r="N1638" s="21" t="s">
        <v>5334</v>
      </c>
    </row>
    <row r="1639" spans="1:14">
      <c r="A1639" s="12"/>
      <c r="B1639" s="13"/>
      <c r="C1639" s="14"/>
      <c r="D1639" s="15">
        <v>41939.677569444444</v>
      </c>
      <c r="E1639" s="16" t="s">
        <v>25</v>
      </c>
      <c r="F1639" s="16" t="s">
        <v>30</v>
      </c>
      <c r="G1639" s="17" t="s">
        <v>30</v>
      </c>
      <c r="H1639" s="17" t="s">
        <v>4169</v>
      </c>
      <c r="I1639" s="13" t="s">
        <v>5335</v>
      </c>
      <c r="J1639" s="23" t="str">
        <f>HYPERLINK("CorLog\ALL\20141027 ALL WHQZAF-C-32987P Use and Management of Properties Held for Sale (WHQ-to-ALL).docx", "WHQZAF-C-32987P Use and Management of Properties Held for Sale")</f>
        <v>WHQZAF-C-32987P Use and Management of Properties Held for Sale</v>
      </c>
      <c r="K1639" s="25"/>
      <c r="L1639" s="19"/>
      <c r="M1639" s="20"/>
      <c r="N1639" s="21"/>
    </row>
    <row r="1640" spans="1:14">
      <c r="A1640" s="12" t="s">
        <v>724</v>
      </c>
      <c r="B1640" s="13" t="s">
        <v>718</v>
      </c>
      <c r="C1640" s="14"/>
      <c r="D1640" s="15">
        <v>41939.586064814815</v>
      </c>
      <c r="E1640" s="16" t="s">
        <v>16</v>
      </c>
      <c r="F1640" s="16" t="s">
        <v>16</v>
      </c>
      <c r="G1640" s="17" t="s">
        <v>790</v>
      </c>
      <c r="H1640" s="17" t="s">
        <v>781</v>
      </c>
      <c r="I1640" s="13" t="s">
        <v>4821</v>
      </c>
      <c r="J1640" s="23" t="str">
        <f>HYPERLINK("CorLog\GHA\BEX\20141027 GHA BEX Construction Personnel Request DC-51 (RDC-to-RDC).msg", "Construction Personnel Request DC-51")</f>
        <v>Construction Personnel Request DC-51</v>
      </c>
      <c r="K1640" s="25" t="s">
        <v>1274</v>
      </c>
      <c r="L1640" s="19"/>
      <c r="M1640" s="20"/>
      <c r="N1640" s="21" t="s">
        <v>5336</v>
      </c>
    </row>
    <row r="1641" spans="1:14">
      <c r="A1641" s="12" t="s">
        <v>2673</v>
      </c>
      <c r="B1641" s="13" t="s">
        <v>2016</v>
      </c>
      <c r="C1641" s="14" t="s">
        <v>5337</v>
      </c>
      <c r="D1641" s="15">
        <v>41936.382824074077</v>
      </c>
      <c r="E1641" s="16" t="s">
        <v>16</v>
      </c>
      <c r="F1641" s="16" t="s">
        <v>16</v>
      </c>
      <c r="G1641" s="17" t="s">
        <v>1941</v>
      </c>
      <c r="H1641" s="17" t="s">
        <v>725</v>
      </c>
      <c r="I1641" s="13" t="s">
        <v>5338</v>
      </c>
      <c r="J1641" s="23" t="str">
        <f>HYPERLINK("CorLog\COD\RTO Projects\20141024 COD RTO Projects Congo duty estimates (RDC-to-RDC).msg", "Congo duty estimates")</f>
        <v>Congo duty estimates</v>
      </c>
      <c r="K1641" s="25" t="s">
        <v>1211</v>
      </c>
      <c r="L1641" s="19"/>
      <c r="M1641" s="20"/>
      <c r="N1641" s="21" t="s">
        <v>5339</v>
      </c>
    </row>
    <row r="1642" spans="1:14">
      <c r="A1642" s="12" t="s">
        <v>4639</v>
      </c>
      <c r="B1642" s="13"/>
      <c r="C1642" s="14"/>
      <c r="D1642" s="15">
        <v>41936</v>
      </c>
      <c r="E1642" s="16" t="s">
        <v>21</v>
      </c>
      <c r="F1642" s="16" t="s">
        <v>17</v>
      </c>
      <c r="G1642" s="17" t="s">
        <v>3133</v>
      </c>
      <c r="H1642" s="17" t="s">
        <v>1015</v>
      </c>
      <c r="I1642" s="13" t="s">
        <v>5340</v>
      </c>
      <c r="J1642" s="23" t="str">
        <f>HYPERLINK("CorLog\GHA\Somanya RTO\20141024 GHA Somanya RTO United States–Property for Somanya (Dangme) Remote Translation Office (GHA-to-).docx", "United States–Property for Somanya (Dangme) Remote Translation Office")</f>
        <v>United States–Property for Somanya (Dangme) Remote Translation Office</v>
      </c>
      <c r="K1642" s="23"/>
      <c r="L1642" s="19"/>
      <c r="M1642" s="20"/>
      <c r="N1642" s="21" t="s">
        <v>5341</v>
      </c>
    </row>
    <row r="1643" spans="1:14">
      <c r="A1643" s="12" t="s">
        <v>964</v>
      </c>
      <c r="B1643" s="13" t="s">
        <v>750</v>
      </c>
      <c r="C1643" s="14" t="s">
        <v>5342</v>
      </c>
      <c r="D1643" s="15">
        <v>41935.662453703706</v>
      </c>
      <c r="E1643" s="16" t="s">
        <v>16</v>
      </c>
      <c r="F1643" s="16" t="s">
        <v>16</v>
      </c>
      <c r="G1643" s="17" t="s">
        <v>738</v>
      </c>
      <c r="H1643" s="17" t="s">
        <v>5343</v>
      </c>
      <c r="I1643" s="13" t="s">
        <v>5344</v>
      </c>
      <c r="J1643" s="23" t="str">
        <f>HYPERLINK("CorLog\GHA\BEX 2\20141023 GHA BEX 2 PV (Solar) Power GPPV 131 (Email 2 of 2) (RDC-to-RDC).msg", "PV (Solar) Power GPPV 131 (Email 2 of 2)")</f>
        <v>PV (Solar) Power GPPV 131 (Email 2 of 2)</v>
      </c>
      <c r="K1643" s="25" t="s">
        <v>1243</v>
      </c>
      <c r="L1643" s="19"/>
      <c r="M1643" s="20"/>
      <c r="N1643" s="21" t="s">
        <v>5345</v>
      </c>
    </row>
    <row r="1644" spans="1:14">
      <c r="A1644" s="12" t="s">
        <v>750</v>
      </c>
      <c r="B1644" s="13" t="s">
        <v>1818</v>
      </c>
      <c r="C1644" s="14" t="s">
        <v>724</v>
      </c>
      <c r="D1644" s="15">
        <v>41935.610567129632</v>
      </c>
      <c r="E1644" s="16" t="s">
        <v>16</v>
      </c>
      <c r="F1644" s="16" t="s">
        <v>16</v>
      </c>
      <c r="G1644" s="17" t="s">
        <v>1070</v>
      </c>
      <c r="H1644" s="17" t="s">
        <v>5346</v>
      </c>
      <c r="I1644" s="13" t="s">
        <v>5347</v>
      </c>
      <c r="J1644" s="23" t="str">
        <f>HYPERLINK("CorLog\ZMB\Katete RTO\20141023 ZMB Katete RTO Water Line &amp; Road Issue (RDC-to-RDC).msg", "Water Line &amp; Road Issue")</f>
        <v>Water Line &amp; Road Issue</v>
      </c>
      <c r="K1644" s="25" t="s">
        <v>1211</v>
      </c>
      <c r="L1644" s="19"/>
      <c r="M1644" s="20"/>
      <c r="N1644" s="21" t="s">
        <v>5348</v>
      </c>
    </row>
    <row r="1645" spans="1:14">
      <c r="A1645" s="12" t="s">
        <v>750</v>
      </c>
      <c r="B1645" s="13" t="s">
        <v>717</v>
      </c>
      <c r="C1645" s="14" t="s">
        <v>5349</v>
      </c>
      <c r="D1645" s="15">
        <v>41935.60423611111</v>
      </c>
      <c r="E1645" s="16" t="s">
        <v>16</v>
      </c>
      <c r="F1645" s="16" t="s">
        <v>16</v>
      </c>
      <c r="G1645" s="17" t="s">
        <v>5350</v>
      </c>
      <c r="H1645" s="17" t="s">
        <v>5351</v>
      </c>
      <c r="I1645" s="13" t="s">
        <v>5352</v>
      </c>
      <c r="J1645" s="23" t="str">
        <f>HYPERLINK("CorLog\MWI\LDC\20141023 MWI LDC Report on Damaged Kingdom Halls (RDC-to-RDC).msg", "Report on Damaged Kingdom Halls")</f>
        <v>Report on Damaged Kingdom Halls</v>
      </c>
      <c r="K1645" s="25" t="s">
        <v>1274</v>
      </c>
      <c r="L1645" s="19"/>
      <c r="M1645" s="20"/>
      <c r="N1645" s="21" t="s">
        <v>5353</v>
      </c>
    </row>
    <row r="1646" spans="1:14">
      <c r="A1646" s="12" t="s">
        <v>1418</v>
      </c>
      <c r="B1646" s="13" t="s">
        <v>2016</v>
      </c>
      <c r="C1646" s="14" t="s">
        <v>5354</v>
      </c>
      <c r="D1646" s="15">
        <v>41935.58803240741</v>
      </c>
      <c r="E1646" s="16" t="s">
        <v>16</v>
      </c>
      <c r="F1646" s="16" t="s">
        <v>16</v>
      </c>
      <c r="G1646" s="17" t="s">
        <v>979</v>
      </c>
      <c r="H1646" s="17" t="s">
        <v>759</v>
      </c>
      <c r="I1646" s="13" t="s">
        <v>5355</v>
      </c>
      <c r="J1646" s="23" t="str">
        <f>HYPERLINK("CorLog\RTO\Projects\20141023 RTO Projects Review Design Standards of RTOs Under ZAF RDC (RDC-to-RDC).msg", "Review Design Standards of RTOs Under ZAF RDC")</f>
        <v>Review Design Standards of RTOs Under ZAF RDC</v>
      </c>
      <c r="K1646" s="25"/>
      <c r="L1646" s="19"/>
      <c r="M1646" s="20"/>
      <c r="N1646" s="21" t="s">
        <v>5356</v>
      </c>
    </row>
    <row r="1647" spans="1:14">
      <c r="A1647" s="12" t="s">
        <v>750</v>
      </c>
      <c r="B1647" s="13" t="s">
        <v>718</v>
      </c>
      <c r="C1647" s="14" t="s">
        <v>916</v>
      </c>
      <c r="D1647" s="15">
        <v>41935.388749999998</v>
      </c>
      <c r="E1647" s="16" t="s">
        <v>16</v>
      </c>
      <c r="F1647" s="16" t="s">
        <v>16</v>
      </c>
      <c r="G1647" s="17" t="s">
        <v>885</v>
      </c>
      <c r="H1647" s="17" t="s">
        <v>854</v>
      </c>
      <c r="I1647" s="13" t="s">
        <v>5357</v>
      </c>
      <c r="J1647" s="23" t="str">
        <f>HYPERLINK("CorLog\ZMB\Kabompo RTO\20141023 ZMB Kabompo RTO Utilities Roof Structure Revised Drawing S-302 Rev3 (RDC-to-RDC).msg", "Utilities Roof Structure Revised Drawing S-302 Rev3")</f>
        <v>Utilities Roof Structure Revised Drawing S-302 Rev3</v>
      </c>
      <c r="K1647" s="25" t="s">
        <v>1211</v>
      </c>
      <c r="L1647" s="19"/>
      <c r="M1647" s="20"/>
      <c r="N1647" s="21" t="s">
        <v>5358</v>
      </c>
    </row>
    <row r="1648" spans="1:14">
      <c r="A1648" s="12" t="s">
        <v>2016</v>
      </c>
      <c r="B1648" s="13" t="s">
        <v>724</v>
      </c>
      <c r="C1648" s="14"/>
      <c r="D1648" s="15">
        <v>41935.342372685183</v>
      </c>
      <c r="E1648" s="16" t="s">
        <v>16</v>
      </c>
      <c r="F1648" s="16" t="s">
        <v>16</v>
      </c>
      <c r="G1648" s="17" t="s">
        <v>28</v>
      </c>
      <c r="H1648" s="17" t="s">
        <v>725</v>
      </c>
      <c r="I1648" s="13" t="s">
        <v>5359</v>
      </c>
      <c r="J1648" s="23" t="str">
        <f>HYPERLINK("CorLog\LDC\20141023 LDC Information requested for High Cost KHs (RDC-to-RDC).msg", "Information requested for High Cost KHs")</f>
        <v>Information requested for High Cost KHs</v>
      </c>
      <c r="K1648" s="25"/>
      <c r="L1648" s="19"/>
      <c r="M1648" s="20"/>
      <c r="N1648" s="21" t="s">
        <v>5360</v>
      </c>
    </row>
    <row r="1649" spans="1:14">
      <c r="A1649" s="12" t="s">
        <v>2016</v>
      </c>
      <c r="B1649" s="13" t="s">
        <v>724</v>
      </c>
      <c r="C1649" s="14" t="s">
        <v>5361</v>
      </c>
      <c r="D1649" s="15">
        <v>41935.332060185188</v>
      </c>
      <c r="E1649" s="16" t="s">
        <v>16</v>
      </c>
      <c r="F1649" s="16" t="s">
        <v>16</v>
      </c>
      <c r="G1649" s="17" t="s">
        <v>30</v>
      </c>
      <c r="H1649" s="17" t="s">
        <v>5362</v>
      </c>
      <c r="I1649" s="13" t="s">
        <v>5363</v>
      </c>
      <c r="J1649" s="23" t="str">
        <f>HYPERLINK("CorLog\ALL\20141023 ALL USA-RDC procedure for getting quarterly DC-71 reports in on time (RDC-to-RDC).msg", "USA-RDC procedure for getting quarterly DC-71 reports in on time")</f>
        <v>USA-RDC procedure for getting quarterly DC-71 reports in on time</v>
      </c>
      <c r="K1649" s="25" t="s">
        <v>1270</v>
      </c>
      <c r="L1649" s="19"/>
      <c r="M1649" s="20"/>
      <c r="N1649" s="21" t="s">
        <v>5364</v>
      </c>
    </row>
    <row r="1650" spans="1:14">
      <c r="A1650" s="12" t="s">
        <v>2417</v>
      </c>
      <c r="B1650" s="13"/>
      <c r="C1650" s="14"/>
      <c r="D1650" s="15">
        <v>41935</v>
      </c>
      <c r="E1650" s="16" t="s">
        <v>15</v>
      </c>
      <c r="F1650" s="16" t="s">
        <v>18</v>
      </c>
      <c r="G1650" s="17" t="s">
        <v>1065</v>
      </c>
      <c r="H1650" s="17" t="s">
        <v>995</v>
      </c>
      <c r="I1650" s="13" t="s">
        <v>5365</v>
      </c>
      <c r="J1650" s="23" t="str">
        <f>HYPERLINK("CorLog\ZMB\RTO Projects\20141023 ZMB RTO Projects ZMB Upcoming Projects Overseer Visit (ZAF-to-ZMB).docx", "ZMB Upcoming Projects Overseer Visit")</f>
        <v>ZMB Upcoming Projects Overseer Visit</v>
      </c>
      <c r="K1650" s="23"/>
      <c r="L1650" s="19"/>
      <c r="M1650" s="20"/>
      <c r="N1650" s="21" t="s">
        <v>5366</v>
      </c>
    </row>
    <row r="1651" spans="1:14">
      <c r="A1651" s="12" t="s">
        <v>2417</v>
      </c>
      <c r="B1651" s="13"/>
      <c r="C1651" s="14"/>
      <c r="D1651" s="15">
        <v>41935</v>
      </c>
      <c r="E1651" s="16" t="s">
        <v>15</v>
      </c>
      <c r="F1651" s="16" t="s">
        <v>21</v>
      </c>
      <c r="G1651" s="17" t="s">
        <v>807</v>
      </c>
      <c r="H1651" s="17" t="s">
        <v>5367</v>
      </c>
      <c r="I1651" s="13" t="s">
        <v>5368</v>
      </c>
      <c r="J1651" s="23" t="str">
        <f>HYPERLINK("CorLog\GHA\Branch\20141023 GHA Branch Instructions on how to make a compost site (ZAF-to-GHA).docx", "Instructions on how to make a compost site")</f>
        <v>Instructions on how to make a compost site</v>
      </c>
      <c r="K1651" s="25"/>
      <c r="L1651" s="19" t="s">
        <v>5369</v>
      </c>
      <c r="M1651" s="20"/>
      <c r="N1651" s="21" t="s">
        <v>5370</v>
      </c>
    </row>
    <row r="1652" spans="1:14">
      <c r="A1652" s="12" t="s">
        <v>4115</v>
      </c>
      <c r="B1652" s="13"/>
      <c r="C1652" s="14"/>
      <c r="D1652" s="15">
        <v>41935</v>
      </c>
      <c r="E1652" s="16" t="s">
        <v>15</v>
      </c>
      <c r="F1652" s="16" t="s">
        <v>22</v>
      </c>
      <c r="G1652" s="17" t="s">
        <v>1941</v>
      </c>
      <c r="H1652" s="17" t="s">
        <v>781</v>
      </c>
      <c r="I1652" s="13" t="s">
        <v>5371</v>
      </c>
      <c r="J1652" s="23" t="str">
        <f>HYPERLINK("CorLog\COD\RTO Projects\20141023 COD RTO Projects New RTO Construction Committees (ZAF-to-COD).docx", "New RTO Construction Committees")</f>
        <v>New RTO Construction Committees</v>
      </c>
      <c r="K1652" s="25"/>
      <c r="L1652" s="19" t="s">
        <v>5372</v>
      </c>
      <c r="M1652" s="20"/>
      <c r="N1652" s="21" t="s">
        <v>5373</v>
      </c>
    </row>
    <row r="1653" spans="1:14">
      <c r="A1653" s="12" t="s">
        <v>750</v>
      </c>
      <c r="B1653" s="13" t="s">
        <v>5374</v>
      </c>
      <c r="C1653" s="14"/>
      <c r="D1653" s="15">
        <v>41934.71020833333</v>
      </c>
      <c r="E1653" s="16" t="s">
        <v>16</v>
      </c>
      <c r="F1653" s="16" t="s">
        <v>16</v>
      </c>
      <c r="G1653" s="17" t="s">
        <v>790</v>
      </c>
      <c r="H1653" s="17" t="s">
        <v>1687</v>
      </c>
      <c r="I1653" s="13" t="s">
        <v>5375</v>
      </c>
      <c r="J1653" s="23" t="str">
        <f>HYPERLINK("CorLog\GHA\BEX\20141022 GHA BEX Walk-off mats in vestibule areas of the new residences (RDC-to-RDC).msg", "Walk-off mats in vestibule areas of the new residences")</f>
        <v>Walk-off mats in vestibule areas of the new residences</v>
      </c>
      <c r="K1653" s="25" t="s">
        <v>1243</v>
      </c>
      <c r="L1653" s="19"/>
      <c r="M1653" s="20"/>
      <c r="N1653" s="21" t="s">
        <v>5376</v>
      </c>
    </row>
    <row r="1654" spans="1:14">
      <c r="A1654" s="12" t="s">
        <v>827</v>
      </c>
      <c r="B1654" s="13" t="s">
        <v>718</v>
      </c>
      <c r="C1654" s="14"/>
      <c r="D1654" s="15">
        <v>41934.517314814817</v>
      </c>
      <c r="E1654" s="16" t="s">
        <v>21</v>
      </c>
      <c r="F1654" s="16" t="s">
        <v>16</v>
      </c>
      <c r="G1654" s="17" t="s">
        <v>790</v>
      </c>
      <c r="H1654" s="17" t="s">
        <v>3303</v>
      </c>
      <c r="I1654" s="13" t="s">
        <v>5377</v>
      </c>
      <c r="J1654" s="23" t="str">
        <f>HYPERLINK("CorLog\GHA\BEX\20141022 GHA BEX Mitek latest Electronic Drawings (GHA-to-RDC).msg", "Mitek latest Electronic Drawings")</f>
        <v>Mitek latest Electronic Drawings</v>
      </c>
      <c r="K1654" s="25"/>
      <c r="L1654" s="19"/>
      <c r="M1654" s="20"/>
      <c r="N1654" s="21" t="s">
        <v>5378</v>
      </c>
    </row>
    <row r="1655" spans="1:14">
      <c r="A1655" s="12" t="s">
        <v>821</v>
      </c>
      <c r="B1655" s="13" t="s">
        <v>718</v>
      </c>
      <c r="C1655" s="14" t="s">
        <v>1757</v>
      </c>
      <c r="D1655" s="15">
        <v>41934.512638888889</v>
      </c>
      <c r="E1655" s="16" t="s">
        <v>21</v>
      </c>
      <c r="F1655" s="16" t="s">
        <v>16</v>
      </c>
      <c r="G1655" s="17" t="s">
        <v>790</v>
      </c>
      <c r="H1655" s="17" t="s">
        <v>947</v>
      </c>
      <c r="I1655" s="13" t="s">
        <v>5379</v>
      </c>
      <c r="J1655" s="23" t="str">
        <f>HYPERLINK("CorLog\GHA\BEX\20141022 GHA BEX Levelling of the land outside of the front of Bethel (GHA-to-RDC).msg", "Levelling of the land outside of the front of Bethel")</f>
        <v>Levelling of the land outside of the front of Bethel</v>
      </c>
      <c r="K1655" s="25"/>
      <c r="L1655" s="19"/>
      <c r="M1655" s="20"/>
      <c r="N1655" s="21" t="s">
        <v>5380</v>
      </c>
    </row>
    <row r="1656" spans="1:14">
      <c r="A1656" s="12" t="s">
        <v>718</v>
      </c>
      <c r="B1656" s="13" t="s">
        <v>2673</v>
      </c>
      <c r="C1656" s="14"/>
      <c r="D1656" s="15">
        <v>41934.504166666666</v>
      </c>
      <c r="E1656" s="16" t="s">
        <v>16</v>
      </c>
      <c r="F1656" s="16" t="s">
        <v>16</v>
      </c>
      <c r="G1656" s="17" t="s">
        <v>838</v>
      </c>
      <c r="H1656" s="17" t="s">
        <v>867</v>
      </c>
      <c r="I1656" s="13" t="s">
        <v>5381</v>
      </c>
      <c r="J1656" s="23" t="str">
        <f>HYPERLINK("CorLog\ZMB\Choma RTO\20141022 ZMB Choma RTO Bugdet Estimate in PT Format xlsx (RDC-to-RDC).msg", "Bugdet Estimate in PT Format xlsx")</f>
        <v>Bugdet Estimate in PT Format xlsx</v>
      </c>
      <c r="K1656" s="25" t="s">
        <v>1211</v>
      </c>
      <c r="L1656" s="19"/>
      <c r="M1656" s="20"/>
      <c r="N1656" s="21" t="s">
        <v>5382</v>
      </c>
    </row>
    <row r="1657" spans="1:14">
      <c r="A1657" s="12" t="s">
        <v>1818</v>
      </c>
      <c r="B1657" s="13" t="s">
        <v>972</v>
      </c>
      <c r="C1657" s="14" t="s">
        <v>5106</v>
      </c>
      <c r="D1657" s="15">
        <v>41934.4999537037</v>
      </c>
      <c r="E1657" s="16" t="s">
        <v>16</v>
      </c>
      <c r="F1657" s="16" t="s">
        <v>18</v>
      </c>
      <c r="G1657" s="17" t="s">
        <v>838</v>
      </c>
      <c r="H1657" s="17" t="s">
        <v>961</v>
      </c>
      <c r="I1657" s="13" t="s">
        <v>5383</v>
      </c>
      <c r="J1657" s="23" t="str">
        <f>HYPERLINK("CorLog\ZMB\Choma RTO\20141022 ZMB Choma RTO New survey comparison with oldct (RDC-to-ZMB).msg", "New survey comparison with oldct")</f>
        <v>New survey comparison with oldct</v>
      </c>
      <c r="K1657" s="25"/>
      <c r="L1657" s="19"/>
      <c r="M1657" s="20"/>
      <c r="N1657" s="21" t="s">
        <v>5384</v>
      </c>
    </row>
    <row r="1658" spans="1:14">
      <c r="A1658" s="12" t="s">
        <v>718</v>
      </c>
      <c r="B1658" s="13" t="s">
        <v>964</v>
      </c>
      <c r="C1658" s="14" t="s">
        <v>1418</v>
      </c>
      <c r="D1658" s="15">
        <v>41934.477777777778</v>
      </c>
      <c r="E1658" s="16" t="s">
        <v>16</v>
      </c>
      <c r="F1658" s="16" t="s">
        <v>16</v>
      </c>
      <c r="G1658" s="17" t="s">
        <v>790</v>
      </c>
      <c r="H1658" s="17" t="s">
        <v>3330</v>
      </c>
      <c r="I1658" s="13" t="s">
        <v>5385</v>
      </c>
      <c r="J1658" s="23" t="str">
        <f>HYPERLINK("CorLog\GHA\BEX\20141022 GHA BEX Forward schematics of the new SDMO generator terminal connections (RDC-to-RDC).msg", "Forward schematics of the new SDMO generator terminal connections")</f>
        <v>Forward schematics of the new SDMO generator terminal connections</v>
      </c>
      <c r="K1658" s="25" t="s">
        <v>1211</v>
      </c>
      <c r="L1658" s="19"/>
      <c r="M1658" s="20"/>
      <c r="N1658" s="21" t="s">
        <v>5386</v>
      </c>
    </row>
    <row r="1659" spans="1:14">
      <c r="A1659" s="12" t="s">
        <v>5387</v>
      </c>
      <c r="B1659" s="13" t="s">
        <v>718</v>
      </c>
      <c r="C1659" s="14" t="s">
        <v>2016</v>
      </c>
      <c r="D1659" s="15">
        <v>41933.57172453704</v>
      </c>
      <c r="E1659" s="16" t="s">
        <v>14</v>
      </c>
      <c r="F1659" s="16" t="s">
        <v>16</v>
      </c>
      <c r="G1659" s="17" t="s">
        <v>966</v>
      </c>
      <c r="H1659" s="17" t="s">
        <v>1707</v>
      </c>
      <c r="I1659" s="13" t="s">
        <v>5388</v>
      </c>
      <c r="J1659" s="23" t="str">
        <f>HYPERLINK("CorLog\MDG\Branch\20141021 MDG Branch Assessing need for expansion of studio (MDG-to-RDC).msg", "Assessing need for expansion of studio")</f>
        <v>Assessing need for expansion of studio</v>
      </c>
      <c r="K1659" s="25" t="s">
        <v>1626</v>
      </c>
      <c r="L1659" s="19"/>
      <c r="M1659" s="20"/>
      <c r="N1659" s="21" t="s">
        <v>5389</v>
      </c>
    </row>
    <row r="1660" spans="1:14">
      <c r="A1660" s="12" t="s">
        <v>1818</v>
      </c>
      <c r="B1660" s="13" t="s">
        <v>718</v>
      </c>
      <c r="C1660" s="14"/>
      <c r="D1660" s="15">
        <v>41933.414988425924</v>
      </c>
      <c r="E1660" s="16" t="s">
        <v>16</v>
      </c>
      <c r="F1660" s="16" t="s">
        <v>16</v>
      </c>
      <c r="G1660" s="17" t="s">
        <v>790</v>
      </c>
      <c r="H1660" s="17" t="s">
        <v>947</v>
      </c>
      <c r="I1660" s="13" t="s">
        <v>5390</v>
      </c>
      <c r="J1660" s="18" t="str">
        <f>HYPERLINK("CorLog\GHA\BEX\20141021 GHA BEX Orenco Fans Installation at Existing Trickling Filter (RDC-to-RDC).msg", "Orenco Fans Installation at Existing Trickling Filter")</f>
        <v>Orenco Fans Installation at Existing Trickling Filter</v>
      </c>
      <c r="K1660" s="24"/>
      <c r="L1660" s="19"/>
      <c r="M1660" s="20"/>
      <c r="N1660" s="21" t="s">
        <v>5391</v>
      </c>
    </row>
    <row r="1661" spans="1:14">
      <c r="A1661" s="12" t="s">
        <v>874</v>
      </c>
      <c r="B1661" s="13"/>
      <c r="C1661" s="14"/>
      <c r="D1661" s="15">
        <v>41933</v>
      </c>
      <c r="E1661" s="16" t="s">
        <v>25</v>
      </c>
      <c r="F1661" s="16" t="s">
        <v>18</v>
      </c>
      <c r="G1661" s="17" t="s">
        <v>838</v>
      </c>
      <c r="H1661" s="17" t="s">
        <v>5392</v>
      </c>
      <c r="I1661" s="13" t="s">
        <v>5393</v>
      </c>
      <c r="J1661" s="23" t="str">
        <f>HYPERLINK("CorLog\ZMB\Choma RTO\20141021 ZMB Choma RTO CPP Approval; Conceptual Project Proposal (WHQ-to-ZMB).doc", "CPP Approval; Conceptual Project Proposal")</f>
        <v>CPP Approval; Conceptual Project Proposal</v>
      </c>
      <c r="K1661" s="25"/>
      <c r="L1661" s="19"/>
      <c r="M1661" s="20"/>
      <c r="N1661" s="21" t="s">
        <v>5394</v>
      </c>
    </row>
    <row r="1662" spans="1:14">
      <c r="A1662" s="12" t="s">
        <v>874</v>
      </c>
      <c r="B1662" s="13"/>
      <c r="C1662" s="14"/>
      <c r="D1662" s="15">
        <v>41933</v>
      </c>
      <c r="E1662" s="16" t="s">
        <v>25</v>
      </c>
      <c r="F1662" s="16" t="s">
        <v>18</v>
      </c>
      <c r="G1662" s="17" t="s">
        <v>838</v>
      </c>
      <c r="H1662" s="17" t="s">
        <v>774</v>
      </c>
      <c r="I1662" s="13" t="s">
        <v>5395</v>
      </c>
      <c r="J1662" s="23" t="str">
        <f>HYPERLINK("CorLog\ZMB\Choma RTO\20141021 ZMB Choma RTO Choma Remote Translation Office Conceptual Project Proposal (WHQ-to-ZMB).doc", "Choma Remote Translation Office Conceptual Project Proposal")</f>
        <v>Choma Remote Translation Office Conceptual Project Proposal</v>
      </c>
      <c r="K1662" s="25" t="str">
        <f>HYPERLINK("CorLog\ZMB\Choma RTO\20141021 ZMB Choma RTO Choma Remote Translation Office Conceptual Project Proposal (WHQ-to-ZMB).zip", "Zipped")</f>
        <v>Zipped</v>
      </c>
      <c r="L1662" s="19" t="s">
        <v>1895</v>
      </c>
      <c r="M1662" s="20"/>
      <c r="N1662" s="21" t="s">
        <v>5396</v>
      </c>
    </row>
    <row r="1663" spans="1:14">
      <c r="A1663" s="12" t="s">
        <v>750</v>
      </c>
      <c r="B1663" s="13" t="s">
        <v>4950</v>
      </c>
      <c r="C1663" s="14" t="s">
        <v>5397</v>
      </c>
      <c r="D1663" s="15">
        <v>41932.833726851852</v>
      </c>
      <c r="E1663" s="16" t="s">
        <v>16</v>
      </c>
      <c r="F1663" s="16" t="s">
        <v>18</v>
      </c>
      <c r="G1663" s="17" t="s">
        <v>885</v>
      </c>
      <c r="H1663" s="17" t="s">
        <v>851</v>
      </c>
      <c r="I1663" s="13" t="s">
        <v>5398</v>
      </c>
      <c r="J1663" s="23" t="str">
        <f>HYPERLINK("CorLog\ZMB\Kabompo RTO\20141020 ZMB Kabompo RTO Residence Slab DCP Test (RDC-to-ZMB).msg", "Residence Slab DCP Test")</f>
        <v>Residence Slab DCP Test</v>
      </c>
      <c r="K1663" s="25"/>
      <c r="L1663" s="19"/>
      <c r="M1663" s="20"/>
      <c r="N1663" s="21" t="s">
        <v>5399</v>
      </c>
    </row>
    <row r="1664" spans="1:14">
      <c r="A1664" s="12" t="s">
        <v>750</v>
      </c>
      <c r="B1664" s="13" t="s">
        <v>718</v>
      </c>
      <c r="C1664" s="14"/>
      <c r="D1664" s="15">
        <v>41932.764953703707</v>
      </c>
      <c r="E1664" s="16" t="s">
        <v>16</v>
      </c>
      <c r="F1664" s="16" t="s">
        <v>16</v>
      </c>
      <c r="G1664" s="17" t="s">
        <v>790</v>
      </c>
      <c r="H1664" s="17" t="s">
        <v>5400</v>
      </c>
      <c r="I1664" s="13" t="s">
        <v>5401</v>
      </c>
      <c r="J1664" s="23" t="str">
        <f>HYPERLINK("CorLog\GHA\BEX\20141020 GHA BEX Face Brick vs Tyrolean Plaster Renderings (RDC-to-RDC).msg", "Face Brick vs Tyrolean Plaster Renderings")</f>
        <v>Face Brick vs Tyrolean Plaster Renderings</v>
      </c>
      <c r="K1664" s="25" t="s">
        <v>1270</v>
      </c>
      <c r="L1664" s="19"/>
      <c r="M1664" s="20"/>
      <c r="N1664" s="21" t="s">
        <v>5402</v>
      </c>
    </row>
    <row r="1665" spans="1:14">
      <c r="A1665" s="12" t="s">
        <v>757</v>
      </c>
      <c r="B1665" s="13" t="s">
        <v>718</v>
      </c>
      <c r="C1665" s="14" t="s">
        <v>5403</v>
      </c>
      <c r="D1665" s="15">
        <v>41932.652696759258</v>
      </c>
      <c r="E1665" s="16" t="s">
        <v>21</v>
      </c>
      <c r="F1665" s="16" t="s">
        <v>16</v>
      </c>
      <c r="G1665" s="17" t="s">
        <v>1470</v>
      </c>
      <c r="H1665" s="17" t="s">
        <v>781</v>
      </c>
      <c r="I1665" s="13" t="s">
        <v>5404</v>
      </c>
      <c r="J1665" s="23" t="str">
        <f>HYPERLINK("CorLog\GHA\RTO Projects\20141020 GHA RTO Projects Minutes of Lync Meeting on Personnel Needs 2014-10-16 (GHA-to-RDC).msg", "Minutes of Lync Meeting on Personnel Needs 2014-10-16")</f>
        <v>Minutes of Lync Meeting on Personnel Needs 2014-10-16</v>
      </c>
      <c r="K1665" s="25" t="s">
        <v>1211</v>
      </c>
      <c r="L1665" s="19"/>
      <c r="M1665" s="20"/>
      <c r="N1665" s="21" t="s">
        <v>5405</v>
      </c>
    </row>
    <row r="1666" spans="1:14">
      <c r="A1666" s="12" t="s">
        <v>718</v>
      </c>
      <c r="B1666" s="13" t="s">
        <v>972</v>
      </c>
      <c r="C1666" s="14" t="s">
        <v>5406</v>
      </c>
      <c r="D1666" s="15">
        <v>41932.32916666667</v>
      </c>
      <c r="E1666" s="16" t="s">
        <v>16</v>
      </c>
      <c r="F1666" s="16" t="s">
        <v>18</v>
      </c>
      <c r="G1666" s="17" t="s">
        <v>30</v>
      </c>
      <c r="H1666" s="17" t="s">
        <v>2242</v>
      </c>
      <c r="I1666" s="13" t="s">
        <v>5407</v>
      </c>
      <c r="J1666" s="23" t="str">
        <f>HYPERLINK("CorLog\ALL\20141020 ALL How to produce a managable Photo Report (RDC-to-ZMB).msg", "How to produce a managable Photo Report")</f>
        <v>How to produce a managable Photo Report</v>
      </c>
      <c r="K1666" s="25" t="s">
        <v>1211</v>
      </c>
      <c r="L1666" s="19"/>
      <c r="M1666" s="20"/>
      <c r="N1666" s="21" t="s">
        <v>5408</v>
      </c>
    </row>
    <row r="1667" spans="1:14">
      <c r="A1667" s="12" t="s">
        <v>2016</v>
      </c>
      <c r="B1667" s="13" t="s">
        <v>1547</v>
      </c>
      <c r="C1667" s="14"/>
      <c r="D1667" s="15">
        <v>41929.593217592592</v>
      </c>
      <c r="E1667" s="16" t="s">
        <v>16</v>
      </c>
      <c r="F1667" s="16" t="s">
        <v>14</v>
      </c>
      <c r="G1667" s="17" t="s">
        <v>1320</v>
      </c>
      <c r="H1667" s="17" t="s">
        <v>5027</v>
      </c>
      <c r="I1667" s="13" t="s">
        <v>5409</v>
      </c>
      <c r="J1667" s="23" t="str">
        <f>HYPERLINK("CorLog\MDG\LDC\20141017 MDG LDC Report on missionary home Toliara odt (RDC-to-MDG).msg", "Report on missionary home Toliara odt")</f>
        <v>Report on missionary home Toliara odt</v>
      </c>
      <c r="K1667" s="25" t="s">
        <v>1211</v>
      </c>
      <c r="L1667" s="19"/>
      <c r="M1667" s="20"/>
      <c r="N1667" s="21" t="s">
        <v>5410</v>
      </c>
    </row>
    <row r="1668" spans="1:14">
      <c r="A1668" s="12" t="s">
        <v>1529</v>
      </c>
      <c r="B1668" s="13" t="s">
        <v>718</v>
      </c>
      <c r="C1668" s="14" t="s">
        <v>3067</v>
      </c>
      <c r="D1668" s="15">
        <v>41929.549097222225</v>
      </c>
      <c r="E1668" s="16" t="s">
        <v>18</v>
      </c>
      <c r="F1668" s="16" t="s">
        <v>16</v>
      </c>
      <c r="G1668" s="17" t="s">
        <v>946</v>
      </c>
      <c r="H1668" s="17" t="s">
        <v>5152</v>
      </c>
      <c r="I1668" s="13" t="s">
        <v>5411</v>
      </c>
      <c r="J1668" s="23" t="str">
        <f>HYPERLINK("CorLog\ZMB\Mongu RTO\20141017 ZMB Mongu RTO FRP Septic Tanks (ZMB-to-RDC).msg", "FRP Septic Tanks")</f>
        <v>FRP Septic Tanks</v>
      </c>
      <c r="K1668" s="25" t="s">
        <v>1211</v>
      </c>
      <c r="L1668" s="19"/>
      <c r="M1668" s="20"/>
      <c r="N1668" s="21" t="s">
        <v>5412</v>
      </c>
    </row>
    <row r="1669" spans="1:14">
      <c r="A1669" s="12" t="s">
        <v>718</v>
      </c>
      <c r="B1669" s="13" t="s">
        <v>5413</v>
      </c>
      <c r="C1669" s="14" t="s">
        <v>750</v>
      </c>
      <c r="D1669" s="15">
        <v>41929.45988425926</v>
      </c>
      <c r="E1669" s="16" t="s">
        <v>16</v>
      </c>
      <c r="F1669" s="16" t="s">
        <v>21</v>
      </c>
      <c r="G1669" s="17" t="s">
        <v>790</v>
      </c>
      <c r="H1669" s="17" t="s">
        <v>5414</v>
      </c>
      <c r="I1669" s="13" t="s">
        <v>5401</v>
      </c>
      <c r="J1669" s="23" t="str">
        <f>HYPERLINK("CorLog\GHA\BEX\20141017 GHA BEX Face Brick vs Tyrolean Plaster Renderings (RDC-to-GHA).msg", "Face Brick vs Tyrolean Plaster Renderings")</f>
        <v>Face Brick vs Tyrolean Plaster Renderings</v>
      </c>
      <c r="K1669" s="25" t="s">
        <v>1243</v>
      </c>
      <c r="L1669" s="19"/>
      <c r="M1669" s="20"/>
      <c r="N1669" s="21" t="s">
        <v>5415</v>
      </c>
    </row>
    <row r="1670" spans="1:14">
      <c r="A1670" s="12" t="s">
        <v>718</v>
      </c>
      <c r="B1670" s="13" t="s">
        <v>972</v>
      </c>
      <c r="C1670" s="14" t="s">
        <v>5416</v>
      </c>
      <c r="D1670" s="15">
        <v>41929.434074074074</v>
      </c>
      <c r="E1670" s="16" t="s">
        <v>16</v>
      </c>
      <c r="F1670" s="16" t="s">
        <v>18</v>
      </c>
      <c r="G1670" s="17" t="s">
        <v>946</v>
      </c>
      <c r="H1670" s="17" t="s">
        <v>829</v>
      </c>
      <c r="I1670" s="13" t="s">
        <v>5417</v>
      </c>
      <c r="J1670" s="23" t="str">
        <f>HYPERLINK("CorLog\ZMB\Mongu RTO\20141017 ZMB Mongu RTO RDC review of DRAFT 8450 AVR Steroguard Y314XF100WSS (RDC-to-ZMB).msg", "RDC review of DRAFT 8450 AVR Steroguard Y314XF100WSS")</f>
        <v>RDC review of DRAFT 8450 AVR Steroguard Y314XF100WSS</v>
      </c>
      <c r="K1670" s="25" t="s">
        <v>1499</v>
      </c>
      <c r="L1670" s="19"/>
      <c r="M1670" s="20"/>
      <c r="N1670" s="21" t="s">
        <v>5418</v>
      </c>
    </row>
    <row r="1671" spans="1:14">
      <c r="A1671" s="12" t="s">
        <v>718</v>
      </c>
      <c r="B1671" s="13" t="s">
        <v>750</v>
      </c>
      <c r="C1671" s="14"/>
      <c r="D1671" s="15">
        <v>41929.338194444441</v>
      </c>
      <c r="E1671" s="16" t="s">
        <v>16</v>
      </c>
      <c r="F1671" s="16" t="s">
        <v>16</v>
      </c>
      <c r="G1671" s="17" t="s">
        <v>790</v>
      </c>
      <c r="H1671" s="17" t="s">
        <v>1819</v>
      </c>
      <c r="I1671" s="13" t="s">
        <v>5419</v>
      </c>
      <c r="J1671" s="23" t="str">
        <f>HYPERLINK("CorLog\GHA\BEX\20141017 GHA BEX KM-C-501 minimum separation for underground pipe, between Gas and water (RDC-to-RDC).msg", "KM-C-501 minimum separation for underground pipe, between Gas and water")</f>
        <v>KM-C-501 minimum separation for underground pipe, between Gas and water</v>
      </c>
      <c r="K1671" s="25" t="s">
        <v>1369</v>
      </c>
      <c r="L1671" s="19"/>
      <c r="M1671" s="20"/>
      <c r="N1671" s="21" t="s">
        <v>5420</v>
      </c>
    </row>
    <row r="1672" spans="1:14">
      <c r="A1672" s="12" t="s">
        <v>718</v>
      </c>
      <c r="B1672" s="13" t="s">
        <v>1418</v>
      </c>
      <c r="C1672" s="14" t="s">
        <v>5421</v>
      </c>
      <c r="D1672" s="15">
        <v>41928.698437500003</v>
      </c>
      <c r="E1672" s="16" t="s">
        <v>16</v>
      </c>
      <c r="F1672" s="16" t="s">
        <v>16</v>
      </c>
      <c r="G1672" s="17" t="s">
        <v>785</v>
      </c>
      <c r="H1672" s="17" t="s">
        <v>3275</v>
      </c>
      <c r="I1672" s="13" t="s">
        <v>5422</v>
      </c>
      <c r="J1672" s="23" t="str">
        <f>HYPERLINK("CorLog\COD\Lubumbashi RTO\20141016 COD Lubumbashi RTO New Borehole Position (RDC-to-RDC).msg", "New Borehole Position")</f>
        <v>New Borehole Position</v>
      </c>
      <c r="K1672" s="25"/>
      <c r="L1672" s="19"/>
      <c r="M1672" s="20"/>
      <c r="N1672" s="21" t="s">
        <v>5423</v>
      </c>
    </row>
    <row r="1673" spans="1:14">
      <c r="A1673" s="12" t="s">
        <v>718</v>
      </c>
      <c r="B1673" s="13" t="s">
        <v>972</v>
      </c>
      <c r="C1673" s="14" t="s">
        <v>5424</v>
      </c>
      <c r="D1673" s="15">
        <v>41928.595358796294</v>
      </c>
      <c r="E1673" s="16" t="s">
        <v>16</v>
      </c>
      <c r="F1673" s="16" t="s">
        <v>18</v>
      </c>
      <c r="G1673" s="17" t="s">
        <v>838</v>
      </c>
      <c r="H1673" s="17" t="s">
        <v>829</v>
      </c>
      <c r="I1673" s="13" t="s">
        <v>5425</v>
      </c>
      <c r="J1673" s="23" t="str">
        <f>HYPERLINK("CorLog\ZMB\Choma RTO\20141016 ZMB Choma RTO Long Lead Items (RDC-to-ZMB).msg", "Long Lead Items")</f>
        <v>Long Lead Items</v>
      </c>
      <c r="K1673" s="25" t="s">
        <v>1243</v>
      </c>
      <c r="L1673" s="19"/>
      <c r="M1673" s="20"/>
      <c r="N1673" s="21" t="s">
        <v>5426</v>
      </c>
    </row>
    <row r="1674" spans="1:14">
      <c r="A1674" s="12" t="s">
        <v>718</v>
      </c>
      <c r="B1674" s="13" t="s">
        <v>5413</v>
      </c>
      <c r="C1674" s="14" t="s">
        <v>4922</v>
      </c>
      <c r="D1674" s="15">
        <v>41928.495937500003</v>
      </c>
      <c r="E1674" s="16" t="s">
        <v>16</v>
      </c>
      <c r="F1674" s="16" t="s">
        <v>21</v>
      </c>
      <c r="G1674" s="17" t="s">
        <v>790</v>
      </c>
      <c r="H1674" s="17" t="s">
        <v>854</v>
      </c>
      <c r="I1674" s="13" t="s">
        <v>5427</v>
      </c>
      <c r="J1674" s="23" t="str">
        <f>HYPERLINK("CorLog\GHA\BEX\20141016 GHA BEX FS KM-C-502-C1 Ret Walls - 850mm Base Poured Already; Add extra concrete strip (RDC-to-GHA).msg", "FS KM-C-502-C1 Ret Walls - 850mm Base Poured Already; Add extra concrete strip")</f>
        <v>FS KM-C-502-C1 Ret Walls - 850mm Base Poured Already; Add extra concrete strip</v>
      </c>
      <c r="K1674" s="25" t="s">
        <v>1369</v>
      </c>
      <c r="L1674" s="19"/>
      <c r="M1674" s="20"/>
      <c r="N1674" s="21" t="s">
        <v>5428</v>
      </c>
    </row>
    <row r="1675" spans="1:14">
      <c r="A1675" s="12" t="s">
        <v>718</v>
      </c>
      <c r="B1675" s="13" t="s">
        <v>1552</v>
      </c>
      <c r="C1675" s="14" t="s">
        <v>5429</v>
      </c>
      <c r="D1675" s="15">
        <v>41928.397905092592</v>
      </c>
      <c r="E1675" s="16" t="s">
        <v>16</v>
      </c>
      <c r="F1675" s="16" t="s">
        <v>18</v>
      </c>
      <c r="G1675" s="17" t="s">
        <v>30</v>
      </c>
      <c r="H1675" s="17" t="s">
        <v>2022</v>
      </c>
      <c r="I1675" s="13" t="s">
        <v>5430</v>
      </c>
      <c r="J1675" s="23" t="str">
        <f>HYPERLINK("CorLog\ALL\20141016 ALL NEW Estimating workbook for import into Project Tracking (RDC-to-ZMB).msg", "NEW Estimating workbook for import into Project Tracking")</f>
        <v>NEW Estimating workbook for import into Project Tracking</v>
      </c>
      <c r="K1675" s="25" t="s">
        <v>1211</v>
      </c>
      <c r="L1675" s="19"/>
      <c r="M1675" s="20"/>
      <c r="N1675" s="21" t="s">
        <v>5431</v>
      </c>
    </row>
    <row r="1676" spans="1:14">
      <c r="A1676" s="12" t="s">
        <v>718</v>
      </c>
      <c r="B1676" s="13" t="s">
        <v>972</v>
      </c>
      <c r="C1676" s="14" t="s">
        <v>5432</v>
      </c>
      <c r="D1676" s="15">
        <v>41928.328310185185</v>
      </c>
      <c r="E1676" s="16" t="s">
        <v>16</v>
      </c>
      <c r="F1676" s="16" t="s">
        <v>18</v>
      </c>
      <c r="G1676" s="17" t="s">
        <v>946</v>
      </c>
      <c r="H1676" s="17" t="s">
        <v>829</v>
      </c>
      <c r="I1676" s="13" t="s">
        <v>5433</v>
      </c>
      <c r="J1676" s="23" t="str">
        <f>HYPERLINK("CorLog\ZMB\Mongu RTO\20141016 ZMB Mongu RTO RDC review of NLBR for Kabelflex Pallet Jack Screws (RDC-to-ZMB).msg", "RDC review of NLBR for Kabelflex Pallet Jack Screws")</f>
        <v>RDC review of NLBR for Kabelflex Pallet Jack Screws</v>
      </c>
      <c r="K1676" s="25" t="s">
        <v>1211</v>
      </c>
      <c r="L1676" s="19"/>
      <c r="M1676" s="20"/>
      <c r="N1676" s="21" t="s">
        <v>5434</v>
      </c>
    </row>
    <row r="1677" spans="1:14">
      <c r="A1677" s="12" t="s">
        <v>718</v>
      </c>
      <c r="B1677" s="13" t="s">
        <v>972</v>
      </c>
      <c r="C1677" s="14" t="s">
        <v>5435</v>
      </c>
      <c r="D1677" s="15">
        <v>41928.325335648151</v>
      </c>
      <c r="E1677" s="16" t="s">
        <v>16</v>
      </c>
      <c r="F1677" s="16" t="s">
        <v>18</v>
      </c>
      <c r="G1677" s="17" t="s">
        <v>885</v>
      </c>
      <c r="H1677" s="17" t="s">
        <v>781</v>
      </c>
      <c r="I1677" s="13" t="s">
        <v>5436</v>
      </c>
      <c r="J1677" s="23" t="str">
        <f>HYPERLINK("CorLog\ZMB\Kabompo RTO\20141016 ZMB Kabompo RTO CV Requests for 2015 (RDC-to-ZMB).msg", "CV Requests for 2015")</f>
        <v>CV Requests for 2015</v>
      </c>
      <c r="K1677" s="25"/>
      <c r="L1677" s="19"/>
      <c r="M1677" s="20"/>
      <c r="N1677" s="21" t="s">
        <v>5437</v>
      </c>
    </row>
    <row r="1678" spans="1:14">
      <c r="A1678" s="12" t="s">
        <v>827</v>
      </c>
      <c r="B1678" s="13" t="s">
        <v>718</v>
      </c>
      <c r="C1678" s="14" t="s">
        <v>5413</v>
      </c>
      <c r="D1678" s="15">
        <v>41927.740648148145</v>
      </c>
      <c r="E1678" s="16" t="s">
        <v>21</v>
      </c>
      <c r="F1678" s="16" t="s">
        <v>16</v>
      </c>
      <c r="G1678" s="17" t="s">
        <v>790</v>
      </c>
      <c r="H1678" s="17" t="s">
        <v>3330</v>
      </c>
      <c r="I1678" s="13" t="s">
        <v>5438</v>
      </c>
      <c r="J1678" s="23" t="str">
        <f>HYPERLINK("CorLog\GHA\BEX\20141015 GHA BEX Generator Power DB; Progress pictures (GHA-to-RDC).msg", "Generator Power DB; Progress pictures")</f>
        <v>Generator Power DB; Progress pictures</v>
      </c>
      <c r="K1678" s="25" t="s">
        <v>1243</v>
      </c>
      <c r="L1678" s="19"/>
      <c r="M1678" s="20"/>
      <c r="N1678" s="21" t="s">
        <v>5439</v>
      </c>
    </row>
    <row r="1679" spans="1:14">
      <c r="A1679" s="12" t="s">
        <v>718</v>
      </c>
      <c r="B1679" s="13" t="s">
        <v>1529</v>
      </c>
      <c r="C1679" s="14"/>
      <c r="D1679" s="15">
        <v>41927.694444444445</v>
      </c>
      <c r="E1679" s="16" t="s">
        <v>16</v>
      </c>
      <c r="F1679" s="16" t="s">
        <v>18</v>
      </c>
      <c r="G1679" s="17" t="s">
        <v>946</v>
      </c>
      <c r="H1679" s="17" t="s">
        <v>1489</v>
      </c>
      <c r="I1679" s="13" t="s">
        <v>5440</v>
      </c>
      <c r="J1679" s="23" t="str">
        <f>HYPERLINK("CorLog\ZMB\Mongu RTO\20141015 ZMB Mongu RTO Could we use local Water Tanks (RDC-to-ZMB).msg", "Could we use local Water Tanks")</f>
        <v>Could we use local Water Tanks</v>
      </c>
      <c r="K1679" s="25" t="s">
        <v>1211</v>
      </c>
      <c r="L1679" s="19"/>
      <c r="M1679" s="20"/>
      <c r="N1679" s="21" t="s">
        <v>5441</v>
      </c>
    </row>
    <row r="1680" spans="1:14">
      <c r="A1680" s="12" t="s">
        <v>718</v>
      </c>
      <c r="B1680" s="13" t="s">
        <v>1424</v>
      </c>
      <c r="C1680" s="14" t="s">
        <v>5207</v>
      </c>
      <c r="D1680" s="15">
        <v>41927.472916666666</v>
      </c>
      <c r="E1680" s="16" t="s">
        <v>16</v>
      </c>
      <c r="F1680" s="16" t="s">
        <v>26</v>
      </c>
      <c r="G1680" s="17" t="s">
        <v>1544</v>
      </c>
      <c r="H1680" s="17" t="s">
        <v>1426</v>
      </c>
      <c r="I1680" s="13" t="s">
        <v>5442</v>
      </c>
      <c r="J1680" s="23" t="str">
        <f>HYPERLINK("CorLog\SALTO\20141015 SALTO Status update on orders of SALTO access control systems (RDC-to-GBR).msg", "Status update on orders of SALTO access control systems")</f>
        <v>Status update on orders of SALTO access control systems</v>
      </c>
      <c r="K1680" s="25" t="s">
        <v>1211</v>
      </c>
      <c r="L1680" s="19"/>
      <c r="M1680" s="20"/>
      <c r="N1680" s="21" t="s">
        <v>5443</v>
      </c>
    </row>
    <row r="1681" spans="1:14">
      <c r="A1681" s="12" t="s">
        <v>1424</v>
      </c>
      <c r="B1681" s="13" t="s">
        <v>718</v>
      </c>
      <c r="C1681" s="14"/>
      <c r="D1681" s="15">
        <v>41927.437881944446</v>
      </c>
      <c r="E1681" s="16" t="s">
        <v>26</v>
      </c>
      <c r="F1681" s="16" t="s">
        <v>16</v>
      </c>
      <c r="G1681" s="17" t="s">
        <v>1544</v>
      </c>
      <c r="H1681" s="17" t="s">
        <v>1426</v>
      </c>
      <c r="I1681" s="13" t="s">
        <v>5442</v>
      </c>
      <c r="J1681" s="23" t="str">
        <f>HYPERLINK("CorLog\SALTO\20141015 SALTO Status update on orders of SALTO access control systems (GBR-to-RDC).msg", "Status update on orders of SALTO access control systems")</f>
        <v>Status update on orders of SALTO access control systems</v>
      </c>
      <c r="K1681" s="25" t="s">
        <v>1211</v>
      </c>
      <c r="L1681" s="19"/>
      <c r="M1681" s="20"/>
      <c r="N1681" s="21" t="s">
        <v>5444</v>
      </c>
    </row>
    <row r="1682" spans="1:14">
      <c r="A1682" s="12" t="s">
        <v>718</v>
      </c>
      <c r="B1682" s="13" t="s">
        <v>4950</v>
      </c>
      <c r="C1682" s="14" t="s">
        <v>5079</v>
      </c>
      <c r="D1682" s="15">
        <v>41927.390625</v>
      </c>
      <c r="E1682" s="16" t="s">
        <v>16</v>
      </c>
      <c r="F1682" s="16" t="s">
        <v>18</v>
      </c>
      <c r="G1682" s="17" t="s">
        <v>885</v>
      </c>
      <c r="H1682" s="17" t="s">
        <v>829</v>
      </c>
      <c r="I1682" s="13" t="s">
        <v>5445</v>
      </c>
      <c r="J1682" s="23" t="str">
        <f>HYPERLINK("CorLog\ZMB\Kabompo RTO\20141015 ZMB Kabompo RTO RDC review of Draft NLBR for Tile, Carpet &amp; Signage (RDC-to-ZMB).msg", "RDC review of Draft NLBR for Tile, Carpet &amp; Signage")</f>
        <v>RDC review of Draft NLBR for Tile, Carpet &amp; Signage</v>
      </c>
      <c r="K1682" s="25" t="s">
        <v>1274</v>
      </c>
      <c r="L1682" s="19"/>
      <c r="M1682" s="20"/>
      <c r="N1682" s="21" t="s">
        <v>5446</v>
      </c>
    </row>
    <row r="1683" spans="1:14">
      <c r="A1683" s="12" t="s">
        <v>718</v>
      </c>
      <c r="B1683" s="13" t="s">
        <v>4950</v>
      </c>
      <c r="C1683" s="14" t="s">
        <v>5079</v>
      </c>
      <c r="D1683" s="15">
        <v>41927.382789351854</v>
      </c>
      <c r="E1683" s="16" t="s">
        <v>16</v>
      </c>
      <c r="F1683" s="16" t="s">
        <v>18</v>
      </c>
      <c r="G1683" s="17" t="s">
        <v>885</v>
      </c>
      <c r="H1683" s="17" t="s">
        <v>829</v>
      </c>
      <c r="I1683" s="13" t="s">
        <v>5447</v>
      </c>
      <c r="J1683" s="23" t="str">
        <f>HYPERLINK("CorLog\ZMB\Kabompo RTO\20141015 ZMB Kabompo RTO RDC review of Draft NLBRs - Paint, Furniture &amp; Ceilings (RDC-to-ZMB).msg", "RDC review of Draft NLBRs - Paint, Furniture &amp; Ceilings")</f>
        <v>RDC review of Draft NLBRs - Paint, Furniture &amp; Ceilings</v>
      </c>
      <c r="K1683" s="25"/>
      <c r="L1683" s="19"/>
      <c r="M1683" s="20"/>
      <c r="N1683" s="21" t="s">
        <v>5448</v>
      </c>
    </row>
    <row r="1684" spans="1:14">
      <c r="A1684" s="12" t="s">
        <v>718</v>
      </c>
      <c r="B1684" s="13" t="s">
        <v>827</v>
      </c>
      <c r="C1684" s="14" t="s">
        <v>5449</v>
      </c>
      <c r="D1684" s="15">
        <v>41927.337500000001</v>
      </c>
      <c r="E1684" s="16" t="s">
        <v>16</v>
      </c>
      <c r="F1684" s="16" t="s">
        <v>21</v>
      </c>
      <c r="G1684" s="17" t="s">
        <v>790</v>
      </c>
      <c r="H1684" s="17" t="s">
        <v>2688</v>
      </c>
      <c r="I1684" s="13" t="s">
        <v>5450</v>
      </c>
      <c r="J1684" s="23" t="str">
        <f>HYPERLINK("CorLog\GHA\BEX\20141015 GHA BEX FS KM-C-502-C1 Ret Walls - 850mm Base Poured Already (RDC-to-GHA).msg", "FS KM-C-502-C1 Ret Walls - 850mm Base Poured Already")</f>
        <v>FS KM-C-502-C1 Ret Walls - 850mm Base Poured Already</v>
      </c>
      <c r="K1684" s="25" t="s">
        <v>1243</v>
      </c>
      <c r="L1684" s="19"/>
      <c r="M1684" s="20"/>
      <c r="N1684" s="21" t="s">
        <v>5451</v>
      </c>
    </row>
    <row r="1685" spans="1:14">
      <c r="A1685" s="12" t="s">
        <v>718</v>
      </c>
      <c r="B1685" s="13" t="s">
        <v>827</v>
      </c>
      <c r="C1685" s="14" t="s">
        <v>5452</v>
      </c>
      <c r="D1685" s="15">
        <v>41927.331284722219</v>
      </c>
      <c r="E1685" s="16" t="s">
        <v>16</v>
      </c>
      <c r="F1685" s="16" t="s">
        <v>21</v>
      </c>
      <c r="G1685" s="17" t="s">
        <v>790</v>
      </c>
      <c r="H1685" s="17" t="s">
        <v>886</v>
      </c>
      <c r="I1685" s="13" t="s">
        <v>5453</v>
      </c>
      <c r="J1685" s="23" t="str">
        <f>HYPERLINK("CorLog\GHA\BEX\20141015 GHA BEX Keep original Siemens Logo units (RDC-to-GHA).msg", "Keep original Siemens Logo units")</f>
        <v>Keep original Siemens Logo units</v>
      </c>
      <c r="K1685" s="25"/>
      <c r="L1685" s="19"/>
      <c r="M1685" s="20"/>
      <c r="N1685" s="21" t="s">
        <v>5454</v>
      </c>
    </row>
    <row r="1686" spans="1:14">
      <c r="A1686" s="12" t="s">
        <v>718</v>
      </c>
      <c r="B1686" s="13" t="s">
        <v>5455</v>
      </c>
      <c r="C1686" s="14" t="s">
        <v>5079</v>
      </c>
      <c r="D1686" s="15">
        <v>41926.706261574072</v>
      </c>
      <c r="E1686" s="16" t="s">
        <v>16</v>
      </c>
      <c r="F1686" s="16" t="s">
        <v>18</v>
      </c>
      <c r="G1686" s="17" t="s">
        <v>885</v>
      </c>
      <c r="H1686" s="17" t="s">
        <v>829</v>
      </c>
      <c r="I1686" s="13" t="s">
        <v>5445</v>
      </c>
      <c r="J1686" s="23" t="str">
        <f>HYPERLINK("CorLog\ZMB\Kabompo RTO\20141014 ZMB Kabompo RTO RDC review of Draft NLBR for Tile, Carpet &amp; Signage (RDC-to-ZMB).msg", "RDC review of Draft NLBR for Tile, Carpet &amp; Signage")</f>
        <v>RDC review of Draft NLBR for Tile, Carpet &amp; Signage</v>
      </c>
      <c r="K1686" s="25" t="s">
        <v>1211</v>
      </c>
      <c r="L1686" s="19"/>
      <c r="M1686" s="20"/>
      <c r="N1686" s="21" t="s">
        <v>5456</v>
      </c>
    </row>
    <row r="1687" spans="1:14">
      <c r="A1687" s="12" t="s">
        <v>718</v>
      </c>
      <c r="B1687" s="13" t="s">
        <v>5455</v>
      </c>
      <c r="C1687" s="14" t="s">
        <v>5079</v>
      </c>
      <c r="D1687" s="15">
        <v>41926.704699074071</v>
      </c>
      <c r="E1687" s="16" t="s">
        <v>16</v>
      </c>
      <c r="F1687" s="16" t="s">
        <v>18</v>
      </c>
      <c r="G1687" s="17" t="s">
        <v>885</v>
      </c>
      <c r="H1687" s="17" t="s">
        <v>829</v>
      </c>
      <c r="I1687" s="13" t="s">
        <v>5447</v>
      </c>
      <c r="J1687" s="23" t="str">
        <f>HYPERLINK("CorLog\ZMB\Kabompo RTO\20141014 ZMB Kabompo RTO RDC review of Draft NLBRs - Paint, Furniture &amp; Ceilings (RDC-to-ZMB).msg", "RDC review of Draft NLBRs - Paint, Furniture &amp; Ceilings")</f>
        <v>RDC review of Draft NLBRs - Paint, Furniture &amp; Ceilings</v>
      </c>
      <c r="K1687" s="25" t="s">
        <v>1270</v>
      </c>
      <c r="L1687" s="19"/>
      <c r="M1687" s="20"/>
      <c r="N1687" s="21" t="s">
        <v>5457</v>
      </c>
    </row>
    <row r="1688" spans="1:14">
      <c r="A1688" s="12" t="s">
        <v>750</v>
      </c>
      <c r="B1688" s="13" t="s">
        <v>4950</v>
      </c>
      <c r="C1688" s="14" t="s">
        <v>5397</v>
      </c>
      <c r="D1688" s="15">
        <v>41926.67763888889</v>
      </c>
      <c r="E1688" s="16" t="s">
        <v>16</v>
      </c>
      <c r="F1688" s="16" t="s">
        <v>18</v>
      </c>
      <c r="G1688" s="17" t="s">
        <v>885</v>
      </c>
      <c r="H1688" s="17" t="s">
        <v>5458</v>
      </c>
      <c r="I1688" s="13" t="s">
        <v>5459</v>
      </c>
      <c r="J1688" s="23" t="str">
        <f>HYPERLINK("CorLog\ZMB\Kabompo RTO\20141014 ZMB Kabompo RTO Sliding Gate Rail (RDC-to-ZMB).msg", "Sliding Gate Rail")</f>
        <v>Sliding Gate Rail</v>
      </c>
      <c r="K1688" s="25" t="s">
        <v>1211</v>
      </c>
      <c r="L1688" s="19"/>
      <c r="M1688" s="20"/>
      <c r="N1688" s="21" t="s">
        <v>5460</v>
      </c>
    </row>
    <row r="1689" spans="1:14">
      <c r="A1689" s="12" t="s">
        <v>750</v>
      </c>
      <c r="B1689" s="13" t="s">
        <v>1529</v>
      </c>
      <c r="C1689" s="14"/>
      <c r="D1689" s="15">
        <v>41926.485694444447</v>
      </c>
      <c r="E1689" s="16" t="s">
        <v>16</v>
      </c>
      <c r="F1689" s="16" t="s">
        <v>18</v>
      </c>
      <c r="G1689" s="17" t="s">
        <v>946</v>
      </c>
      <c r="H1689" s="17" t="s">
        <v>851</v>
      </c>
      <c r="I1689" s="13" t="s">
        <v>5461</v>
      </c>
      <c r="J1689" s="23" t="str">
        <f>HYPERLINK("CorLog\ZMB\Mongu RTO\20141014 ZMB Mongu RTO Res. Bldg DCP Test On 150mm prelayer (North Passage) (RDC-to-ZMB).msg", "Res. Bldg DCP Test On 150mm prelayer (North Passage)")</f>
        <v>Res. Bldg DCP Test On 150mm prelayer (North Passage)</v>
      </c>
      <c r="K1689" s="25"/>
      <c r="L1689" s="19"/>
      <c r="M1689" s="20"/>
      <c r="N1689" s="21" t="s">
        <v>5462</v>
      </c>
    </row>
    <row r="1690" spans="1:14">
      <c r="A1690" s="12" t="s">
        <v>718</v>
      </c>
      <c r="B1690" s="13" t="s">
        <v>972</v>
      </c>
      <c r="C1690" s="14" t="s">
        <v>5306</v>
      </c>
      <c r="D1690" s="15">
        <v>41926.444097222222</v>
      </c>
      <c r="E1690" s="16" t="s">
        <v>16</v>
      </c>
      <c r="F1690" s="16" t="s">
        <v>18</v>
      </c>
      <c r="G1690" s="17" t="s">
        <v>1070</v>
      </c>
      <c r="H1690" s="17" t="s">
        <v>829</v>
      </c>
      <c r="I1690" s="13" t="s">
        <v>5463</v>
      </c>
      <c r="J1690" s="23" t="str">
        <f>HYPERLINK("CorLog\ZMB\Katete RTO\20141014 ZMB Katete RTO RTO DRAFT NLBR Tools etc (RDC-to-ZMB).msg", "RTO DRAFT NLBR Tools etc")</f>
        <v>RTO DRAFT NLBR Tools etc</v>
      </c>
      <c r="K1690" s="25" t="s">
        <v>1243</v>
      </c>
      <c r="L1690" s="19"/>
      <c r="M1690" s="20"/>
      <c r="N1690" s="21" t="s">
        <v>5464</v>
      </c>
    </row>
    <row r="1691" spans="1:14">
      <c r="A1691" s="12" t="s">
        <v>718</v>
      </c>
      <c r="B1691" s="13" t="s">
        <v>723</v>
      </c>
      <c r="C1691" s="14" t="s">
        <v>5465</v>
      </c>
      <c r="D1691" s="15">
        <v>41926.437581018516</v>
      </c>
      <c r="E1691" s="16" t="s">
        <v>16</v>
      </c>
      <c r="F1691" s="16" t="s">
        <v>16</v>
      </c>
      <c r="G1691" s="17" t="s">
        <v>1065</v>
      </c>
      <c r="H1691" s="17" t="s">
        <v>867</v>
      </c>
      <c r="I1691" s="13" t="s">
        <v>5466</v>
      </c>
      <c r="J1691" s="23" t="str">
        <f>HYPERLINK("CorLog\ZMB\RTO Projects\20141014 ZMB RTO Items that will be resold to next project; Locations for next project (RDC-to-RDC).msg", "Items that will be resold to next project; Locations for next project")</f>
        <v>Items that will be resold to next project; Locations for next project</v>
      </c>
      <c r="K1691" s="25"/>
      <c r="L1691" s="19"/>
      <c r="M1691" s="20"/>
      <c r="N1691" s="21" t="s">
        <v>5467</v>
      </c>
    </row>
    <row r="1692" spans="1:14">
      <c r="A1692" s="12" t="s">
        <v>718</v>
      </c>
      <c r="B1692" s="13" t="s">
        <v>723</v>
      </c>
      <c r="C1692" s="14" t="s">
        <v>5465</v>
      </c>
      <c r="D1692" s="15">
        <v>41926.422268518516</v>
      </c>
      <c r="E1692" s="16" t="s">
        <v>16</v>
      </c>
      <c r="F1692" s="16" t="s">
        <v>16</v>
      </c>
      <c r="G1692" s="17" t="s">
        <v>1065</v>
      </c>
      <c r="H1692" s="17" t="s">
        <v>867</v>
      </c>
      <c r="I1692" s="13" t="s">
        <v>5468</v>
      </c>
      <c r="J1692" s="23" t="str">
        <f>HYPERLINK("CorLog\ZMB\RTO Projects\20141014 ZMB RTO Projects Items that will be resold to next project (RDC-to-RDC).msg", "Items that will be resold to next project")</f>
        <v>Items that will be resold to next project</v>
      </c>
      <c r="K1692" s="25" t="s">
        <v>1270</v>
      </c>
      <c r="L1692" s="19"/>
      <c r="M1692" s="20"/>
      <c r="N1692" s="21" t="s">
        <v>5469</v>
      </c>
    </row>
    <row r="1693" spans="1:14">
      <c r="A1693" s="12" t="s">
        <v>718</v>
      </c>
      <c r="B1693" s="13" t="s">
        <v>827</v>
      </c>
      <c r="C1693" s="14" t="s">
        <v>5470</v>
      </c>
      <c r="D1693" s="15">
        <v>41926.416620370372</v>
      </c>
      <c r="E1693" s="16" t="s">
        <v>16</v>
      </c>
      <c r="F1693" s="16" t="s">
        <v>21</v>
      </c>
      <c r="G1693" s="17" t="s">
        <v>790</v>
      </c>
      <c r="H1693" s="17" t="s">
        <v>829</v>
      </c>
      <c r="I1693" s="13" t="s">
        <v>5471</v>
      </c>
      <c r="J1693" s="23" t="str">
        <f>HYPERLINK("CorLog\GHA\BEX\20141014 GHA BEX RDC review of NLBR Package -23 (RDC-to-GHA).msg", "RDC review of NLBR Package -23")</f>
        <v>RDC review of NLBR Package -23</v>
      </c>
      <c r="K1693" s="25" t="s">
        <v>1626</v>
      </c>
      <c r="L1693" s="19"/>
      <c r="M1693" s="20"/>
      <c r="N1693" s="21" t="s">
        <v>5472</v>
      </c>
    </row>
    <row r="1694" spans="1:14">
      <c r="A1694" s="12" t="s">
        <v>874</v>
      </c>
      <c r="B1694" s="13"/>
      <c r="C1694" s="14"/>
      <c r="D1694" s="15">
        <v>41926</v>
      </c>
      <c r="E1694" s="16" t="s">
        <v>25</v>
      </c>
      <c r="F1694" s="16" t="s">
        <v>30</v>
      </c>
      <c r="G1694" s="17" t="s">
        <v>719</v>
      </c>
      <c r="H1694" s="17" t="s">
        <v>5473</v>
      </c>
      <c r="I1694" s="13" t="s">
        <v>5474</v>
      </c>
      <c r="J1694" s="23" t="str">
        <f>HYPERLINK("CorLog\Reference\20141014 Reference DC-50 Local Design Construction Volunteer Application (WHQ-to-ALL).doc", "DC-50 Local Design Construction Volunteer Application")</f>
        <v>DC-50 Local Design Construction Volunteer Application</v>
      </c>
      <c r="K1694" s="25"/>
      <c r="L1694" s="19"/>
      <c r="M1694" s="20"/>
      <c r="N1694" s="21" t="s">
        <v>5475</v>
      </c>
    </row>
    <row r="1695" spans="1:14">
      <c r="A1695" s="12" t="s">
        <v>750</v>
      </c>
      <c r="B1695" s="13" t="s">
        <v>1529</v>
      </c>
      <c r="C1695" s="14" t="s">
        <v>718</v>
      </c>
      <c r="D1695" s="15">
        <v>41925.874652777777</v>
      </c>
      <c r="E1695" s="16" t="s">
        <v>16</v>
      </c>
      <c r="F1695" s="16" t="s">
        <v>18</v>
      </c>
      <c r="G1695" s="17" t="s">
        <v>946</v>
      </c>
      <c r="H1695" s="17" t="s">
        <v>851</v>
      </c>
      <c r="I1695" s="13" t="s">
        <v>5476</v>
      </c>
      <c r="J1695" s="23" t="str">
        <f>HYPERLINK("CorLog\ZMB\Mongu RTO\20141013 ZMB Mongu RTO DCP Test for Final Layer under Slab (RDC-to-ZMB).msg", "DCP Test for Final Layer under Slab")</f>
        <v>DCP Test for Final Layer under Slab</v>
      </c>
      <c r="K1695" s="25" t="s">
        <v>1270</v>
      </c>
      <c r="L1695" s="19"/>
      <c r="M1695" s="20"/>
      <c r="N1695" s="21" t="s">
        <v>5477</v>
      </c>
    </row>
    <row r="1696" spans="1:14">
      <c r="A1696" s="12" t="s">
        <v>750</v>
      </c>
      <c r="B1696" s="13" t="s">
        <v>717</v>
      </c>
      <c r="C1696" s="14" t="s">
        <v>5478</v>
      </c>
      <c r="D1696" s="15">
        <v>41925.550162037034</v>
      </c>
      <c r="E1696" s="16" t="s">
        <v>16</v>
      </c>
      <c r="F1696" s="16" t="s">
        <v>16</v>
      </c>
      <c r="G1696" s="17" t="s">
        <v>979</v>
      </c>
      <c r="H1696" s="17" t="s">
        <v>1562</v>
      </c>
      <c r="I1696" s="13" t="s">
        <v>5479</v>
      </c>
      <c r="J1696" s="23" t="str">
        <f>HYPERLINK("CorLog\RTO\Projects\20141013 RTO Projects NGA - Clotan vs Longspan Alu gutters (RDC-to-RDC).msg", "NGA - Clotan vs Longspan Alu gutters")</f>
        <v>NGA - Clotan vs Longspan Alu gutters</v>
      </c>
      <c r="K1696" s="25" t="s">
        <v>4047</v>
      </c>
      <c r="L1696" s="19"/>
      <c r="M1696" s="20"/>
      <c r="N1696" s="21" t="s">
        <v>5480</v>
      </c>
    </row>
    <row r="1697" spans="1:14">
      <c r="A1697" s="12" t="s">
        <v>1797</v>
      </c>
      <c r="B1697" s="13" t="s">
        <v>717</v>
      </c>
      <c r="C1697" s="14" t="s">
        <v>5481</v>
      </c>
      <c r="D1697" s="15">
        <v>41925.430324074077</v>
      </c>
      <c r="E1697" s="16"/>
      <c r="F1697" s="16" t="s">
        <v>16</v>
      </c>
      <c r="G1697" s="17" t="s">
        <v>979</v>
      </c>
      <c r="H1697" s="17" t="s">
        <v>1562</v>
      </c>
      <c r="I1697" s="13" t="s">
        <v>5482</v>
      </c>
      <c r="J1697" s="23" t="str">
        <f>HYPERLINK("CorLog\RTO\Projects\20141013 RTO Projects Quotation - Roof Fix Brackets from Longspan (-to-RDC).msg", "Quotation - Roof Fix Brackets from Longspan")</f>
        <v>Quotation - Roof Fix Brackets from Longspan</v>
      </c>
      <c r="K1697" s="25" t="s">
        <v>1626</v>
      </c>
      <c r="L1697" s="19"/>
      <c r="M1697" s="20"/>
      <c r="N1697" s="21" t="s">
        <v>5483</v>
      </c>
    </row>
    <row r="1698" spans="1:14">
      <c r="A1698" s="12" t="s">
        <v>718</v>
      </c>
      <c r="B1698" s="13" t="s">
        <v>4265</v>
      </c>
      <c r="C1698" s="14" t="s">
        <v>5484</v>
      </c>
      <c r="D1698" s="15">
        <v>41925.355868055558</v>
      </c>
      <c r="E1698" s="16" t="s">
        <v>16</v>
      </c>
      <c r="F1698" s="16" t="s">
        <v>15</v>
      </c>
      <c r="G1698" s="17" t="s">
        <v>1169</v>
      </c>
      <c r="H1698" s="17" t="s">
        <v>2192</v>
      </c>
      <c r="I1698" s="13" t="s">
        <v>5485</v>
      </c>
      <c r="J1698" s="23" t="str">
        <f>HYPERLINK("CorLog\COD\Kikwit RTO\20141013 COD Kikwit RTO RDC review sewer, civil, and reticulation drawings (RDC-to-ZAF).msg", "RDC review sewer, civil, and reticulation drawings")</f>
        <v>RDC review sewer, civil, and reticulation drawings</v>
      </c>
      <c r="K1698" s="25" t="s">
        <v>1499</v>
      </c>
      <c r="L1698" s="19"/>
      <c r="M1698" s="20"/>
      <c r="N1698" s="21" t="s">
        <v>5486</v>
      </c>
    </row>
    <row r="1699" spans="1:14">
      <c r="A1699" s="12" t="s">
        <v>827</v>
      </c>
      <c r="B1699" s="13" t="s">
        <v>718</v>
      </c>
      <c r="C1699" s="14" t="s">
        <v>1757</v>
      </c>
      <c r="D1699" s="15">
        <v>41923.870312500003</v>
      </c>
      <c r="E1699" s="16" t="s">
        <v>21</v>
      </c>
      <c r="F1699" s="16" t="s">
        <v>16</v>
      </c>
      <c r="G1699" s="17" t="s">
        <v>730</v>
      </c>
      <c r="H1699" s="17" t="s">
        <v>953</v>
      </c>
      <c r="I1699" s="13" t="s">
        <v>5487</v>
      </c>
      <c r="J1699" s="23" t="str">
        <f>HYPERLINK("CorLog\GHA\Baatsona SKE\20141011 GHA Baatsona SKE REHABILITATION OF BAATSONA BIBLE SCHOOL-Construction Supervision (GHA-to-RDC).msg", "REHABILITATION OF BAATSONA BIBLE SCHOOL-Construction Supervision")</f>
        <v>REHABILITATION OF BAATSONA BIBLE SCHOOL-Construction Supervision</v>
      </c>
      <c r="K1699" s="25" t="s">
        <v>1369</v>
      </c>
      <c r="L1699" s="19"/>
      <c r="M1699" s="20"/>
      <c r="N1699" s="21" t="s">
        <v>5488</v>
      </c>
    </row>
    <row r="1700" spans="1:14">
      <c r="A1700" s="12" t="s">
        <v>5003</v>
      </c>
      <c r="B1700" s="13" t="s">
        <v>718</v>
      </c>
      <c r="C1700" s="14" t="s">
        <v>5489</v>
      </c>
      <c r="D1700" s="15">
        <v>41922.709872685184</v>
      </c>
      <c r="E1700" s="16" t="s">
        <v>14</v>
      </c>
      <c r="F1700" s="16" t="s">
        <v>16</v>
      </c>
      <c r="G1700" s="17" t="s">
        <v>966</v>
      </c>
      <c r="H1700" s="17" t="s">
        <v>1707</v>
      </c>
      <c r="I1700" s="13" t="s">
        <v>5490</v>
      </c>
      <c r="J1700" s="23" t="str">
        <f>HYPERLINK("CorLog\MDG\Branch\20141010 MDG Branch Assessing future studio needs (MDG-to-RDC).msg", "Assessing future studio needs")</f>
        <v>Assessing future studio needs</v>
      </c>
      <c r="K1700" s="25" t="s">
        <v>1211</v>
      </c>
      <c r="L1700" s="19"/>
      <c r="M1700" s="20"/>
      <c r="N1700" s="21" t="s">
        <v>5491</v>
      </c>
    </row>
    <row r="1701" spans="1:14">
      <c r="A1701" s="12" t="s">
        <v>718</v>
      </c>
      <c r="B1701" s="13" t="s">
        <v>750</v>
      </c>
      <c r="C1701" s="14" t="s">
        <v>5492</v>
      </c>
      <c r="D1701" s="15">
        <v>41922.686412037037</v>
      </c>
      <c r="E1701" s="16" t="s">
        <v>16</v>
      </c>
      <c r="F1701" s="16" t="s">
        <v>16</v>
      </c>
      <c r="G1701" s="17" t="s">
        <v>979</v>
      </c>
      <c r="H1701" s="17" t="s">
        <v>1562</v>
      </c>
      <c r="I1701" s="13" t="s">
        <v>5493</v>
      </c>
      <c r="J1701" s="23" t="str">
        <f>HYPERLINK("CorLog\RTO\Projects\20141010 RTO Projects RTOs Roofs; Meeting Minutes Clotan; which gutter supplier (Stick with GRS Roofing unless nr coast) (RDC-to-RDC).msg", "RTOs Roofs; Meeting Minutes Clotan; which gutter supplier (Stick with GRS Roofing unless nr coast)")</f>
        <v>RTOs Roofs; Meeting Minutes Clotan; which gutter supplier (Stick with GRS Roofing unless nr coast)</v>
      </c>
      <c r="K1701" s="25" t="s">
        <v>1243</v>
      </c>
      <c r="L1701" s="19"/>
      <c r="M1701" s="20"/>
      <c r="N1701" s="21" t="s">
        <v>5494</v>
      </c>
    </row>
    <row r="1702" spans="1:14">
      <c r="A1702" s="12" t="s">
        <v>5207</v>
      </c>
      <c r="B1702" s="13" t="s">
        <v>795</v>
      </c>
      <c r="C1702" s="14" t="s">
        <v>5495</v>
      </c>
      <c r="D1702" s="15">
        <v>41922.651493055557</v>
      </c>
      <c r="E1702" s="16" t="s">
        <v>16</v>
      </c>
      <c r="F1702" s="16" t="s">
        <v>16</v>
      </c>
      <c r="G1702" s="17" t="s">
        <v>979</v>
      </c>
      <c r="H1702" s="17" t="s">
        <v>3538</v>
      </c>
      <c r="I1702" s="13" t="s">
        <v>5496</v>
      </c>
      <c r="J1702" s="23" t="str">
        <f>HYPERLINK("CorLog\RTO\Projects\20141010 RTO Projects RTO standardization meeting (RDC-to-RDC).msg", "RTO standardization meeting")</f>
        <v>RTO standardization meeting</v>
      </c>
      <c r="K1702" s="25" t="s">
        <v>1211</v>
      </c>
      <c r="L1702" s="19"/>
      <c r="M1702" s="20"/>
      <c r="N1702" s="21" t="s">
        <v>5497</v>
      </c>
    </row>
    <row r="1703" spans="1:14">
      <c r="A1703" s="12" t="s">
        <v>750</v>
      </c>
      <c r="B1703" s="13" t="s">
        <v>4950</v>
      </c>
      <c r="C1703" s="14" t="s">
        <v>4673</v>
      </c>
      <c r="D1703" s="15">
        <v>41922.578379629631</v>
      </c>
      <c r="E1703" s="16" t="s">
        <v>16</v>
      </c>
      <c r="F1703" s="16" t="s">
        <v>18</v>
      </c>
      <c r="G1703" s="17" t="s">
        <v>885</v>
      </c>
      <c r="H1703" s="17" t="s">
        <v>851</v>
      </c>
      <c r="I1703" s="13" t="s">
        <v>5498</v>
      </c>
      <c r="J1703" s="23" t="str">
        <f>HYPERLINK("CorLog\ZMB\Kabompo RTO\20141010 ZMB Kabompo RTO Residence Building Slab DCP Results (RDC-to-ZMB).msg", "Residence Building Slab DCP Results")</f>
        <v>Residence Building Slab DCP Results</v>
      </c>
      <c r="K1703" s="25" t="s">
        <v>1211</v>
      </c>
      <c r="L1703" s="19"/>
      <c r="M1703" s="20"/>
      <c r="N1703" s="21" t="s">
        <v>5499</v>
      </c>
    </row>
    <row r="1704" spans="1:14">
      <c r="A1704" s="12" t="s">
        <v>718</v>
      </c>
      <c r="B1704" s="13" t="s">
        <v>771</v>
      </c>
      <c r="C1704" s="14" t="s">
        <v>5500</v>
      </c>
      <c r="D1704" s="15">
        <v>41922.499305555553</v>
      </c>
      <c r="E1704" s="16" t="s">
        <v>16</v>
      </c>
      <c r="F1704" s="16" t="s">
        <v>17</v>
      </c>
      <c r="G1704" s="17" t="s">
        <v>966</v>
      </c>
      <c r="H1704" s="17" t="s">
        <v>1707</v>
      </c>
      <c r="I1704" s="13" t="s">
        <v>5490</v>
      </c>
      <c r="J1704" s="23" t="str">
        <f>HYPERLINK("CorLog\MDG\Branch\20141010 MDG Branch Assessing future studio needs (RDC-to-WDC).msg", "Assessing future studio needs")</f>
        <v>Assessing future studio needs</v>
      </c>
      <c r="K1704" s="25" t="s">
        <v>1211</v>
      </c>
      <c r="L1704" s="19"/>
      <c r="M1704" s="20"/>
      <c r="N1704" s="21" t="s">
        <v>5501</v>
      </c>
    </row>
    <row r="1705" spans="1:14">
      <c r="A1705" s="12" t="s">
        <v>718</v>
      </c>
      <c r="B1705" s="13" t="s">
        <v>1167</v>
      </c>
      <c r="C1705" s="14" t="s">
        <v>5502</v>
      </c>
      <c r="D1705" s="15">
        <v>41922.423645833333</v>
      </c>
      <c r="E1705" s="16" t="s">
        <v>16</v>
      </c>
      <c r="F1705" s="16" t="s">
        <v>22</v>
      </c>
      <c r="G1705" s="17" t="s">
        <v>1169</v>
      </c>
      <c r="H1705" s="17" t="s">
        <v>1392</v>
      </c>
      <c r="I1705" s="13" t="s">
        <v>5503</v>
      </c>
      <c r="J1705" s="23" t="str">
        <f>HYPERLINK("CorLog\COD\Kikwit RTO\20141010 COD Kikwit RTO Pre-Construction Meeting Minutes for your reference (RDC-to-COD).msg", "Pre-Construction Meeting Minutes for your reference")</f>
        <v>Pre-Construction Meeting Minutes for your reference</v>
      </c>
      <c r="K1705" s="25" t="s">
        <v>1211</v>
      </c>
      <c r="L1705" s="19" t="s">
        <v>5504</v>
      </c>
      <c r="M1705" s="20"/>
      <c r="N1705" s="21" t="s">
        <v>5505</v>
      </c>
    </row>
    <row r="1706" spans="1:14">
      <c r="A1706" s="12" t="s">
        <v>717</v>
      </c>
      <c r="B1706" s="13" t="s">
        <v>964</v>
      </c>
      <c r="C1706" s="14" t="s">
        <v>5506</v>
      </c>
      <c r="D1706" s="15">
        <v>41921.902291666665</v>
      </c>
      <c r="E1706" s="16" t="s">
        <v>16</v>
      </c>
      <c r="F1706" s="16" t="s">
        <v>16</v>
      </c>
      <c r="G1706" s="17" t="s">
        <v>2022</v>
      </c>
      <c r="H1706" s="17" t="s">
        <v>3267</v>
      </c>
      <c r="I1706" s="13" t="s">
        <v>5507</v>
      </c>
      <c r="J1706" s="23" t="str">
        <f>HYPERLINK("CorLog\Directive\20141009 Directive Meeting video display needs in the US-RDC region (RDC-to-RDC).msg", "Meeting video display needs in the US-RDC region")</f>
        <v>Meeting video display needs in the US-RDC region</v>
      </c>
      <c r="K1706" s="25"/>
      <c r="L1706" s="19"/>
      <c r="M1706" s="20"/>
      <c r="N1706" s="21" t="s">
        <v>5508</v>
      </c>
    </row>
    <row r="1707" spans="1:14">
      <c r="A1707" s="12" t="s">
        <v>718</v>
      </c>
      <c r="B1707" s="13" t="s">
        <v>1181</v>
      </c>
      <c r="C1707" s="14" t="s">
        <v>750</v>
      </c>
      <c r="D1707" s="15">
        <v>41921.746620370373</v>
      </c>
      <c r="E1707" s="16" t="s">
        <v>16</v>
      </c>
      <c r="F1707" s="16" t="s">
        <v>16</v>
      </c>
      <c r="G1707" s="17" t="s">
        <v>790</v>
      </c>
      <c r="H1707" s="17" t="s">
        <v>1565</v>
      </c>
      <c r="I1707" s="13" t="s">
        <v>5509</v>
      </c>
      <c r="J1707" s="23" t="str">
        <f>HYPERLINK("CorLog\GHA\BEX\20141009 GHA BEX Mitek Roof Structure--Request latest electronic drawings (RDC-to-RDC).msg", "Mitek Roof Structure--Request latest electronic drawings")</f>
        <v>Mitek Roof Structure--Request latest electronic drawings</v>
      </c>
      <c r="K1707" s="25" t="s">
        <v>1274</v>
      </c>
      <c r="L1707" s="19"/>
      <c r="M1707" s="20"/>
      <c r="N1707" s="21" t="s">
        <v>5510</v>
      </c>
    </row>
    <row r="1708" spans="1:14">
      <c r="A1708" s="12" t="s">
        <v>718</v>
      </c>
      <c r="B1708" s="13" t="s">
        <v>2195</v>
      </c>
      <c r="C1708" s="14" t="s">
        <v>5511</v>
      </c>
      <c r="D1708" s="15">
        <v>41921.709027777775</v>
      </c>
      <c r="E1708" s="16" t="s">
        <v>16</v>
      </c>
      <c r="F1708" s="16" t="s">
        <v>935</v>
      </c>
      <c r="G1708" s="17" t="s">
        <v>807</v>
      </c>
      <c r="H1708" s="17" t="s">
        <v>848</v>
      </c>
      <c r="I1708" s="13" t="s">
        <v>5512</v>
      </c>
      <c r="J1708" s="23" t="str">
        <f>HYPERLINK("CorLog\GHA\Branch\20141009 GHA Branch GHA-4522 Combi Ovens ($7,816 52) (RDC-to-GPD).msg", "GHA-4522 Combi Ovens ($7,816 52)")</f>
        <v>GHA-4522 Combi Ovens ($7,816 52)</v>
      </c>
      <c r="K1708" s="25" t="s">
        <v>1211</v>
      </c>
      <c r="L1708" s="19"/>
      <c r="M1708" s="20"/>
      <c r="N1708" s="21" t="s">
        <v>5513</v>
      </c>
    </row>
    <row r="1709" spans="1:14">
      <c r="A1709" s="12" t="s">
        <v>724</v>
      </c>
      <c r="B1709" s="13" t="s">
        <v>1552</v>
      </c>
      <c r="C1709" s="14" t="s">
        <v>5514</v>
      </c>
      <c r="D1709" s="15">
        <v>41921.672951388886</v>
      </c>
      <c r="E1709" s="16" t="s">
        <v>16</v>
      </c>
      <c r="F1709" s="16" t="s">
        <v>18</v>
      </c>
      <c r="G1709" s="17" t="s">
        <v>780</v>
      </c>
      <c r="H1709" s="17" t="s">
        <v>4925</v>
      </c>
      <c r="I1709" s="13" t="s">
        <v>5515</v>
      </c>
      <c r="J1709" s="23" t="str">
        <f>HYPERLINK("CorLog\ZMB\LDC\20141009 ZMB LDC Kafue Kaseba, Lusaka Chipata Overspill &amp; Mansa Kakomwe-AH Attendance Calculations (RDC-to-ZMB).msg", "Kafue Kaseba, Lusaka Chipata Overspill &amp; Mansa Kakomwe-AH Attendance Calculations")</f>
        <v>Kafue Kaseba, Lusaka Chipata Overspill &amp; Mansa Kakomwe-AH Attendance Calculations</v>
      </c>
      <c r="K1709" s="25" t="s">
        <v>1270</v>
      </c>
      <c r="L1709" s="19"/>
      <c r="M1709" s="20"/>
      <c r="N1709" s="21" t="s">
        <v>5516</v>
      </c>
    </row>
    <row r="1710" spans="1:14">
      <c r="A1710" s="12" t="s">
        <v>718</v>
      </c>
      <c r="B1710" s="13" t="s">
        <v>5455</v>
      </c>
      <c r="C1710" s="14" t="s">
        <v>5517</v>
      </c>
      <c r="D1710" s="15">
        <v>41921.580543981479</v>
      </c>
      <c r="E1710" s="16" t="s">
        <v>16</v>
      </c>
      <c r="F1710" s="16" t="s">
        <v>18</v>
      </c>
      <c r="G1710" s="17" t="s">
        <v>885</v>
      </c>
      <c r="H1710" s="17" t="s">
        <v>886</v>
      </c>
      <c r="I1710" s="13" t="s">
        <v>5518</v>
      </c>
      <c r="J1710" s="23" t="str">
        <f>HYPERLINK("CorLog\ZMB\Kabompo RTO\20141009 ZMB Kabompo RTO Height of Dining room electrical outlets (RDC-to-ZMB).msg", "Height of Dining room electrical outlets")</f>
        <v>Height of Dining room electrical outlets</v>
      </c>
      <c r="K1710" s="25" t="s">
        <v>1243</v>
      </c>
      <c r="L1710" s="19"/>
      <c r="M1710" s="20"/>
      <c r="N1710" s="21" t="s">
        <v>5519</v>
      </c>
    </row>
    <row r="1711" spans="1:14">
      <c r="A1711" s="12" t="s">
        <v>718</v>
      </c>
      <c r="B1711" s="13" t="s">
        <v>5455</v>
      </c>
      <c r="C1711" s="14" t="s">
        <v>5520</v>
      </c>
      <c r="D1711" s="15">
        <v>41921.45412037037</v>
      </c>
      <c r="E1711" s="16" t="s">
        <v>16</v>
      </c>
      <c r="F1711" s="16" t="s">
        <v>18</v>
      </c>
      <c r="G1711" s="17" t="s">
        <v>885</v>
      </c>
      <c r="H1711" s="17" t="s">
        <v>1687</v>
      </c>
      <c r="I1711" s="13" t="s">
        <v>5521</v>
      </c>
      <c r="J1711" s="23" t="str">
        <f>HYPERLINK("CorLog\ZMB\Kabompo RTO\20141009 ZMB Kabompo RTO Size of steel stud in AV celing (now 63mm) (RDC-to-ZMB).msg", "Size of steel stud in AV celing (now 63mm)")</f>
        <v>Size of steel stud in AV celing (now 63mm)</v>
      </c>
      <c r="K1711" s="25" t="s">
        <v>1270</v>
      </c>
      <c r="L1711" s="19"/>
      <c r="M1711" s="20"/>
      <c r="N1711" s="21" t="s">
        <v>5522</v>
      </c>
    </row>
    <row r="1712" spans="1:14">
      <c r="A1712" s="12" t="s">
        <v>718</v>
      </c>
      <c r="B1712" s="13" t="s">
        <v>972</v>
      </c>
      <c r="C1712" s="14" t="s">
        <v>724</v>
      </c>
      <c r="D1712" s="15">
        <v>41921.390462962961</v>
      </c>
      <c r="E1712" s="16" t="s">
        <v>16</v>
      </c>
      <c r="F1712" s="16" t="s">
        <v>18</v>
      </c>
      <c r="G1712" s="17" t="s">
        <v>1070</v>
      </c>
      <c r="H1712" s="17" t="s">
        <v>803</v>
      </c>
      <c r="I1712" s="13" t="s">
        <v>5523</v>
      </c>
      <c r="J1712" s="23" t="str">
        <f>HYPERLINK("CorLog\ZMB\Katete RTO\20141009 ZMB Katete RTO How many prints of AFC drawings (RDC-to-ZMB).msg", "How many prints of AFC drawings")</f>
        <v>How many prints of AFC drawings</v>
      </c>
      <c r="K1712" s="25"/>
      <c r="L1712" s="19"/>
      <c r="M1712" s="20"/>
      <c r="N1712" s="21" t="s">
        <v>5524</v>
      </c>
    </row>
    <row r="1713" spans="1:14">
      <c r="A1713" s="12" t="s">
        <v>718</v>
      </c>
      <c r="B1713" s="13" t="s">
        <v>827</v>
      </c>
      <c r="C1713" s="14" t="s">
        <v>5525</v>
      </c>
      <c r="D1713" s="15">
        <v>41920.682025462964</v>
      </c>
      <c r="E1713" s="16" t="s">
        <v>16</v>
      </c>
      <c r="F1713" s="16" t="s">
        <v>21</v>
      </c>
      <c r="G1713" s="17" t="s">
        <v>790</v>
      </c>
      <c r="H1713" s="17" t="s">
        <v>1040</v>
      </c>
      <c r="I1713" s="13" t="s">
        <v>5526</v>
      </c>
      <c r="J1713" s="23" t="str">
        <f>HYPERLINK("CorLog\GHA\BEX\20141008 GHA BEX FS KM-C-502-C1 Rock Retaining Walls Res 3 - Geometry; Weepholes (RDC-to-GHA).msg", "FS KM-C-502-C1 Rock Retaining Walls Res 3 - Geometry; Weepholes")</f>
        <v>FS KM-C-502-C1 Rock Retaining Walls Res 3 - Geometry; Weepholes</v>
      </c>
      <c r="K1713" s="25" t="s">
        <v>1270</v>
      </c>
      <c r="L1713" s="19"/>
      <c r="M1713" s="20"/>
      <c r="N1713" s="21" t="s">
        <v>5527</v>
      </c>
    </row>
    <row r="1714" spans="1:14">
      <c r="A1714" s="12" t="s">
        <v>718</v>
      </c>
      <c r="B1714" s="13" t="s">
        <v>827</v>
      </c>
      <c r="C1714" s="14" t="s">
        <v>5528</v>
      </c>
      <c r="D1714" s="15">
        <v>41920.551365740743</v>
      </c>
      <c r="E1714" s="16" t="s">
        <v>16</v>
      </c>
      <c r="F1714" s="16" t="s">
        <v>21</v>
      </c>
      <c r="G1714" s="17" t="s">
        <v>790</v>
      </c>
      <c r="H1714" s="17" t="s">
        <v>829</v>
      </c>
      <c r="I1714" s="13" t="s">
        <v>5529</v>
      </c>
      <c r="J1714" s="23" t="str">
        <f>HYPERLINK("CorLog\GHA\BEX\20141008 GHA BEX NLBR Package -22 for RDC review (RDC-to-GHA).msg", "NLBR Package -22 for RDC review")</f>
        <v>NLBR Package -22 for RDC review</v>
      </c>
      <c r="K1714" s="25" t="s">
        <v>1499</v>
      </c>
      <c r="L1714" s="19"/>
      <c r="M1714" s="20"/>
      <c r="N1714" s="21" t="s">
        <v>5530</v>
      </c>
    </row>
    <row r="1715" spans="1:14">
      <c r="A1715" s="12" t="s">
        <v>718</v>
      </c>
      <c r="B1715" s="13" t="s">
        <v>2612</v>
      </c>
      <c r="C1715" s="14" t="s">
        <v>5531</v>
      </c>
      <c r="D1715" s="15">
        <v>41920.506643518522</v>
      </c>
      <c r="E1715" s="16" t="s">
        <v>16</v>
      </c>
      <c r="F1715" s="16" t="s">
        <v>21</v>
      </c>
      <c r="G1715" s="17" t="s">
        <v>790</v>
      </c>
      <c r="H1715" s="17" t="s">
        <v>1647</v>
      </c>
      <c r="I1715" s="13" t="s">
        <v>5532</v>
      </c>
      <c r="J1715" s="23" t="str">
        <f>HYPERLINK("CorLog\GHA\BEX\20141008 GHA BEX Missing ECT in CTP, how to handle additional costs (RDC-to-GHA).msg", "Missing ECT in CTP, how to handle additional costs")</f>
        <v>Missing ECT in CTP, how to handle additional costs</v>
      </c>
      <c r="K1715" s="25"/>
      <c r="L1715" s="19"/>
      <c r="M1715" s="20"/>
      <c r="N1715" s="21" t="s">
        <v>5533</v>
      </c>
    </row>
    <row r="1716" spans="1:14">
      <c r="A1716" s="12" t="s">
        <v>2612</v>
      </c>
      <c r="B1716" s="13" t="s">
        <v>718</v>
      </c>
      <c r="C1716" s="14" t="s">
        <v>5534</v>
      </c>
      <c r="D1716" s="15">
        <v>41920.456458333334</v>
      </c>
      <c r="E1716" s="16" t="s">
        <v>21</v>
      </c>
      <c r="F1716" s="16" t="s">
        <v>16</v>
      </c>
      <c r="G1716" s="17" t="s">
        <v>857</v>
      </c>
      <c r="H1716" s="17" t="s">
        <v>961</v>
      </c>
      <c r="I1716" s="13" t="s">
        <v>5535</v>
      </c>
      <c r="J1716" s="23" t="str">
        <f>HYPERLINK("CorLog\GHA\Kikam RTO\20141008 GHA Kikam RTO Topographical Survey 2014-10-07 (GHA-to-RDC).msg", "Topographical Survey 2014-10-07")</f>
        <v>Topographical Survey 2014-10-07</v>
      </c>
      <c r="K1716" s="25" t="s">
        <v>1243</v>
      </c>
      <c r="L1716" s="19"/>
      <c r="M1716" s="20"/>
      <c r="N1716" s="21" t="s">
        <v>5536</v>
      </c>
    </row>
    <row r="1717" spans="1:14">
      <c r="A1717" s="12" t="s">
        <v>757</v>
      </c>
      <c r="B1717" s="13" t="s">
        <v>1757</v>
      </c>
      <c r="C1717" s="14" t="s">
        <v>718</v>
      </c>
      <c r="D1717" s="15">
        <v>41919.786435185182</v>
      </c>
      <c r="E1717" s="16" t="s">
        <v>21</v>
      </c>
      <c r="F1717" s="16" t="s">
        <v>21</v>
      </c>
      <c r="G1717" s="17" t="s">
        <v>1470</v>
      </c>
      <c r="H1717" s="17" t="s">
        <v>781</v>
      </c>
      <c r="I1717" s="13" t="s">
        <v>5537</v>
      </c>
      <c r="J1717" s="23" t="str">
        <f>HYPERLINK("CorLog\GHA\RTO Projects\20141007 GHA RTO Projects Personnel, Minutes of Lync meeting Oct 06,2014 (GHA-to-GHA).msg", "Personnel, Minutes of Lync meeting Oct 06,2014")</f>
        <v>Personnel, Minutes of Lync meeting Oct 06,2014</v>
      </c>
      <c r="K1717" s="25" t="s">
        <v>1211</v>
      </c>
      <c r="L1717" s="19"/>
      <c r="M1717" s="20"/>
      <c r="N1717" s="21" t="s">
        <v>5538</v>
      </c>
    </row>
    <row r="1718" spans="1:14">
      <c r="A1718" s="12" t="s">
        <v>750</v>
      </c>
      <c r="B1718" s="13" t="s">
        <v>1529</v>
      </c>
      <c r="C1718" s="14" t="s">
        <v>4239</v>
      </c>
      <c r="D1718" s="15">
        <v>41919.761388888888</v>
      </c>
      <c r="E1718" s="16" t="s">
        <v>16</v>
      </c>
      <c r="F1718" s="16" t="s">
        <v>18</v>
      </c>
      <c r="G1718" s="17" t="s">
        <v>946</v>
      </c>
      <c r="H1718" s="17" t="s">
        <v>851</v>
      </c>
      <c r="I1718" s="13" t="s">
        <v>5539</v>
      </c>
      <c r="J1718" s="23" t="str">
        <f>HYPERLINK("CorLog\ZMB\Mongu RTO\20141007 ZMB Mongu RTO DCP TEST for UTILITY BLDG- Last Layer before slab (RDC-to-ZMB).msg", "DCP TEST for UTILITY BLDG- Last Layer before slab")</f>
        <v>DCP TEST for UTILITY BLDG- Last Layer before slab</v>
      </c>
      <c r="K1718" s="25" t="s">
        <v>1243</v>
      </c>
      <c r="L1718" s="19"/>
      <c r="M1718" s="20"/>
      <c r="N1718" s="21" t="s">
        <v>5540</v>
      </c>
    </row>
    <row r="1719" spans="1:14">
      <c r="A1719" s="12" t="s">
        <v>718</v>
      </c>
      <c r="B1719" s="13" t="s">
        <v>1052</v>
      </c>
      <c r="C1719" s="14" t="s">
        <v>5541</v>
      </c>
      <c r="D1719" s="15">
        <v>41919.554861111108</v>
      </c>
      <c r="E1719" s="16" t="s">
        <v>16</v>
      </c>
      <c r="F1719" s="16" t="s">
        <v>17</v>
      </c>
      <c r="G1719" s="17" t="s">
        <v>823</v>
      </c>
      <c r="H1719" s="17" t="s">
        <v>2384</v>
      </c>
      <c r="I1719" s="13" t="s">
        <v>5542</v>
      </c>
      <c r="J1719" s="23" t="str">
        <f>HYPERLINK("CorLog\GHA\LDC\20141007 GHA LDC Ghana Assembly Hall Planning Study 1 (RDC-to-WDC).msg", "Ghana Assembly Hall Planning Study 1")</f>
        <v>Ghana Assembly Hall Planning Study 1</v>
      </c>
      <c r="K1719" s="25" t="s">
        <v>3933</v>
      </c>
      <c r="L1719" s="19"/>
      <c r="M1719" s="20"/>
      <c r="N1719" s="21" t="s">
        <v>5543</v>
      </c>
    </row>
    <row r="1720" spans="1:14">
      <c r="A1720" s="12" t="s">
        <v>750</v>
      </c>
      <c r="B1720" s="13" t="s">
        <v>718</v>
      </c>
      <c r="C1720" s="14" t="s">
        <v>5544</v>
      </c>
      <c r="D1720" s="15">
        <v>41919.538194444445</v>
      </c>
      <c r="E1720" s="16" t="s">
        <v>16</v>
      </c>
      <c r="F1720" s="16" t="s">
        <v>16</v>
      </c>
      <c r="G1720" s="17" t="s">
        <v>979</v>
      </c>
      <c r="H1720" s="17" t="s">
        <v>5545</v>
      </c>
      <c r="I1720" s="13" t="s">
        <v>5546</v>
      </c>
      <c r="J1720" s="23" t="str">
        <f>HYPERLINK("CorLog\RTO\Projects\20141007 RTO Projects Exact Concrete Block Sizes (CMU) (RDC-to-RDC).msg", "Exact Concrete Block Sizes (CMU)")</f>
        <v>Exact Concrete Block Sizes (CMU)</v>
      </c>
      <c r="K1720" s="25" t="s">
        <v>1211</v>
      </c>
      <c r="L1720" s="19"/>
      <c r="M1720" s="20"/>
      <c r="N1720" s="21" t="s">
        <v>5547</v>
      </c>
    </row>
    <row r="1721" spans="1:14">
      <c r="A1721" s="12" t="s">
        <v>1418</v>
      </c>
      <c r="B1721" s="13" t="s">
        <v>718</v>
      </c>
      <c r="C1721" s="14"/>
      <c r="D1721" s="15">
        <v>41919.428344907406</v>
      </c>
      <c r="E1721" s="16" t="s">
        <v>16</v>
      </c>
      <c r="F1721" s="16" t="s">
        <v>16</v>
      </c>
      <c r="G1721" s="17" t="s">
        <v>838</v>
      </c>
      <c r="H1721" s="17" t="s">
        <v>886</v>
      </c>
      <c r="I1721" s="13" t="s">
        <v>5548</v>
      </c>
      <c r="J1721" s="23" t="str">
        <f>HYPERLINK("CorLog\ZMB\Choma RTO\20141007 ZMB Choma RTO Confirm state of city power supply (RDC-to-RDC).msg", "Confirm state of city power supply")</f>
        <v>Confirm state of city power supply</v>
      </c>
      <c r="K1721" s="25"/>
      <c r="L1721" s="19"/>
      <c r="M1721" s="20"/>
      <c r="N1721" s="21" t="s">
        <v>5549</v>
      </c>
    </row>
    <row r="1722" spans="1:14">
      <c r="A1722" s="12" t="s">
        <v>718</v>
      </c>
      <c r="B1722" s="13" t="s">
        <v>827</v>
      </c>
      <c r="C1722" s="14" t="s">
        <v>5550</v>
      </c>
      <c r="D1722" s="15">
        <v>41919.355092592596</v>
      </c>
      <c r="E1722" s="16" t="s">
        <v>16</v>
      </c>
      <c r="F1722" s="16" t="s">
        <v>21</v>
      </c>
      <c r="G1722" s="17" t="s">
        <v>790</v>
      </c>
      <c r="H1722" s="17" t="s">
        <v>1040</v>
      </c>
      <c r="I1722" s="13" t="s">
        <v>5551</v>
      </c>
      <c r="J1722" s="23" t="str">
        <f>HYPERLINK("CorLog\GHA\BEX\20141007 GHA BEX Revised Drawings--Control Joint Locations, S-103-S1, S-104-S! (RDC-to-GHA).msg", "Revised Drawings--Control Joint Locations, S-103-S1, S-104-S!")</f>
        <v>Revised Drawings--Control Joint Locations, S-103-S1, S-104-S!</v>
      </c>
      <c r="K1722" s="25" t="s">
        <v>1499</v>
      </c>
      <c r="L1722" s="19"/>
      <c r="M1722" s="20"/>
      <c r="N1722" s="21" t="s">
        <v>5552</v>
      </c>
    </row>
    <row r="1723" spans="1:14">
      <c r="A1723" s="12" t="s">
        <v>718</v>
      </c>
      <c r="B1723" s="13" t="s">
        <v>750</v>
      </c>
      <c r="C1723" s="14" t="s">
        <v>5544</v>
      </c>
      <c r="D1723" s="15">
        <v>41919.353842592594</v>
      </c>
      <c r="E1723" s="16" t="s">
        <v>16</v>
      </c>
      <c r="F1723" s="16" t="s">
        <v>16</v>
      </c>
      <c r="G1723" s="17" t="s">
        <v>979</v>
      </c>
      <c r="H1723" s="17" t="s">
        <v>2713</v>
      </c>
      <c r="I1723" s="13" t="s">
        <v>5546</v>
      </c>
      <c r="J1723" s="23" t="str">
        <f>HYPERLINK("CorLog\RTO\Projects\20141007 RTO Projects Exact Concrete Block Sizes (CMU) (RDC-to-RDC).msg", "Exact Concrete Block Sizes (CMU)")</f>
        <v>Exact Concrete Block Sizes (CMU)</v>
      </c>
      <c r="K1723" s="25"/>
      <c r="L1723" s="19"/>
      <c r="M1723" s="20"/>
      <c r="N1723" s="21" t="s">
        <v>5553</v>
      </c>
    </row>
    <row r="1724" spans="1:14">
      <c r="A1724" s="12" t="s">
        <v>2202</v>
      </c>
      <c r="B1724" s="13" t="s">
        <v>1447</v>
      </c>
      <c r="C1724" s="14" t="s">
        <v>5554</v>
      </c>
      <c r="D1724" s="15">
        <v>41918.755289351851</v>
      </c>
      <c r="E1724" s="16" t="s">
        <v>24</v>
      </c>
      <c r="F1724" s="16" t="s">
        <v>16</v>
      </c>
      <c r="G1724" s="17" t="s">
        <v>790</v>
      </c>
      <c r="H1724" s="17" t="s">
        <v>2060</v>
      </c>
      <c r="I1724" s="13" t="s">
        <v>5555</v>
      </c>
      <c r="J1724" s="23" t="str">
        <f>HYPERLINK("CorLog\GHA\BEX\20141006 GHA BEX GHA0032 AO6 1 CHECKED; DC-41 -1 Ghana Branch Expansion Phase 2 (USA-to-RDC).msg", "GHA0032 AO6 1 CHECKED; DC-41 -1 Ghana Branch Expansion Phase 2")</f>
        <v>GHA0032 AO6 1 CHECKED; DC-41 -1 Ghana Branch Expansion Phase 2</v>
      </c>
      <c r="K1724" s="25" t="s">
        <v>1243</v>
      </c>
      <c r="L1724" s="19"/>
      <c r="M1724" s="20"/>
      <c r="N1724" s="21" t="s">
        <v>5556</v>
      </c>
    </row>
    <row r="1725" spans="1:14">
      <c r="A1725" s="12" t="s">
        <v>1653</v>
      </c>
      <c r="B1725" s="13" t="s">
        <v>718</v>
      </c>
      <c r="C1725" s="14" t="s">
        <v>5557</v>
      </c>
      <c r="D1725" s="15">
        <v>41918.645972222221</v>
      </c>
      <c r="E1725" s="16" t="s">
        <v>21</v>
      </c>
      <c r="F1725" s="16" t="s">
        <v>16</v>
      </c>
      <c r="G1725" s="17" t="s">
        <v>823</v>
      </c>
      <c r="H1725" s="17" t="s">
        <v>2384</v>
      </c>
      <c r="I1725" s="13" t="s">
        <v>5558</v>
      </c>
      <c r="J1725" s="23" t="str">
        <f>HYPERLINK("CorLog\GHA\LDC\20141006 GHA LDC AH Planning Study included in annual 2015 KH AH budget (GHA-to-RDC).msg", "AH Planning Study included in annual 2015 KH AH budget")</f>
        <v>AH Planning Study included in annual 2015 KH AH budget</v>
      </c>
      <c r="K1725" s="25"/>
      <c r="L1725" s="19"/>
      <c r="M1725" s="20"/>
      <c r="N1725" s="21" t="s">
        <v>5559</v>
      </c>
    </row>
    <row r="1726" spans="1:14">
      <c r="A1726" s="12" t="s">
        <v>718</v>
      </c>
      <c r="B1726" s="13" t="s">
        <v>5413</v>
      </c>
      <c r="C1726" s="14" t="s">
        <v>5560</v>
      </c>
      <c r="D1726" s="15">
        <v>41918.589861111112</v>
      </c>
      <c r="E1726" s="16" t="s">
        <v>16</v>
      </c>
      <c r="F1726" s="16" t="s">
        <v>21</v>
      </c>
      <c r="G1726" s="17" t="s">
        <v>790</v>
      </c>
      <c r="H1726" s="17" t="s">
        <v>886</v>
      </c>
      <c r="I1726" s="13" t="s">
        <v>5561</v>
      </c>
      <c r="J1726" s="23" t="str">
        <f>HYPERLINK("CorLog\GHA\BEX\20141006 GHA BEX Spliced 11kva power cable renewal acceptable IR values (RDC-to-GHA).msg", "Spliced 11kva power cable renewal acceptable IR values")</f>
        <v>Spliced 11kva power cable renewal acceptable IR values</v>
      </c>
      <c r="K1726" s="25" t="s">
        <v>1211</v>
      </c>
      <c r="L1726" s="19"/>
      <c r="M1726" s="20"/>
      <c r="N1726" s="21" t="s">
        <v>5562</v>
      </c>
    </row>
    <row r="1727" spans="1:14">
      <c r="A1727" s="12" t="s">
        <v>5563</v>
      </c>
      <c r="B1727" s="13" t="s">
        <v>1069</v>
      </c>
      <c r="C1727" s="14" t="s">
        <v>5564</v>
      </c>
      <c r="D1727" s="15">
        <v>41918.567800925928</v>
      </c>
      <c r="E1727" s="16" t="s">
        <v>18</v>
      </c>
      <c r="F1727" s="16" t="s">
        <v>18</v>
      </c>
      <c r="G1727" s="17" t="s">
        <v>885</v>
      </c>
      <c r="H1727" s="17" t="s">
        <v>781</v>
      </c>
      <c r="I1727" s="13" t="s">
        <v>5565</v>
      </c>
      <c r="J1727" s="23" t="str">
        <f>HYPERLINK("CorLog\ZMB\Kabompo RTO\20141006 ZMB Kabompo RTO Tenancy Agreement; Boma house; (ZMB-to-ZMB).msg", "Tenancy Agreement; Boma house;")</f>
        <v>Tenancy Agreement; Boma house;</v>
      </c>
      <c r="K1727" s="25" t="s">
        <v>1211</v>
      </c>
      <c r="L1727" s="19"/>
      <c r="M1727" s="20"/>
      <c r="N1727" s="21" t="s">
        <v>5566</v>
      </c>
    </row>
    <row r="1728" spans="1:14">
      <c r="A1728" s="12" t="s">
        <v>5567</v>
      </c>
      <c r="B1728" s="13" t="s">
        <v>718</v>
      </c>
      <c r="C1728" s="14"/>
      <c r="D1728" s="15">
        <v>41918.553449074076</v>
      </c>
      <c r="E1728" s="16" t="s">
        <v>15</v>
      </c>
      <c r="F1728" s="16" t="s">
        <v>16</v>
      </c>
      <c r="G1728" s="17" t="s">
        <v>758</v>
      </c>
      <c r="H1728" s="17" t="s">
        <v>5568</v>
      </c>
      <c r="I1728" s="13" t="s">
        <v>5569</v>
      </c>
      <c r="J1728" s="23" t="str">
        <f>HYPERLINK("CorLog\GHA\Viepe RTO\20141006 GHA Viepe RTO RTO Ghana - Quote from Clotan (ZAF-to-RDC).msg", "RTO Ghana - Quote from Clotan")</f>
        <v>RTO Ghana - Quote from Clotan</v>
      </c>
      <c r="K1728" s="25" t="s">
        <v>1243</v>
      </c>
      <c r="L1728" s="19"/>
      <c r="M1728" s="20"/>
      <c r="N1728" s="21" t="s">
        <v>5570</v>
      </c>
    </row>
    <row r="1729" spans="1:14">
      <c r="A1729" s="12" t="s">
        <v>1418</v>
      </c>
      <c r="B1729" s="13" t="s">
        <v>718</v>
      </c>
      <c r="C1729" s="14"/>
      <c r="D1729" s="15">
        <v>41918.337071759262</v>
      </c>
      <c r="E1729" s="16" t="s">
        <v>16</v>
      </c>
      <c r="F1729" s="16" t="s">
        <v>16</v>
      </c>
      <c r="G1729" s="17" t="s">
        <v>979</v>
      </c>
      <c r="H1729" s="17" t="s">
        <v>886</v>
      </c>
      <c r="I1729" s="13" t="s">
        <v>5571</v>
      </c>
      <c r="J1729" s="23" t="str">
        <f>HYPERLINK("CorLog\RTO\Projects\20141006 RTO Projects Fan controller vs built-in fan light unit (RDC-to-RDC).msg", "Fan controller vs built-in fan light unit")</f>
        <v>Fan controller vs built-in fan light unit</v>
      </c>
      <c r="K1729" s="25" t="s">
        <v>1211</v>
      </c>
      <c r="L1729" s="19"/>
      <c r="M1729" s="20"/>
      <c r="N1729" s="21" t="s">
        <v>5572</v>
      </c>
    </row>
    <row r="1730" spans="1:14">
      <c r="A1730" s="12" t="s">
        <v>718</v>
      </c>
      <c r="B1730" s="13" t="s">
        <v>827</v>
      </c>
      <c r="C1730" s="14" t="s">
        <v>5573</v>
      </c>
      <c r="D1730" s="15">
        <v>41916.722326388888</v>
      </c>
      <c r="E1730" s="16" t="s">
        <v>16</v>
      </c>
      <c r="F1730" s="16" t="s">
        <v>21</v>
      </c>
      <c r="G1730" s="17" t="s">
        <v>790</v>
      </c>
      <c r="H1730" s="17" t="s">
        <v>5574</v>
      </c>
      <c r="I1730" s="13" t="s">
        <v>5575</v>
      </c>
      <c r="J1730" s="23" t="str">
        <f>HYPERLINK("CorLog\GHA\BEX\20141004 GHA BEX Door schedule--preliminary hardware schedule update (RDC-to-GHA).msg", "Door schedule--preliminary hardware schedule update")</f>
        <v>Door schedule--preliminary hardware schedule update</v>
      </c>
      <c r="K1730" s="25" t="s">
        <v>1211</v>
      </c>
      <c r="L1730" s="19"/>
      <c r="M1730" s="20"/>
      <c r="N1730" s="21" t="s">
        <v>5576</v>
      </c>
    </row>
    <row r="1731" spans="1:14">
      <c r="A1731" s="12" t="s">
        <v>827</v>
      </c>
      <c r="B1731" s="13" t="s">
        <v>718</v>
      </c>
      <c r="C1731" s="14"/>
      <c r="D1731" s="15">
        <v>41915.796041666668</v>
      </c>
      <c r="E1731" s="16" t="s">
        <v>21</v>
      </c>
      <c r="F1731" s="16" t="s">
        <v>16</v>
      </c>
      <c r="G1731" s="17" t="s">
        <v>730</v>
      </c>
      <c r="H1731" s="17" t="s">
        <v>953</v>
      </c>
      <c r="I1731" s="13" t="s">
        <v>5577</v>
      </c>
      <c r="J1731" s="23" t="str">
        <f>HYPERLINK("CorLog\GHA\Baatsona SKE\20141003 GHA Baatsona SKE Minutes of meeting - progress (GHA-to-RDC).msg", "Minutes of meeting - progress")</f>
        <v>Minutes of meeting - progress</v>
      </c>
      <c r="K1731" s="25" t="s">
        <v>1211</v>
      </c>
      <c r="L1731" s="19"/>
      <c r="M1731" s="20"/>
      <c r="N1731" s="21" t="s">
        <v>5578</v>
      </c>
    </row>
    <row r="1732" spans="1:14">
      <c r="A1732" s="12" t="s">
        <v>718</v>
      </c>
      <c r="B1732" s="13" t="s">
        <v>757</v>
      </c>
      <c r="C1732" s="14" t="s">
        <v>5579</v>
      </c>
      <c r="D1732" s="15">
        <v>41915.602476851855</v>
      </c>
      <c r="E1732" s="16" t="s">
        <v>16</v>
      </c>
      <c r="F1732" s="16" t="s">
        <v>21</v>
      </c>
      <c r="G1732" s="17" t="s">
        <v>790</v>
      </c>
      <c r="H1732" s="17" t="s">
        <v>829</v>
      </c>
      <c r="I1732" s="13" t="s">
        <v>5580</v>
      </c>
      <c r="J1732" s="23" t="str">
        <f>HYPERLINK("CorLog\GHA\BEX\20141003 GHA BEX NLBR 50528 review by RDC (RDC-to-).msg", "NLBR 50528 review by RDC")</f>
        <v>NLBR 50528 review by RDC</v>
      </c>
      <c r="K1732" s="25" t="s">
        <v>1211</v>
      </c>
      <c r="L1732" s="19" t="s">
        <v>3083</v>
      </c>
      <c r="M1732" s="20"/>
      <c r="N1732" s="21" t="s">
        <v>5581</v>
      </c>
    </row>
    <row r="1733" spans="1:14">
      <c r="A1733" s="12" t="s">
        <v>795</v>
      </c>
      <c r="B1733" s="13" t="s">
        <v>718</v>
      </c>
      <c r="C1733" s="14" t="s">
        <v>5582</v>
      </c>
      <c r="D1733" s="15">
        <v>41915.476365740738</v>
      </c>
      <c r="E1733" s="16" t="s">
        <v>16</v>
      </c>
      <c r="F1733" s="16" t="s">
        <v>16</v>
      </c>
      <c r="G1733" s="17" t="s">
        <v>1169</v>
      </c>
      <c r="H1733" s="17" t="s">
        <v>1819</v>
      </c>
      <c r="I1733" s="13" t="s">
        <v>5583</v>
      </c>
      <c r="J1733" s="23" t="str">
        <f>HYPERLINK("CorLog\COD\Kikwit RTO\20141003 COD Kikwit RTO WSP Sewer and water reticulation drawings for review - FtH comments (RDC-to-RDC).msg", "WSP Sewer and water reticulation drawings for review - FtH comments")</f>
        <v>WSP Sewer and water reticulation drawings for review - FtH comments</v>
      </c>
      <c r="K1733" s="25" t="s">
        <v>1243</v>
      </c>
      <c r="L1733" s="19"/>
      <c r="M1733" s="20"/>
      <c r="N1733" s="21" t="s">
        <v>5584</v>
      </c>
    </row>
    <row r="1734" spans="1:14">
      <c r="A1734" s="12" t="s">
        <v>757</v>
      </c>
      <c r="B1734" s="13" t="s">
        <v>718</v>
      </c>
      <c r="C1734" s="14"/>
      <c r="D1734" s="15">
        <v>41915.449606481481</v>
      </c>
      <c r="E1734" s="16" t="s">
        <v>21</v>
      </c>
      <c r="F1734" s="16" t="s">
        <v>16</v>
      </c>
      <c r="G1734" s="17" t="s">
        <v>738</v>
      </c>
      <c r="H1734" s="17" t="s">
        <v>3507</v>
      </c>
      <c r="I1734" s="13" t="s">
        <v>5585</v>
      </c>
      <c r="J1734" s="23" t="str">
        <f>HYPERLINK("CorLog\GHA\BEX 2\20141003 GHA BEX 2 Storm Water at Bethel (GHA-to-RDC).msg", "Storm Water at Bethel")</f>
        <v>Storm Water at Bethel</v>
      </c>
      <c r="K1734" s="25" t="s">
        <v>1274</v>
      </c>
      <c r="L1734" s="19"/>
      <c r="M1734" s="20"/>
      <c r="N1734" s="21" t="s">
        <v>5586</v>
      </c>
    </row>
    <row r="1735" spans="1:14">
      <c r="A1735" s="12" t="s">
        <v>718</v>
      </c>
      <c r="B1735" s="13" t="s">
        <v>827</v>
      </c>
      <c r="C1735" s="14" t="s">
        <v>5413</v>
      </c>
      <c r="D1735" s="15">
        <v>41915.395682870374</v>
      </c>
      <c r="E1735" s="16" t="s">
        <v>16</v>
      </c>
      <c r="F1735" s="16" t="s">
        <v>21</v>
      </c>
      <c r="G1735" s="17" t="s">
        <v>790</v>
      </c>
      <c r="H1735" s="17" t="s">
        <v>5298</v>
      </c>
      <c r="I1735" s="13" t="s">
        <v>5587</v>
      </c>
      <c r="J1735" s="23" t="str">
        <f>HYPERLINK("CorLog\GHA\BEX\20141003 GHA BEX Remove Indications on Drawing C-101 and C-103 Rev2 (RDC-to-GHA).msg", "Remove Indications on Drawing C-101 and C-103 Rev2")</f>
        <v>Remove Indications on Drawing C-101 and C-103 Rev2</v>
      </c>
      <c r="K1735" s="25" t="s">
        <v>1211</v>
      </c>
      <c r="L1735" s="19"/>
      <c r="M1735" s="20"/>
      <c r="N1735" s="21" t="s">
        <v>5588</v>
      </c>
    </row>
    <row r="1736" spans="1:14">
      <c r="A1736" s="12" t="s">
        <v>718</v>
      </c>
      <c r="B1736" s="13" t="s">
        <v>827</v>
      </c>
      <c r="C1736" s="14" t="s">
        <v>5413</v>
      </c>
      <c r="D1736" s="15">
        <v>41915.395682870374</v>
      </c>
      <c r="E1736" s="16" t="s">
        <v>16</v>
      </c>
      <c r="F1736" s="16" t="s">
        <v>21</v>
      </c>
      <c r="G1736" s="17" t="s">
        <v>790</v>
      </c>
      <c r="H1736" s="17" t="s">
        <v>886</v>
      </c>
      <c r="I1736" s="13" t="s">
        <v>5587</v>
      </c>
      <c r="J1736" s="23" t="str">
        <f>HYPERLINK("CorLog\GHA\BEX\20141003 GHA BEX Remove Indications on Drawing C-101 and C-103 Rev2 (RDC-to-GHA).msg", "Remove Indications on Drawing C-101 and C-103 Rev2")</f>
        <v>Remove Indications on Drawing C-101 and C-103 Rev2</v>
      </c>
      <c r="K1736" s="25"/>
      <c r="L1736" s="19"/>
      <c r="M1736" s="20"/>
      <c r="N1736" s="21" t="s">
        <v>5588</v>
      </c>
    </row>
    <row r="1737" spans="1:14">
      <c r="A1737" s="12" t="s">
        <v>724</v>
      </c>
      <c r="B1737" s="13" t="s">
        <v>718</v>
      </c>
      <c r="C1737" s="14"/>
      <c r="D1737" s="15">
        <v>41915.338750000003</v>
      </c>
      <c r="E1737" s="16" t="s">
        <v>16</v>
      </c>
      <c r="F1737" s="16" t="s">
        <v>16</v>
      </c>
      <c r="G1737" s="17" t="s">
        <v>823</v>
      </c>
      <c r="H1737" s="17" t="s">
        <v>2384</v>
      </c>
      <c r="I1737" s="13" t="s">
        <v>5542</v>
      </c>
      <c r="J1737" s="23" t="str">
        <f>HYPERLINK("CorLog\GHA\LDC\20141003 GHA LDC Ghana Assembly Hall Planning Study 1 (RDC-to-RDC).msg", "Ghana Assembly Hall Planning Study 1")</f>
        <v>Ghana Assembly Hall Planning Study 1</v>
      </c>
      <c r="K1737" s="25" t="s">
        <v>3933</v>
      </c>
      <c r="L1737" s="19"/>
      <c r="M1737" s="20"/>
      <c r="N1737" s="21" t="s">
        <v>5589</v>
      </c>
    </row>
    <row r="1738" spans="1:14">
      <c r="A1738" s="12" t="s">
        <v>724</v>
      </c>
      <c r="B1738" s="13" t="s">
        <v>1052</v>
      </c>
      <c r="C1738" s="14" t="s">
        <v>5590</v>
      </c>
      <c r="D1738" s="15">
        <v>41914.893634259257</v>
      </c>
      <c r="E1738" s="16" t="s">
        <v>16</v>
      </c>
      <c r="F1738" s="16" t="s">
        <v>17</v>
      </c>
      <c r="G1738" s="17" t="s">
        <v>3133</v>
      </c>
      <c r="H1738" s="17" t="s">
        <v>1015</v>
      </c>
      <c r="I1738" s="13" t="s">
        <v>5591</v>
      </c>
      <c r="J1738" s="23" t="str">
        <f>HYPERLINK("CorLog\GHA\Somanya RTO\20141002 GHA Somanya RTO Land purchase for proposed Dangme language RTO in Somanya (RDC-to-WDC).msg", "Land purchase for proposed Dangme language RTO in Somanya")</f>
        <v>Land purchase for proposed Dangme language RTO in Somanya</v>
      </c>
      <c r="K1738" s="25"/>
      <c r="L1738" s="19"/>
      <c r="M1738" s="20"/>
      <c r="N1738" s="21" t="s">
        <v>5592</v>
      </c>
    </row>
    <row r="1739" spans="1:14">
      <c r="A1739" s="12" t="s">
        <v>750</v>
      </c>
      <c r="B1739" s="13" t="s">
        <v>3067</v>
      </c>
      <c r="C1739" s="14" t="s">
        <v>5593</v>
      </c>
      <c r="D1739" s="15">
        <v>41914.742986111109</v>
      </c>
      <c r="E1739" s="16" t="s">
        <v>16</v>
      </c>
      <c r="F1739" s="16" t="s">
        <v>18</v>
      </c>
      <c r="G1739" s="17" t="s">
        <v>946</v>
      </c>
      <c r="H1739" s="17" t="s">
        <v>851</v>
      </c>
      <c r="I1739" s="13" t="s">
        <v>5594</v>
      </c>
      <c r="J1739" s="23" t="str">
        <f>HYPERLINK("CorLog\ZMB\Mongu RTO\20141002 ZMB Mongu RTO DCP test of RES BLDG (RDC-to-ZMB).msg", "DCP test of RES BLDG")</f>
        <v>DCP test of RES BLDG</v>
      </c>
      <c r="K1739" s="25" t="s">
        <v>1499</v>
      </c>
      <c r="L1739" s="19"/>
      <c r="M1739" s="20"/>
      <c r="N1739" s="21" t="s">
        <v>5595</v>
      </c>
    </row>
    <row r="1740" spans="1:14">
      <c r="A1740" s="12" t="s">
        <v>718</v>
      </c>
      <c r="B1740" s="13" t="s">
        <v>827</v>
      </c>
      <c r="C1740" s="14" t="s">
        <v>5596</v>
      </c>
      <c r="D1740" s="15">
        <v>41914.563981481479</v>
      </c>
      <c r="E1740" s="16" t="s">
        <v>16</v>
      </c>
      <c r="F1740" s="16" t="s">
        <v>21</v>
      </c>
      <c r="G1740" s="17" t="s">
        <v>790</v>
      </c>
      <c r="H1740" s="17" t="s">
        <v>829</v>
      </c>
      <c r="I1740" s="13" t="s">
        <v>5597</v>
      </c>
      <c r="J1740" s="23" t="str">
        <f>HYPERLINK("CorLog\GHA\BEX\20141002 GHA BEX EXPORT NLBR -4462 (3) (RDC-to-GHA).msg", "EXPORT NLBR -4462 (3)")</f>
        <v>EXPORT NLBR -4462 (3)</v>
      </c>
      <c r="K1740" s="25"/>
      <c r="L1740" s="19" t="s">
        <v>5598</v>
      </c>
      <c r="M1740" s="20"/>
      <c r="N1740" s="21" t="s">
        <v>5599</v>
      </c>
    </row>
    <row r="1741" spans="1:14">
      <c r="A1741" s="12" t="s">
        <v>718</v>
      </c>
      <c r="B1741" s="13" t="s">
        <v>972</v>
      </c>
      <c r="C1741" s="14" t="s">
        <v>5600</v>
      </c>
      <c r="D1741" s="15">
        <v>41914.454259259262</v>
      </c>
      <c r="E1741" s="16" t="s">
        <v>16</v>
      </c>
      <c r="F1741" s="16" t="s">
        <v>18</v>
      </c>
      <c r="G1741" s="17" t="s">
        <v>946</v>
      </c>
      <c r="H1741" s="17" t="s">
        <v>1400</v>
      </c>
      <c r="I1741" s="13" t="s">
        <v>5601</v>
      </c>
      <c r="J1741" s="23" t="str">
        <f>HYPERLINK("CorLog\ZMB\Mongu RTO\20141002 ZMB Mongu RTO Aluminium Tape alternative (APPROVED) (RDC-to-ZMB).msg", "Aluminium Tape alternative (APPROVED)")</f>
        <v>Aluminium Tape alternative (APPROVED)</v>
      </c>
      <c r="K1741" s="25" t="s">
        <v>1270</v>
      </c>
      <c r="L1741" s="19"/>
      <c r="M1741" s="20"/>
      <c r="N1741" s="21" t="s">
        <v>5602</v>
      </c>
    </row>
    <row r="1742" spans="1:14">
      <c r="A1742" s="12" t="s">
        <v>718</v>
      </c>
      <c r="B1742" s="13" t="s">
        <v>1447</v>
      </c>
      <c r="C1742" s="14" t="s">
        <v>750</v>
      </c>
      <c r="D1742" s="15">
        <v>41914.45208333333</v>
      </c>
      <c r="E1742" s="16" t="s">
        <v>16</v>
      </c>
      <c r="F1742" s="16" t="s">
        <v>16</v>
      </c>
      <c r="G1742" s="17" t="s">
        <v>738</v>
      </c>
      <c r="H1742" s="17" t="s">
        <v>2029</v>
      </c>
      <c r="I1742" s="13" t="s">
        <v>5603</v>
      </c>
      <c r="J1742" s="23" t="str">
        <f>HYPERLINK("CorLog\GHA\BEX 2\20141002 GHA BEX 2 DC-41 for survey and CDP design--draft (RDC-to-RDC).msg", "DC-41 for survey and CDP design--draft")</f>
        <v>DC-41 for survey and CDP design--draft</v>
      </c>
      <c r="K1742" s="25"/>
      <c r="L1742" s="19"/>
      <c r="M1742" s="20"/>
      <c r="N1742" s="21" t="s">
        <v>5604</v>
      </c>
    </row>
    <row r="1743" spans="1:14">
      <c r="A1743" s="12" t="s">
        <v>5605</v>
      </c>
      <c r="B1743" s="13" t="s">
        <v>718</v>
      </c>
      <c r="C1743" s="14"/>
      <c r="D1743" s="15">
        <v>41914.395196759258</v>
      </c>
      <c r="E1743" s="16" t="s">
        <v>22</v>
      </c>
      <c r="F1743" s="16" t="s">
        <v>16</v>
      </c>
      <c r="G1743" s="17" t="s">
        <v>1169</v>
      </c>
      <c r="H1743" s="17" t="s">
        <v>1489</v>
      </c>
      <c r="I1743" s="13" t="s">
        <v>5606</v>
      </c>
      <c r="J1743" s="23" t="str">
        <f>HYPERLINK("CorLog\COD\Kikwit RTO\20141002 COD Kikwit RTO change pipe fusiotherm (COD-to-RDC).msg", "change pipe fusiotherm")</f>
        <v>change pipe fusiotherm</v>
      </c>
      <c r="K1743" s="25"/>
      <c r="L1743" s="19"/>
      <c r="M1743" s="20"/>
      <c r="N1743" s="21" t="s">
        <v>5607</v>
      </c>
    </row>
    <row r="1744" spans="1:14">
      <c r="A1744" s="12" t="s">
        <v>4950</v>
      </c>
      <c r="B1744" s="13" t="s">
        <v>1818</v>
      </c>
      <c r="C1744" s="14" t="s">
        <v>5608</v>
      </c>
      <c r="D1744" s="15">
        <v>41914.368159722224</v>
      </c>
      <c r="E1744" s="16" t="s">
        <v>18</v>
      </c>
      <c r="F1744" s="16" t="s">
        <v>16</v>
      </c>
      <c r="G1744" s="17" t="s">
        <v>885</v>
      </c>
      <c r="H1744" s="17" t="s">
        <v>961</v>
      </c>
      <c r="I1744" s="13" t="s">
        <v>5609</v>
      </c>
      <c r="J1744" s="23" t="str">
        <f>HYPERLINK("CorLog\ZMB\Kabompo RTO\20141002 ZMB Kabompo RTO Carpark Elevations (ZMB-to-RDC).msg", "Carpark Elevations")</f>
        <v>Carpark Elevations</v>
      </c>
      <c r="K1744" s="25" t="s">
        <v>1243</v>
      </c>
      <c r="L1744" s="19"/>
      <c r="M1744" s="20"/>
      <c r="N1744" s="21" t="s">
        <v>5610</v>
      </c>
    </row>
    <row r="1745" spans="1:14">
      <c r="A1745" s="12" t="s">
        <v>724</v>
      </c>
      <c r="B1745" s="13" t="s">
        <v>1529</v>
      </c>
      <c r="C1745" s="14" t="s">
        <v>718</v>
      </c>
      <c r="D1745" s="15">
        <v>41913.644467592596</v>
      </c>
      <c r="E1745" s="16" t="s">
        <v>16</v>
      </c>
      <c r="F1745" s="16" t="s">
        <v>18</v>
      </c>
      <c r="G1745" s="17" t="s">
        <v>946</v>
      </c>
      <c r="H1745" s="17" t="s">
        <v>781</v>
      </c>
      <c r="I1745" s="13" t="s">
        <v>5611</v>
      </c>
      <c r="J1745" s="23" t="str">
        <f>HYPERLINK("CorLog\ZMB\Mongu RTO\20141001 ZMB Mongu RTO Mongu CC (RDC-to-ZMB).msg", "Mongu CC")</f>
        <v>Mongu CC</v>
      </c>
      <c r="K1745" s="25"/>
      <c r="L1745" s="19"/>
      <c r="M1745" s="20"/>
      <c r="N1745" s="21" t="s">
        <v>5612</v>
      </c>
    </row>
    <row r="1746" spans="1:14">
      <c r="A1746" s="12" t="s">
        <v>724</v>
      </c>
      <c r="B1746" s="13" t="s">
        <v>1052</v>
      </c>
      <c r="C1746" s="14" t="s">
        <v>1710</v>
      </c>
      <c r="D1746" s="15">
        <v>41913.607835648145</v>
      </c>
      <c r="E1746" s="16" t="s">
        <v>16</v>
      </c>
      <c r="F1746" s="16" t="s">
        <v>17</v>
      </c>
      <c r="G1746" s="17" t="s">
        <v>838</v>
      </c>
      <c r="H1746" s="17" t="s">
        <v>1005</v>
      </c>
      <c r="I1746" s="13" t="s">
        <v>5613</v>
      </c>
      <c r="J1746" s="23" t="str">
        <f>HYPERLINK("CorLog\ZMB\Choma RTO\20141001 ZMB Choma RTO CPP Revised (RDC-to-WDC).msg", "CPP Revised")</f>
        <v>CPP Revised</v>
      </c>
      <c r="K1746" s="25"/>
      <c r="L1746" s="19"/>
      <c r="M1746" s="20"/>
      <c r="N1746" s="21" t="s">
        <v>5614</v>
      </c>
    </row>
    <row r="1747" spans="1:14">
      <c r="A1747" s="12" t="s">
        <v>874</v>
      </c>
      <c r="B1747" s="13"/>
      <c r="C1747" s="14"/>
      <c r="D1747" s="15">
        <v>41913</v>
      </c>
      <c r="E1747" s="16" t="s">
        <v>25</v>
      </c>
      <c r="F1747" s="16" t="s">
        <v>22</v>
      </c>
      <c r="G1747" s="17" t="s">
        <v>1432</v>
      </c>
      <c r="H1747" s="17" t="s">
        <v>5027</v>
      </c>
      <c r="I1747" s="13" t="s">
        <v>5615</v>
      </c>
      <c r="J1747" s="23" t="str">
        <f>HYPERLINK("CorLog\COD\LDC\20141001 COD LDC Missionary Home Project in Brazzaville (WHQ-to-COD).doc", "Missionary Home Project in Brazzaville")</f>
        <v>Missionary Home Project in Brazzaville</v>
      </c>
      <c r="K1747" s="23" t="str">
        <f>HYPERLINK("CorLog\COD\LDC\20141001 COD LDC Missionary Home Project in Brazzaville (WHQ-to-COD).zip", "Zipped")</f>
        <v>Zipped</v>
      </c>
      <c r="L1747" s="19"/>
      <c r="M1747" s="20"/>
      <c r="N1747" s="21" t="s">
        <v>5616</v>
      </c>
    </row>
    <row r="1748" spans="1:14">
      <c r="A1748" s="12" t="s">
        <v>4115</v>
      </c>
      <c r="B1748" s="13"/>
      <c r="C1748" s="14"/>
      <c r="D1748" s="15">
        <v>41913</v>
      </c>
      <c r="E1748" s="16" t="s">
        <v>15</v>
      </c>
      <c r="F1748" s="16" t="s">
        <v>14</v>
      </c>
      <c r="G1748" s="17" t="s">
        <v>1662</v>
      </c>
      <c r="H1748" s="17" t="s">
        <v>2288</v>
      </c>
      <c r="I1748" s="13" t="s">
        <v>1872</v>
      </c>
      <c r="J1748" s="23" t="str">
        <f>HYPERLINK("CorLog\MDG\Toliara RTO\20141001 MDG Toliara RTO Vezo RTO Properties near Toliara (ZAF-to-MDG).docx", "Vezo RTO Properties near Toliara")</f>
        <v>Vezo RTO Properties near Toliara</v>
      </c>
      <c r="K1748" s="23"/>
      <c r="L1748" s="19"/>
      <c r="M1748" s="20"/>
      <c r="N1748" s="21" t="s">
        <v>5617</v>
      </c>
    </row>
    <row r="1749" spans="1:14">
      <c r="A1749" s="12" t="s">
        <v>750</v>
      </c>
      <c r="B1749" s="13" t="s">
        <v>998</v>
      </c>
      <c r="C1749" s="14" t="s">
        <v>5618</v>
      </c>
      <c r="D1749" s="15">
        <v>41912.712604166663</v>
      </c>
      <c r="E1749" s="16" t="s">
        <v>16</v>
      </c>
      <c r="F1749" s="16" t="s">
        <v>17</v>
      </c>
      <c r="G1749" s="17" t="s">
        <v>30</v>
      </c>
      <c r="H1749" s="17" t="s">
        <v>1000</v>
      </c>
      <c r="I1749" s="13" t="s">
        <v>5619</v>
      </c>
      <c r="J1749" s="23" t="str">
        <f>HYPERLINK("CorLog\ALL\20140930 ALL POR template - what about 'Risks' (RDC-to-WDC).msg", "POR template - what about 'Risks'")</f>
        <v>POR template - what about 'Risks'</v>
      </c>
      <c r="K1749" s="25" t="s">
        <v>1274</v>
      </c>
      <c r="L1749" s="19" t="s">
        <v>5620</v>
      </c>
      <c r="M1749" s="20" t="s">
        <v>5621</v>
      </c>
      <c r="N1749" s="21" t="s">
        <v>5622</v>
      </c>
    </row>
    <row r="1750" spans="1:14">
      <c r="A1750" s="12" t="s">
        <v>4950</v>
      </c>
      <c r="B1750" s="13" t="s">
        <v>724</v>
      </c>
      <c r="C1750" s="14" t="s">
        <v>4927</v>
      </c>
      <c r="D1750" s="15">
        <v>41912.608391203707</v>
      </c>
      <c r="E1750" s="16" t="s">
        <v>18</v>
      </c>
      <c r="F1750" s="16" t="s">
        <v>16</v>
      </c>
      <c r="G1750" s="17" t="s">
        <v>885</v>
      </c>
      <c r="H1750" s="17" t="s">
        <v>1974</v>
      </c>
      <c r="I1750" s="13" t="s">
        <v>5623</v>
      </c>
      <c r="J1750" s="23" t="str">
        <f>HYPERLINK("CorLog\ZMB\Kabompo RTO\20140930 ZMB Kabompo RTO Draft NLBR Furniture USA (ZMB-to-RDC).msg", "Draft NLBR Furniture USA")</f>
        <v>Draft NLBR Furniture USA</v>
      </c>
      <c r="K1750" s="25"/>
      <c r="L1750" s="19"/>
      <c r="M1750" s="20"/>
      <c r="N1750" s="21" t="s">
        <v>5624</v>
      </c>
    </row>
    <row r="1751" spans="1:14">
      <c r="A1751" s="12" t="s">
        <v>724</v>
      </c>
      <c r="B1751" s="13" t="s">
        <v>717</v>
      </c>
      <c r="C1751" s="14" t="s">
        <v>2016</v>
      </c>
      <c r="D1751" s="15">
        <v>41912.437592592592</v>
      </c>
      <c r="E1751" s="16" t="s">
        <v>16</v>
      </c>
      <c r="F1751" s="16" t="s">
        <v>16</v>
      </c>
      <c r="G1751" s="17" t="s">
        <v>30</v>
      </c>
      <c r="H1751" s="17" t="s">
        <v>5625</v>
      </c>
      <c r="I1751" s="13" t="s">
        <v>5626</v>
      </c>
      <c r="J1751" s="23" t="str">
        <f>HYPERLINK("CorLog\ALL\20140930 ALL Draft DC-14 for input (RDC-to-RDC).msg", "Draft DC-14 for input")</f>
        <v>Draft DC-14 for input</v>
      </c>
      <c r="K1751" s="25" t="s">
        <v>1211</v>
      </c>
      <c r="L1751" s="19"/>
      <c r="M1751" s="20"/>
      <c r="N1751" s="21" t="s">
        <v>5627</v>
      </c>
    </row>
    <row r="1752" spans="1:14">
      <c r="A1752" s="12" t="s">
        <v>750</v>
      </c>
      <c r="B1752" s="13" t="s">
        <v>916</v>
      </c>
      <c r="C1752" s="14" t="s">
        <v>1362</v>
      </c>
      <c r="D1752" s="15">
        <v>41912.435856481483</v>
      </c>
      <c r="E1752" s="16" t="s">
        <v>16</v>
      </c>
      <c r="F1752" s="16" t="s">
        <v>16</v>
      </c>
      <c r="G1752" s="17" t="s">
        <v>790</v>
      </c>
      <c r="H1752" s="17" t="s">
        <v>1565</v>
      </c>
      <c r="I1752" s="13" t="s">
        <v>5628</v>
      </c>
      <c r="J1752" s="23" t="str">
        <f>HYPERLINK("CorLog\GHA\BEX\20140930 GHA BEX Control Joint Location vs Mitek trusses (RDC-to-RDC).msg", "Control Joint Location vs Mitek trusses")</f>
        <v>Control Joint Location vs Mitek trusses</v>
      </c>
      <c r="K1752" s="25" t="s">
        <v>1274</v>
      </c>
      <c r="L1752" s="19"/>
      <c r="M1752" s="20"/>
      <c r="N1752" s="21" t="s">
        <v>5629</v>
      </c>
    </row>
    <row r="1753" spans="1:14">
      <c r="A1753" s="12" t="s">
        <v>5630</v>
      </c>
      <c r="B1753" s="13" t="s">
        <v>1069</v>
      </c>
      <c r="C1753" s="14" t="s">
        <v>5631</v>
      </c>
      <c r="D1753" s="15">
        <v>41912.34679398148</v>
      </c>
      <c r="E1753" s="16" t="s">
        <v>18</v>
      </c>
      <c r="F1753" s="16" t="s">
        <v>18</v>
      </c>
      <c r="G1753" s="17" t="s">
        <v>1070</v>
      </c>
      <c r="H1753" s="17" t="s">
        <v>1066</v>
      </c>
      <c r="I1753" s="13" t="s">
        <v>5632</v>
      </c>
      <c r="J1753" s="23" t="str">
        <f>HYPERLINK("CorLog\ZMB\Katete RTO\20140930 ZMB Katete RTO Application D EPPA KAT 2309 (ZMB-to-ZMB).msg", "Application D EPPA KAT 2309")</f>
        <v>Application D EPPA KAT 2309</v>
      </c>
      <c r="K1753" s="25"/>
      <c r="L1753" s="19"/>
      <c r="M1753" s="20"/>
      <c r="N1753" s="21" t="s">
        <v>5633</v>
      </c>
    </row>
    <row r="1754" spans="1:14">
      <c r="A1754" s="12" t="s">
        <v>2612</v>
      </c>
      <c r="B1754" s="13" t="s">
        <v>718</v>
      </c>
      <c r="C1754" s="14" t="s">
        <v>827</v>
      </c>
      <c r="D1754" s="15">
        <v>41911.777743055558</v>
      </c>
      <c r="E1754" s="16" t="s">
        <v>21</v>
      </c>
      <c r="F1754" s="16" t="s">
        <v>16</v>
      </c>
      <c r="G1754" s="17" t="s">
        <v>790</v>
      </c>
      <c r="H1754" s="17" t="s">
        <v>947</v>
      </c>
      <c r="I1754" s="13" t="s">
        <v>5634</v>
      </c>
      <c r="J1754" s="23" t="str">
        <f>HYPERLINK("CorLog\GHA\BEX\20140929 GHA BEX Stormwater issues around main entrance (GHA-to-RDC).msg", "Stormwater issues around main entrance")</f>
        <v>Stormwater issues around main entrance</v>
      </c>
      <c r="K1754" s="25" t="s">
        <v>2665</v>
      </c>
      <c r="L1754" s="19"/>
      <c r="M1754" s="20"/>
      <c r="N1754" s="21" t="s">
        <v>5635</v>
      </c>
    </row>
    <row r="1755" spans="1:14">
      <c r="A1755" s="12" t="s">
        <v>750</v>
      </c>
      <c r="B1755" s="13" t="s">
        <v>916</v>
      </c>
      <c r="C1755" s="14" t="s">
        <v>5636</v>
      </c>
      <c r="D1755" s="15">
        <v>41911.633622685185</v>
      </c>
      <c r="E1755" s="16" t="s">
        <v>16</v>
      </c>
      <c r="F1755" s="16" t="s">
        <v>16</v>
      </c>
      <c r="G1755" s="17" t="s">
        <v>785</v>
      </c>
      <c r="H1755" s="17" t="s">
        <v>854</v>
      </c>
      <c r="I1755" s="13" t="s">
        <v>5637</v>
      </c>
      <c r="J1755" s="23" t="str">
        <f>HYPERLINK("CorLog\COD\Lubumbashi RTO\20140929 COD Lubumbashi RTO Interior Walls - Masonry Control Joint Details (RDC-to-RDC).msg", "Interior Walls - Masonry Control Joint Details")</f>
        <v>Interior Walls - Masonry Control Joint Details</v>
      </c>
      <c r="K1755" s="25"/>
      <c r="L1755" s="19"/>
      <c r="M1755" s="20"/>
      <c r="N1755" s="21" t="s">
        <v>5638</v>
      </c>
    </row>
    <row r="1756" spans="1:14">
      <c r="A1756" s="12" t="s">
        <v>750</v>
      </c>
      <c r="B1756" s="13" t="s">
        <v>1310</v>
      </c>
      <c r="C1756" s="14" t="s">
        <v>5639</v>
      </c>
      <c r="D1756" s="15">
        <v>41911.620405092595</v>
      </c>
      <c r="E1756" s="16" t="s">
        <v>16</v>
      </c>
      <c r="F1756" s="16" t="s">
        <v>16</v>
      </c>
      <c r="G1756" s="17" t="s">
        <v>2022</v>
      </c>
      <c r="H1756" s="17" t="s">
        <v>719</v>
      </c>
      <c r="I1756" s="13" t="s">
        <v>5640</v>
      </c>
      <c r="J1756" s="23" t="str">
        <f>HYPERLINK("CorLog\Directive\20140929 Directive Float Cash up (RDC-to-RDC).msg", "Float Cash up")</f>
        <v>Float Cash up</v>
      </c>
      <c r="K1756" s="25" t="s">
        <v>1211</v>
      </c>
      <c r="L1756" s="19"/>
      <c r="M1756" s="20"/>
      <c r="N1756" s="21" t="s">
        <v>5641</v>
      </c>
    </row>
    <row r="1757" spans="1:14">
      <c r="A1757" s="12" t="s">
        <v>750</v>
      </c>
      <c r="B1757" s="13" t="s">
        <v>1529</v>
      </c>
      <c r="C1757" s="14" t="s">
        <v>5642</v>
      </c>
      <c r="D1757" s="15">
        <v>41911.455439814818</v>
      </c>
      <c r="E1757" s="16" t="s">
        <v>16</v>
      </c>
      <c r="F1757" s="16" t="s">
        <v>18</v>
      </c>
      <c r="G1757" s="17" t="s">
        <v>946</v>
      </c>
      <c r="H1757" s="17" t="s">
        <v>1678</v>
      </c>
      <c r="I1757" s="13" t="s">
        <v>5643</v>
      </c>
      <c r="J1757" s="23" t="str">
        <f>HYPERLINK("CorLog\ZMB\Mongu RTO\20140929 ZMB Mongu RTO Mortar Strength (1C - 4 5 S - 0 5 L) (RDC-to-ZMB).msg", "Mortar Strength (1C - 4 5 S - 0 5 L)")</f>
        <v>Mortar Strength (1C - 4 5 S - 0 5 L)</v>
      </c>
      <c r="K1757" s="25" t="s">
        <v>1211</v>
      </c>
      <c r="L1757" s="19"/>
      <c r="M1757" s="20"/>
      <c r="N1757" s="21" t="s">
        <v>5644</v>
      </c>
    </row>
    <row r="1758" spans="1:14">
      <c r="A1758" s="12" t="s">
        <v>724</v>
      </c>
      <c r="B1758" s="13" t="s">
        <v>4950</v>
      </c>
      <c r="C1758" s="14" t="s">
        <v>4927</v>
      </c>
      <c r="D1758" s="15">
        <v>41911.32707175926</v>
      </c>
      <c r="E1758" s="16" t="s">
        <v>16</v>
      </c>
      <c r="F1758" s="16" t="s">
        <v>18</v>
      </c>
      <c r="G1758" s="17" t="s">
        <v>885</v>
      </c>
      <c r="H1758" s="17" t="s">
        <v>2175</v>
      </c>
      <c r="I1758" s="13" t="s">
        <v>5645</v>
      </c>
      <c r="J1758" s="23" t="str">
        <f>HYPERLINK("CorLog\ZMB\Kabompo RTO\20140929 ZMB Kabompo RTO Furniture Costs Overrun (RDC-to-ZMB).msg", "Furniture Costs Overrun")</f>
        <v>Furniture Costs Overrun</v>
      </c>
      <c r="K1758" s="25"/>
      <c r="L1758" s="19"/>
      <c r="M1758" s="20"/>
      <c r="N1758" s="21" t="s">
        <v>5646</v>
      </c>
    </row>
    <row r="1759" spans="1:14">
      <c r="A1759" s="12" t="s">
        <v>5647</v>
      </c>
      <c r="B1759" s="13" t="s">
        <v>749</v>
      </c>
      <c r="C1759" s="14" t="s">
        <v>5648</v>
      </c>
      <c r="D1759" s="15">
        <v>41910.676504629628</v>
      </c>
      <c r="E1759" s="16" t="s">
        <v>15</v>
      </c>
      <c r="F1759" s="16" t="s">
        <v>16</v>
      </c>
      <c r="G1759" s="17" t="s">
        <v>1544</v>
      </c>
      <c r="H1759" s="17" t="s">
        <v>1426</v>
      </c>
      <c r="I1759" s="13" t="s">
        <v>5649</v>
      </c>
      <c r="J1759" s="23" t="str">
        <f>HYPERLINK("CorLog\SALTO\20140928 SALTO ZAF LPD-Salto Keyless System Doors Affected (ZAF-to-RDC).msg", "ZAF LPD-Salto Keyless System Doors Affected")</f>
        <v>ZAF LPD-Salto Keyless System Doors Affected</v>
      </c>
      <c r="K1759" s="25" t="s">
        <v>1243</v>
      </c>
      <c r="L1759" s="19"/>
      <c r="M1759" s="20"/>
      <c r="N1759" s="21" t="s">
        <v>5650</v>
      </c>
    </row>
    <row r="1760" spans="1:14">
      <c r="A1760" s="12" t="s">
        <v>1653</v>
      </c>
      <c r="B1760" s="13" t="s">
        <v>718</v>
      </c>
      <c r="C1760" s="14"/>
      <c r="D1760" s="15">
        <v>41908.650740740741</v>
      </c>
      <c r="E1760" s="16" t="s">
        <v>21</v>
      </c>
      <c r="F1760" s="16" t="s">
        <v>16</v>
      </c>
      <c r="G1760" s="17" t="s">
        <v>823</v>
      </c>
      <c r="H1760" s="17" t="s">
        <v>2333</v>
      </c>
      <c r="I1760" s="13" t="s">
        <v>5651</v>
      </c>
      <c r="J1760" s="23" t="str">
        <f>HYPERLINK("CorLog\GHA\LDC\20140926 GHA LDC Group training program (GHA-to-RDC).msg", "Group training program")</f>
        <v>Group training program</v>
      </c>
      <c r="K1760" s="25" t="s">
        <v>1211</v>
      </c>
      <c r="L1760" s="19"/>
      <c r="M1760" s="20"/>
      <c r="N1760" s="21" t="s">
        <v>5652</v>
      </c>
    </row>
    <row r="1761" spans="1:14">
      <c r="A1761" s="12" t="s">
        <v>1187</v>
      </c>
      <c r="B1761" s="13" t="s">
        <v>718</v>
      </c>
      <c r="C1761" s="14"/>
      <c r="D1761" s="15">
        <v>41907.734016203707</v>
      </c>
      <c r="E1761" s="16" t="s">
        <v>15</v>
      </c>
      <c r="F1761" s="16" t="s">
        <v>16</v>
      </c>
      <c r="G1761" s="17" t="s">
        <v>1169</v>
      </c>
      <c r="H1761" s="17" t="s">
        <v>2192</v>
      </c>
      <c r="I1761" s="13" t="s">
        <v>5653</v>
      </c>
      <c r="J1761" s="23" t="str">
        <f>HYPERLINK("CorLog\COD\Kikwit RTO\20140925 COD Kikwit RTO Fee Account 1 (ZAF-to-RDC).msg", "Fee Account 1")</f>
        <v>Fee Account 1</v>
      </c>
      <c r="K1761" s="25" t="s">
        <v>1243</v>
      </c>
      <c r="L1761" s="19"/>
      <c r="M1761" s="20"/>
      <c r="N1761" s="21" t="s">
        <v>5654</v>
      </c>
    </row>
    <row r="1762" spans="1:14">
      <c r="A1762" s="12" t="s">
        <v>750</v>
      </c>
      <c r="B1762" s="13" t="s">
        <v>5647</v>
      </c>
      <c r="C1762" s="14" t="s">
        <v>5655</v>
      </c>
      <c r="D1762" s="15">
        <v>41907.635763888888</v>
      </c>
      <c r="E1762" s="16" t="s">
        <v>16</v>
      </c>
      <c r="F1762" s="16" t="s">
        <v>15</v>
      </c>
      <c r="G1762" s="17" t="s">
        <v>1544</v>
      </c>
      <c r="H1762" s="17" t="s">
        <v>1426</v>
      </c>
      <c r="I1762" s="13" t="s">
        <v>5656</v>
      </c>
      <c r="J1762" s="23" t="str">
        <f>HYPERLINK("CorLog\SALTO\20140925 SALTO SAF LPD Salto Keyless System (PR2 RENO) (RDC-to-ZAF).msg", "SAF LPD Salto Keyless System (PR2 RENO)")</f>
        <v>SAF LPD Salto Keyless System (PR2 RENO)</v>
      </c>
      <c r="K1762" s="25" t="s">
        <v>1211</v>
      </c>
      <c r="L1762" s="19"/>
      <c r="M1762" s="20"/>
      <c r="N1762" s="21" t="s">
        <v>5657</v>
      </c>
    </row>
    <row r="1763" spans="1:14">
      <c r="A1763" s="12" t="s">
        <v>750</v>
      </c>
      <c r="B1763" s="13" t="s">
        <v>5647</v>
      </c>
      <c r="C1763" s="14" t="s">
        <v>5658</v>
      </c>
      <c r="D1763" s="15">
        <v>41907.635613425926</v>
      </c>
      <c r="E1763" s="16" t="s">
        <v>16</v>
      </c>
      <c r="F1763" s="16" t="s">
        <v>15</v>
      </c>
      <c r="G1763" s="17" t="s">
        <v>1544</v>
      </c>
      <c r="H1763" s="17" t="s">
        <v>1426</v>
      </c>
      <c r="I1763" s="13" t="s">
        <v>5659</v>
      </c>
      <c r="J1763" s="23" t="str">
        <f>HYPERLINK("CorLog\SALTO\20140925 SALTO SAF Salto Keyless System (SWR PROJECT) (RDC-to-ZAF).msg", "SAF Salto Keyless System (SWR PROJECT)")</f>
        <v>SAF Salto Keyless System (SWR PROJECT)</v>
      </c>
      <c r="K1763" s="25" t="s">
        <v>1243</v>
      </c>
      <c r="L1763" s="19"/>
      <c r="M1763" s="20"/>
      <c r="N1763" s="21" t="s">
        <v>5660</v>
      </c>
    </row>
    <row r="1764" spans="1:14">
      <c r="A1764" s="12" t="s">
        <v>750</v>
      </c>
      <c r="B1764" s="13" t="s">
        <v>5647</v>
      </c>
      <c r="C1764" s="14" t="s">
        <v>5661</v>
      </c>
      <c r="D1764" s="15">
        <v>41907.635428240741</v>
      </c>
      <c r="E1764" s="16" t="s">
        <v>16</v>
      </c>
      <c r="F1764" s="16" t="s">
        <v>15</v>
      </c>
      <c r="G1764" s="17" t="s">
        <v>1544</v>
      </c>
      <c r="H1764" s="17" t="s">
        <v>1426</v>
      </c>
      <c r="I1764" s="13" t="s">
        <v>5662</v>
      </c>
      <c r="J1764" s="23" t="str">
        <f>HYPERLINK("CorLog\SALTO\20140925 SALTO SAF Projects - Salto Keyless System (OVERALL PLAN) (RDC-to-ZAF).msg", "SAF Projects - Salto Keyless System (OVERALL PLAN)")</f>
        <v>SAF Projects - Salto Keyless System (OVERALL PLAN)</v>
      </c>
      <c r="K1764" s="25"/>
      <c r="L1764" s="19"/>
      <c r="M1764" s="20"/>
      <c r="N1764" s="21" t="s">
        <v>5663</v>
      </c>
    </row>
    <row r="1765" spans="1:14">
      <c r="A1765" s="12" t="s">
        <v>1424</v>
      </c>
      <c r="B1765" s="13" t="s">
        <v>718</v>
      </c>
      <c r="C1765" s="14"/>
      <c r="D1765" s="15">
        <v>41907.582511574074</v>
      </c>
      <c r="E1765" s="16" t="s">
        <v>26</v>
      </c>
      <c r="F1765" s="16" t="s">
        <v>16</v>
      </c>
      <c r="G1765" s="17" t="s">
        <v>1544</v>
      </c>
      <c r="H1765" s="17" t="s">
        <v>1426</v>
      </c>
      <c r="I1765" s="13" t="s">
        <v>5664</v>
      </c>
      <c r="J1765" s="23" t="str">
        <f>HYPERLINK("CorLog\SALTO\20140925 SALTO Assa Abloy Panic Bar (GBR-to-RDC).msg", "Assa Abloy Panic Bar")</f>
        <v>Assa Abloy Panic Bar</v>
      </c>
      <c r="K1765" s="25" t="s">
        <v>1211</v>
      </c>
      <c r="L1765" s="19"/>
      <c r="M1765" s="20"/>
      <c r="N1765" s="21" t="s">
        <v>5665</v>
      </c>
    </row>
    <row r="1766" spans="1:14">
      <c r="A1766" s="12" t="s">
        <v>750</v>
      </c>
      <c r="B1766" s="13" t="s">
        <v>771</v>
      </c>
      <c r="C1766" s="14"/>
      <c r="D1766" s="15">
        <v>41907.57576388889</v>
      </c>
      <c r="E1766" s="16" t="s">
        <v>16</v>
      </c>
      <c r="F1766" s="16" t="s">
        <v>17</v>
      </c>
      <c r="G1766" s="17" t="s">
        <v>738</v>
      </c>
      <c r="H1766" s="17" t="s">
        <v>5666</v>
      </c>
      <c r="I1766" s="13" t="s">
        <v>5667</v>
      </c>
      <c r="J1766" s="23" t="str">
        <f>HYPERLINK("CorLog\GHA\BEX 2\20140925 GHA BEX 2 Creek Box Culvert Peer Review (WSP REPORT) (RDC-to-WDC).msg", "Creek Box Culvert Peer Review (WSP REPORT)")</f>
        <v>Creek Box Culvert Peer Review (WSP REPORT)</v>
      </c>
      <c r="K1766" s="25" t="s">
        <v>1499</v>
      </c>
      <c r="L1766" s="19"/>
      <c r="M1766" s="20"/>
      <c r="N1766" s="21" t="s">
        <v>5668</v>
      </c>
    </row>
    <row r="1767" spans="1:14">
      <c r="A1767" s="12" t="s">
        <v>718</v>
      </c>
      <c r="B1767" s="13" t="s">
        <v>750</v>
      </c>
      <c r="C1767" s="14" t="s">
        <v>724</v>
      </c>
      <c r="D1767" s="15">
        <v>41907.493483796294</v>
      </c>
      <c r="E1767" s="16" t="s">
        <v>16</v>
      </c>
      <c r="F1767" s="16" t="s">
        <v>16</v>
      </c>
      <c r="G1767" s="17" t="s">
        <v>738</v>
      </c>
      <c r="H1767" s="17" t="s">
        <v>1000</v>
      </c>
      <c r="I1767" s="13" t="s">
        <v>5669</v>
      </c>
      <c r="J1767" s="23" t="str">
        <f>HYPERLINK("CorLog\GHA\BEX 2\20140925 GHA BEX 2 BC CC project design review comments (RDC-to-RDC).msg", "BC CC project design review comments")</f>
        <v>BC CC project design review comments</v>
      </c>
      <c r="K1767" s="25"/>
      <c r="L1767" s="19"/>
      <c r="M1767" s="20"/>
      <c r="N1767" s="21" t="s">
        <v>5670</v>
      </c>
    </row>
    <row r="1768" spans="1:14">
      <c r="A1768" s="12" t="s">
        <v>827</v>
      </c>
      <c r="B1768" s="13" t="s">
        <v>718</v>
      </c>
      <c r="C1768" s="14"/>
      <c r="D1768" s="15">
        <v>41907.445428240739</v>
      </c>
      <c r="E1768" s="16" t="s">
        <v>21</v>
      </c>
      <c r="F1768" s="16" t="s">
        <v>16</v>
      </c>
      <c r="G1768" s="17" t="s">
        <v>730</v>
      </c>
      <c r="H1768" s="17" t="s">
        <v>953</v>
      </c>
      <c r="I1768" s="13" t="s">
        <v>5671</v>
      </c>
      <c r="J1768" s="23" t="str">
        <f>HYPERLINK("CorLog\GHA\Baatsona SKE\20140925 GHA Baatsona SKE Part Tender Package for Review (GHA-to-RDC).msg", "Part Tender Package for Review")</f>
        <v>Part Tender Package for Review</v>
      </c>
      <c r="K1768" s="25" t="s">
        <v>1274</v>
      </c>
      <c r="L1768" s="19"/>
      <c r="M1768" s="20"/>
      <c r="N1768" s="21" t="s">
        <v>5672</v>
      </c>
    </row>
    <row r="1769" spans="1:14">
      <c r="A1769" s="12" t="s">
        <v>821</v>
      </c>
      <c r="B1769" s="13" t="s">
        <v>718</v>
      </c>
      <c r="C1769" s="14" t="s">
        <v>5242</v>
      </c>
      <c r="D1769" s="15">
        <v>41907.4453587963</v>
      </c>
      <c r="E1769" s="16" t="s">
        <v>21</v>
      </c>
      <c r="F1769" s="16" t="s">
        <v>16</v>
      </c>
      <c r="G1769" s="17" t="s">
        <v>738</v>
      </c>
      <c r="H1769" s="17" t="s">
        <v>1000</v>
      </c>
      <c r="I1769" s="13" t="s">
        <v>5673</v>
      </c>
      <c r="J1769" s="23" t="str">
        <f>HYPERLINK("CorLog\GHA\BEX 2\20140925 GHA BEX 2 BC Design Review Comments (GHA-to-RDC).msg", "BC Design Review Comments")</f>
        <v>BC Design Review Comments</v>
      </c>
      <c r="K1769" s="25" t="s">
        <v>5674</v>
      </c>
      <c r="L1769" s="19"/>
      <c r="M1769" s="20"/>
      <c r="N1769" s="21" t="s">
        <v>5675</v>
      </c>
    </row>
    <row r="1770" spans="1:14">
      <c r="A1770" s="12" t="s">
        <v>1181</v>
      </c>
      <c r="B1770" s="13" t="s">
        <v>718</v>
      </c>
      <c r="C1770" s="14" t="s">
        <v>2016</v>
      </c>
      <c r="D1770" s="15">
        <v>41907.439016203702</v>
      </c>
      <c r="E1770" s="16" t="s">
        <v>16</v>
      </c>
      <c r="F1770" s="16" t="s">
        <v>16</v>
      </c>
      <c r="G1770" s="17" t="s">
        <v>4606</v>
      </c>
      <c r="H1770" s="17" t="s">
        <v>1707</v>
      </c>
      <c r="I1770" s="13" t="s">
        <v>5676</v>
      </c>
      <c r="J1770" s="23" t="str">
        <f>HYPERLINK("CorLog\COD\BEX\20140925 COD BEX Choral Studio CDP (RDC-to-RDC).msg", "Choral Studio CDP")</f>
        <v>Choral Studio CDP</v>
      </c>
      <c r="K1770" s="25" t="s">
        <v>1243</v>
      </c>
      <c r="L1770" s="19"/>
      <c r="M1770" s="20"/>
      <c r="N1770" s="21" t="s">
        <v>5677</v>
      </c>
    </row>
    <row r="1771" spans="1:14">
      <c r="A1771" s="12" t="s">
        <v>718</v>
      </c>
      <c r="B1771" s="13" t="s">
        <v>1181</v>
      </c>
      <c r="C1771" s="14"/>
      <c r="D1771" s="15">
        <v>41907.40730324074</v>
      </c>
      <c r="E1771" s="16" t="s">
        <v>16</v>
      </c>
      <c r="F1771" s="16" t="s">
        <v>16</v>
      </c>
      <c r="G1771" s="17" t="s">
        <v>885</v>
      </c>
      <c r="H1771" s="17" t="s">
        <v>1562</v>
      </c>
      <c r="I1771" s="13" t="s">
        <v>5678</v>
      </c>
      <c r="J1771" s="23" t="str">
        <f>HYPERLINK("CorLog\ZMB\Kabompo RTO\20140925 ZMB Kabompo RTO Revised GRS roof sheeting quote--to review (RDC-to-RDC).msg", "Revised GRS roof sheeting quote--to review")</f>
        <v>Revised GRS roof sheeting quote--to review</v>
      </c>
      <c r="K1771" s="25" t="s">
        <v>1243</v>
      </c>
      <c r="L1771" s="19"/>
      <c r="M1771" s="20"/>
      <c r="N1771" s="21" t="s">
        <v>5679</v>
      </c>
    </row>
    <row r="1772" spans="1:14">
      <c r="A1772" s="12" t="s">
        <v>750</v>
      </c>
      <c r="B1772" s="13" t="s">
        <v>718</v>
      </c>
      <c r="C1772" s="14" t="s">
        <v>916</v>
      </c>
      <c r="D1772" s="15">
        <v>41907.404039351852</v>
      </c>
      <c r="E1772" s="16" t="s">
        <v>16</v>
      </c>
      <c r="F1772" s="16" t="s">
        <v>16</v>
      </c>
      <c r="G1772" s="17" t="s">
        <v>790</v>
      </c>
      <c r="H1772" s="17" t="s">
        <v>1565</v>
      </c>
      <c r="I1772" s="13" t="s">
        <v>5680</v>
      </c>
      <c r="J1772" s="23" t="str">
        <f>HYPERLINK("CorLog\GHA\BEX\20140925 GHA BEX Control Joint Location might clash with Mitek trusses (RDC-to-RDC).msg", "Control Joint Location might clash with Mitek trusses")</f>
        <v>Control Joint Location might clash with Mitek trusses</v>
      </c>
      <c r="K1772" s="25" t="s">
        <v>1499</v>
      </c>
      <c r="L1772" s="19"/>
      <c r="M1772" s="20"/>
      <c r="N1772" s="21" t="s">
        <v>5681</v>
      </c>
    </row>
    <row r="1773" spans="1:14">
      <c r="A1773" s="12" t="s">
        <v>3296</v>
      </c>
      <c r="B1773" s="13" t="s">
        <v>5682</v>
      </c>
      <c r="C1773" s="14" t="s">
        <v>5683</v>
      </c>
      <c r="D1773" s="15">
        <v>41906.591886574075</v>
      </c>
      <c r="E1773" s="16" t="s">
        <v>15</v>
      </c>
      <c r="F1773" s="16" t="s">
        <v>15</v>
      </c>
      <c r="G1773" s="17" t="s">
        <v>1544</v>
      </c>
      <c r="H1773" s="17" t="s">
        <v>1426</v>
      </c>
      <c r="I1773" s="13" t="s">
        <v>5684</v>
      </c>
      <c r="J1773" s="23" t="str">
        <f>HYPERLINK("CorLog\SALTO\20140924 SALTO Salto System (ZAF-to-ZAF).msg", "Salto System")</f>
        <v>Salto System</v>
      </c>
      <c r="K1773" s="25" t="s">
        <v>1211</v>
      </c>
      <c r="L1773" s="19"/>
      <c r="M1773" s="20"/>
      <c r="N1773" s="21" t="s">
        <v>5685</v>
      </c>
    </row>
    <row r="1774" spans="1:14">
      <c r="A1774" s="12" t="s">
        <v>2016</v>
      </c>
      <c r="B1774" s="13" t="s">
        <v>1150</v>
      </c>
      <c r="C1774" s="14" t="s">
        <v>5686</v>
      </c>
      <c r="D1774" s="15">
        <v>41906.551099537035</v>
      </c>
      <c r="E1774" s="16" t="s">
        <v>16</v>
      </c>
      <c r="F1774" s="16" t="s">
        <v>15</v>
      </c>
      <c r="G1774" s="17" t="s">
        <v>30</v>
      </c>
      <c r="H1774" s="17" t="s">
        <v>5687</v>
      </c>
      <c r="I1774" s="13" t="s">
        <v>5688</v>
      </c>
      <c r="J1774" s="23" t="str">
        <f>HYPERLINK("CorLog\ALL\20140924 ALL PT Project Management slide show (RDC-to-).msg", "PT Project Management slide show")</f>
        <v>PT Project Management slide show</v>
      </c>
      <c r="K1774" s="25" t="s">
        <v>1211</v>
      </c>
      <c r="L1774" s="19"/>
      <c r="M1774" s="20"/>
      <c r="N1774" s="21" t="s">
        <v>5689</v>
      </c>
    </row>
    <row r="1775" spans="1:14">
      <c r="A1775" s="12" t="s">
        <v>972</v>
      </c>
      <c r="B1775" s="13" t="s">
        <v>1418</v>
      </c>
      <c r="C1775" s="14" t="s">
        <v>5690</v>
      </c>
      <c r="D1775" s="15">
        <v>41906.27548611111</v>
      </c>
      <c r="E1775" s="16" t="s">
        <v>18</v>
      </c>
      <c r="F1775" s="16" t="s">
        <v>16</v>
      </c>
      <c r="G1775" s="17" t="s">
        <v>1112</v>
      </c>
      <c r="H1775" s="17" t="s">
        <v>3330</v>
      </c>
      <c r="I1775" s="13" t="s">
        <v>5691</v>
      </c>
      <c r="J1775" s="23" t="str">
        <f>HYPERLINK("CorLog\ZMB\BEX\20140924 ZMB BEX Generator Diesel line, commissioning follow-up (ZMB-to-RDC).msg", "Generator Diesel line, commissioning follow-up")</f>
        <v>Generator Diesel line, commissioning follow-up</v>
      </c>
      <c r="K1775" s="25"/>
      <c r="L1775" s="19"/>
      <c r="M1775" s="20"/>
      <c r="N1775" s="21" t="s">
        <v>5692</v>
      </c>
    </row>
    <row r="1776" spans="1:14">
      <c r="A1776" s="12" t="s">
        <v>5647</v>
      </c>
      <c r="B1776" s="13" t="s">
        <v>5693</v>
      </c>
      <c r="C1776" s="14" t="s">
        <v>5694</v>
      </c>
      <c r="D1776" s="15">
        <v>41905.713703703703</v>
      </c>
      <c r="E1776" s="16" t="s">
        <v>15</v>
      </c>
      <c r="F1776" s="16" t="s">
        <v>15</v>
      </c>
      <c r="G1776" s="17" t="s">
        <v>1544</v>
      </c>
      <c r="H1776" s="17" t="s">
        <v>1426</v>
      </c>
      <c r="I1776" s="13" t="s">
        <v>5695</v>
      </c>
      <c r="J1776" s="23" t="str">
        <f>HYPERLINK("CorLog\SALTO\20140923 SALTO SAF LPD Salto Keyless System (ZAF-to-ZAF).msg", "SAF LPD Salto Keyless System")</f>
        <v>SAF LPD Salto Keyless System</v>
      </c>
      <c r="K1776" s="25" t="s">
        <v>1211</v>
      </c>
      <c r="L1776" s="19"/>
      <c r="M1776" s="20"/>
      <c r="N1776" s="21" t="s">
        <v>5696</v>
      </c>
    </row>
    <row r="1777" spans="1:14">
      <c r="A1777" s="12" t="s">
        <v>5647</v>
      </c>
      <c r="B1777" s="13" t="s">
        <v>718</v>
      </c>
      <c r="C1777" s="14" t="s">
        <v>5697</v>
      </c>
      <c r="D1777" s="15">
        <v>41905.612002314818</v>
      </c>
      <c r="E1777" s="16" t="s">
        <v>15</v>
      </c>
      <c r="F1777" s="16" t="s">
        <v>16</v>
      </c>
      <c r="G1777" s="17" t="s">
        <v>1544</v>
      </c>
      <c r="H1777" s="17" t="s">
        <v>1426</v>
      </c>
      <c r="I1777" s="13" t="s">
        <v>5698</v>
      </c>
      <c r="J1777" s="23" t="str">
        <f>HYPERLINK("CorLog\SALTO\20140923 SALTO Salto Agenda Item (ZAF-to-RDC).msg", "Salto Agenda Item")</f>
        <v>Salto Agenda Item</v>
      </c>
      <c r="K1777" s="25" t="s">
        <v>1270</v>
      </c>
      <c r="L1777" s="19"/>
      <c r="M1777" s="20"/>
      <c r="N1777" s="21" t="s">
        <v>5699</v>
      </c>
    </row>
    <row r="1778" spans="1:14">
      <c r="A1778" s="12" t="s">
        <v>3495</v>
      </c>
      <c r="B1778" s="13" t="s">
        <v>718</v>
      </c>
      <c r="C1778" s="14" t="s">
        <v>5700</v>
      </c>
      <c r="D1778" s="15">
        <v>41905.567280092589</v>
      </c>
      <c r="E1778" s="16"/>
      <c r="F1778" s="16" t="s">
        <v>16</v>
      </c>
      <c r="G1778" s="17" t="s">
        <v>738</v>
      </c>
      <c r="H1778" s="17" t="s">
        <v>2192</v>
      </c>
      <c r="I1778" s="13" t="s">
        <v>5701</v>
      </c>
      <c r="J1778" s="23" t="str">
        <f>HYPERLINK("CorLog\GHA\BEX 2\20140923 GHA BEX 2 GHA 03 CDP - Missing Info for CDP needed from Ghana FAIR MARKET VALUE (-to-RDC).msg", "GHA 03 CDP - Missing Info for CDP needed from Ghana FAIR MARKET VALUE")</f>
        <v>GHA 03 CDP - Missing Info for CDP needed from Ghana FAIR MARKET VALUE</v>
      </c>
      <c r="K1778" s="25"/>
      <c r="L1778" s="19"/>
      <c r="M1778" s="20"/>
      <c r="N1778" s="21" t="s">
        <v>5702</v>
      </c>
    </row>
    <row r="1779" spans="1:14">
      <c r="A1779" s="12" t="s">
        <v>4265</v>
      </c>
      <c r="B1779" s="13" t="s">
        <v>718</v>
      </c>
      <c r="C1779" s="14" t="s">
        <v>1187</v>
      </c>
      <c r="D1779" s="15">
        <v>41905.501331018517</v>
      </c>
      <c r="E1779" s="16" t="s">
        <v>15</v>
      </c>
      <c r="F1779" s="16" t="s">
        <v>16</v>
      </c>
      <c r="G1779" s="17" t="s">
        <v>1169</v>
      </c>
      <c r="H1779" s="17" t="s">
        <v>2192</v>
      </c>
      <c r="I1779" s="13" t="s">
        <v>5703</v>
      </c>
      <c r="J1779" s="23" t="str">
        <f>HYPERLINK("CorLog\COD\Kikwit RTO\20140923 COD Kikwit RTO Sewer Drawings for Review (ZAF-to-RDC).msg", "Sewer Drawings for Review")</f>
        <v>Sewer Drawings for Review</v>
      </c>
      <c r="K1779" s="25" t="s">
        <v>1211</v>
      </c>
      <c r="L1779" s="19"/>
      <c r="M1779" s="20"/>
      <c r="N1779" s="21" t="s">
        <v>5704</v>
      </c>
    </row>
    <row r="1780" spans="1:14">
      <c r="A1780" s="12" t="s">
        <v>750</v>
      </c>
      <c r="B1780" s="13" t="s">
        <v>718</v>
      </c>
      <c r="C1780" s="14"/>
      <c r="D1780" s="15">
        <v>41905.457175925927</v>
      </c>
      <c r="E1780" s="16" t="s">
        <v>16</v>
      </c>
      <c r="F1780" s="16" t="s">
        <v>16</v>
      </c>
      <c r="G1780" s="17" t="s">
        <v>738</v>
      </c>
      <c r="H1780" s="17" t="s">
        <v>5148</v>
      </c>
      <c r="I1780" s="13" t="s">
        <v>5705</v>
      </c>
      <c r="J1780" s="23" t="str">
        <f>HYPERLINK("CorLog\GHA\BEX 2\20140923 GHA BEX 2 PV Update - Invoices for ELEC and LPG (RDC-to-RDC).msg", "PV Update - Invoices for ELEC and LPG")</f>
        <v>PV Update - Invoices for ELEC and LPG</v>
      </c>
      <c r="K1780" s="25"/>
      <c r="L1780" s="19"/>
      <c r="M1780" s="20"/>
      <c r="N1780" s="21" t="s">
        <v>5706</v>
      </c>
    </row>
    <row r="1781" spans="1:14">
      <c r="A1781" s="12" t="s">
        <v>4950</v>
      </c>
      <c r="B1781" s="13" t="s">
        <v>750</v>
      </c>
      <c r="C1781" s="14" t="s">
        <v>5707</v>
      </c>
      <c r="D1781" s="15">
        <v>41905.420358796298</v>
      </c>
      <c r="E1781" s="16" t="s">
        <v>18</v>
      </c>
      <c r="F1781" s="16" t="s">
        <v>16</v>
      </c>
      <c r="G1781" s="17" t="s">
        <v>885</v>
      </c>
      <c r="H1781" s="17" t="s">
        <v>5708</v>
      </c>
      <c r="I1781" s="13" t="s">
        <v>5709</v>
      </c>
      <c r="J1781" s="23" t="str">
        <f>HYPERLINK("CorLog\ZMB\Kabompo RTO\20140923 ZMB Kabompo RTO Septic Tank Slab Rebar (ZMB-to-RDC).msg", "Septic Tank Slab Rebar")</f>
        <v>Septic Tank Slab Rebar</v>
      </c>
      <c r="K1781" s="25" t="s">
        <v>1243</v>
      </c>
      <c r="L1781" s="19"/>
      <c r="M1781" s="20"/>
      <c r="N1781" s="21" t="s">
        <v>5710</v>
      </c>
    </row>
    <row r="1782" spans="1:14">
      <c r="A1782" s="12" t="s">
        <v>750</v>
      </c>
      <c r="B1782" s="13" t="s">
        <v>4950</v>
      </c>
      <c r="C1782" s="14" t="s">
        <v>5707</v>
      </c>
      <c r="D1782" s="15">
        <v>41905.405636574076</v>
      </c>
      <c r="E1782" s="16" t="s">
        <v>16</v>
      </c>
      <c r="F1782" s="16" t="s">
        <v>18</v>
      </c>
      <c r="G1782" s="17" t="s">
        <v>885</v>
      </c>
      <c r="H1782" s="17" t="s">
        <v>4815</v>
      </c>
      <c r="I1782" s="13" t="s">
        <v>5711</v>
      </c>
      <c r="J1782" s="23" t="str">
        <f>HYPERLINK("CorLog\ZMB\Kabompo RTO\20140923 ZMB Kabompo RTO Septic Tank Slab Rebar 16mm instead of 12mm (RDC-to-ZMB).msg", "Septic Tank Slab Rebar 16mm instead of 12mm")</f>
        <v>Septic Tank Slab Rebar 16mm instead of 12mm</v>
      </c>
      <c r="K1782" s="25" t="s">
        <v>1243</v>
      </c>
      <c r="L1782" s="19" t="s">
        <v>3083</v>
      </c>
      <c r="M1782" s="20"/>
      <c r="N1782" s="21" t="s">
        <v>5712</v>
      </c>
    </row>
    <row r="1783" spans="1:14">
      <c r="A1783" s="12" t="s">
        <v>5713</v>
      </c>
      <c r="B1783" s="13" t="s">
        <v>1653</v>
      </c>
      <c r="C1783" s="14" t="s">
        <v>5714</v>
      </c>
      <c r="D1783" s="15">
        <v>41905.36309027778</v>
      </c>
      <c r="E1783" s="16" t="s">
        <v>15</v>
      </c>
      <c r="F1783" s="16" t="s">
        <v>21</v>
      </c>
      <c r="G1783" s="17" t="s">
        <v>823</v>
      </c>
      <c r="H1783" s="17" t="s">
        <v>2175</v>
      </c>
      <c r="I1783" s="13" t="s">
        <v>5715</v>
      </c>
      <c r="J1783" s="23" t="str">
        <f>HYPERLINK("CorLog\GHA\LDC\20140923 GHA LDC KH furniture (lectern, notice boards, contribution and slip boxes etc (ZAF-to-GHA).msg", "KH furniture (lectern, notice boards, contribution and slip boxes etc")</f>
        <v>KH furniture (lectern, notice boards, contribution and slip boxes etc</v>
      </c>
      <c r="K1783" s="25" t="s">
        <v>2761</v>
      </c>
      <c r="L1783" s="19"/>
      <c r="M1783" s="20"/>
      <c r="N1783" s="21" t="s">
        <v>5716</v>
      </c>
    </row>
    <row r="1784" spans="1:14">
      <c r="A1784" s="12" t="s">
        <v>901</v>
      </c>
      <c r="B1784" s="13" t="s">
        <v>842</v>
      </c>
      <c r="C1784" s="14" t="s">
        <v>5717</v>
      </c>
      <c r="D1784" s="15">
        <v>41904.743587962963</v>
      </c>
      <c r="E1784" s="16" t="s">
        <v>21</v>
      </c>
      <c r="F1784" s="16" t="s">
        <v>21</v>
      </c>
      <c r="G1784" s="17" t="s">
        <v>738</v>
      </c>
      <c r="H1784" s="17" t="s">
        <v>1000</v>
      </c>
      <c r="I1784" s="13" t="s">
        <v>5718</v>
      </c>
      <c r="J1784" s="23" t="str">
        <f>HYPERLINK("CorLog\GHA\BEX 2\20140922 GHA BEX 2 GHA 03 CDP - Missing Info for CDP needed from Ghana (GHA-to-GHA).msg", "GHA 03 CDP - Missing Info for CDP needed from Ghana")</f>
        <v>GHA 03 CDP - Missing Info for CDP needed from Ghana</v>
      </c>
      <c r="K1784" s="25"/>
      <c r="L1784" s="19"/>
      <c r="M1784" s="20"/>
      <c r="N1784" s="21" t="s">
        <v>5719</v>
      </c>
    </row>
    <row r="1785" spans="1:14">
      <c r="A1785" s="12" t="s">
        <v>718</v>
      </c>
      <c r="B1785" s="13" t="s">
        <v>1969</v>
      </c>
      <c r="C1785" s="14" t="s">
        <v>5720</v>
      </c>
      <c r="D1785" s="15">
        <v>41904.695162037038</v>
      </c>
      <c r="E1785" s="16" t="s">
        <v>16</v>
      </c>
      <c r="F1785" s="16" t="s">
        <v>22</v>
      </c>
      <c r="G1785" s="17" t="s">
        <v>2627</v>
      </c>
      <c r="H1785" s="17" t="s">
        <v>803</v>
      </c>
      <c r="I1785" s="13" t="s">
        <v>5721</v>
      </c>
      <c r="J1785" s="23" t="str">
        <f>HYPERLINK("CorLog\COD\Kamina RTO\20140922 COD Kamina RTO Field Sketch S-101-S1,S2--Stem Walls for internal walls (Revised); Wall Ties added (RDC-to-COD).msg", "Field Sketch S-101-S1,S2--Stem Walls for internal walls (Revised); Wall Ties added")</f>
        <v>Field Sketch S-101-S1,S2--Stem Walls for internal walls (Revised); Wall Ties added</v>
      </c>
      <c r="K1785" s="25" t="s">
        <v>1274</v>
      </c>
      <c r="L1785" s="19"/>
      <c r="M1785" s="20"/>
      <c r="N1785" s="21" t="s">
        <v>5722</v>
      </c>
    </row>
    <row r="1786" spans="1:14">
      <c r="A1786" s="12" t="s">
        <v>750</v>
      </c>
      <c r="B1786" s="13" t="s">
        <v>4950</v>
      </c>
      <c r="C1786" s="14" t="s">
        <v>5723</v>
      </c>
      <c r="D1786" s="15">
        <v>41904.679467592592</v>
      </c>
      <c r="E1786" s="16" t="s">
        <v>16</v>
      </c>
      <c r="F1786" s="16" t="s">
        <v>18</v>
      </c>
      <c r="G1786" s="17" t="s">
        <v>885</v>
      </c>
      <c r="H1786" s="17" t="s">
        <v>851</v>
      </c>
      <c r="I1786" s="13" t="s">
        <v>5724</v>
      </c>
      <c r="J1786" s="23" t="str">
        <f>HYPERLINK("CorLog\ZMB\Kabompo RTO\20140922 ZMB Kabompo RTO Septic Tank DCP Results (RDC-to-ZMB).msg", "Septic Tank DCP Results")</f>
        <v>Septic Tank DCP Results</v>
      </c>
      <c r="K1786" s="25" t="s">
        <v>1211</v>
      </c>
      <c r="L1786" s="19" t="s">
        <v>3083</v>
      </c>
      <c r="M1786" s="20"/>
      <c r="N1786" s="21" t="s">
        <v>5725</v>
      </c>
    </row>
    <row r="1787" spans="1:14">
      <c r="A1787" s="12" t="s">
        <v>749</v>
      </c>
      <c r="B1787" s="13" t="s">
        <v>3296</v>
      </c>
      <c r="C1787" s="14"/>
      <c r="D1787" s="15">
        <v>41904.670162037037</v>
      </c>
      <c r="E1787" s="16" t="s">
        <v>16</v>
      </c>
      <c r="F1787" s="16" t="s">
        <v>15</v>
      </c>
      <c r="G1787" s="17" t="s">
        <v>1544</v>
      </c>
      <c r="H1787" s="17" t="s">
        <v>1426</v>
      </c>
      <c r="I1787" s="13" t="s">
        <v>5726</v>
      </c>
      <c r="J1787" s="23" t="str">
        <f>HYPERLINK("CorLog\SALTO\20140922 SALTO Salto Minutes (RDC-to-ZAF).msg", "Salto Minutes")</f>
        <v>Salto Minutes</v>
      </c>
      <c r="K1787" s="25" t="s">
        <v>1243</v>
      </c>
      <c r="L1787" s="19"/>
      <c r="M1787" s="20"/>
      <c r="N1787" s="21" t="s">
        <v>5727</v>
      </c>
    </row>
    <row r="1788" spans="1:14">
      <c r="A1788" s="12" t="s">
        <v>972</v>
      </c>
      <c r="B1788" s="13" t="s">
        <v>718</v>
      </c>
      <c r="C1788" s="14" t="s">
        <v>5728</v>
      </c>
      <c r="D1788" s="15">
        <v>41904.635613425926</v>
      </c>
      <c r="E1788" s="16" t="s">
        <v>18</v>
      </c>
      <c r="F1788" s="16" t="s">
        <v>16</v>
      </c>
      <c r="G1788" s="17" t="s">
        <v>946</v>
      </c>
      <c r="H1788" s="17" t="s">
        <v>1678</v>
      </c>
      <c r="I1788" s="13" t="s">
        <v>5729</v>
      </c>
      <c r="J1788" s="23" t="str">
        <f>HYPERLINK("CorLog\ZMB\Mongu RTO\20140922 ZMB Mongu RTO Cube tests August September 2014 (ANALYSIS) (ZMB-to-RDC).msg", "Cube tests August September 2014 (ANALYSIS)")</f>
        <v>Cube tests August September 2014 (ANALYSIS)</v>
      </c>
      <c r="K1788" s="25"/>
      <c r="L1788" s="19"/>
      <c r="M1788" s="20"/>
      <c r="N1788" s="21" t="s">
        <v>5730</v>
      </c>
    </row>
    <row r="1789" spans="1:14">
      <c r="A1789" s="12" t="s">
        <v>1529</v>
      </c>
      <c r="B1789" s="13" t="s">
        <v>718</v>
      </c>
      <c r="C1789" s="14" t="s">
        <v>4950</v>
      </c>
      <c r="D1789" s="15">
        <v>41904.617615740739</v>
      </c>
      <c r="E1789" s="16" t="s">
        <v>18</v>
      </c>
      <c r="F1789" s="16" t="s">
        <v>16</v>
      </c>
      <c r="G1789" s="17" t="s">
        <v>946</v>
      </c>
      <c r="H1789" s="17" t="s">
        <v>867</v>
      </c>
      <c r="I1789" s="13" t="s">
        <v>5731</v>
      </c>
      <c r="J1789" s="23" t="str">
        <f>HYPERLINK("CorLog\ZMB\Mongu RTO\20140922 ZMB Mongu RTO CTP Analysis exports needed (ZMB-to-RDC).msg", "CTP Analysis exports needed")</f>
        <v>CTP Analysis exports needed</v>
      </c>
      <c r="K1789" s="25" t="s">
        <v>1243</v>
      </c>
      <c r="L1789" s="19"/>
      <c r="M1789" s="20"/>
      <c r="N1789" s="21" t="s">
        <v>5732</v>
      </c>
    </row>
    <row r="1790" spans="1:14">
      <c r="A1790" s="12" t="s">
        <v>718</v>
      </c>
      <c r="B1790" s="13" t="s">
        <v>5647</v>
      </c>
      <c r="C1790" s="14" t="s">
        <v>5733</v>
      </c>
      <c r="D1790" s="15">
        <v>41904.563194444447</v>
      </c>
      <c r="E1790" s="16" t="s">
        <v>16</v>
      </c>
      <c r="F1790" s="16"/>
      <c r="G1790" s="17" t="s">
        <v>1544</v>
      </c>
      <c r="H1790" s="17" t="s">
        <v>1426</v>
      </c>
      <c r="I1790" s="13" t="s">
        <v>5734</v>
      </c>
      <c r="J1790" s="23" t="str">
        <f>HYPERLINK("CorLog\SALTO\20140922 SALTO SAF LPD Salto Keyless System (Res 10 and SWR) (RDC-to-).msg", "SAF LPD Salto Keyless System (Res 10 and SWR)")</f>
        <v>SAF LPD Salto Keyless System (Res 10 and SWR)</v>
      </c>
      <c r="K1790" s="25" t="s">
        <v>1243</v>
      </c>
      <c r="L1790" s="19"/>
      <c r="M1790" s="20"/>
      <c r="N1790" s="21" t="s">
        <v>5735</v>
      </c>
    </row>
    <row r="1791" spans="1:14">
      <c r="A1791" s="12" t="s">
        <v>718</v>
      </c>
      <c r="B1791" s="13" t="s">
        <v>827</v>
      </c>
      <c r="C1791" s="14" t="s">
        <v>5736</v>
      </c>
      <c r="D1791" s="15">
        <v>41904.407418981478</v>
      </c>
      <c r="E1791" s="16" t="s">
        <v>16</v>
      </c>
      <c r="F1791" s="16" t="s">
        <v>21</v>
      </c>
      <c r="G1791" s="17" t="s">
        <v>790</v>
      </c>
      <c r="H1791" s="17" t="s">
        <v>886</v>
      </c>
      <c r="I1791" s="13" t="s">
        <v>5737</v>
      </c>
      <c r="J1791" s="23" t="str">
        <f>HYPERLINK("CorLog\GHA\BEX\20140922 GHA BEX Generators--copper plate to 80x80x10mm for DBO+G0 (APPROVED) (RDC-to-GHA).msg", "Generators--copper plate to 80x80x10mm for DBO+G0 (APPROVED)")</f>
        <v>Generators--copper plate to 80x80x10mm for DBO+G0 (APPROVED)</v>
      </c>
      <c r="K1791" s="25" t="s">
        <v>1211</v>
      </c>
      <c r="L1791" s="19"/>
      <c r="M1791" s="20"/>
      <c r="N1791" s="21" t="s">
        <v>5738</v>
      </c>
    </row>
    <row r="1792" spans="1:14">
      <c r="A1792" s="12" t="s">
        <v>718</v>
      </c>
      <c r="B1792" s="13" t="s">
        <v>964</v>
      </c>
      <c r="C1792" s="14"/>
      <c r="D1792" s="15">
        <v>41904.380555555559</v>
      </c>
      <c r="E1792" s="16" t="s">
        <v>16</v>
      </c>
      <c r="F1792" s="16" t="s">
        <v>16</v>
      </c>
      <c r="G1792" s="17" t="s">
        <v>790</v>
      </c>
      <c r="H1792" s="17" t="s">
        <v>3802</v>
      </c>
      <c r="I1792" s="13" t="s">
        <v>5739</v>
      </c>
      <c r="J1792" s="23" t="str">
        <f>HYPERLINK("CorLog\GHA\BEX\20140922 GHA BEX Workflow for Changeover to New Generators_DB_Switchgear (MINUTES) (RDC-to-RDC).msg", "Workflow for Changeover to New Generators_DB_Switchgear (MINUTES)")</f>
        <v>Workflow for Changeover to New Generators_DB_Switchgear (MINUTES)</v>
      </c>
      <c r="K1792" s="25" t="s">
        <v>1369</v>
      </c>
      <c r="L1792" s="19"/>
      <c r="M1792" s="20"/>
      <c r="N1792" s="21" t="s">
        <v>5740</v>
      </c>
    </row>
    <row r="1793" spans="1:14">
      <c r="A1793" s="12" t="s">
        <v>3067</v>
      </c>
      <c r="B1793" s="13" t="s">
        <v>718</v>
      </c>
      <c r="C1793" s="14" t="s">
        <v>5741</v>
      </c>
      <c r="D1793" s="15">
        <v>41904.337152777778</v>
      </c>
      <c r="E1793" s="16" t="s">
        <v>18</v>
      </c>
      <c r="F1793" s="16" t="s">
        <v>16</v>
      </c>
      <c r="G1793" s="17" t="s">
        <v>946</v>
      </c>
      <c r="H1793" s="17" t="s">
        <v>1678</v>
      </c>
      <c r="I1793" s="13" t="s">
        <v>5742</v>
      </c>
      <c r="J1793" s="23" t="str">
        <f>HYPERLINK("CorLog\ZMB\Mongu RTO\20140922 ZMB Mongu RTO Cubic metres per test cube set (ZMB-to-RDC).msg", "Cubic metres per test cube set")</f>
        <v>Cubic metres per test cube set</v>
      </c>
      <c r="K1793" s="25" t="s">
        <v>1243</v>
      </c>
      <c r="L1793" s="19"/>
      <c r="M1793" s="20"/>
      <c r="N1793" s="21" t="s">
        <v>5743</v>
      </c>
    </row>
    <row r="1794" spans="1:14">
      <c r="A1794" s="12" t="s">
        <v>874</v>
      </c>
      <c r="B1794" s="13"/>
      <c r="C1794" s="14"/>
      <c r="D1794" s="15">
        <v>41904</v>
      </c>
      <c r="E1794" s="16" t="s">
        <v>25</v>
      </c>
      <c r="F1794" s="16" t="s">
        <v>18</v>
      </c>
      <c r="G1794" s="17" t="s">
        <v>1874</v>
      </c>
      <c r="H1794" s="17" t="s">
        <v>1015</v>
      </c>
      <c r="I1794" s="13" t="s">
        <v>5744</v>
      </c>
      <c r="J1794" s="23" t="str">
        <f>HYPERLINK("CorLog\ZMB\Petauke RTO\20140922 ZMB Petauke RTO Petauke (Nsenga) RTO Property Purchase (WHQ-to-ZMB).doc", "Petauke (Nsenga) RTO Property Purchase")</f>
        <v>Petauke (Nsenga) RTO Property Purchase</v>
      </c>
      <c r="K1794" s="23"/>
      <c r="L1794" s="19"/>
      <c r="M1794" s="20"/>
      <c r="N1794" s="21" t="s">
        <v>5745</v>
      </c>
    </row>
    <row r="1795" spans="1:14">
      <c r="A1795" s="12" t="s">
        <v>4950</v>
      </c>
      <c r="B1795" s="13" t="s">
        <v>718</v>
      </c>
      <c r="C1795" s="14"/>
      <c r="D1795" s="15">
        <v>41902.465590277781</v>
      </c>
      <c r="E1795" s="16" t="s">
        <v>18</v>
      </c>
      <c r="F1795" s="16" t="s">
        <v>16</v>
      </c>
      <c r="G1795" s="17" t="s">
        <v>885</v>
      </c>
      <c r="H1795" s="17" t="s">
        <v>5746</v>
      </c>
      <c r="I1795" s="13" t="s">
        <v>5747</v>
      </c>
      <c r="J1795" s="23" t="str">
        <f>HYPERLINK("CorLog\ZMB\Kabompo RTO\20140920 ZMB Kabompo RTO Change location of AC Compressors (ZMB-to-RDC).msg", "Change location of AC Compressors")</f>
        <v>Change location of AC Compressors</v>
      </c>
      <c r="K1795" s="25" t="s">
        <v>1211</v>
      </c>
      <c r="L1795" s="19"/>
      <c r="M1795" s="20"/>
      <c r="N1795" s="21" t="s">
        <v>5748</v>
      </c>
    </row>
    <row r="1796" spans="1:14">
      <c r="A1796" s="12" t="s">
        <v>4950</v>
      </c>
      <c r="B1796" s="13" t="s">
        <v>718</v>
      </c>
      <c r="C1796" s="14"/>
      <c r="D1796" s="15">
        <v>41902.445092592592</v>
      </c>
      <c r="E1796" s="16" t="s">
        <v>18</v>
      </c>
      <c r="F1796" s="16" t="s">
        <v>16</v>
      </c>
      <c r="G1796" s="17" t="s">
        <v>946</v>
      </c>
      <c r="H1796" s="17" t="s">
        <v>867</v>
      </c>
      <c r="I1796" s="13" t="s">
        <v>5731</v>
      </c>
      <c r="J1796" s="23" t="str">
        <f>HYPERLINK("CorLog\ZMB\Mongu RTO\20140920 ZMB Mongu RTO CTP Analysis exports needed (ZMB-to-RDC).msg", "CTP Analysis exports needed")</f>
        <v>CTP Analysis exports needed</v>
      </c>
      <c r="K1796" s="25" t="s">
        <v>1243</v>
      </c>
      <c r="L1796" s="19"/>
      <c r="M1796" s="20"/>
      <c r="N1796" s="21" t="s">
        <v>5749</v>
      </c>
    </row>
    <row r="1797" spans="1:14">
      <c r="A1797" s="12" t="s">
        <v>718</v>
      </c>
      <c r="B1797" s="13" t="s">
        <v>842</v>
      </c>
      <c r="C1797" s="14" t="s">
        <v>750</v>
      </c>
      <c r="D1797" s="15">
        <v>41901.738356481481</v>
      </c>
      <c r="E1797" s="16" t="s">
        <v>16</v>
      </c>
      <c r="F1797" s="16" t="s">
        <v>21</v>
      </c>
      <c r="G1797" s="17" t="s">
        <v>730</v>
      </c>
      <c r="H1797" s="17" t="s">
        <v>5750</v>
      </c>
      <c r="I1797" s="13" t="s">
        <v>5751</v>
      </c>
      <c r="J1797" s="23" t="str">
        <f>HYPERLINK("CorLog\GHA\Baatsona SKE\20140919 GHA Baatsona SKE Mech Elec--50% review by RDC (RDC-to-GHA).msg", "Mech Elec--50% review by RDC")</f>
        <v>Mech Elec--50% review by RDC</v>
      </c>
      <c r="K1797" s="25" t="s">
        <v>1211</v>
      </c>
      <c r="L1797" s="19"/>
      <c r="M1797" s="20"/>
      <c r="N1797" s="21" t="s">
        <v>5752</v>
      </c>
    </row>
    <row r="1798" spans="1:14">
      <c r="A1798" s="12" t="s">
        <v>718</v>
      </c>
      <c r="B1798" s="13" t="s">
        <v>771</v>
      </c>
      <c r="C1798" s="14" t="s">
        <v>750</v>
      </c>
      <c r="D1798" s="15">
        <v>41901.722407407404</v>
      </c>
      <c r="E1798" s="16" t="s">
        <v>16</v>
      </c>
      <c r="F1798" s="16" t="s">
        <v>17</v>
      </c>
      <c r="G1798" s="17" t="s">
        <v>790</v>
      </c>
      <c r="H1798" s="17" t="s">
        <v>947</v>
      </c>
      <c r="I1798" s="13" t="s">
        <v>5753</v>
      </c>
      <c r="J1798" s="23" t="str">
        <f>HYPERLINK("CorLog\GHA\BEX\20140919 GHA BEX Stormwater Culvert Peer Review (RDC-to-WDC).msg", "Stormwater Culvert Peer Review")</f>
        <v>Stormwater Culvert Peer Review</v>
      </c>
      <c r="K1798" s="25" t="s">
        <v>1499</v>
      </c>
      <c r="L1798" s="19"/>
      <c r="M1798" s="20"/>
      <c r="N1798" s="21" t="s">
        <v>5754</v>
      </c>
    </row>
    <row r="1799" spans="1:14">
      <c r="A1799" s="12" t="s">
        <v>5755</v>
      </c>
      <c r="B1799" s="13" t="s">
        <v>842</v>
      </c>
      <c r="C1799" s="14" t="s">
        <v>5756</v>
      </c>
      <c r="D1799" s="15">
        <v>41901.68949074074</v>
      </c>
      <c r="E1799" s="16"/>
      <c r="F1799" s="16" t="s">
        <v>21</v>
      </c>
      <c r="G1799" s="17" t="s">
        <v>738</v>
      </c>
      <c r="H1799" s="17" t="s">
        <v>3538</v>
      </c>
      <c r="I1799" s="13" t="s">
        <v>5718</v>
      </c>
      <c r="J1799" s="23" t="str">
        <f>HYPERLINK("CorLog\GHA\BEX 2\20140919 GHA BEX 2 GHA 03 CDP - Missing Info for CDP needed from Ghana (-to-GHA).msg", "GHA 03 CDP - Missing Info for CDP needed from Ghana")</f>
        <v>GHA 03 CDP - Missing Info for CDP needed from Ghana</v>
      </c>
      <c r="K1799" s="25"/>
      <c r="L1799" s="19"/>
      <c r="M1799" s="20"/>
      <c r="N1799" s="21" t="s">
        <v>5757</v>
      </c>
    </row>
    <row r="1800" spans="1:14">
      <c r="A1800" s="12" t="s">
        <v>1167</v>
      </c>
      <c r="B1800" s="13" t="s">
        <v>718</v>
      </c>
      <c r="C1800" s="14"/>
      <c r="D1800" s="15">
        <v>41901.631886574076</v>
      </c>
      <c r="E1800" s="16" t="s">
        <v>22</v>
      </c>
      <c r="F1800" s="16" t="s">
        <v>16</v>
      </c>
      <c r="G1800" s="17" t="s">
        <v>1169</v>
      </c>
      <c r="H1800" s="17" t="s">
        <v>5758</v>
      </c>
      <c r="I1800" s="13" t="s">
        <v>5759</v>
      </c>
      <c r="J1800" s="23" t="str">
        <f>HYPERLINK("CorLog\COD\Kikwit RTO\20140919 COD Kikwit RTO As-built position of the water meter, and the place of the internet antenna   (COD-to-RDC).msg", "As-built position of the water meter, and the place of the internet antenna  ")</f>
        <v>As-built position of the water meter, and the place of the internet antenna  </v>
      </c>
      <c r="K1800" s="25" t="s">
        <v>1211</v>
      </c>
      <c r="L1800" s="19"/>
      <c r="M1800" s="20"/>
      <c r="N1800" s="21" t="s">
        <v>5760</v>
      </c>
    </row>
    <row r="1801" spans="1:14">
      <c r="A1801" s="12" t="s">
        <v>724</v>
      </c>
      <c r="B1801" s="13" t="s">
        <v>2016</v>
      </c>
      <c r="C1801" s="14"/>
      <c r="D1801" s="15">
        <v>41901.455127314817</v>
      </c>
      <c r="E1801" s="16" t="s">
        <v>16</v>
      </c>
      <c r="F1801" s="16" t="s">
        <v>16</v>
      </c>
      <c r="G1801" s="17" t="s">
        <v>2022</v>
      </c>
      <c r="H1801" s="17" t="s">
        <v>5761</v>
      </c>
      <c r="I1801" s="13" t="s">
        <v>5762</v>
      </c>
      <c r="J1801" s="23" t="str">
        <f>HYPERLINK("CorLog\Directive\20140919 Directive Final Approve; Sample Letters to Local Congregations on Ebola Disease - Liberia (RDC-to-RDC).msg", "Final Approve; Sample Letters to Local Congregations on Ebola Disease - Liberia")</f>
        <v>Final Approve; Sample Letters to Local Congregations on Ebola Disease - Liberia</v>
      </c>
      <c r="K1801" s="25" t="s">
        <v>2761</v>
      </c>
      <c r="L1801" s="19"/>
      <c r="M1801" s="20"/>
      <c r="N1801" s="21" t="s">
        <v>5763</v>
      </c>
    </row>
    <row r="1802" spans="1:14">
      <c r="A1802" s="12" t="s">
        <v>4265</v>
      </c>
      <c r="B1802" s="13" t="s">
        <v>718</v>
      </c>
      <c r="C1802" s="14" t="s">
        <v>1187</v>
      </c>
      <c r="D1802" s="15">
        <v>41900.964687500003</v>
      </c>
      <c r="E1802" s="16" t="s">
        <v>16</v>
      </c>
      <c r="F1802" s="16" t="s">
        <v>16</v>
      </c>
      <c r="G1802" s="17" t="s">
        <v>1169</v>
      </c>
      <c r="H1802" s="17" t="s">
        <v>3314</v>
      </c>
      <c r="I1802" s="13" t="s">
        <v>5764</v>
      </c>
      <c r="J1802" s="23" t="str">
        <f>HYPERLINK("CorLog\COD\Kikwit RTO\20140918 COD Kikwit RTO WSP Civil Drawings for Review (-to-RDC).msg", "WSP Civil Drawings for Review")</f>
        <v>WSP Civil Drawings for Review</v>
      </c>
      <c r="K1802" s="25" t="s">
        <v>1211</v>
      </c>
      <c r="L1802" s="19"/>
      <c r="M1802" s="20"/>
      <c r="N1802" s="21" t="s">
        <v>5765</v>
      </c>
    </row>
    <row r="1803" spans="1:14">
      <c r="A1803" s="12" t="s">
        <v>821</v>
      </c>
      <c r="B1803" s="13" t="s">
        <v>1757</v>
      </c>
      <c r="C1803" s="14" t="s">
        <v>718</v>
      </c>
      <c r="D1803" s="15">
        <v>41900.794664351852</v>
      </c>
      <c r="E1803" s="16" t="s">
        <v>21</v>
      </c>
      <c r="F1803" s="16" t="s">
        <v>21</v>
      </c>
      <c r="G1803" s="17" t="s">
        <v>790</v>
      </c>
      <c r="H1803" s="17" t="s">
        <v>5766</v>
      </c>
      <c r="I1803" s="13" t="s">
        <v>5767</v>
      </c>
      <c r="J1803" s="23" t="str">
        <f>HYPERLINK("CorLog\GHA\BEX\20140918 GHA BEX Proposal to change from face brick to concrete brick and Tyrolean finish (GHA-to-).msg", "Proposal to change from face brick to concrete brick and Tyrolean finish")</f>
        <v>Proposal to change from face brick to concrete brick and Tyrolean finish</v>
      </c>
      <c r="K1803" s="25"/>
      <c r="L1803" s="19" t="s">
        <v>5768</v>
      </c>
      <c r="M1803" s="20"/>
      <c r="N1803" s="21" t="s">
        <v>5769</v>
      </c>
    </row>
    <row r="1804" spans="1:14">
      <c r="A1804" s="12" t="s">
        <v>2016</v>
      </c>
      <c r="B1804" s="13" t="s">
        <v>795</v>
      </c>
      <c r="C1804" s="14" t="s">
        <v>5770</v>
      </c>
      <c r="D1804" s="15">
        <v>41900.589745370373</v>
      </c>
      <c r="E1804" s="16" t="s">
        <v>16</v>
      </c>
      <c r="F1804" s="16" t="s">
        <v>16</v>
      </c>
      <c r="G1804" s="17" t="s">
        <v>2627</v>
      </c>
      <c r="H1804" s="17" t="s">
        <v>3275</v>
      </c>
      <c r="I1804" s="13" t="s">
        <v>5771</v>
      </c>
      <c r="J1804" s="23" t="str">
        <f>HYPERLINK("CorLog\COD\Kamina RTO\20140918 COD Kamina RTO 10m well depth okay (RDC-to-RDC).msg", "10m well depth okay")</f>
        <v>10m well depth okay</v>
      </c>
      <c r="K1804" s="25"/>
      <c r="L1804" s="19"/>
      <c r="M1804" s="20"/>
      <c r="N1804" s="21" t="s">
        <v>5772</v>
      </c>
    </row>
    <row r="1805" spans="1:14">
      <c r="A1805" s="12" t="s">
        <v>5773</v>
      </c>
      <c r="B1805" s="13" t="s">
        <v>1069</v>
      </c>
      <c r="C1805" s="14" t="s">
        <v>5774</v>
      </c>
      <c r="D1805" s="15">
        <v>41900.469918981478</v>
      </c>
      <c r="E1805" s="16" t="s">
        <v>18</v>
      </c>
      <c r="F1805" s="16" t="s">
        <v>18</v>
      </c>
      <c r="G1805" s="17" t="s">
        <v>1070</v>
      </c>
      <c r="H1805" s="17" t="s">
        <v>4536</v>
      </c>
      <c r="I1805" s="13" t="s">
        <v>5775</v>
      </c>
      <c r="J1805" s="23" t="str">
        <f>HYPERLINK("CorLog\ZMB\Katete RTO\20140918 ZMB Katete RTO Wall Fence Contract (-to-ZMB).msg", "Wall Fence Contract")</f>
        <v>Wall Fence Contract</v>
      </c>
      <c r="K1805" s="25" t="s">
        <v>1499</v>
      </c>
      <c r="L1805" s="19"/>
      <c r="M1805" s="20"/>
      <c r="N1805" s="21" t="s">
        <v>5776</v>
      </c>
    </row>
    <row r="1806" spans="1:14">
      <c r="A1806" s="12" t="s">
        <v>5605</v>
      </c>
      <c r="B1806" s="13" t="s">
        <v>5777</v>
      </c>
      <c r="C1806" s="14"/>
      <c r="D1806" s="15">
        <v>41900.467002314814</v>
      </c>
      <c r="E1806" s="16" t="s">
        <v>22</v>
      </c>
      <c r="F1806" s="16"/>
      <c r="G1806" s="17" t="s">
        <v>1169</v>
      </c>
      <c r="H1806" s="17" t="s">
        <v>1489</v>
      </c>
      <c r="I1806" s="13" t="s">
        <v>5778</v>
      </c>
      <c r="J1806" s="23" t="str">
        <f>HYPERLINK("CorLog\COD\Kikwit RTO\20140918 COD Kikwit RTO COMMUTER BUILDING water entry location changed (COD-to-).msg", "COMMUTER BUILDING water entry location changed")</f>
        <v>COMMUTER BUILDING water entry location changed</v>
      </c>
      <c r="K1806" s="25"/>
      <c r="L1806" s="19"/>
      <c r="M1806" s="20"/>
      <c r="N1806" s="21" t="s">
        <v>5779</v>
      </c>
    </row>
    <row r="1807" spans="1:14">
      <c r="A1807" s="12" t="s">
        <v>795</v>
      </c>
      <c r="B1807" s="13" t="s">
        <v>718</v>
      </c>
      <c r="C1807" s="14" t="s">
        <v>750</v>
      </c>
      <c r="D1807" s="15">
        <v>41900.418587962966</v>
      </c>
      <c r="E1807" s="16" t="s">
        <v>16</v>
      </c>
      <c r="F1807" s="16" t="s">
        <v>16</v>
      </c>
      <c r="G1807" s="17" t="s">
        <v>790</v>
      </c>
      <c r="H1807" s="17" t="s">
        <v>886</v>
      </c>
      <c r="I1807" s="13" t="s">
        <v>5705</v>
      </c>
      <c r="J1807" s="23" t="str">
        <f>HYPERLINK("CorLog\GHA\BEX\20140918 GHA BEX PV Update - Invoices for ELEC and LPG (RDC-to-RDC).msg", "PV Update - Invoices for ELEC and LPG")</f>
        <v>PV Update - Invoices for ELEC and LPG</v>
      </c>
      <c r="K1807" s="25"/>
      <c r="L1807" s="19"/>
      <c r="M1807" s="20"/>
      <c r="N1807" s="21" t="s">
        <v>5780</v>
      </c>
    </row>
    <row r="1808" spans="1:14">
      <c r="A1808" s="12" t="s">
        <v>718</v>
      </c>
      <c r="B1808" s="13" t="s">
        <v>3067</v>
      </c>
      <c r="C1808" s="14" t="s">
        <v>5781</v>
      </c>
      <c r="D1808" s="15">
        <v>41900.418090277781</v>
      </c>
      <c r="E1808" s="16" t="s">
        <v>16</v>
      </c>
      <c r="F1808" s="16" t="s">
        <v>18</v>
      </c>
      <c r="G1808" s="17" t="s">
        <v>946</v>
      </c>
      <c r="H1808" s="17" t="s">
        <v>4628</v>
      </c>
      <c r="I1808" s="13" t="s">
        <v>5782</v>
      </c>
      <c r="J1808" s="23" t="str">
        <f>HYPERLINK("CorLog\ZMB\Mongu RTO\20140918 ZMB Mongu RTO Substitute DPC material for strips of DPM (RDC-to-ZMB).msg", "Substitute DPC material for strips of DPM")</f>
        <v>Substitute DPC material for strips of DPM</v>
      </c>
      <c r="K1808" s="25" t="s">
        <v>1243</v>
      </c>
      <c r="L1808" s="19" t="s">
        <v>3083</v>
      </c>
      <c r="M1808" s="20"/>
      <c r="N1808" s="21" t="s">
        <v>5783</v>
      </c>
    </row>
    <row r="1809" spans="1:14">
      <c r="A1809" s="12" t="s">
        <v>718</v>
      </c>
      <c r="B1809" s="13" t="s">
        <v>821</v>
      </c>
      <c r="C1809" s="14"/>
      <c r="D1809" s="15">
        <v>41900.414675925924</v>
      </c>
      <c r="E1809" s="16" t="s">
        <v>16</v>
      </c>
      <c r="F1809" s="16" t="s">
        <v>21</v>
      </c>
      <c r="G1809" s="17" t="s">
        <v>738</v>
      </c>
      <c r="H1809" s="17" t="s">
        <v>854</v>
      </c>
      <c r="I1809" s="13" t="s">
        <v>5784</v>
      </c>
      <c r="J1809" s="23" t="str">
        <f>HYPERLINK("CorLog\GHA\BEX 2\20140918 GHA BEX 2 Summer hut bricks are not tile (RDC-to-GHA).msg", "Summer hut bricks are not tile")</f>
        <v>Summer hut bricks are not tile</v>
      </c>
      <c r="K1809" s="25"/>
      <c r="L1809" s="19"/>
      <c r="M1809" s="20"/>
      <c r="N1809" s="21" t="s">
        <v>5785</v>
      </c>
    </row>
    <row r="1810" spans="1:14">
      <c r="A1810" s="12" t="s">
        <v>718</v>
      </c>
      <c r="B1810" s="13" t="s">
        <v>972</v>
      </c>
      <c r="C1810" s="14" t="s">
        <v>5786</v>
      </c>
      <c r="D1810" s="15">
        <v>41899.679074074076</v>
      </c>
      <c r="E1810" s="16" t="s">
        <v>16</v>
      </c>
      <c r="F1810" s="16" t="s">
        <v>18</v>
      </c>
      <c r="G1810" s="17" t="s">
        <v>946</v>
      </c>
      <c r="H1810" s="17" t="s">
        <v>1678</v>
      </c>
      <c r="I1810" s="13" t="s">
        <v>5729</v>
      </c>
      <c r="J1810" s="23" t="str">
        <f>HYPERLINK("CorLog\ZMB\Mongu RTO\20140917 ZMB Mongu RTO Cube tests August September 2014 (ANALYSIS) (RDC-to-ZMB).msg", "Cube tests August September 2014 (ANALYSIS)")</f>
        <v>Cube tests August September 2014 (ANALYSIS)</v>
      </c>
      <c r="K1810" s="25"/>
      <c r="L1810" s="19"/>
      <c r="M1810" s="20"/>
      <c r="N1810" s="21" t="s">
        <v>5787</v>
      </c>
    </row>
    <row r="1811" spans="1:14">
      <c r="A1811" s="12" t="s">
        <v>3854</v>
      </c>
      <c r="B1811" s="13" t="s">
        <v>5413</v>
      </c>
      <c r="C1811" s="14" t="s">
        <v>5788</v>
      </c>
      <c r="D1811" s="15">
        <v>41899.448807870373</v>
      </c>
      <c r="E1811" s="16" t="s">
        <v>26</v>
      </c>
      <c r="F1811" s="16" t="s">
        <v>21</v>
      </c>
      <c r="G1811" s="17" t="s">
        <v>790</v>
      </c>
      <c r="H1811" s="17" t="s">
        <v>1489</v>
      </c>
      <c r="I1811" s="13" t="s">
        <v>5789</v>
      </c>
      <c r="J1811" s="23" t="str">
        <f>HYPERLINK("CorLog\GHA\BEX\20140917 GHA BEX ZAF 420914 - RFQ BEX NLBR 4077 Derwent RO system--chemicals to be ordered_Rev 1 (GBR-to-GHA).msg", "ZAF 420914 - RFQ BEX NLBR 4077 Derwent RO system--chemicals to be ordered_Rev 1")</f>
        <v>ZAF 420914 - RFQ BEX NLBR 4077 Derwent RO system--chemicals to be ordered_Rev 1</v>
      </c>
      <c r="K1811" s="25" t="s">
        <v>1270</v>
      </c>
      <c r="L1811" s="19"/>
      <c r="M1811" s="20"/>
      <c r="N1811" s="21" t="s">
        <v>5790</v>
      </c>
    </row>
    <row r="1812" spans="1:14">
      <c r="A1812" s="12" t="s">
        <v>750</v>
      </c>
      <c r="B1812" s="13" t="s">
        <v>1529</v>
      </c>
      <c r="C1812" s="14" t="s">
        <v>718</v>
      </c>
      <c r="D1812" s="15">
        <v>41899.422962962963</v>
      </c>
      <c r="E1812" s="16" t="s">
        <v>16</v>
      </c>
      <c r="F1812" s="16" t="s">
        <v>18</v>
      </c>
      <c r="G1812" s="17" t="s">
        <v>979</v>
      </c>
      <c r="H1812" s="17" t="s">
        <v>4628</v>
      </c>
      <c r="I1812" s="13" t="s">
        <v>5791</v>
      </c>
      <c r="J1812" s="23" t="str">
        <f>HYPERLINK("CorLog\RTO\Projects\20140917 RTO Projects RTO Footing Stem Walls - How Built (RDC-to-ZMB).msg", "RTO Footing Stem Walls - How Built")</f>
        <v>RTO Footing Stem Walls - How Built</v>
      </c>
      <c r="K1812" s="25" t="s">
        <v>1499</v>
      </c>
      <c r="L1812" s="19"/>
      <c r="M1812" s="20"/>
      <c r="N1812" s="21" t="s">
        <v>5792</v>
      </c>
    </row>
    <row r="1813" spans="1:14">
      <c r="A1813" s="12" t="s">
        <v>1529</v>
      </c>
      <c r="B1813" s="13" t="s">
        <v>3067</v>
      </c>
      <c r="C1813" s="14" t="s">
        <v>5793</v>
      </c>
      <c r="D1813" s="15">
        <v>41899.338530092595</v>
      </c>
      <c r="E1813" s="16" t="s">
        <v>18</v>
      </c>
      <c r="F1813" s="16" t="s">
        <v>18</v>
      </c>
      <c r="G1813" s="17" t="s">
        <v>946</v>
      </c>
      <c r="H1813" s="17" t="s">
        <v>2895</v>
      </c>
      <c r="I1813" s="13" t="s">
        <v>5794</v>
      </c>
      <c r="J1813" s="23" t="str">
        <f>HYPERLINK("CorLog\ZMB\Mongu RTO\20140917 ZMB Mongu RTO Perimter wall - Front wall to cover utility building (ZMB-to-ZMB).msg", "Perimter wall - Front wall to cover utility building")</f>
        <v>Perimter wall - Front wall to cover utility building</v>
      </c>
      <c r="K1813" s="25"/>
      <c r="L1813" s="19" t="s">
        <v>5795</v>
      </c>
      <c r="M1813" s="20"/>
      <c r="N1813" s="21" t="s">
        <v>5796</v>
      </c>
    </row>
    <row r="1814" spans="1:14">
      <c r="A1814" s="12" t="s">
        <v>5567</v>
      </c>
      <c r="B1814" s="13" t="s">
        <v>718</v>
      </c>
      <c r="C1814" s="14"/>
      <c r="D1814" s="15">
        <v>41898.656041666669</v>
      </c>
      <c r="E1814" s="16" t="s">
        <v>15</v>
      </c>
      <c r="F1814" s="16" t="s">
        <v>16</v>
      </c>
      <c r="G1814" s="17" t="s">
        <v>979</v>
      </c>
      <c r="H1814" s="17" t="s">
        <v>5797</v>
      </c>
      <c r="I1814" s="13" t="s">
        <v>5798</v>
      </c>
      <c r="J1814" s="23" t="str">
        <f>HYPERLINK("CorLog\RTO\Projects\20140916 RTO Projects Gutter Price Request (ZAF-to-RDC).msg", "Gutter Price Request")</f>
        <v>Gutter Price Request</v>
      </c>
      <c r="K1814" s="25" t="s">
        <v>1482</v>
      </c>
      <c r="L1814" s="19"/>
      <c r="M1814" s="20"/>
      <c r="N1814" s="21" t="s">
        <v>5799</v>
      </c>
    </row>
    <row r="1815" spans="1:14">
      <c r="A1815" s="12" t="s">
        <v>771</v>
      </c>
      <c r="B1815" s="13" t="s">
        <v>718</v>
      </c>
      <c r="C1815" s="14" t="s">
        <v>5072</v>
      </c>
      <c r="D1815" s="15">
        <v>41898.59983796296</v>
      </c>
      <c r="E1815" s="16" t="s">
        <v>17</v>
      </c>
      <c r="F1815" s="16" t="s">
        <v>16</v>
      </c>
      <c r="G1815" s="17" t="s">
        <v>738</v>
      </c>
      <c r="H1815" s="17" t="s">
        <v>1846</v>
      </c>
      <c r="I1815" s="13" t="s">
        <v>5800</v>
      </c>
      <c r="J1815" s="23" t="str">
        <f>HYPERLINK("CorLog\GHA\BEX 2\20140916 GHA BEX 2 Design Concept Review for Phase 2 works (WDC-to-RDC).msg", "Design Concept Review for Phase 2 works")</f>
        <v>Design Concept Review for Phase 2 works</v>
      </c>
      <c r="K1815" s="25" t="s">
        <v>1270</v>
      </c>
      <c r="L1815" s="19"/>
      <c r="M1815" s="20"/>
      <c r="N1815" s="21" t="s">
        <v>5801</v>
      </c>
    </row>
    <row r="1816" spans="1:14">
      <c r="A1816" s="12" t="s">
        <v>718</v>
      </c>
      <c r="B1816" s="13" t="s">
        <v>2612</v>
      </c>
      <c r="C1816" s="14" t="s">
        <v>4410</v>
      </c>
      <c r="D1816" s="15">
        <v>41898.588402777779</v>
      </c>
      <c r="E1816" s="16" t="s">
        <v>16</v>
      </c>
      <c r="F1816" s="16" t="s">
        <v>21</v>
      </c>
      <c r="G1816" s="17" t="s">
        <v>790</v>
      </c>
      <c r="H1816" s="17" t="s">
        <v>5766</v>
      </c>
      <c r="I1816" s="13" t="s">
        <v>5802</v>
      </c>
      <c r="J1816" s="23" t="str">
        <f>HYPERLINK("CorLog\GHA\BEX\20140916 GHA BEX Brickwork--Bending L-ties to form Z-ties (RDC-to-GHA).msg", "Brickwork--Bending L-ties to form Z-ties")</f>
        <v>Brickwork--Bending L-ties to form Z-ties</v>
      </c>
      <c r="K1816" s="25" t="s">
        <v>1211</v>
      </c>
      <c r="L1816" s="19"/>
      <c r="M1816" s="20"/>
      <c r="N1816" s="21" t="s">
        <v>5803</v>
      </c>
    </row>
    <row r="1817" spans="1:14">
      <c r="A1817" s="12" t="s">
        <v>5804</v>
      </c>
      <c r="B1817" s="13" t="s">
        <v>718</v>
      </c>
      <c r="C1817" s="14" t="s">
        <v>5805</v>
      </c>
      <c r="D1817" s="15">
        <v>41898.453217592592</v>
      </c>
      <c r="E1817" s="16" t="s">
        <v>16</v>
      </c>
      <c r="F1817" s="16" t="s">
        <v>16</v>
      </c>
      <c r="G1817" s="17" t="s">
        <v>3982</v>
      </c>
      <c r="H1817" s="17" t="s">
        <v>867</v>
      </c>
      <c r="I1817" s="13" t="s">
        <v>5806</v>
      </c>
      <c r="J1817" s="23" t="str">
        <f>HYPERLINK("CorLog\COD\Mbuji-Mayi RTO\20140916 COD Mbuji-Mayi RTO MSL and Risk from PB (RDC-to-RDC).msg", "MSL and Risk from PB")</f>
        <v>MSL and Risk from PB</v>
      </c>
      <c r="K1817" s="25" t="s">
        <v>1243</v>
      </c>
      <c r="L1817" s="19"/>
      <c r="M1817" s="20"/>
      <c r="N1817" s="21" t="s">
        <v>5807</v>
      </c>
    </row>
    <row r="1818" spans="1:14">
      <c r="A1818" s="12" t="s">
        <v>718</v>
      </c>
      <c r="B1818" s="13" t="s">
        <v>2612</v>
      </c>
      <c r="C1818" s="14" t="s">
        <v>5808</v>
      </c>
      <c r="D1818" s="15">
        <v>41898.402569444443</v>
      </c>
      <c r="E1818" s="16" t="s">
        <v>16</v>
      </c>
      <c r="F1818" s="16" t="s">
        <v>21</v>
      </c>
      <c r="G1818" s="17" t="s">
        <v>790</v>
      </c>
      <c r="H1818" s="17" t="s">
        <v>5766</v>
      </c>
      <c r="I1818" s="13" t="s">
        <v>5767</v>
      </c>
      <c r="J1818" s="23" t="str">
        <f>HYPERLINK("CorLog\GHA\BEX\20140916 GHA BEX Proposal to change from face brick to concrete brick and Tyrolean finish (RDC-to-GHA).msg", "Proposal to change from face brick to concrete brick and Tyrolean finish")</f>
        <v>Proposal to change from face brick to concrete brick and Tyrolean finish</v>
      </c>
      <c r="K1818" s="25"/>
      <c r="L1818" s="19" t="s">
        <v>5809</v>
      </c>
      <c r="M1818" s="20"/>
      <c r="N1818" s="21" t="s">
        <v>5810</v>
      </c>
    </row>
    <row r="1819" spans="1:14">
      <c r="A1819" s="12" t="s">
        <v>718</v>
      </c>
      <c r="B1819" s="13" t="s">
        <v>5413</v>
      </c>
      <c r="C1819" s="14" t="s">
        <v>795</v>
      </c>
      <c r="D1819" s="15">
        <v>41898.39640046296</v>
      </c>
      <c r="E1819" s="16" t="s">
        <v>16</v>
      </c>
      <c r="F1819" s="16" t="s">
        <v>21</v>
      </c>
      <c r="G1819" s="17" t="s">
        <v>790</v>
      </c>
      <c r="H1819" s="17" t="s">
        <v>1400</v>
      </c>
      <c r="I1819" s="13" t="s">
        <v>5811</v>
      </c>
      <c r="J1819" s="23" t="str">
        <f>HYPERLINK("CorLog\GHA\BEX\20140916 GHA BEX ZAF ref ; 420914 - RFQ BEX NLBR 4077 Derwent RO system--chemicals to be ordered (RDC-to-GHA).msg", "ZAF ref ; 420914 - RFQ BEX NLBR 4077 Derwent RO system--chemicals to be ordered")</f>
        <v>ZAF ref ; 420914 - RFQ BEX NLBR 4077 Derwent RO system--chemicals to be ordered</v>
      </c>
      <c r="K1819" s="25" t="s">
        <v>1270</v>
      </c>
      <c r="L1819" s="19"/>
      <c r="M1819" s="20"/>
      <c r="N1819" s="21" t="s">
        <v>5812</v>
      </c>
    </row>
    <row r="1820" spans="1:14">
      <c r="A1820" s="12" t="s">
        <v>842</v>
      </c>
      <c r="B1820" s="13" t="s">
        <v>718</v>
      </c>
      <c r="C1820" s="14"/>
      <c r="D1820" s="15">
        <v>41898.339456018519</v>
      </c>
      <c r="E1820" s="16" t="s">
        <v>21</v>
      </c>
      <c r="F1820" s="16" t="s">
        <v>16</v>
      </c>
      <c r="G1820" s="17" t="s">
        <v>730</v>
      </c>
      <c r="H1820" s="17" t="s">
        <v>5750</v>
      </c>
      <c r="I1820" s="13" t="s">
        <v>5813</v>
      </c>
      <c r="J1820" s="23" t="str">
        <f>HYPERLINK("CorLog\GHA\Baatsona SKE\20140916 GHA Baatsona SKE BOQ for review (GHA-to-RDC).msg", "BOQ for review")</f>
        <v>BOQ for review</v>
      </c>
      <c r="K1820" s="25" t="s">
        <v>1270</v>
      </c>
      <c r="L1820" s="19" t="s">
        <v>5814</v>
      </c>
      <c r="M1820" s="20"/>
      <c r="N1820" s="21" t="s">
        <v>5815</v>
      </c>
    </row>
    <row r="1821" spans="1:14">
      <c r="A1821" s="12" t="s">
        <v>750</v>
      </c>
      <c r="B1821" s="13" t="s">
        <v>1761</v>
      </c>
      <c r="C1821" s="14" t="s">
        <v>5816</v>
      </c>
      <c r="D1821" s="15">
        <v>41898.324814814812</v>
      </c>
      <c r="E1821" s="16" t="s">
        <v>16</v>
      </c>
      <c r="F1821" s="16" t="s">
        <v>16</v>
      </c>
      <c r="G1821" s="17" t="s">
        <v>2022</v>
      </c>
      <c r="H1821" s="17" t="s">
        <v>2022</v>
      </c>
      <c r="I1821" s="13" t="s">
        <v>5817</v>
      </c>
      <c r="J1821" s="23" t="str">
        <f>HYPERLINK("CorLog\Directive\20140916 Directive Stage 1 “Investigation” and Stage 2 “Planning” (TIMESHEET) (RDC-to-RDC).msg", "Stage 1 “Investigation” and Stage 2 “Planning” (TIMESHEET)")</f>
        <v>Stage 1 “Investigation” and Stage 2 “Planning” (TIMESHEET)</v>
      </c>
      <c r="K1821" s="25" t="s">
        <v>1211</v>
      </c>
      <c r="L1821" s="19" t="s">
        <v>5818</v>
      </c>
      <c r="M1821" s="20"/>
      <c r="N1821" s="21" t="s">
        <v>5819</v>
      </c>
    </row>
    <row r="1822" spans="1:14">
      <c r="A1822" s="12" t="s">
        <v>2016</v>
      </c>
      <c r="B1822" s="13" t="s">
        <v>771</v>
      </c>
      <c r="C1822" s="14" t="s">
        <v>718</v>
      </c>
      <c r="D1822" s="15">
        <v>41898.320821759262</v>
      </c>
      <c r="E1822" s="16" t="s">
        <v>16</v>
      </c>
      <c r="F1822" s="16" t="s">
        <v>17</v>
      </c>
      <c r="G1822" s="17" t="s">
        <v>1662</v>
      </c>
      <c r="H1822" s="17" t="s">
        <v>1015</v>
      </c>
      <c r="I1822" s="13" t="s">
        <v>5820</v>
      </c>
      <c r="J1822" s="23" t="str">
        <f>HYPERLINK("CorLog\MDG\Toliara RTO\20140916 MDG Toliara RTO How to handle property request (RDC-to-WDC).msg", "How to handle property request")</f>
        <v>How to handle property request</v>
      </c>
      <c r="K1822" s="25" t="s">
        <v>1211</v>
      </c>
      <c r="L1822" s="19"/>
      <c r="M1822" s="20"/>
      <c r="N1822" s="21" t="s">
        <v>5821</v>
      </c>
    </row>
    <row r="1823" spans="1:14">
      <c r="A1823" s="12" t="s">
        <v>718</v>
      </c>
      <c r="B1823" s="13" t="s">
        <v>2612</v>
      </c>
      <c r="C1823" s="14" t="s">
        <v>5822</v>
      </c>
      <c r="D1823" s="15">
        <v>41897.831122685187</v>
      </c>
      <c r="E1823" s="16" t="s">
        <v>16</v>
      </c>
      <c r="F1823" s="16" t="s">
        <v>21</v>
      </c>
      <c r="G1823" s="17" t="s">
        <v>758</v>
      </c>
      <c r="H1823" s="17" t="s">
        <v>5823</v>
      </c>
      <c r="I1823" s="13" t="s">
        <v>5824</v>
      </c>
      <c r="J1823" s="23" t="str">
        <f>HYPERLINK("CorLog\GHA\Viepe RTO\20140915 GHA Viepe RTO OK Solvent weld joints under slab; plumbing fittings (RDC-to-GHA).msg", "OK Solvent weld joints under slab; plumbing fittings")</f>
        <v>OK Solvent weld joints under slab; plumbing fittings</v>
      </c>
      <c r="K1823" s="25"/>
      <c r="L1823" s="19"/>
      <c r="M1823" s="20"/>
      <c r="N1823" s="21" t="s">
        <v>5825</v>
      </c>
    </row>
    <row r="1824" spans="1:14">
      <c r="A1824" s="12" t="s">
        <v>718</v>
      </c>
      <c r="B1824" s="13" t="s">
        <v>2612</v>
      </c>
      <c r="C1824" s="14" t="s">
        <v>5822</v>
      </c>
      <c r="D1824" s="15">
        <v>41897.831122685187</v>
      </c>
      <c r="E1824" s="16" t="s">
        <v>16</v>
      </c>
      <c r="F1824" s="16" t="s">
        <v>21</v>
      </c>
      <c r="G1824" s="17" t="s">
        <v>758</v>
      </c>
      <c r="H1824" s="17" t="s">
        <v>3780</v>
      </c>
      <c r="I1824" s="13" t="s">
        <v>5826</v>
      </c>
      <c r="J1824" s="23" t="str">
        <f>HYPERLINK("CorLog\GHA\Viepe RTO\20140915 GHA Viepe RTO Solvent weld joints under slab; plumbing fittings (RDC-to-GHA).msg", "Solvent weld joints under slab; plumbing fittings")</f>
        <v>Solvent weld joints under slab; plumbing fittings</v>
      </c>
      <c r="K1824" s="25"/>
      <c r="L1824" s="19" t="s">
        <v>3083</v>
      </c>
      <c r="M1824" s="20"/>
      <c r="N1824" s="21" t="s">
        <v>5825</v>
      </c>
    </row>
    <row r="1825" spans="1:14">
      <c r="A1825" s="12" t="s">
        <v>718</v>
      </c>
      <c r="B1825" s="13" t="s">
        <v>1447</v>
      </c>
      <c r="C1825" s="14" t="s">
        <v>5827</v>
      </c>
      <c r="D1825" s="15">
        <v>41897.825694444444</v>
      </c>
      <c r="E1825" s="16" t="s">
        <v>16</v>
      </c>
      <c r="F1825" s="16" t="s">
        <v>16</v>
      </c>
      <c r="G1825" s="17" t="s">
        <v>738</v>
      </c>
      <c r="H1825" s="17" t="s">
        <v>731</v>
      </c>
      <c r="I1825" s="13" t="s">
        <v>5828</v>
      </c>
      <c r="J1825" s="23" t="str">
        <f>HYPERLINK("CorLog\GHA\BEX 2\20140915 GHA BEX 2 DC-41 for outsourced eng--WSP and MRH (RDC-to-RDC).msg", "DC-41 for outsourced eng--WSP and MRH")</f>
        <v>DC-41 for outsourced eng--WSP and MRH</v>
      </c>
      <c r="K1825" s="25" t="s">
        <v>1274</v>
      </c>
      <c r="L1825" s="19"/>
      <c r="M1825" s="20"/>
      <c r="N1825" s="21" t="s">
        <v>5829</v>
      </c>
    </row>
    <row r="1826" spans="1:14">
      <c r="A1826" s="12" t="s">
        <v>718</v>
      </c>
      <c r="B1826" s="13" t="s">
        <v>750</v>
      </c>
      <c r="C1826" s="14"/>
      <c r="D1826" s="15">
        <v>41897.81523148148</v>
      </c>
      <c r="E1826" s="16" t="s">
        <v>16</v>
      </c>
      <c r="F1826" s="16" t="s">
        <v>16</v>
      </c>
      <c r="G1826" s="17" t="s">
        <v>738</v>
      </c>
      <c r="H1826" s="17" t="s">
        <v>4073</v>
      </c>
      <c r="I1826" s="13" t="s">
        <v>5830</v>
      </c>
      <c r="J1826" s="23" t="str">
        <f>HYPERLINK("CorLog\GHA\BEX 2\20140915 GHA BEX 2 Ghana Branch Expansion - WSP QUOTE (TOPO SURVEY) (RDC-to-RDC).msg", "Ghana Branch Expansion - WSP QUOTE (TOPO SURVEY)")</f>
        <v>Ghana Branch Expansion - WSP QUOTE (TOPO SURVEY)</v>
      </c>
      <c r="K1826" s="25" t="s">
        <v>1499</v>
      </c>
      <c r="L1826" s="19"/>
      <c r="M1826" s="20"/>
      <c r="N1826" s="21" t="s">
        <v>5831</v>
      </c>
    </row>
    <row r="1827" spans="1:14">
      <c r="A1827" s="12" t="s">
        <v>750</v>
      </c>
      <c r="B1827" s="13" t="s">
        <v>718</v>
      </c>
      <c r="C1827" s="14"/>
      <c r="D1827" s="15">
        <v>41897.736377314817</v>
      </c>
      <c r="E1827" s="16" t="s">
        <v>16</v>
      </c>
      <c r="F1827" s="16" t="s">
        <v>16</v>
      </c>
      <c r="G1827" s="17" t="s">
        <v>738</v>
      </c>
      <c r="H1827" s="17" t="s">
        <v>5832</v>
      </c>
      <c r="I1827" s="13" t="s">
        <v>5833</v>
      </c>
      <c r="J1827" s="23" t="str">
        <f>HYPERLINK("CorLog\GHA\BEX 2\20140915 GHA BEX 2 WSP QUOTE (TOPO SURVEY) (RDC-to-RDC).msg", "WSP QUOTE (TOPO SURVEY)")</f>
        <v>WSP QUOTE (TOPO SURVEY)</v>
      </c>
      <c r="K1827" s="25" t="s">
        <v>1274</v>
      </c>
      <c r="L1827" s="19"/>
      <c r="M1827" s="20"/>
      <c r="N1827" s="21" t="s">
        <v>5834</v>
      </c>
    </row>
    <row r="1828" spans="1:14">
      <c r="A1828" s="12" t="s">
        <v>718</v>
      </c>
      <c r="B1828" s="13" t="s">
        <v>5413</v>
      </c>
      <c r="C1828" s="14" t="s">
        <v>5835</v>
      </c>
      <c r="D1828" s="15">
        <v>41897.692233796297</v>
      </c>
      <c r="E1828" s="16" t="s">
        <v>16</v>
      </c>
      <c r="F1828" s="16" t="s">
        <v>21</v>
      </c>
      <c r="G1828" s="17" t="s">
        <v>790</v>
      </c>
      <c r="H1828" s="17" t="s">
        <v>5836</v>
      </c>
      <c r="I1828" s="13" t="s">
        <v>5837</v>
      </c>
      <c r="J1828" s="23" t="str">
        <f>HYPERLINK("CorLog\GHA\BEX\20140915 GHA BEX Electrical fence install G4S SECURITY PROPOSAL - WATCH TOWER (zoning, raise height) (RDC-to-GHA).msg", "Electrical fence install G4S SECURITY PROPOSAL - WATCH TOWER (zoning, raise height)")</f>
        <v>Electrical fence install G4S SECURITY PROPOSAL - WATCH TOWER (zoning, raise height)</v>
      </c>
      <c r="K1828" s="25" t="s">
        <v>4068</v>
      </c>
      <c r="L1828" s="19"/>
      <c r="M1828" s="20"/>
      <c r="N1828" s="21" t="s">
        <v>5838</v>
      </c>
    </row>
    <row r="1829" spans="1:14">
      <c r="A1829" s="12" t="s">
        <v>718</v>
      </c>
      <c r="B1829" s="13" t="s">
        <v>750</v>
      </c>
      <c r="C1829" s="14"/>
      <c r="D1829" s="15">
        <v>41897.555173611108</v>
      </c>
      <c r="E1829" s="16" t="s">
        <v>16</v>
      </c>
      <c r="F1829" s="16" t="s">
        <v>16</v>
      </c>
      <c r="G1829" s="17" t="s">
        <v>857</v>
      </c>
      <c r="H1829" s="17" t="s">
        <v>5839</v>
      </c>
      <c r="I1829" s="13" t="s">
        <v>5840</v>
      </c>
      <c r="J1829" s="23" t="str">
        <f>HYPERLINK("CorLog\GHA\Kikam RTO\20140915 GHA Kikam RTO Missing rebar in fence columns (RDC-to-RDC).msg", "Missing rebar in fence columns")</f>
        <v>Missing rebar in fence columns</v>
      </c>
      <c r="K1829" s="25" t="s">
        <v>1243</v>
      </c>
      <c r="L1829" s="19"/>
      <c r="M1829" s="20"/>
      <c r="N1829" s="21" t="s">
        <v>5841</v>
      </c>
    </row>
    <row r="1830" spans="1:14">
      <c r="A1830" s="12" t="s">
        <v>757</v>
      </c>
      <c r="B1830" s="13" t="s">
        <v>718</v>
      </c>
      <c r="C1830" s="14" t="s">
        <v>5842</v>
      </c>
      <c r="D1830" s="15">
        <v>41897.553865740738</v>
      </c>
      <c r="E1830" s="16" t="s">
        <v>21</v>
      </c>
      <c r="F1830" s="16" t="s">
        <v>16</v>
      </c>
      <c r="G1830" s="17" t="s">
        <v>857</v>
      </c>
      <c r="H1830" s="17" t="s">
        <v>5843</v>
      </c>
      <c r="I1830" s="13" t="s">
        <v>5840</v>
      </c>
      <c r="J1830" s="23" t="str">
        <f>HYPERLINK("CorLog\GHA\Kikam RTO\20140915 GHA Kikam RTO Missing rebar in fence columns (-to-RDC).msg", "Missing rebar in fence columns")</f>
        <v>Missing rebar in fence columns</v>
      </c>
      <c r="K1830" s="25" t="s">
        <v>1243</v>
      </c>
      <c r="L1830" s="19" t="s">
        <v>5844</v>
      </c>
      <c r="M1830" s="20"/>
      <c r="N1830" s="21" t="s">
        <v>5845</v>
      </c>
    </row>
    <row r="1831" spans="1:14">
      <c r="A1831" s="12" t="s">
        <v>2016</v>
      </c>
      <c r="B1831" s="13" t="s">
        <v>1116</v>
      </c>
      <c r="C1831" s="14" t="s">
        <v>5846</v>
      </c>
      <c r="D1831" s="15">
        <v>41894.677662037036</v>
      </c>
      <c r="E1831" s="16" t="s">
        <v>16</v>
      </c>
      <c r="F1831" s="16" t="s">
        <v>22</v>
      </c>
      <c r="G1831" s="17" t="s">
        <v>785</v>
      </c>
      <c r="H1831" s="17" t="s">
        <v>3022</v>
      </c>
      <c r="I1831" s="13" t="s">
        <v>5847</v>
      </c>
      <c r="J1831" s="23" t="str">
        <f>HYPERLINK("CorLog\COD\Lubumbashi RTO\20140912 COD Lubumbashi RTO NLBRs for Elec Distribution BOARDS (RDC-to-).msg", "NLBRs for Elec Distribution BOARDS")</f>
        <v>NLBRs for Elec Distribution BOARDS</v>
      </c>
      <c r="K1831" s="25" t="s">
        <v>1243</v>
      </c>
      <c r="L1831" s="19"/>
      <c r="M1831" s="20"/>
      <c r="N1831" s="21" t="s">
        <v>5848</v>
      </c>
    </row>
    <row r="1832" spans="1:14">
      <c r="A1832" s="12" t="s">
        <v>972</v>
      </c>
      <c r="B1832" s="13" t="s">
        <v>718</v>
      </c>
      <c r="C1832" s="14" t="s">
        <v>5849</v>
      </c>
      <c r="D1832" s="15">
        <v>41894.3903125</v>
      </c>
      <c r="E1832" s="16" t="s">
        <v>18</v>
      </c>
      <c r="F1832" s="16" t="s">
        <v>16</v>
      </c>
      <c r="G1832" s="17" t="s">
        <v>838</v>
      </c>
      <c r="H1832" s="17" t="s">
        <v>867</v>
      </c>
      <c r="I1832" s="13" t="s">
        <v>5850</v>
      </c>
      <c r="J1832" s="23" t="str">
        <f>HYPERLINK("CorLog\ZMB\Choma RTO\20140912 ZMB Choma RTO use PT and DC-41 unstead of CTP (ZMB-to-RDC).msg", "use PT and DC-41 unstead of CTP")</f>
        <v>use PT and DC-41 unstead of CTP</v>
      </c>
      <c r="K1832" s="25"/>
      <c r="L1832" s="19"/>
      <c r="M1832" s="20"/>
      <c r="N1832" s="21" t="s">
        <v>5851</v>
      </c>
    </row>
    <row r="1833" spans="1:14">
      <c r="A1833" s="12" t="s">
        <v>794</v>
      </c>
      <c r="B1833" s="13" t="s">
        <v>2612</v>
      </c>
      <c r="C1833" s="14" t="s">
        <v>5852</v>
      </c>
      <c r="D1833" s="15">
        <v>41893.677384259259</v>
      </c>
      <c r="E1833" s="16" t="s">
        <v>15</v>
      </c>
      <c r="F1833" s="16" t="s">
        <v>21</v>
      </c>
      <c r="G1833" s="17" t="s">
        <v>790</v>
      </c>
      <c r="H1833" s="17" t="s">
        <v>1489</v>
      </c>
      <c r="I1833" s="13" t="s">
        <v>5853</v>
      </c>
      <c r="J1833" s="23" t="str">
        <f>HYPERLINK("CorLog\GHA\BEX\20140911 GHA BEX ZAF 420914 - RFQ BEX NLBR 4077 Derwent RO system--chemicals to be ordered (ZAF-to-GHA).msg", "ZAF 420914 - RFQ BEX NLBR 4077 Derwent RO system--chemicals to be ordered")</f>
        <v>ZAF 420914 - RFQ BEX NLBR 4077 Derwent RO system--chemicals to be ordered</v>
      </c>
      <c r="K1833" s="25" t="s">
        <v>1499</v>
      </c>
      <c r="L1833" s="19"/>
      <c r="M1833" s="20"/>
      <c r="N1833" s="21" t="s">
        <v>5854</v>
      </c>
    </row>
    <row r="1834" spans="1:14">
      <c r="A1834" s="12" t="s">
        <v>5605</v>
      </c>
      <c r="B1834" s="13" t="s">
        <v>2016</v>
      </c>
      <c r="C1834" s="14"/>
      <c r="D1834" s="15">
        <v>41893.331701388888</v>
      </c>
      <c r="E1834" s="16" t="s">
        <v>22</v>
      </c>
      <c r="F1834" s="16" t="s">
        <v>16</v>
      </c>
      <c r="G1834" s="17" t="s">
        <v>1169</v>
      </c>
      <c r="H1834" s="17" t="s">
        <v>1489</v>
      </c>
      <c r="I1834" s="13" t="s">
        <v>5855</v>
      </c>
      <c r="J1834" s="23" t="str">
        <f>HYPERLINK("CorLog\COD\Kikwit RTO\20140911 COD Kikwit RTO New Material choices, Fusiontherm and Plasson (COD-to-RDC).msg", "New Material choices, Fusiontherm and Plasson")</f>
        <v>New Material choices, Fusiontherm and Plasson</v>
      </c>
      <c r="K1834" s="25" t="s">
        <v>1243</v>
      </c>
      <c r="L1834" s="19"/>
      <c r="M1834" s="20"/>
      <c r="N1834" s="21" t="s">
        <v>5856</v>
      </c>
    </row>
    <row r="1835" spans="1:14">
      <c r="A1835" s="12" t="s">
        <v>750</v>
      </c>
      <c r="B1835" s="13" t="s">
        <v>1187</v>
      </c>
      <c r="C1835" s="14" t="s">
        <v>5857</v>
      </c>
      <c r="D1835" s="15">
        <v>41893.324942129628</v>
      </c>
      <c r="E1835" s="16" t="s">
        <v>16</v>
      </c>
      <c r="F1835" s="16" t="s">
        <v>15</v>
      </c>
      <c r="G1835" s="17" t="s">
        <v>738</v>
      </c>
      <c r="H1835" s="17" t="s">
        <v>4073</v>
      </c>
      <c r="I1835" s="13" t="s">
        <v>5858</v>
      </c>
      <c r="J1835" s="23" t="str">
        <f>HYPERLINK("CorLog\GHA\BEX 2\20140911 GHA BEX 2 Ghana Branch Expansion - WSP QUOTE (SOILS TESTS) (RDC-to-ZAF).msg", "Ghana Branch Expansion - WSP QUOTE (SOILS TESTS)")</f>
        <v>Ghana Branch Expansion - WSP QUOTE (SOILS TESTS)</v>
      </c>
      <c r="K1835" s="25" t="s">
        <v>1274</v>
      </c>
      <c r="L1835" s="19"/>
      <c r="M1835" s="20"/>
      <c r="N1835" s="21" t="s">
        <v>5859</v>
      </c>
    </row>
    <row r="1836" spans="1:14">
      <c r="A1836" s="12" t="s">
        <v>2016</v>
      </c>
      <c r="B1836" s="13" t="s">
        <v>5860</v>
      </c>
      <c r="C1836" s="14" t="s">
        <v>5861</v>
      </c>
      <c r="D1836" s="15">
        <v>41892.641377314816</v>
      </c>
      <c r="E1836" s="16" t="s">
        <v>16</v>
      </c>
      <c r="F1836" s="16" t="s">
        <v>16</v>
      </c>
      <c r="G1836" s="17" t="s">
        <v>785</v>
      </c>
      <c r="H1836" s="17" t="s">
        <v>5862</v>
      </c>
      <c r="I1836" s="13" t="s">
        <v>5863</v>
      </c>
      <c r="J1836" s="23" t="str">
        <f>HYPERLINK("CorLog\COD\Lubumbashi RTO\20140910 COD Lubumbashi RTO Local material costs worksheet (RDC-to-RDC).msg", "Local material costs worksheet")</f>
        <v>Local material costs worksheet</v>
      </c>
      <c r="K1836" s="25" t="s">
        <v>1211</v>
      </c>
      <c r="L1836" s="19"/>
      <c r="M1836" s="20"/>
      <c r="N1836" s="21" t="s">
        <v>5864</v>
      </c>
    </row>
    <row r="1837" spans="1:14">
      <c r="A1837" s="12" t="s">
        <v>724</v>
      </c>
      <c r="B1837" s="13" t="s">
        <v>972</v>
      </c>
      <c r="C1837" s="14" t="s">
        <v>5865</v>
      </c>
      <c r="D1837" s="15">
        <v>41892.488749999997</v>
      </c>
      <c r="E1837" s="16" t="s">
        <v>16</v>
      </c>
      <c r="F1837" s="16" t="s">
        <v>18</v>
      </c>
      <c r="G1837" s="17" t="s">
        <v>838</v>
      </c>
      <c r="H1837" s="17" t="s">
        <v>781</v>
      </c>
      <c r="I1837" s="13" t="s">
        <v>5866</v>
      </c>
      <c r="J1837" s="23" t="str">
        <f>HYPERLINK("CorLog\ZMB\Choma RTO\20140910 ZMB Choma RTO Timing of Personnel to SA-RDC (RDC-to-ZMB).msg", "Timing of Personnel to SA-RDC")</f>
        <v>Timing of Personnel to SA-RDC</v>
      </c>
      <c r="K1837" s="25"/>
      <c r="L1837" s="19" t="s">
        <v>5867</v>
      </c>
      <c r="M1837" s="20"/>
      <c r="N1837" s="21" t="s">
        <v>5868</v>
      </c>
    </row>
    <row r="1838" spans="1:14">
      <c r="A1838" s="12" t="s">
        <v>718</v>
      </c>
      <c r="B1838" s="13" t="s">
        <v>972</v>
      </c>
      <c r="C1838" s="14" t="s">
        <v>5869</v>
      </c>
      <c r="D1838" s="15">
        <v>41892.458761574075</v>
      </c>
      <c r="E1838" s="16" t="s">
        <v>16</v>
      </c>
      <c r="F1838" s="16" t="s">
        <v>18</v>
      </c>
      <c r="G1838" s="17" t="s">
        <v>946</v>
      </c>
      <c r="H1838" s="17" t="s">
        <v>5870</v>
      </c>
      <c r="I1838" s="13" t="s">
        <v>5871</v>
      </c>
      <c r="J1838" s="23" t="str">
        <f>HYPERLINK("CorLog\ZMB\Mongu RTO\20140910 ZMB Mongu RTO Pitch of drainage pipe for retaining wall (RDC-to-ZMB).msg", "Pitch of drainage pipe for retaining wall")</f>
        <v>Pitch of drainage pipe for retaining wall</v>
      </c>
      <c r="K1838" s="25" t="s">
        <v>1211</v>
      </c>
      <c r="L1838" s="19"/>
      <c r="M1838" s="20"/>
      <c r="N1838" s="21" t="s">
        <v>5872</v>
      </c>
    </row>
    <row r="1839" spans="1:14">
      <c r="A1839" s="12" t="s">
        <v>2016</v>
      </c>
      <c r="B1839" s="13" t="s">
        <v>718</v>
      </c>
      <c r="C1839" s="14"/>
      <c r="D1839" s="15">
        <v>41892.423321759263</v>
      </c>
      <c r="E1839" s="16" t="s">
        <v>16</v>
      </c>
      <c r="F1839" s="16" t="s">
        <v>16</v>
      </c>
      <c r="G1839" s="17" t="s">
        <v>1169</v>
      </c>
      <c r="H1839" s="17" t="s">
        <v>5862</v>
      </c>
      <c r="I1839" s="13" t="s">
        <v>5873</v>
      </c>
      <c r="J1839" s="23" t="str">
        <f>HYPERLINK("CorLog\COD\Kikwit RTO\20140910 COD Kikwit RTO local material costs worksheet (RDC-to-RDC).msg", "local material costs worksheet")</f>
        <v>local material costs worksheet</v>
      </c>
      <c r="K1839" s="25" t="s">
        <v>1211</v>
      </c>
      <c r="L1839" s="19"/>
      <c r="M1839" s="20"/>
      <c r="N1839" s="21" t="s">
        <v>5874</v>
      </c>
    </row>
    <row r="1840" spans="1:14">
      <c r="A1840" s="12" t="s">
        <v>717</v>
      </c>
      <c r="B1840" s="13" t="s">
        <v>724</v>
      </c>
      <c r="C1840" s="14" t="s">
        <v>771</v>
      </c>
      <c r="D1840" s="15">
        <v>41892.344814814816</v>
      </c>
      <c r="E1840" s="16" t="s">
        <v>16</v>
      </c>
      <c r="F1840" s="16" t="s">
        <v>16</v>
      </c>
      <c r="G1840" s="17" t="s">
        <v>30</v>
      </c>
      <c r="H1840" s="17" t="s">
        <v>5687</v>
      </c>
      <c r="I1840" s="13" t="s">
        <v>5875</v>
      </c>
      <c r="J1840" s="23" t="str">
        <f>HYPERLINK("CorLog\ALL\20140910 ALL Teaching techniques article on use of pictures (RDC-to-RDC).msg", "Teaching techniques article on use of pictures")</f>
        <v>Teaching techniques article on use of pictures</v>
      </c>
      <c r="K1840" s="25" t="s">
        <v>1211</v>
      </c>
      <c r="L1840" s="19"/>
      <c r="M1840" s="20"/>
      <c r="N1840" s="21" t="s">
        <v>5876</v>
      </c>
    </row>
    <row r="1841" spans="1:14">
      <c r="A1841" s="12" t="s">
        <v>718</v>
      </c>
      <c r="B1841" s="13" t="s">
        <v>1069</v>
      </c>
      <c r="C1841" s="14" t="s">
        <v>5877</v>
      </c>
      <c r="D1841" s="15">
        <v>41891.684259259258</v>
      </c>
      <c r="E1841" s="16" t="s">
        <v>16</v>
      </c>
      <c r="F1841" s="16" t="s">
        <v>18</v>
      </c>
      <c r="G1841" s="17" t="s">
        <v>1070</v>
      </c>
      <c r="H1841" s="17" t="s">
        <v>803</v>
      </c>
      <c r="I1841" s="13" t="s">
        <v>5878</v>
      </c>
      <c r="J1841" s="23" t="str">
        <f>HYPERLINK("CorLog\ZMB\Katete RTO\20140909 ZMB Katete RTO Door Hardware Update to A-601 dwg (RDC-to-ZMB).msg", "Door Hardware Update to A-601 dwg")</f>
        <v>Door Hardware Update to A-601 dwg</v>
      </c>
      <c r="K1841" s="25" t="s">
        <v>1243</v>
      </c>
      <c r="L1841" s="19"/>
      <c r="M1841" s="20"/>
      <c r="N1841" s="21" t="s">
        <v>5879</v>
      </c>
    </row>
    <row r="1842" spans="1:14">
      <c r="A1842" s="12" t="s">
        <v>972</v>
      </c>
      <c r="B1842" s="13" t="s">
        <v>718</v>
      </c>
      <c r="C1842" s="14" t="s">
        <v>5435</v>
      </c>
      <c r="D1842" s="15">
        <v>41891.549490740741</v>
      </c>
      <c r="E1842" s="16" t="s">
        <v>18</v>
      </c>
      <c r="F1842" s="16" t="s">
        <v>16</v>
      </c>
      <c r="G1842" s="17" t="s">
        <v>946</v>
      </c>
      <c r="H1842" s="17" t="s">
        <v>4536</v>
      </c>
      <c r="I1842" s="13" t="s">
        <v>5880</v>
      </c>
      <c r="J1842" s="23" t="str">
        <f>HYPERLINK("CorLog\ZMB\Mongu RTO\20140909 ZMB Mongu RTO Mongu Retaining Wall Contract Meeting Minutes - James Makalashi - 09_09_14 (ZMB-to-RDC).msg", "Mongu Retaining Wall Contract Meeting Minutes - James Makalashi - 09_09_14")</f>
        <v>Mongu Retaining Wall Contract Meeting Minutes - James Makalashi - 09_09_14</v>
      </c>
      <c r="K1842" s="25" t="s">
        <v>1211</v>
      </c>
      <c r="L1842" s="19"/>
      <c r="M1842" s="20"/>
      <c r="N1842" s="21" t="s">
        <v>5881</v>
      </c>
    </row>
    <row r="1843" spans="1:14">
      <c r="A1843" s="12" t="s">
        <v>5860</v>
      </c>
      <c r="B1843" s="13" t="s">
        <v>5804</v>
      </c>
      <c r="C1843" s="14" t="s">
        <v>5882</v>
      </c>
      <c r="D1843" s="15">
        <v>41891.461886574078</v>
      </c>
      <c r="E1843" s="16" t="s">
        <v>16</v>
      </c>
      <c r="F1843" s="16" t="s">
        <v>16</v>
      </c>
      <c r="G1843" s="17" t="s">
        <v>3982</v>
      </c>
      <c r="H1843" s="17" t="s">
        <v>867</v>
      </c>
      <c r="I1843" s="13" t="s">
        <v>5883</v>
      </c>
      <c r="J1843" s="23" t="str">
        <f>HYPERLINK("CorLog\COD\Mbuji-Mayi RTO\20140909 COD Mbuji-Mayi RTO DOUBLE STOREY RTO - RISK (RDC-to-RDC).msg", "DOUBLE STOREY RTO - RISK")</f>
        <v>DOUBLE STOREY RTO - RISK</v>
      </c>
      <c r="K1843" s="25" t="s">
        <v>1211</v>
      </c>
      <c r="L1843" s="19"/>
      <c r="M1843" s="20"/>
      <c r="N1843" s="21" t="s">
        <v>5884</v>
      </c>
    </row>
    <row r="1844" spans="1:14">
      <c r="A1844" s="12" t="s">
        <v>1258</v>
      </c>
      <c r="B1844" s="13" t="s">
        <v>718</v>
      </c>
      <c r="C1844" s="14" t="s">
        <v>5885</v>
      </c>
      <c r="D1844" s="15">
        <v>41891.40865740741</v>
      </c>
      <c r="E1844" s="16" t="s">
        <v>16</v>
      </c>
      <c r="F1844" s="16" t="s">
        <v>16</v>
      </c>
      <c r="G1844" s="17" t="s">
        <v>790</v>
      </c>
      <c r="H1844" s="17" t="s">
        <v>3538</v>
      </c>
      <c r="I1844" s="13" t="s">
        <v>5886</v>
      </c>
      <c r="J1844" s="23" t="str">
        <f>HYPERLINK("CorLog\GHA\BEX\20140909 GHA BEX CDP - Long Term Design Sketches (RDC-to-RDC).msg", "CDP - Long Term Design Sketches")</f>
        <v>CDP - Long Term Design Sketches</v>
      </c>
      <c r="K1844" s="25"/>
      <c r="L1844" s="19"/>
      <c r="M1844" s="20"/>
      <c r="N1844" s="21" t="s">
        <v>5887</v>
      </c>
    </row>
    <row r="1845" spans="1:14">
      <c r="A1845" s="12" t="s">
        <v>2016</v>
      </c>
      <c r="B1845" s="13" t="s">
        <v>718</v>
      </c>
      <c r="C1845" s="14"/>
      <c r="D1845" s="15">
        <v>41891.364085648151</v>
      </c>
      <c r="E1845" s="16" t="s">
        <v>16</v>
      </c>
      <c r="F1845" s="16" t="s">
        <v>16</v>
      </c>
      <c r="G1845" s="17" t="s">
        <v>1169</v>
      </c>
      <c r="H1845" s="17" t="s">
        <v>2175</v>
      </c>
      <c r="I1845" s="13" t="s">
        <v>5888</v>
      </c>
      <c r="J1845" s="23" t="str">
        <f>HYPERLINK("CorLog\COD\Kikwit RTO\20140909 COD Kikwit RTO USA Furniture for TWO Congo RTO projects (RDC-to-RDC).msg", "USA Furniture for TWO Congo RTO projects")</f>
        <v>USA Furniture for TWO Congo RTO projects</v>
      </c>
      <c r="K1845" s="25" t="s">
        <v>1712</v>
      </c>
      <c r="L1845" s="19"/>
      <c r="M1845" s="20"/>
      <c r="N1845" s="21" t="s">
        <v>5889</v>
      </c>
    </row>
    <row r="1846" spans="1:14">
      <c r="A1846" s="12" t="s">
        <v>874</v>
      </c>
      <c r="B1846" s="13"/>
      <c r="C1846" s="14"/>
      <c r="D1846" s="15">
        <v>41891</v>
      </c>
      <c r="E1846" s="16" t="s">
        <v>25</v>
      </c>
      <c r="F1846" s="16" t="s">
        <v>30</v>
      </c>
      <c r="G1846" s="17" t="s">
        <v>30</v>
      </c>
      <c r="H1846" s="17" t="s">
        <v>4169</v>
      </c>
      <c r="I1846" s="13" t="s">
        <v>5890</v>
      </c>
      <c r="J1846" s="23" t="str">
        <f>HYPERLINK("CorLog\ALL\20140909 ALL Requesting Project and Property Purchase Approvals (WHQ-to-ALL).doc", "Requesting Project and Property Purchase Approvals")</f>
        <v>Requesting Project and Property Purchase Approvals</v>
      </c>
      <c r="K1846" s="25"/>
      <c r="L1846" s="19" t="s">
        <v>5891</v>
      </c>
      <c r="M1846" s="20"/>
      <c r="N1846" s="21" t="s">
        <v>5892</v>
      </c>
    </row>
    <row r="1847" spans="1:14">
      <c r="A1847" s="12" t="s">
        <v>2612</v>
      </c>
      <c r="B1847" s="13" t="s">
        <v>718</v>
      </c>
      <c r="C1847" s="14" t="s">
        <v>842</v>
      </c>
      <c r="D1847" s="15">
        <v>41890.766770833332</v>
      </c>
      <c r="E1847" s="16" t="s">
        <v>21</v>
      </c>
      <c r="F1847" s="16" t="s">
        <v>16</v>
      </c>
      <c r="G1847" s="17" t="s">
        <v>790</v>
      </c>
      <c r="H1847" s="17" t="s">
        <v>3009</v>
      </c>
      <c r="I1847" s="13" t="s">
        <v>5739</v>
      </c>
      <c r="J1847" s="23" t="str">
        <f>HYPERLINK("CorLog\GHA\BEX\20140908 GHA BEX Workflow for Changeover to New Generators_DB_Switchgear (MINUTES) (GHA-to-RDC).msg", "Workflow for Changeover to New Generators_DB_Switchgear (MINUTES)")</f>
        <v>Workflow for Changeover to New Generators_DB_Switchgear (MINUTES)</v>
      </c>
      <c r="K1847" s="25" t="s">
        <v>1499</v>
      </c>
      <c r="L1847" s="19"/>
      <c r="M1847" s="20"/>
      <c r="N1847" s="21" t="s">
        <v>5893</v>
      </c>
    </row>
    <row r="1848" spans="1:14">
      <c r="A1848" s="12" t="s">
        <v>718</v>
      </c>
      <c r="B1848" s="13" t="s">
        <v>842</v>
      </c>
      <c r="C1848" s="14" t="s">
        <v>5894</v>
      </c>
      <c r="D1848" s="15">
        <v>41890.683599537035</v>
      </c>
      <c r="E1848" s="16" t="s">
        <v>16</v>
      </c>
      <c r="F1848" s="16" t="s">
        <v>21</v>
      </c>
      <c r="G1848" s="17" t="s">
        <v>730</v>
      </c>
      <c r="H1848" s="17" t="s">
        <v>5750</v>
      </c>
      <c r="I1848" s="13" t="s">
        <v>5895</v>
      </c>
      <c r="J1848" s="23" t="str">
        <f>HYPERLINK("CorLog\GHA\Baatsona SKE\20140908 GHA Baatsona SKE Production of AFC Drawings; 50% review by RDC (RDC-to-GHA).msg", "Production of AFC Drawings; 50% review by RDC")</f>
        <v>Production of AFC Drawings; 50% review by RDC</v>
      </c>
      <c r="K1848" s="25" t="s">
        <v>1211</v>
      </c>
      <c r="L1848" s="19" t="s">
        <v>5896</v>
      </c>
      <c r="M1848" s="20"/>
      <c r="N1848" s="21" t="s">
        <v>5897</v>
      </c>
    </row>
    <row r="1849" spans="1:14">
      <c r="A1849" s="12" t="s">
        <v>718</v>
      </c>
      <c r="B1849" s="13" t="s">
        <v>2673</v>
      </c>
      <c r="C1849" s="14"/>
      <c r="D1849" s="15">
        <v>41890.678541666668</v>
      </c>
      <c r="E1849" s="16" t="s">
        <v>16</v>
      </c>
      <c r="F1849" s="16" t="s">
        <v>16</v>
      </c>
      <c r="G1849" s="17" t="s">
        <v>1112</v>
      </c>
      <c r="H1849" s="17" t="s">
        <v>867</v>
      </c>
      <c r="I1849" s="13" t="s">
        <v>5898</v>
      </c>
      <c r="J1849" s="23" t="str">
        <f>HYPERLINK("CorLog\ZMB\BEX\20140908 ZMB BEX Current rate of import duty 15% (RDC-to-RDC).msg", "Current rate of import duty 15%")</f>
        <v>Current rate of import duty 15%</v>
      </c>
      <c r="K1849" s="25" t="s">
        <v>1211</v>
      </c>
      <c r="L1849" s="19"/>
      <c r="M1849" s="20"/>
      <c r="N1849" s="21" t="s">
        <v>5899</v>
      </c>
    </row>
    <row r="1850" spans="1:14">
      <c r="A1850" s="12" t="s">
        <v>5900</v>
      </c>
      <c r="B1850" s="13" t="s">
        <v>5901</v>
      </c>
      <c r="C1850" s="14" t="s">
        <v>5902</v>
      </c>
      <c r="D1850" s="15">
        <v>41890.677534722221</v>
      </c>
      <c r="E1850" s="16" t="s">
        <v>42</v>
      </c>
      <c r="F1850" s="16" t="s">
        <v>18</v>
      </c>
      <c r="G1850" s="17" t="s">
        <v>946</v>
      </c>
      <c r="H1850" s="17" t="s">
        <v>5903</v>
      </c>
      <c r="I1850" s="13" t="s">
        <v>5904</v>
      </c>
      <c r="J1850" s="23" t="str">
        <f>HYPERLINK("CorLog\ZMB\Mongu RTO\20140908 ZMB Mongu RTO WT35559 - Mapei mapeband - ID2447 (NLD-to-).msg", "WT35559 - Mapei mapeband - ID2447")</f>
        <v>WT35559 - Mapei mapeband - ID2447</v>
      </c>
      <c r="K1850" s="25" t="s">
        <v>1211</v>
      </c>
      <c r="L1850" s="19" t="s">
        <v>5905</v>
      </c>
      <c r="M1850" s="20"/>
      <c r="N1850" s="21" t="s">
        <v>5906</v>
      </c>
    </row>
    <row r="1851" spans="1:14">
      <c r="A1851" s="12" t="s">
        <v>972</v>
      </c>
      <c r="B1851" s="13" t="s">
        <v>718</v>
      </c>
      <c r="C1851" s="14" t="s">
        <v>2673</v>
      </c>
      <c r="D1851" s="15">
        <v>41890.666585648149</v>
      </c>
      <c r="E1851" s="16" t="s">
        <v>18</v>
      </c>
      <c r="F1851" s="16" t="s">
        <v>16</v>
      </c>
      <c r="G1851" s="17" t="s">
        <v>1070</v>
      </c>
      <c r="H1851" s="17" t="s">
        <v>867</v>
      </c>
      <c r="I1851" s="13" t="s">
        <v>5907</v>
      </c>
      <c r="J1851" s="23" t="str">
        <f>HYPERLINK("CorLog\ZMB\Katete RTO\20140908 ZMB Katete RTO Current rate of import duty (ZMB-to-RDC).msg", "Current rate of import duty")</f>
        <v>Current rate of import duty</v>
      </c>
      <c r="K1851" s="25" t="s">
        <v>1211</v>
      </c>
      <c r="L1851" s="19"/>
      <c r="M1851" s="20"/>
      <c r="N1851" s="21" t="s">
        <v>5908</v>
      </c>
    </row>
    <row r="1852" spans="1:14">
      <c r="A1852" s="12" t="s">
        <v>778</v>
      </c>
      <c r="B1852" s="13" t="s">
        <v>718</v>
      </c>
      <c r="C1852" s="14" t="s">
        <v>5909</v>
      </c>
      <c r="D1852" s="15">
        <v>41890.651886574073</v>
      </c>
      <c r="E1852" s="16" t="s">
        <v>17</v>
      </c>
      <c r="F1852" s="16" t="s">
        <v>16</v>
      </c>
      <c r="G1852" s="17" t="s">
        <v>790</v>
      </c>
      <c r="H1852" s="17" t="s">
        <v>781</v>
      </c>
      <c r="I1852" s="13" t="s">
        <v>5910</v>
      </c>
      <c r="J1852" s="23" t="str">
        <f>HYPERLINK("CorLog\GHA\BEX\20140908 GHA BEX Construction Personnel Request DC-51 for electrician (WDC-to-RDC).msg", "Construction Personnel Request DC-51 for electrician")</f>
        <v>Construction Personnel Request DC-51 for electrician</v>
      </c>
      <c r="K1852" s="25"/>
      <c r="L1852" s="19" t="s">
        <v>5911</v>
      </c>
      <c r="M1852" s="20"/>
      <c r="N1852" s="21" t="s">
        <v>5912</v>
      </c>
    </row>
    <row r="1853" spans="1:14">
      <c r="A1853" s="12"/>
      <c r="B1853" s="13"/>
      <c r="C1853" s="14"/>
      <c r="D1853" s="15">
        <v>41890.632407407407</v>
      </c>
      <c r="E1853" s="16" t="s">
        <v>25</v>
      </c>
      <c r="F1853" s="16" t="s">
        <v>30</v>
      </c>
      <c r="G1853" s="17" t="s">
        <v>30</v>
      </c>
      <c r="H1853" s="17" t="s">
        <v>2407</v>
      </c>
      <c r="I1853" s="13" t="s">
        <v>5913</v>
      </c>
      <c r="J1853" s="23" t="str">
        <f>HYPERLINK("CorLog\ALL\20140908 ALL WHQZAF31026P Adjustments to Financing Kingdom Hall and Assembly Hall Construction (WHQ-to-ALL).doc", "WHQZAF31026P Adjustments to Financing Kingdom Hall and Assembly Hall Construction")</f>
        <v>WHQZAF31026P Adjustments to Financing Kingdom Hall and Assembly Hall Construction</v>
      </c>
      <c r="K1853" s="25"/>
      <c r="L1853" s="19"/>
      <c r="M1853" s="20"/>
      <c r="N1853" s="21"/>
    </row>
    <row r="1854" spans="1:14">
      <c r="A1854" s="12" t="s">
        <v>724</v>
      </c>
      <c r="B1854" s="13" t="s">
        <v>750</v>
      </c>
      <c r="C1854" s="14"/>
      <c r="D1854" s="15">
        <v>41890.588449074072</v>
      </c>
      <c r="E1854" s="16" t="s">
        <v>16</v>
      </c>
      <c r="F1854" s="16" t="s">
        <v>16</v>
      </c>
      <c r="G1854" s="17" t="s">
        <v>2022</v>
      </c>
      <c r="H1854" s="17" t="s">
        <v>2022</v>
      </c>
      <c r="I1854" s="13" t="s">
        <v>5914</v>
      </c>
      <c r="J1854" s="23" t="str">
        <f>HYPERLINK("CorLog\Directive\20140908 Directive Branch Organization - Revised July 2014 (RDC-to-RDC).msg", "Branch Organization - Revised July 2014")</f>
        <v>Branch Organization - Revised July 2014</v>
      </c>
      <c r="K1854" s="25" t="s">
        <v>1243</v>
      </c>
      <c r="L1854" s="19" t="s">
        <v>5915</v>
      </c>
      <c r="M1854" s="20"/>
      <c r="N1854" s="21" t="s">
        <v>5916</v>
      </c>
    </row>
    <row r="1855" spans="1:14">
      <c r="A1855" s="12" t="s">
        <v>5201</v>
      </c>
      <c r="B1855" s="13" t="s">
        <v>2016</v>
      </c>
      <c r="C1855" s="14" t="s">
        <v>5917</v>
      </c>
      <c r="D1855" s="15">
        <v>41890.527048611111</v>
      </c>
      <c r="E1855" s="16" t="s">
        <v>15</v>
      </c>
      <c r="F1855" s="16" t="s">
        <v>16</v>
      </c>
      <c r="G1855" s="17" t="s">
        <v>1941</v>
      </c>
      <c r="H1855" s="17" t="s">
        <v>867</v>
      </c>
      <c r="I1855" s="13" t="s">
        <v>5918</v>
      </c>
      <c r="J1855" s="23" t="str">
        <f>HYPERLINK("CorLog\COD\RTO Projects\20140908 COD RTO Projects Shipping costs for Congo RTO projects (ZAF-to-RDC).msg", "Shipping costs for Congo RTO projects")</f>
        <v>Shipping costs for Congo RTO projects</v>
      </c>
      <c r="K1855" s="25"/>
      <c r="L1855" s="19"/>
      <c r="M1855" s="20"/>
      <c r="N1855" s="21" t="s">
        <v>5919</v>
      </c>
    </row>
    <row r="1856" spans="1:14">
      <c r="A1856" s="12" t="s">
        <v>1418</v>
      </c>
      <c r="B1856" s="13" t="s">
        <v>1297</v>
      </c>
      <c r="C1856" s="14" t="s">
        <v>5920</v>
      </c>
      <c r="D1856" s="15">
        <v>41890.334768518522</v>
      </c>
      <c r="E1856" s="16" t="s">
        <v>16</v>
      </c>
      <c r="F1856" s="16" t="s">
        <v>18</v>
      </c>
      <c r="G1856" s="17" t="s">
        <v>1070</v>
      </c>
      <c r="H1856" s="17" t="s">
        <v>886</v>
      </c>
      <c r="I1856" s="13" t="s">
        <v>5921</v>
      </c>
      <c r="J1856" s="23" t="str">
        <f>HYPERLINK("CorLog\ZMB\Katete RTO\20140908 ZMB Katete RTO Manufacturing of electrical DB boards by SAF BEX (RDC-to-ZMB).msg", "Manufacturing of electrical DB boards by SAF BEX")</f>
        <v>Manufacturing of electrical DB boards by SAF BEX</v>
      </c>
      <c r="K1856" s="25"/>
      <c r="L1856" s="19"/>
      <c r="M1856" s="20"/>
      <c r="N1856" s="21" t="s">
        <v>5922</v>
      </c>
    </row>
    <row r="1857" spans="1:14">
      <c r="A1857" s="12" t="s">
        <v>2016</v>
      </c>
      <c r="B1857" s="13" t="s">
        <v>5860</v>
      </c>
      <c r="C1857" s="14" t="s">
        <v>1892</v>
      </c>
      <c r="D1857" s="15">
        <v>41887.681562500002</v>
      </c>
      <c r="E1857" s="16" t="s">
        <v>16</v>
      </c>
      <c r="F1857" s="16" t="s">
        <v>16</v>
      </c>
      <c r="G1857" s="17" t="s">
        <v>3982</v>
      </c>
      <c r="H1857" s="17" t="s">
        <v>3088</v>
      </c>
      <c r="I1857" s="13" t="s">
        <v>5923</v>
      </c>
      <c r="J1857" s="23" t="str">
        <f>HYPERLINK("CorLog\COD\Mbuji-Mayi RTO\20140905 COD Mbuji-Mayi RTO DOUBLE STOREY RTO Cost Estimate (RDC-to-RDC).msg", "DOUBLE STOREY RTO Cost Estimate")</f>
        <v>DOUBLE STOREY RTO Cost Estimate</v>
      </c>
      <c r="K1857" s="25" t="s">
        <v>1211</v>
      </c>
      <c r="L1857" s="19"/>
      <c r="M1857" s="20"/>
      <c r="N1857" s="21" t="s">
        <v>5924</v>
      </c>
    </row>
    <row r="1858" spans="1:14">
      <c r="A1858" s="12" t="s">
        <v>972</v>
      </c>
      <c r="B1858" s="13" t="s">
        <v>718</v>
      </c>
      <c r="C1858" s="14"/>
      <c r="D1858" s="15">
        <v>41887.674664351849</v>
      </c>
      <c r="E1858" s="16" t="s">
        <v>18</v>
      </c>
      <c r="F1858" s="16" t="s">
        <v>16</v>
      </c>
      <c r="G1858" s="17" t="s">
        <v>838</v>
      </c>
      <c r="H1858" s="17" t="s">
        <v>803</v>
      </c>
      <c r="I1858" s="13" t="s">
        <v>5925</v>
      </c>
      <c r="J1858" s="23" t="str">
        <f>HYPERLINK("CorLog\ZMB\Choma RTO\20140905 ZMB Choma RTO Physical Address (ZMB-to-RDC).msg", "Physical Address")</f>
        <v>Physical Address</v>
      </c>
      <c r="K1858" s="25"/>
      <c r="L1858" s="19"/>
      <c r="M1858" s="20"/>
      <c r="N1858" s="21" t="s">
        <v>5926</v>
      </c>
    </row>
    <row r="1859" spans="1:14">
      <c r="A1859" s="12" t="s">
        <v>750</v>
      </c>
      <c r="B1859" s="13" t="s">
        <v>795</v>
      </c>
      <c r="C1859" s="14" t="s">
        <v>5927</v>
      </c>
      <c r="D1859" s="15">
        <v>41887.658692129633</v>
      </c>
      <c r="E1859" s="16" t="s">
        <v>16</v>
      </c>
      <c r="F1859" s="16" t="s">
        <v>16</v>
      </c>
      <c r="G1859" s="17" t="s">
        <v>790</v>
      </c>
      <c r="H1859" s="17" t="s">
        <v>5766</v>
      </c>
      <c r="I1859" s="13" t="s">
        <v>5928</v>
      </c>
      <c r="J1859" s="23" t="str">
        <f>HYPERLINK("CorLog\GHA\BEX\20140905 GHA BEX Residence Masonry not use CLAY BRICK (RDC-to-RDC).msg", "Residence Masonry not use CLAY BRICK")</f>
        <v>Residence Masonry not use CLAY BRICK</v>
      </c>
      <c r="K1859" s="25" t="s">
        <v>1369</v>
      </c>
      <c r="L1859" s="19" t="s">
        <v>5929</v>
      </c>
      <c r="M1859" s="20"/>
      <c r="N1859" s="21" t="s">
        <v>5930</v>
      </c>
    </row>
    <row r="1860" spans="1:14">
      <c r="A1860" s="12" t="s">
        <v>870</v>
      </c>
      <c r="B1860" s="13" t="s">
        <v>718</v>
      </c>
      <c r="C1860" s="14"/>
      <c r="D1860" s="15">
        <v>41887.436145833337</v>
      </c>
      <c r="E1860" s="16" t="s">
        <v>15</v>
      </c>
      <c r="F1860" s="16" t="s">
        <v>16</v>
      </c>
      <c r="G1860" s="17" t="s">
        <v>979</v>
      </c>
      <c r="H1860" s="17" t="s">
        <v>5931</v>
      </c>
      <c r="I1860" s="13" t="s">
        <v>5932</v>
      </c>
      <c r="J1860" s="23" t="str">
        <f>HYPERLINK("CorLog\RTO\Projects\20140905 RTO Projects Keeping PT Spread Sheet Costing Updated with current pricing (-to-RDC).msg", "Keeping PT Spread Sheet Costing Updated with current pricing")</f>
        <v>Keeping PT Spread Sheet Costing Updated with current pricing</v>
      </c>
      <c r="K1860" s="25"/>
      <c r="L1860" s="19"/>
      <c r="M1860" s="20"/>
      <c r="N1860" s="21" t="s">
        <v>5933</v>
      </c>
    </row>
    <row r="1861" spans="1:14">
      <c r="A1861" s="12" t="s">
        <v>750</v>
      </c>
      <c r="B1861" s="13" t="s">
        <v>718</v>
      </c>
      <c r="C1861" s="14" t="s">
        <v>5934</v>
      </c>
      <c r="D1861" s="15">
        <v>41887.40525462963</v>
      </c>
      <c r="E1861" s="16" t="s">
        <v>16</v>
      </c>
      <c r="F1861" s="16" t="s">
        <v>16</v>
      </c>
      <c r="G1861" s="17" t="s">
        <v>790</v>
      </c>
      <c r="H1861" s="17" t="s">
        <v>5766</v>
      </c>
      <c r="I1861" s="13" t="s">
        <v>5935</v>
      </c>
      <c r="J1861" s="23" t="str">
        <f>HYPERLINK("CorLog\GHA\BEX\20140905 GHA BEX Residence Masonry - not use CLAY BRICK (RDC-to-RDC).msg", "Residence Masonry - not use CLAY BRICK")</f>
        <v>Residence Masonry - not use CLAY BRICK</v>
      </c>
      <c r="K1861" s="25" t="s">
        <v>1274</v>
      </c>
      <c r="L1861" s="19"/>
      <c r="M1861" s="20"/>
      <c r="N1861" s="21" t="s">
        <v>5936</v>
      </c>
    </row>
    <row r="1862" spans="1:14">
      <c r="A1862" s="12" t="s">
        <v>718</v>
      </c>
      <c r="B1862" s="13" t="s">
        <v>724</v>
      </c>
      <c r="C1862" s="14"/>
      <c r="D1862" s="15">
        <v>41887.319189814814</v>
      </c>
      <c r="E1862" s="16" t="s">
        <v>16</v>
      </c>
      <c r="F1862" s="16" t="s">
        <v>16</v>
      </c>
      <c r="G1862" s="17" t="s">
        <v>790</v>
      </c>
      <c r="H1862" s="17" t="s">
        <v>5766</v>
      </c>
      <c r="I1862" s="13" t="s">
        <v>5928</v>
      </c>
      <c r="J1862" s="23" t="str">
        <f>HYPERLINK("CorLog\GHA\BEX\20140905 GHA BEX Residence Masonry not use CLAY BRICK (RDC-to-RDC).msg", "Residence Masonry not use CLAY BRICK")</f>
        <v>Residence Masonry not use CLAY BRICK</v>
      </c>
      <c r="K1862" s="25" t="s">
        <v>1626</v>
      </c>
      <c r="L1862" s="19"/>
      <c r="M1862" s="20"/>
      <c r="N1862" s="21" t="s">
        <v>5937</v>
      </c>
    </row>
    <row r="1863" spans="1:14">
      <c r="A1863" s="12" t="s">
        <v>2016</v>
      </c>
      <c r="B1863" s="13" t="s">
        <v>1818</v>
      </c>
      <c r="C1863" s="14" t="s">
        <v>718</v>
      </c>
      <c r="D1863" s="15">
        <v>41886.581157407411</v>
      </c>
      <c r="E1863" s="16" t="s">
        <v>16</v>
      </c>
      <c r="F1863" s="16" t="s">
        <v>16</v>
      </c>
      <c r="G1863" s="17" t="s">
        <v>785</v>
      </c>
      <c r="H1863" s="17" t="s">
        <v>5938</v>
      </c>
      <c r="I1863" s="13" t="s">
        <v>5939</v>
      </c>
      <c r="J1863" s="23" t="str">
        <f>HYPERLINK("CorLog\COD\Lubumbashi RTO\20140904 COD Lubumbashi RTO COD-18 Lubumbashi RTO levels (RDC-to-RDC).msg", "COD-18 Lubumbashi RTO levels")</f>
        <v>COD-18 Lubumbashi RTO levels</v>
      </c>
      <c r="K1863" s="25"/>
      <c r="L1863" s="19"/>
      <c r="M1863" s="20"/>
      <c r="N1863" s="21" t="s">
        <v>5940</v>
      </c>
    </row>
    <row r="1864" spans="1:14">
      <c r="A1864" s="12" t="s">
        <v>750</v>
      </c>
      <c r="B1864" s="13" t="s">
        <v>842</v>
      </c>
      <c r="C1864" s="14" t="s">
        <v>5941</v>
      </c>
      <c r="D1864" s="15">
        <v>41885.829004629632</v>
      </c>
      <c r="E1864" s="16" t="s">
        <v>16</v>
      </c>
      <c r="F1864" s="16" t="s">
        <v>21</v>
      </c>
      <c r="G1864" s="17" t="s">
        <v>790</v>
      </c>
      <c r="H1864" s="17" t="s">
        <v>2895</v>
      </c>
      <c r="I1864" s="13" t="s">
        <v>5837</v>
      </c>
      <c r="J1864" s="23" t="str">
        <f>HYPERLINK("CorLog\GHA\BEX\20140903 GHA BEX Electrical fence install G4S SECURITY PROPOSAL - WATCH TOWER (zoning, raise height) (RDC-to-GHA).msg", "Electrical fence install G4S SECURITY PROPOSAL - WATCH TOWER (zoning, raise height)")</f>
        <v>Electrical fence install G4S SECURITY PROPOSAL - WATCH TOWER (zoning, raise height)</v>
      </c>
      <c r="K1864" s="25" t="s">
        <v>2796</v>
      </c>
      <c r="L1864" s="19" t="s">
        <v>3083</v>
      </c>
      <c r="M1864" s="20"/>
      <c r="N1864" s="21" t="s">
        <v>5942</v>
      </c>
    </row>
    <row r="1865" spans="1:14">
      <c r="A1865" s="12"/>
      <c r="B1865" s="13"/>
      <c r="C1865" s="14"/>
      <c r="D1865" s="15">
        <v>41885.774571759262</v>
      </c>
      <c r="E1865" s="16" t="s">
        <v>16</v>
      </c>
      <c r="F1865" s="16" t="s">
        <v>16</v>
      </c>
      <c r="G1865" s="17" t="s">
        <v>30</v>
      </c>
      <c r="H1865" s="17" t="s">
        <v>759</v>
      </c>
      <c r="I1865" s="13" t="s">
        <v>5943</v>
      </c>
      <c r="J1865" s="23" t="str">
        <f>HYPERLINK("CorLog\ALL\20140903 ALL Procedure for Reviewing Engineering Documents with (RDC-to-RDC).docx", "Procedure for Reviewing Engineering Documents with")</f>
        <v>Procedure for Reviewing Engineering Documents with</v>
      </c>
      <c r="K1865" s="25"/>
      <c r="L1865" s="19" t="s">
        <v>5944</v>
      </c>
      <c r="M1865" s="20"/>
      <c r="N1865" s="21"/>
    </row>
    <row r="1866" spans="1:14">
      <c r="A1866" s="12" t="s">
        <v>2016</v>
      </c>
      <c r="B1866" s="13" t="s">
        <v>750</v>
      </c>
      <c r="C1866" s="14" t="s">
        <v>5945</v>
      </c>
      <c r="D1866" s="15">
        <v>41885.758217592593</v>
      </c>
      <c r="E1866" s="16" t="s">
        <v>16</v>
      </c>
      <c r="F1866" s="16" t="s">
        <v>16</v>
      </c>
      <c r="G1866" s="17" t="s">
        <v>1169</v>
      </c>
      <c r="H1866" s="17" t="s">
        <v>5750</v>
      </c>
      <c r="I1866" s="13" t="s">
        <v>5946</v>
      </c>
      <c r="J1866" s="23" t="str">
        <f>HYPERLINK("CorLog\COD\Kikwit RTO\20140903 COD Kikwit RTO WSP Civil - Layerworks Compaction Specs etc (RDC-to-RDC).msg", "WSP Civil - Layerworks Compaction Specs etc")</f>
        <v>WSP Civil - Layerworks Compaction Specs etc</v>
      </c>
      <c r="K1866" s="25" t="s">
        <v>1211</v>
      </c>
      <c r="L1866" s="19" t="s">
        <v>5947</v>
      </c>
      <c r="M1866" s="20"/>
      <c r="N1866" s="21" t="s">
        <v>5948</v>
      </c>
    </row>
    <row r="1867" spans="1:14">
      <c r="A1867" s="12" t="s">
        <v>750</v>
      </c>
      <c r="B1867" s="13" t="s">
        <v>2016</v>
      </c>
      <c r="C1867" s="14" t="s">
        <v>5945</v>
      </c>
      <c r="D1867" s="15">
        <v>41885.720601851855</v>
      </c>
      <c r="E1867" s="16" t="s">
        <v>16</v>
      </c>
      <c r="F1867" s="16" t="s">
        <v>16</v>
      </c>
      <c r="G1867" s="17" t="s">
        <v>1169</v>
      </c>
      <c r="H1867" s="17" t="s">
        <v>5949</v>
      </c>
      <c r="I1867" s="13" t="s">
        <v>5950</v>
      </c>
      <c r="J1867" s="23" t="str">
        <f>HYPERLINK("CorLog\COD\Kikwit RTO\20140903 COD Kikwit RTO Civil Layerworks Compaction Specs etc (RDC-to-RDC).msg", "Civil Layerworks Compaction Specs etc")</f>
        <v>Civil Layerworks Compaction Specs etc</v>
      </c>
      <c r="K1867" s="25" t="s">
        <v>1499</v>
      </c>
      <c r="L1867" s="19"/>
      <c r="M1867" s="20"/>
      <c r="N1867" s="21" t="s">
        <v>5951</v>
      </c>
    </row>
    <row r="1868" spans="1:14">
      <c r="A1868" s="12" t="s">
        <v>750</v>
      </c>
      <c r="B1868" s="13" t="s">
        <v>916</v>
      </c>
      <c r="C1868" s="14" t="s">
        <v>718</v>
      </c>
      <c r="D1868" s="15">
        <v>41885.6094212963</v>
      </c>
      <c r="E1868" s="16" t="s">
        <v>16</v>
      </c>
      <c r="F1868" s="16" t="s">
        <v>16</v>
      </c>
      <c r="G1868" s="17" t="s">
        <v>790</v>
      </c>
      <c r="H1868" s="17" t="s">
        <v>854</v>
      </c>
      <c r="I1868" s="13" t="s">
        <v>5952</v>
      </c>
      <c r="J1868" s="23" t="str">
        <f>HYPERLINK("CorLog\GHA\BEX\20140903 GHA BEX RFI STRUCT - Questions on BRICK WALL CONSTRUCTION on Resi 3 2; 3 3; 4 2 in Linnk Corridor (RDC-to-RDC).msg", "RFI STRUCT - Questions on BRICK WALL CONSTRUCTION on Resi 3 2; 3 3; 4 2 in Linnk Corridor")</f>
        <v>RFI STRUCT - Questions on BRICK WALL CONSTRUCTION on Resi 3 2; 3 3; 4 2 in Linnk Corridor</v>
      </c>
      <c r="K1868" s="25" t="s">
        <v>5137</v>
      </c>
      <c r="L1868" s="19"/>
      <c r="M1868" s="20"/>
      <c r="N1868" s="21" t="s">
        <v>5953</v>
      </c>
    </row>
    <row r="1869" spans="1:14">
      <c r="A1869" s="12" t="s">
        <v>2016</v>
      </c>
      <c r="B1869" s="13" t="s">
        <v>5954</v>
      </c>
      <c r="C1869" s="14" t="s">
        <v>5955</v>
      </c>
      <c r="D1869" s="15">
        <v>41885.4140625</v>
      </c>
      <c r="E1869" s="16" t="s">
        <v>16</v>
      </c>
      <c r="F1869" s="16" t="s">
        <v>22</v>
      </c>
      <c r="G1869" s="17" t="s">
        <v>2022</v>
      </c>
      <c r="H1869" s="17" t="s">
        <v>2022</v>
      </c>
      <c r="I1869" s="13" t="s">
        <v>5956</v>
      </c>
      <c r="J1869" s="23" t="str">
        <f>HYPERLINK("CorLog\Directive\20140903 Directive Ebola and Minimum Precautions (RDC-to-COD).msg", "Ebola and Minimum Precautions")</f>
        <v>Ebola and Minimum Precautions</v>
      </c>
      <c r="K1869" s="25" t="s">
        <v>1270</v>
      </c>
      <c r="L1869" s="19"/>
      <c r="M1869" s="20"/>
      <c r="N1869" s="21" t="s">
        <v>5957</v>
      </c>
    </row>
    <row r="1870" spans="1:14">
      <c r="A1870" s="12" t="s">
        <v>750</v>
      </c>
      <c r="B1870" s="13" t="s">
        <v>916</v>
      </c>
      <c r="C1870" s="14"/>
      <c r="D1870" s="15">
        <v>41885.365868055553</v>
      </c>
      <c r="E1870" s="16" t="s">
        <v>16</v>
      </c>
      <c r="F1870" s="16" t="s">
        <v>16</v>
      </c>
      <c r="G1870" s="17" t="s">
        <v>790</v>
      </c>
      <c r="H1870" s="17" t="s">
        <v>5766</v>
      </c>
      <c r="I1870" s="13" t="s">
        <v>5958</v>
      </c>
      <c r="J1870" s="23" t="str">
        <f>HYPERLINK("CorLog\GHA\BEX\20140903 GHA BEX RFI STRUCT - Questions on BRICK WALL CONSTRUCTION on Resi 3 2; 3 3; 4 2 (RDC-to-RDC).msg", "RFI STRUCT - Questions on BRICK WALL CONSTRUCTION on Resi 3 2; 3 3; 4 2")</f>
        <v>RFI STRUCT - Questions on BRICK WALL CONSTRUCTION on Resi 3 2; 3 3; 4 2</v>
      </c>
      <c r="K1870" s="25" t="s">
        <v>4757</v>
      </c>
      <c r="L1870" s="19"/>
      <c r="M1870" s="20"/>
      <c r="N1870" s="21" t="s">
        <v>5959</v>
      </c>
    </row>
    <row r="1871" spans="1:14">
      <c r="A1871" s="12" t="s">
        <v>750</v>
      </c>
      <c r="B1871" s="13" t="s">
        <v>771</v>
      </c>
      <c r="C1871" s="14" t="s">
        <v>5960</v>
      </c>
      <c r="D1871" s="15">
        <v>41885.340104166666</v>
      </c>
      <c r="E1871" s="16" t="s">
        <v>16</v>
      </c>
      <c r="F1871" s="16" t="s">
        <v>17</v>
      </c>
      <c r="G1871" s="17" t="s">
        <v>738</v>
      </c>
      <c r="H1871" s="17" t="s">
        <v>2339</v>
      </c>
      <c r="I1871" s="13" t="s">
        <v>5961</v>
      </c>
      <c r="J1871" s="23" t="str">
        <f>HYPERLINK("CorLog\GHA\BEX 2\20140903 GHA BEX 2 Phase 2 LT BEX - how to pay WSP and MRH (RDC-to-WDC).msg", "Phase 2 LT BEX - how to pay WSP and MRH")</f>
        <v>Phase 2 LT BEX - how to pay WSP and MRH</v>
      </c>
      <c r="K1871" s="25"/>
      <c r="L1871" s="19" t="s">
        <v>5962</v>
      </c>
      <c r="M1871" s="20"/>
      <c r="N1871" s="21" t="s">
        <v>5963</v>
      </c>
    </row>
    <row r="1872" spans="1:14">
      <c r="A1872" s="12" t="s">
        <v>2016</v>
      </c>
      <c r="B1872" s="13" t="s">
        <v>718</v>
      </c>
      <c r="C1872" s="14"/>
      <c r="D1872" s="15">
        <v>41884.694201388891</v>
      </c>
      <c r="E1872" s="16" t="s">
        <v>16</v>
      </c>
      <c r="F1872" s="16" t="s">
        <v>16</v>
      </c>
      <c r="G1872" s="17" t="s">
        <v>3982</v>
      </c>
      <c r="H1872" s="17" t="s">
        <v>5964</v>
      </c>
      <c r="I1872" s="13" t="s">
        <v>5965</v>
      </c>
      <c r="J1872" s="23" t="str">
        <f>HYPERLINK("CorLog\COD\Mbuji-Mayi RTO\20140902 COD Mbuji-Mayi RTO Local Costs for CPP (RDC-to-RDC).msg", "Local Costs for CPP")</f>
        <v>Local Costs for CPP</v>
      </c>
      <c r="K1872" s="25" t="s">
        <v>1211</v>
      </c>
      <c r="L1872" s="19"/>
      <c r="M1872" s="20"/>
      <c r="N1872" s="21" t="s">
        <v>5966</v>
      </c>
    </row>
    <row r="1873" spans="1:14">
      <c r="A1873" s="12" t="s">
        <v>750</v>
      </c>
      <c r="B1873" s="13" t="s">
        <v>5413</v>
      </c>
      <c r="C1873" s="14" t="s">
        <v>5967</v>
      </c>
      <c r="D1873" s="15">
        <v>41884.683310185188</v>
      </c>
      <c r="E1873" s="16" t="s">
        <v>16</v>
      </c>
      <c r="F1873" s="16" t="s">
        <v>21</v>
      </c>
      <c r="G1873" s="17" t="s">
        <v>790</v>
      </c>
      <c r="H1873" s="17" t="s">
        <v>3275</v>
      </c>
      <c r="I1873" s="13" t="s">
        <v>5968</v>
      </c>
      <c r="J1873" s="23" t="str">
        <f>HYPERLINK("CorLog\GHA\BEX\20140902 GHA BEX P-602 borehole details (RDC-to-GHA).msg", "P-602 borehole details")</f>
        <v>P-602 borehole details</v>
      </c>
      <c r="K1873" s="25" t="s">
        <v>1243</v>
      </c>
      <c r="L1873" s="19"/>
      <c r="M1873" s="20"/>
      <c r="N1873" s="21" t="s">
        <v>5969</v>
      </c>
    </row>
    <row r="1874" spans="1:14">
      <c r="A1874" s="12" t="s">
        <v>1181</v>
      </c>
      <c r="B1874" s="13" t="s">
        <v>5970</v>
      </c>
      <c r="C1874" s="14" t="s">
        <v>5971</v>
      </c>
      <c r="D1874" s="15">
        <v>41884.662361111114</v>
      </c>
      <c r="E1874" s="16" t="s">
        <v>16</v>
      </c>
      <c r="F1874" s="16" t="s">
        <v>16</v>
      </c>
      <c r="G1874" s="17" t="s">
        <v>979</v>
      </c>
      <c r="H1874" s="17" t="s">
        <v>1426</v>
      </c>
      <c r="I1874" s="13" t="s">
        <v>5972</v>
      </c>
      <c r="J1874" s="23" t="str">
        <f>HYPERLINK("CorLog\RTO\Projects\20140902 RTO Projects Change to Lock Cylinder Lengths (RDC-to-RDC).msg", "Change to Lock Cylinder Lengths")</f>
        <v>Change to Lock Cylinder Lengths</v>
      </c>
      <c r="K1874" s="25" t="s">
        <v>1499</v>
      </c>
      <c r="L1874" s="19"/>
      <c r="M1874" s="20"/>
      <c r="N1874" s="21" t="s">
        <v>5973</v>
      </c>
    </row>
    <row r="1875" spans="1:14">
      <c r="A1875" s="12" t="s">
        <v>821</v>
      </c>
      <c r="B1875" s="13" t="s">
        <v>750</v>
      </c>
      <c r="C1875" s="14" t="s">
        <v>5974</v>
      </c>
      <c r="D1875" s="15">
        <v>41884.636689814812</v>
      </c>
      <c r="E1875" s="16" t="s">
        <v>21</v>
      </c>
      <c r="F1875" s="16" t="s">
        <v>16</v>
      </c>
      <c r="G1875" s="17" t="s">
        <v>738</v>
      </c>
      <c r="H1875" s="17" t="s">
        <v>5148</v>
      </c>
      <c r="I1875" s="13" t="s">
        <v>5975</v>
      </c>
      <c r="J1875" s="23" t="str">
        <f>HYPERLINK("CorLog\GHA\BEX 2\20140902 GHA BEX 2 GPPV 131 - GHA PV (Solar) Power (GHA-to-RDC).msg", "GPPV 131 - GHA PV (Solar) Power")</f>
        <v>GPPV 131 - GHA PV (Solar) Power</v>
      </c>
      <c r="K1875" s="25" t="s">
        <v>1243</v>
      </c>
      <c r="L1875" s="19" t="s">
        <v>5976</v>
      </c>
      <c r="M1875" s="20"/>
      <c r="N1875" s="21" t="s">
        <v>5977</v>
      </c>
    </row>
    <row r="1876" spans="1:14">
      <c r="A1876" s="12" t="s">
        <v>795</v>
      </c>
      <c r="B1876" s="13" t="s">
        <v>750</v>
      </c>
      <c r="C1876" s="14" t="s">
        <v>5978</v>
      </c>
      <c r="D1876" s="15">
        <v>41884.627939814818</v>
      </c>
      <c r="E1876" s="16" t="s">
        <v>16</v>
      </c>
      <c r="F1876" s="16" t="s">
        <v>16</v>
      </c>
      <c r="G1876" s="17" t="s">
        <v>790</v>
      </c>
      <c r="H1876" s="17" t="s">
        <v>1489</v>
      </c>
      <c r="I1876" s="13" t="s">
        <v>5979</v>
      </c>
      <c r="J1876" s="23" t="str">
        <f>HYPERLINK("CorLog\GHA\BEX\20140902 GHA BEX Proposal for drainage venting; residence building (Answered) (RDC-to-RDC).msg", "Proposal for drainage venting; residence building (Answered)")</f>
        <v>Proposal for drainage venting; residence building (Answered)</v>
      </c>
      <c r="K1876" s="25" t="s">
        <v>1499</v>
      </c>
      <c r="L1876" s="19"/>
      <c r="M1876" s="20"/>
      <c r="N1876" s="21" t="s">
        <v>5980</v>
      </c>
    </row>
    <row r="1877" spans="1:14">
      <c r="A1877" s="12" t="s">
        <v>750</v>
      </c>
      <c r="B1877" s="13" t="s">
        <v>718</v>
      </c>
      <c r="C1877" s="14"/>
      <c r="D1877" s="15">
        <v>41884.612719907411</v>
      </c>
      <c r="E1877" s="16" t="s">
        <v>16</v>
      </c>
      <c r="F1877" s="16" t="s">
        <v>16</v>
      </c>
      <c r="G1877" s="17" t="s">
        <v>790</v>
      </c>
      <c r="H1877" s="17" t="s">
        <v>3009</v>
      </c>
      <c r="I1877" s="13" t="s">
        <v>5739</v>
      </c>
      <c r="J1877" s="23" t="str">
        <f>HYPERLINK("CorLog\GHA\BEX\20140902 GHA BEX Workflow for Changeover to New Generators_DB_Switchgear (MINUTES) (RDC-to-RDC).msg", "Workflow for Changeover to New Generators_DB_Switchgear (MINUTES)")</f>
        <v>Workflow for Changeover to New Generators_DB_Switchgear (MINUTES)</v>
      </c>
      <c r="K1877" s="25"/>
      <c r="L1877" s="19"/>
      <c r="M1877" s="20"/>
      <c r="N1877" s="21" t="s">
        <v>5981</v>
      </c>
    </row>
    <row r="1878" spans="1:14">
      <c r="A1878" s="12" t="s">
        <v>750</v>
      </c>
      <c r="B1878" s="13" t="s">
        <v>1187</v>
      </c>
      <c r="C1878" s="14" t="s">
        <v>5982</v>
      </c>
      <c r="D1878" s="15">
        <v>41884.554699074077</v>
      </c>
      <c r="E1878" s="16" t="s">
        <v>16</v>
      </c>
      <c r="F1878" s="16" t="s">
        <v>15</v>
      </c>
      <c r="G1878" s="17" t="s">
        <v>790</v>
      </c>
      <c r="H1878" s="17" t="s">
        <v>947</v>
      </c>
      <c r="I1878" s="13" t="s">
        <v>5983</v>
      </c>
      <c r="J1878" s="23" t="str">
        <f>HYPERLINK("CorLog\GHA\BEX\20140902 GHA BEX Creek Box Culvert - Peer Review (WSP QUOTE) (RDC-to-ZAF).msg", "Creek Box Culvert - Peer Review (WSP QUOTE)")</f>
        <v>Creek Box Culvert - Peer Review (WSP QUOTE)</v>
      </c>
      <c r="K1878" s="25" t="s">
        <v>1243</v>
      </c>
      <c r="L1878" s="19"/>
      <c r="M1878" s="20"/>
      <c r="N1878" s="21" t="s">
        <v>5984</v>
      </c>
    </row>
    <row r="1879" spans="1:14">
      <c r="A1879" s="12" t="s">
        <v>3854</v>
      </c>
      <c r="B1879" s="13" t="s">
        <v>2612</v>
      </c>
      <c r="C1879" s="14" t="s">
        <v>5985</v>
      </c>
      <c r="D1879" s="15">
        <v>41884.52171296296</v>
      </c>
      <c r="E1879" s="16" t="s">
        <v>26</v>
      </c>
      <c r="F1879" s="16" t="s">
        <v>21</v>
      </c>
      <c r="G1879" s="17" t="s">
        <v>790</v>
      </c>
      <c r="H1879" s="17" t="s">
        <v>829</v>
      </c>
      <c r="I1879" s="13" t="s">
        <v>5986</v>
      </c>
      <c r="J1879" s="23" t="str">
        <f>HYPERLINK("CorLog\GHA\BEX\20140902 GHA BEX NLBR -4421, 4422, 4423 &amp; 4424 ADJUSTED ORDERS (GBR-to-GHA).msg", "NLBR -4421, 4422, 4423 &amp; 4424 ADJUSTED ORDERS")</f>
        <v>NLBR -4421, 4422, 4423 &amp; 4424 ADJUSTED ORDERS</v>
      </c>
      <c r="K1879" s="25" t="s">
        <v>1274</v>
      </c>
      <c r="L1879" s="19"/>
      <c r="M1879" s="20"/>
      <c r="N1879" s="21" t="s">
        <v>5987</v>
      </c>
    </row>
    <row r="1880" spans="1:14">
      <c r="A1880" s="12" t="s">
        <v>750</v>
      </c>
      <c r="B1880" s="13" t="s">
        <v>5988</v>
      </c>
      <c r="C1880" s="14" t="s">
        <v>718</v>
      </c>
      <c r="D1880" s="15">
        <v>41884.408912037034</v>
      </c>
      <c r="E1880" s="16" t="s">
        <v>16</v>
      </c>
      <c r="F1880" s="16" t="s">
        <v>15</v>
      </c>
      <c r="G1880" s="17" t="s">
        <v>738</v>
      </c>
      <c r="H1880" s="17" t="s">
        <v>5750</v>
      </c>
      <c r="I1880" s="13" t="s">
        <v>5989</v>
      </c>
      <c r="J1880" s="23" t="str">
        <f>HYPERLINK("CorLog\GHA\BEX 2\20140902 GHA BEX 2 MRH QUOTE (CDP and AFC) (RDC-to-).msg", "MRH QUOTE (CDP and AFC)")</f>
        <v>MRH QUOTE (CDP and AFC)</v>
      </c>
      <c r="K1880" s="25" t="s">
        <v>1243</v>
      </c>
      <c r="L1880" s="19"/>
      <c r="M1880" s="20"/>
      <c r="N1880" s="21" t="s">
        <v>5990</v>
      </c>
    </row>
    <row r="1881" spans="1:14">
      <c r="A1881" s="12" t="s">
        <v>723</v>
      </c>
      <c r="B1881" s="13" t="s">
        <v>750</v>
      </c>
      <c r="C1881" s="14" t="s">
        <v>5991</v>
      </c>
      <c r="D1881" s="15">
        <v>41884.385185185187</v>
      </c>
      <c r="E1881" s="16" t="s">
        <v>16</v>
      </c>
      <c r="F1881" s="16" t="s">
        <v>16</v>
      </c>
      <c r="G1881" s="17" t="s">
        <v>738</v>
      </c>
      <c r="H1881" s="17" t="s">
        <v>5992</v>
      </c>
      <c r="I1881" s="13" t="s">
        <v>5993</v>
      </c>
      <c r="J1881" s="23" t="str">
        <f>HYPERLINK("CorLog\GHA\BEX 2\20140902 GHA BEX 2 WSP QUOTE (CDP and AFC) (RDC-to-RDC).msg", "WSP QUOTE (CDP and AFC)")</f>
        <v>WSP QUOTE (CDP and AFC)</v>
      </c>
      <c r="K1881" s="25" t="s">
        <v>1211</v>
      </c>
      <c r="L1881" s="19" t="s">
        <v>5994</v>
      </c>
      <c r="M1881" s="20"/>
      <c r="N1881" s="21" t="s">
        <v>5995</v>
      </c>
    </row>
    <row r="1882" spans="1:14">
      <c r="A1882" s="12" t="s">
        <v>4265</v>
      </c>
      <c r="B1882" s="13" t="s">
        <v>2016</v>
      </c>
      <c r="C1882" s="14" t="s">
        <v>5996</v>
      </c>
      <c r="D1882" s="15">
        <v>41883.626527777778</v>
      </c>
      <c r="E1882" s="16" t="s">
        <v>15</v>
      </c>
      <c r="F1882" s="16" t="s">
        <v>16</v>
      </c>
      <c r="G1882" s="17" t="s">
        <v>1169</v>
      </c>
      <c r="H1882" s="17" t="s">
        <v>3314</v>
      </c>
      <c r="I1882" s="13" t="s">
        <v>5997</v>
      </c>
      <c r="J1882" s="23" t="str">
        <f>HYPERLINK("CorLog\COD\Kikwit RTO\20140901 COD Kikwit RTO WSP Civil update, questions (-to-RDC).msg", "WSP Civil update, questions")</f>
        <v>WSP Civil update, questions</v>
      </c>
      <c r="K1882" s="25" t="s">
        <v>1211</v>
      </c>
      <c r="L1882" s="19"/>
      <c r="M1882" s="20"/>
      <c r="N1882" s="21" t="s">
        <v>5998</v>
      </c>
    </row>
    <row r="1883" spans="1:14">
      <c r="A1883" s="12" t="s">
        <v>1187</v>
      </c>
      <c r="B1883" s="13" t="s">
        <v>2016</v>
      </c>
      <c r="C1883" s="14" t="s">
        <v>5999</v>
      </c>
      <c r="D1883" s="15">
        <v>41883.464166666665</v>
      </c>
      <c r="E1883" s="16" t="s">
        <v>15</v>
      </c>
      <c r="F1883" s="16" t="s">
        <v>16</v>
      </c>
      <c r="G1883" s="17" t="s">
        <v>1169</v>
      </c>
      <c r="H1883" s="17" t="s">
        <v>3314</v>
      </c>
      <c r="I1883" s="13" t="s">
        <v>6000</v>
      </c>
      <c r="J1883" s="23" t="str">
        <f>HYPERLINK("CorLog\COD\Kikwit RTO\20140901 COD Kikwit RTO CIVIL Package by WSP (-to-RDC).msg", "CIVIL Package by WSP")</f>
        <v>CIVIL Package by WSP</v>
      </c>
      <c r="K1883" s="25" t="s">
        <v>1243</v>
      </c>
      <c r="L1883" s="19"/>
      <c r="M1883" s="20"/>
      <c r="N1883" s="21" t="s">
        <v>6001</v>
      </c>
    </row>
    <row r="1884" spans="1:14">
      <c r="A1884" s="12" t="s">
        <v>4376</v>
      </c>
      <c r="B1884" s="13"/>
      <c r="C1884" s="14"/>
      <c r="D1884" s="15">
        <v>41883</v>
      </c>
      <c r="E1884" s="16" t="s">
        <v>25</v>
      </c>
      <c r="F1884" s="16" t="s">
        <v>30</v>
      </c>
      <c r="G1884" s="17" t="s">
        <v>719</v>
      </c>
      <c r="H1884" s="17" t="s">
        <v>781</v>
      </c>
      <c r="I1884" s="13" t="s">
        <v>6002</v>
      </c>
      <c r="J1884" s="23" t="str">
        <f>HYPERLINK("CorLog\Reference\20140901 ALL Local volunteers who serve on theocratic construction projects (WHQ-to-ALL).doc", "Local volunteers who serve on theocratic construction projects")</f>
        <v>Local volunteers who serve on theocratic construction projects</v>
      </c>
      <c r="K1884" s="25"/>
      <c r="L1884" s="19" t="s">
        <v>6003</v>
      </c>
      <c r="M1884" s="20"/>
      <c r="N1884" s="21" t="s">
        <v>6004</v>
      </c>
    </row>
    <row r="1885" spans="1:14">
      <c r="A1885" s="12" t="s">
        <v>750</v>
      </c>
      <c r="B1885" s="13" t="s">
        <v>718</v>
      </c>
      <c r="C1885" s="14" t="s">
        <v>795</v>
      </c>
      <c r="D1885" s="15">
        <v>41880.726469907408</v>
      </c>
      <c r="E1885" s="16" t="s">
        <v>16</v>
      </c>
      <c r="F1885" s="16" t="s">
        <v>16</v>
      </c>
      <c r="G1885" s="17" t="s">
        <v>790</v>
      </c>
      <c r="H1885" s="17" t="s">
        <v>829</v>
      </c>
      <c r="I1885" s="13" t="s">
        <v>6005</v>
      </c>
      <c r="J1885" s="23" t="str">
        <f>HYPERLINK("CorLog\GHA\BEX\20140829 GHA BEX NLBR -49147; -49291 - Mechanical Plumbing Order (RDC-to-RDC).msg", "NLBR -49147; -49291 - Mechanical Plumbing Order")</f>
        <v>NLBR -49147; -49291 - Mechanical Plumbing Order</v>
      </c>
      <c r="K1885" s="25" t="s">
        <v>1499</v>
      </c>
      <c r="L1885" s="19" t="s">
        <v>3083</v>
      </c>
      <c r="M1885" s="20"/>
      <c r="N1885" s="21" t="s">
        <v>6006</v>
      </c>
    </row>
    <row r="1886" spans="1:14">
      <c r="A1886" s="12" t="s">
        <v>750</v>
      </c>
      <c r="B1886" s="13" t="s">
        <v>1258</v>
      </c>
      <c r="C1886" s="14" t="s">
        <v>718</v>
      </c>
      <c r="D1886" s="15">
        <v>41880.676770833335</v>
      </c>
      <c r="E1886" s="16" t="s">
        <v>16</v>
      </c>
      <c r="F1886" s="16" t="s">
        <v>16</v>
      </c>
      <c r="G1886" s="17" t="s">
        <v>790</v>
      </c>
      <c r="H1886" s="17" t="s">
        <v>854</v>
      </c>
      <c r="I1886" s="13" t="s">
        <v>6007</v>
      </c>
      <c r="J1886" s="23" t="str">
        <f>HYPERLINK("CorLog\GHA\BEX\20140829 GHA BEX GHA Facades - Face Brick vs Tyrolean (RDC-to-RDC).msg", "GHA Facades - Face Brick vs Tyrolean")</f>
        <v>GHA Facades - Face Brick vs Tyrolean</v>
      </c>
      <c r="K1886" s="25" t="s">
        <v>1243</v>
      </c>
      <c r="L1886" s="19" t="s">
        <v>6008</v>
      </c>
      <c r="M1886" s="20"/>
      <c r="N1886" s="21" t="s">
        <v>6009</v>
      </c>
    </row>
    <row r="1887" spans="1:14">
      <c r="A1887" s="12" t="s">
        <v>2016</v>
      </c>
      <c r="B1887" s="13" t="s">
        <v>2431</v>
      </c>
      <c r="C1887" s="14" t="s">
        <v>6010</v>
      </c>
      <c r="D1887" s="15">
        <v>41880.5390162037</v>
      </c>
      <c r="E1887" s="16" t="s">
        <v>16</v>
      </c>
      <c r="F1887" s="16" t="s">
        <v>22</v>
      </c>
      <c r="G1887" s="17" t="s">
        <v>785</v>
      </c>
      <c r="H1887" s="17" t="s">
        <v>2175</v>
      </c>
      <c r="I1887" s="13" t="s">
        <v>6011</v>
      </c>
      <c r="J1887" s="23" t="str">
        <f>HYPERLINK("CorLog\COD\Lubumbashi RTO\20140829 COD Lubumbashi RTO Furniture that is presently in the temporary RTO in LSH (RDC-to-COD).msg", "Furniture that is presently in the temporary RTO in LSH")</f>
        <v>Furniture that is presently in the temporary RTO in LSH</v>
      </c>
      <c r="K1887" s="25" t="s">
        <v>1243</v>
      </c>
      <c r="L1887" s="19"/>
      <c r="M1887" s="20"/>
      <c r="N1887" s="21" t="s">
        <v>6012</v>
      </c>
    </row>
    <row r="1888" spans="1:14">
      <c r="A1888" s="12" t="s">
        <v>750</v>
      </c>
      <c r="B1888" s="13" t="s">
        <v>771</v>
      </c>
      <c r="C1888" s="14" t="s">
        <v>724</v>
      </c>
      <c r="D1888" s="15">
        <v>41880.532152777778</v>
      </c>
      <c r="E1888" s="16" t="s">
        <v>16</v>
      </c>
      <c r="F1888" s="16" t="s">
        <v>17</v>
      </c>
      <c r="G1888" s="17" t="s">
        <v>790</v>
      </c>
      <c r="H1888" s="17" t="s">
        <v>6013</v>
      </c>
      <c r="I1888" s="13" t="s">
        <v>6014</v>
      </c>
      <c r="J1888" s="23" t="str">
        <f>HYPERLINK("CorLog\GHA\BEX\20140829 GHA BEX Communication is improving (RDC-to-WDC).msg", "Communication is improving")</f>
        <v>Communication is improving</v>
      </c>
      <c r="K1888" s="25"/>
      <c r="L1888" s="19"/>
      <c r="M1888" s="20"/>
      <c r="N1888" s="21" t="s">
        <v>6015</v>
      </c>
    </row>
    <row r="1889" spans="1:14">
      <c r="A1889" s="12" t="s">
        <v>2195</v>
      </c>
      <c r="B1889" s="13" t="s">
        <v>724</v>
      </c>
      <c r="C1889" s="14" t="s">
        <v>6016</v>
      </c>
      <c r="D1889" s="15">
        <v>41878.842372685183</v>
      </c>
      <c r="E1889" s="16" t="s">
        <v>935</v>
      </c>
      <c r="F1889" s="16" t="s">
        <v>16</v>
      </c>
      <c r="G1889" s="17" t="s">
        <v>838</v>
      </c>
      <c r="H1889" s="17" t="s">
        <v>871</v>
      </c>
      <c r="I1889" s="13" t="s">
        <v>6017</v>
      </c>
      <c r="J1889" s="23" t="str">
        <f>HYPERLINK("CorLog\ZMB\Choma RTO\20140827 ZMB Choma RTO Procurement Plan (GPD-to-RDC).msg", "Procurement Plan")</f>
        <v>Procurement Plan</v>
      </c>
      <c r="K1889" s="25"/>
      <c r="L1889" s="19" t="s">
        <v>3083</v>
      </c>
      <c r="M1889" s="20"/>
      <c r="N1889" s="21" t="s">
        <v>6018</v>
      </c>
    </row>
    <row r="1890" spans="1:14">
      <c r="A1890" s="12" t="s">
        <v>750</v>
      </c>
      <c r="B1890" s="13" t="s">
        <v>2612</v>
      </c>
      <c r="C1890" s="14" t="s">
        <v>6019</v>
      </c>
      <c r="D1890" s="15">
        <v>41878.725011574075</v>
      </c>
      <c r="E1890" s="16" t="s">
        <v>16</v>
      </c>
      <c r="F1890" s="16" t="s">
        <v>21</v>
      </c>
      <c r="G1890" s="17" t="s">
        <v>790</v>
      </c>
      <c r="H1890" s="17" t="s">
        <v>5766</v>
      </c>
      <c r="I1890" s="13" t="s">
        <v>5935</v>
      </c>
      <c r="J1890" s="23" t="str">
        <f>HYPERLINK("CorLog\GHA\BEX\20140827 GHA BEX Residence Masonry - not use CLAY BRICK (RDC-to-GHA).msg", "Residence Masonry - not use CLAY BRICK")</f>
        <v>Residence Masonry - not use CLAY BRICK</v>
      </c>
      <c r="K1890" s="25" t="s">
        <v>1211</v>
      </c>
      <c r="L1890" s="19"/>
      <c r="M1890" s="20"/>
      <c r="N1890" s="21" t="s">
        <v>6020</v>
      </c>
    </row>
    <row r="1891" spans="1:14">
      <c r="A1891" s="12" t="s">
        <v>750</v>
      </c>
      <c r="B1891" s="13" t="s">
        <v>2612</v>
      </c>
      <c r="C1891" s="14" t="s">
        <v>6019</v>
      </c>
      <c r="D1891" s="15">
        <v>41878.725011574075</v>
      </c>
      <c r="E1891" s="16" t="s">
        <v>16</v>
      </c>
      <c r="F1891" s="16" t="s">
        <v>21</v>
      </c>
      <c r="G1891" s="17" t="s">
        <v>790</v>
      </c>
      <c r="H1891" s="17" t="s">
        <v>5766</v>
      </c>
      <c r="I1891" s="13" t="s">
        <v>5935</v>
      </c>
      <c r="J1891" s="23" t="str">
        <f>HYPERLINK("CorLog\GHA\BEX\20140827 GHA BEX Residence Masonry - not use CLAY BRICK (RDC-to-GHA).msg", "Residence Masonry - not use CLAY BRICK")</f>
        <v>Residence Masonry - not use CLAY BRICK</v>
      </c>
      <c r="K1891" s="25" t="s">
        <v>1211</v>
      </c>
      <c r="L1891" s="19"/>
      <c r="M1891" s="20"/>
      <c r="N1891" s="21" t="s">
        <v>6020</v>
      </c>
    </row>
    <row r="1892" spans="1:14">
      <c r="A1892" s="12" t="s">
        <v>750</v>
      </c>
      <c r="B1892" s="13" t="s">
        <v>1187</v>
      </c>
      <c r="C1892" s="14" t="s">
        <v>2042</v>
      </c>
      <c r="D1892" s="15">
        <v>41878.719942129632</v>
      </c>
      <c r="E1892" s="16" t="s">
        <v>16</v>
      </c>
      <c r="F1892" s="16" t="s">
        <v>15</v>
      </c>
      <c r="G1892" s="17" t="s">
        <v>738</v>
      </c>
      <c r="H1892" s="17" t="s">
        <v>6021</v>
      </c>
      <c r="I1892" s="13" t="s">
        <v>6022</v>
      </c>
      <c r="J1892" s="23" t="str">
        <f>HYPERLINK("CorLog\GHA\BEX 2\20140827 GHA BEX 2 WSP for Civil, MRH for Structural (Design-Drafting) (RDC-to-ZAF).msg", "WSP for Civil, MRH for Structural (Design-Drafting)")</f>
        <v>WSP for Civil, MRH for Structural (Design-Drafting)</v>
      </c>
      <c r="K1892" s="25" t="s">
        <v>1270</v>
      </c>
      <c r="L1892" s="19"/>
      <c r="M1892" s="20"/>
      <c r="N1892" s="21" t="s">
        <v>6023</v>
      </c>
    </row>
    <row r="1893" spans="1:14">
      <c r="A1893" s="12" t="s">
        <v>2016</v>
      </c>
      <c r="B1893" s="13" t="s">
        <v>1969</v>
      </c>
      <c r="C1893" s="14" t="s">
        <v>6024</v>
      </c>
      <c r="D1893" s="15">
        <v>41878.495162037034</v>
      </c>
      <c r="E1893" s="16" t="s">
        <v>16</v>
      </c>
      <c r="F1893" s="16" t="s">
        <v>22</v>
      </c>
      <c r="G1893" s="17" t="s">
        <v>2627</v>
      </c>
      <c r="H1893" s="17" t="s">
        <v>829</v>
      </c>
      <c r="I1893" s="13" t="s">
        <v>6025</v>
      </c>
      <c r="J1893" s="23" t="str">
        <f>HYPERLINK("CorLog\COD\Kamina RTO\20140827 COD Kamina RTO NLBR COD 6793 - SIKAFLEX AT FAÇADE (Use PRO 3) (RDC-to-COD).msg", "NLBR COD 6793 - SIKAFLEX AT FAÇADE (Use PRO 3)")</f>
        <v>NLBR COD 6793 - SIKAFLEX AT FAÇADE (Use PRO 3)</v>
      </c>
      <c r="K1893" s="25" t="s">
        <v>1243</v>
      </c>
      <c r="L1893" s="19"/>
      <c r="M1893" s="20"/>
      <c r="N1893" s="21" t="s">
        <v>6026</v>
      </c>
    </row>
    <row r="1894" spans="1:14">
      <c r="A1894" s="12" t="s">
        <v>1176</v>
      </c>
      <c r="B1894" s="13" t="s">
        <v>750</v>
      </c>
      <c r="C1894" s="14" t="s">
        <v>6027</v>
      </c>
      <c r="D1894" s="15">
        <v>41878.477662037039</v>
      </c>
      <c r="E1894" s="16" t="s">
        <v>16</v>
      </c>
      <c r="F1894" s="16" t="s">
        <v>16</v>
      </c>
      <c r="G1894" s="17" t="s">
        <v>30</v>
      </c>
      <c r="H1894" s="17" t="s">
        <v>6028</v>
      </c>
      <c r="I1894" s="13" t="s">
        <v>6029</v>
      </c>
      <c r="J1894" s="23" t="str">
        <f>HYPERLINK("CorLog\ALL\20140827 ALL WWTF - H2S Traps where all waste water enters (RDC-to-RDC).msg", "WWTF - H2S Traps where all waste water enters")</f>
        <v>WWTF - H2S Traps where all waste water enters</v>
      </c>
      <c r="K1894" s="25"/>
      <c r="L1894" s="19"/>
      <c r="M1894" s="20"/>
      <c r="N1894" s="21" t="s">
        <v>6030</v>
      </c>
    </row>
    <row r="1895" spans="1:14">
      <c r="A1895" s="12" t="s">
        <v>750</v>
      </c>
      <c r="B1895" s="13" t="s">
        <v>821</v>
      </c>
      <c r="C1895" s="14" t="s">
        <v>6031</v>
      </c>
      <c r="D1895" s="15">
        <v>41878.447615740741</v>
      </c>
      <c r="E1895" s="16" t="s">
        <v>16</v>
      </c>
      <c r="F1895" s="16" t="s">
        <v>21</v>
      </c>
      <c r="G1895" s="17" t="s">
        <v>738</v>
      </c>
      <c r="H1895" s="17" t="s">
        <v>3538</v>
      </c>
      <c r="I1895" s="13" t="s">
        <v>6032</v>
      </c>
      <c r="J1895" s="23" t="str">
        <f>HYPERLINK("CorLog\GHA\BEX 2\20140827 GHA BEX 2 GHA 03 CDP Design Questions - GHANA BRANCH (RDC-to-GHA).msg", "GHA 03 CDP Design Questions - GHANA BRANCH")</f>
        <v>GHA 03 CDP Design Questions - GHANA BRANCH</v>
      </c>
      <c r="K1895" s="25"/>
      <c r="L1895" s="19"/>
      <c r="M1895" s="20"/>
      <c r="N1895" s="21" t="s">
        <v>6033</v>
      </c>
    </row>
    <row r="1896" spans="1:14">
      <c r="A1896" s="12" t="s">
        <v>750</v>
      </c>
      <c r="B1896" s="13" t="s">
        <v>6034</v>
      </c>
      <c r="C1896" s="14" t="s">
        <v>6035</v>
      </c>
      <c r="D1896" s="15">
        <v>41877.61996527778</v>
      </c>
      <c r="E1896" s="16" t="s">
        <v>16</v>
      </c>
      <c r="F1896" s="16" t="s">
        <v>15</v>
      </c>
      <c r="G1896" s="17" t="s">
        <v>738</v>
      </c>
      <c r="H1896" s="17" t="s">
        <v>3538</v>
      </c>
      <c r="I1896" s="13" t="s">
        <v>6036</v>
      </c>
      <c r="J1896" s="23" t="str">
        <f>HYPERLINK("CorLog\GHA\BEX 2\20140826 GHA BEX 2 GHA 03 CDP Design Questions - ZAF-RAVC (RDC-to-).msg", "GHA 03 CDP Design Questions - ZAF-RAVC")</f>
        <v>GHA 03 CDP Design Questions - ZAF-RAVC</v>
      </c>
      <c r="K1896" s="25"/>
      <c r="L1896" s="19"/>
      <c r="M1896" s="20"/>
      <c r="N1896" s="21" t="s">
        <v>6037</v>
      </c>
    </row>
    <row r="1897" spans="1:14">
      <c r="A1897" s="12" t="s">
        <v>724</v>
      </c>
      <c r="B1897" s="13" t="s">
        <v>2016</v>
      </c>
      <c r="C1897" s="14"/>
      <c r="D1897" s="15">
        <v>41877.50236111111</v>
      </c>
      <c r="E1897" s="16" t="s">
        <v>16</v>
      </c>
      <c r="F1897" s="16" t="s">
        <v>16</v>
      </c>
      <c r="G1897" s="17" t="s">
        <v>2022</v>
      </c>
      <c r="H1897" s="17" t="s">
        <v>2022</v>
      </c>
      <c r="I1897" s="13" t="s">
        <v>6038</v>
      </c>
      <c r="J1897" s="23" t="str">
        <f>HYPERLINK("CorLog\Directive\20140826 Directive Sharing Photo Reports on 365 (RDC-to-RDC).msg", "Sharing Photo Reports on 365")</f>
        <v>Sharing Photo Reports on 365</v>
      </c>
      <c r="K1897" s="25"/>
      <c r="L1897" s="19"/>
      <c r="M1897" s="20"/>
      <c r="N1897" s="21" t="s">
        <v>6039</v>
      </c>
    </row>
    <row r="1898" spans="1:14">
      <c r="A1898" s="12" t="s">
        <v>750</v>
      </c>
      <c r="B1898" s="13" t="s">
        <v>795</v>
      </c>
      <c r="C1898" s="14" t="s">
        <v>6040</v>
      </c>
      <c r="D1898" s="15">
        <v>41876.504502314812</v>
      </c>
      <c r="E1898" s="16" t="s">
        <v>16</v>
      </c>
      <c r="F1898" s="16" t="s">
        <v>16</v>
      </c>
      <c r="G1898" s="17" t="s">
        <v>738</v>
      </c>
      <c r="H1898" s="17" t="s">
        <v>3538</v>
      </c>
      <c r="I1898" s="13" t="s">
        <v>6041</v>
      </c>
      <c r="J1898" s="23" t="str">
        <f>HYPERLINK("CorLog\GHA\BEX 2\20140825 GHA BEXT LT GHA DP ARCH Floor Plans and Site Plan (MINUTES) (RDC-to-RDC).msg", "GHA DP ARCH Floor Plans and Site Plan (MINUTES)")</f>
        <v>GHA DP ARCH Floor Plans and Site Plan (MINUTES)</v>
      </c>
      <c r="K1898" s="25"/>
      <c r="L1898" s="19"/>
      <c r="M1898" s="20"/>
      <c r="N1898" s="21" t="s">
        <v>6042</v>
      </c>
    </row>
    <row r="1899" spans="1:14">
      <c r="A1899" s="12" t="s">
        <v>964</v>
      </c>
      <c r="B1899" s="13" t="s">
        <v>6043</v>
      </c>
      <c r="C1899" s="14" t="s">
        <v>6044</v>
      </c>
      <c r="D1899" s="15">
        <v>41873.679594907408</v>
      </c>
      <c r="E1899" s="16" t="s">
        <v>16</v>
      </c>
      <c r="F1899" s="16" t="s">
        <v>15</v>
      </c>
      <c r="G1899" s="17" t="s">
        <v>790</v>
      </c>
      <c r="H1899" s="17" t="s">
        <v>886</v>
      </c>
      <c r="I1899" s="13" t="s">
        <v>6045</v>
      </c>
      <c r="J1899" s="23" t="str">
        <f>HYPERLINK("CorLog\GHA\BEX\20140822 GHA BEX ISO-TECH 11kV cable termination kit (RDC-to-ZAF).msg", "ISO-TECH 11kV cable termination kit")</f>
        <v>ISO-TECH 11kV cable termination kit</v>
      </c>
      <c r="K1899" s="25" t="s">
        <v>1626</v>
      </c>
      <c r="L1899" s="19"/>
      <c r="M1899" s="20"/>
      <c r="N1899" s="21" t="s">
        <v>6046</v>
      </c>
    </row>
    <row r="1900" spans="1:14">
      <c r="A1900" s="12" t="s">
        <v>750</v>
      </c>
      <c r="B1900" s="13" t="s">
        <v>737</v>
      </c>
      <c r="C1900" s="14" t="s">
        <v>6047</v>
      </c>
      <c r="D1900" s="15">
        <v>41873.669907407406</v>
      </c>
      <c r="E1900" s="16" t="s">
        <v>16</v>
      </c>
      <c r="F1900" s="16" t="s">
        <v>21</v>
      </c>
      <c r="G1900" s="17" t="s">
        <v>790</v>
      </c>
      <c r="H1900" s="17" t="s">
        <v>6048</v>
      </c>
      <c r="I1900" s="13" t="s">
        <v>6049</v>
      </c>
      <c r="J1900" s="23" t="str">
        <f>HYPERLINK("CorLog\GHA\BEX\20140822 GHA BEX GHA Cracks in walls of Service Dept building (RDC-to-GHA).msg", "GHA Cracks in walls of Service Dept building")</f>
        <v>GHA Cracks in walls of Service Dept building</v>
      </c>
      <c r="K1900" s="25"/>
      <c r="L1900" s="19"/>
      <c r="M1900" s="20"/>
      <c r="N1900" s="21" t="s">
        <v>6050</v>
      </c>
    </row>
    <row r="1901" spans="1:14">
      <c r="A1901" s="12" t="s">
        <v>750</v>
      </c>
      <c r="B1901" s="13" t="s">
        <v>3067</v>
      </c>
      <c r="C1901" s="14" t="s">
        <v>6051</v>
      </c>
      <c r="D1901" s="15">
        <v>41872.412754629629</v>
      </c>
      <c r="E1901" s="16" t="s">
        <v>16</v>
      </c>
      <c r="F1901" s="16" t="s">
        <v>18</v>
      </c>
      <c r="G1901" s="17" t="s">
        <v>946</v>
      </c>
      <c r="H1901" s="17" t="s">
        <v>4628</v>
      </c>
      <c r="I1901" s="13" t="s">
        <v>6052</v>
      </c>
      <c r="J1901" s="23" t="str">
        <f>HYPERLINK("CorLog\ZMB\Mongu RTO\20140821 ZMB Mongu RTO RTO-2 Mongu Masonry Bonding Pattern for retaining wall (RDC-to-ZMB).msg", "RTO-2 Mongu Masonry Bonding Pattern for retaining wall")</f>
        <v>RTO-2 Mongu Masonry Bonding Pattern for retaining wall</v>
      </c>
      <c r="K1901" s="25" t="s">
        <v>1499</v>
      </c>
      <c r="L1901" s="19"/>
      <c r="M1901" s="20"/>
      <c r="N1901" s="21" t="s">
        <v>6053</v>
      </c>
    </row>
    <row r="1902" spans="1:14">
      <c r="A1902" s="12" t="s">
        <v>750</v>
      </c>
      <c r="B1902" s="13" t="s">
        <v>916</v>
      </c>
      <c r="C1902" s="14" t="s">
        <v>6054</v>
      </c>
      <c r="D1902" s="15">
        <v>41871.649386574078</v>
      </c>
      <c r="E1902" s="16" t="s">
        <v>16</v>
      </c>
      <c r="F1902" s="16" t="s">
        <v>16</v>
      </c>
      <c r="G1902" s="17" t="s">
        <v>790</v>
      </c>
      <c r="H1902" s="17" t="s">
        <v>4628</v>
      </c>
      <c r="I1902" s="13" t="s">
        <v>6055</v>
      </c>
      <c r="J1902" s="23" t="str">
        <f>HYPERLINK("CorLog\GHA\BEX\20140820 GHA BEX RTO Wall Ties for Hollow CMU - Butterfly Recommended (RDC-to-RDC).msg", "RTO Wall Ties for Hollow CMU - Butterfly Recommended")</f>
        <v>RTO Wall Ties for Hollow CMU - Butterfly Recommended</v>
      </c>
      <c r="K1902" s="25" t="s">
        <v>1270</v>
      </c>
      <c r="L1902" s="19"/>
      <c r="M1902" s="20"/>
      <c r="N1902" s="21" t="s">
        <v>6056</v>
      </c>
    </row>
    <row r="1903" spans="1:14">
      <c r="A1903" s="12" t="s">
        <v>6057</v>
      </c>
      <c r="B1903" s="13" t="s">
        <v>6058</v>
      </c>
      <c r="C1903" s="14" t="s">
        <v>6059</v>
      </c>
      <c r="D1903" s="15">
        <v>41871.478078703702</v>
      </c>
      <c r="E1903" s="16" t="s">
        <v>38</v>
      </c>
      <c r="F1903" s="16" t="s">
        <v>18</v>
      </c>
      <c r="G1903" s="17" t="s">
        <v>946</v>
      </c>
      <c r="H1903" s="17" t="s">
        <v>6060</v>
      </c>
      <c r="I1903" s="13" t="s">
        <v>6061</v>
      </c>
      <c r="J1903" s="23" t="str">
        <f>HYPERLINK("CorLog\ZMB\Mongu RTO\20140820 ZMB Mongu RTO Drawings for Cabinetry Quote - ZMB0020 (-to-).msg", "Drawings for Cabinetry Quote - ZMB0020")</f>
        <v>Drawings for Cabinetry Quote - ZMB0020</v>
      </c>
      <c r="K1903" s="25" t="s">
        <v>1270</v>
      </c>
      <c r="L1903" s="19"/>
      <c r="M1903" s="20"/>
      <c r="N1903" s="21" t="s">
        <v>6062</v>
      </c>
    </row>
    <row r="1904" spans="1:14">
      <c r="A1904" s="12" t="s">
        <v>5860</v>
      </c>
      <c r="B1904" s="13" t="s">
        <v>2202</v>
      </c>
      <c r="C1904" s="14" t="s">
        <v>2156</v>
      </c>
      <c r="D1904" s="15">
        <v>41871.468553240738</v>
      </c>
      <c r="E1904" s="16" t="s">
        <v>16</v>
      </c>
      <c r="F1904" s="16" t="s">
        <v>24</v>
      </c>
      <c r="G1904" s="17" t="s">
        <v>1070</v>
      </c>
      <c r="H1904" s="17" t="s">
        <v>2025</v>
      </c>
      <c r="I1904" s="13" t="s">
        <v>6063</v>
      </c>
      <c r="J1904" s="23" t="str">
        <f>HYPERLINK("CorLog\ZMB\Katete RTO\20140820 ZMB Katete RTO AO-6 No.2 from RDC to CTP Support (RDC-to-USA).msg", "AO-6 No.2 from RDC to CTP Support")</f>
        <v>AO-6 No.2 from RDC to CTP Support</v>
      </c>
      <c r="K1904" s="25" t="s">
        <v>1243</v>
      </c>
      <c r="L1904" s="19"/>
      <c r="M1904" s="20"/>
      <c r="N1904" s="21" t="s">
        <v>6064</v>
      </c>
    </row>
    <row r="1905" spans="1:14">
      <c r="A1905" s="12" t="s">
        <v>750</v>
      </c>
      <c r="B1905" s="13" t="s">
        <v>795</v>
      </c>
      <c r="C1905" s="14" t="s">
        <v>3729</v>
      </c>
      <c r="D1905" s="15">
        <v>41871.450752314813</v>
      </c>
      <c r="E1905" s="16" t="s">
        <v>16</v>
      </c>
      <c r="F1905" s="16" t="s">
        <v>16</v>
      </c>
      <c r="G1905" s="17" t="s">
        <v>30</v>
      </c>
      <c r="H1905" s="17" t="s">
        <v>3538</v>
      </c>
      <c r="I1905" s="13" t="s">
        <v>6065</v>
      </c>
      <c r="J1905" s="23" t="str">
        <f>HYPERLINK("CorLog\ALL\20140820 ALL RDC Eng. Schedule - SAF PR2 MWI BEX; GHA BEX (RDC-to-RDC).msg", "RDC Eng. Schedule - SAF PR2 MWI BEX; GHA BEX")</f>
        <v>RDC Eng. Schedule - SAF PR2 MWI BEX; GHA BEX</v>
      </c>
      <c r="K1905" s="25" t="s">
        <v>1211</v>
      </c>
      <c r="L1905" s="19"/>
      <c r="M1905" s="20"/>
      <c r="N1905" s="21" t="s">
        <v>6066</v>
      </c>
    </row>
    <row r="1906" spans="1:14">
      <c r="A1906" s="12" t="s">
        <v>5207</v>
      </c>
      <c r="B1906" s="13" t="s">
        <v>718</v>
      </c>
      <c r="C1906" s="14" t="s">
        <v>6067</v>
      </c>
      <c r="D1906" s="15">
        <v>41871.362569444442</v>
      </c>
      <c r="E1906" s="16" t="s">
        <v>16</v>
      </c>
      <c r="F1906" s="16" t="s">
        <v>16</v>
      </c>
      <c r="G1906" s="17" t="s">
        <v>979</v>
      </c>
      <c r="H1906" s="17" t="s">
        <v>1000</v>
      </c>
      <c r="I1906" s="13" t="s">
        <v>6068</v>
      </c>
      <c r="J1906" s="23" t="str">
        <f>HYPERLINK("CorLog\RTO\Projects\20140820 RTO Projects RTO Meet with WindowMan before starting MTO (RDC-to-RDC).msg", "RTO Meet with WindowMan before starting MTO")</f>
        <v>RTO Meet with WindowMan before starting MTO</v>
      </c>
      <c r="K1906" s="25"/>
      <c r="L1906" s="19"/>
      <c r="M1906" s="20"/>
      <c r="N1906" s="21" t="s">
        <v>6069</v>
      </c>
    </row>
    <row r="1907" spans="1:14">
      <c r="A1907" s="12" t="s">
        <v>874</v>
      </c>
      <c r="B1907" s="13"/>
      <c r="C1907" s="14"/>
      <c r="D1907" s="15">
        <v>41870</v>
      </c>
      <c r="E1907" s="16" t="s">
        <v>25</v>
      </c>
      <c r="F1907" s="16" t="s">
        <v>30</v>
      </c>
      <c r="G1907" s="17" t="s">
        <v>719</v>
      </c>
      <c r="H1907" s="17" t="s">
        <v>2401</v>
      </c>
      <c r="I1907" s="13" t="s">
        <v>6070</v>
      </c>
      <c r="J1907" s="23" t="str">
        <f>HYPERLINK("CorLog\Reference\20140819 ALL Design Construction Personnel Forms (WHQ-to-ALL).doc", "Design Construction Personnel Forms")</f>
        <v>Design Construction Personnel Forms</v>
      </c>
      <c r="K1907" s="25"/>
      <c r="L1907" s="19" t="s">
        <v>6071</v>
      </c>
      <c r="M1907" s="20"/>
      <c r="N1907" s="21" t="s">
        <v>6072</v>
      </c>
    </row>
    <row r="1908" spans="1:14">
      <c r="A1908" s="12" t="s">
        <v>750</v>
      </c>
      <c r="B1908" s="13" t="s">
        <v>724</v>
      </c>
      <c r="C1908" s="14" t="s">
        <v>3902</v>
      </c>
      <c r="D1908" s="15">
        <v>41869.678101851852</v>
      </c>
      <c r="E1908" s="16" t="s">
        <v>16</v>
      </c>
      <c r="F1908" s="16" t="s">
        <v>16</v>
      </c>
      <c r="G1908" s="17" t="s">
        <v>885</v>
      </c>
      <c r="H1908" s="17" t="s">
        <v>1040</v>
      </c>
      <c r="I1908" s="13" t="s">
        <v>6073</v>
      </c>
      <c r="J1908" s="23" t="str">
        <f>HYPERLINK("CorLog\ZMB\Kabompo RTO\20140818 ZMB Kabompo RTO LJ-C-504-C1 pdf drawing update (RDC-to-RDC).msg", "LJ-C-504-C1 pdf drawing update")</f>
        <v>LJ-C-504-C1 pdf drawing update</v>
      </c>
      <c r="K1908" s="25" t="s">
        <v>1211</v>
      </c>
      <c r="L1908" s="19"/>
      <c r="M1908" s="20"/>
      <c r="N1908" s="21" t="s">
        <v>6074</v>
      </c>
    </row>
    <row r="1909" spans="1:14">
      <c r="A1909" s="12" t="s">
        <v>1258</v>
      </c>
      <c r="B1909" s="13" t="s">
        <v>5207</v>
      </c>
      <c r="C1909" s="14"/>
      <c r="D1909" s="15">
        <v>41869.652280092596</v>
      </c>
      <c r="E1909" s="16" t="s">
        <v>16</v>
      </c>
      <c r="F1909" s="16" t="s">
        <v>16</v>
      </c>
      <c r="G1909" s="17" t="s">
        <v>30</v>
      </c>
      <c r="H1909" s="17" t="s">
        <v>719</v>
      </c>
      <c r="I1909" s="13" t="s">
        <v>6075</v>
      </c>
      <c r="J1909" s="23" t="str">
        <f>HYPERLINK("CorLog\ALL\20140818 ALL Planning Options Network Filing Structure (RDC-to-RDC).msg", "Planning Options Network Filing Structure")</f>
        <v>Planning Options Network Filing Structure</v>
      </c>
      <c r="K1909" s="25" t="s">
        <v>1369</v>
      </c>
      <c r="L1909" s="19"/>
      <c r="M1909" s="20"/>
      <c r="N1909" s="21" t="s">
        <v>6076</v>
      </c>
    </row>
    <row r="1910" spans="1:14">
      <c r="A1910" s="12" t="s">
        <v>1337</v>
      </c>
      <c r="B1910" s="13" t="s">
        <v>750</v>
      </c>
      <c r="C1910" s="14" t="s">
        <v>6077</v>
      </c>
      <c r="D1910" s="15">
        <v>41869.577106481483</v>
      </c>
      <c r="E1910" s="16" t="s">
        <v>18</v>
      </c>
      <c r="F1910" s="16" t="s">
        <v>16</v>
      </c>
      <c r="G1910" s="17" t="s">
        <v>885</v>
      </c>
      <c r="H1910" s="17" t="s">
        <v>851</v>
      </c>
      <c r="I1910" s="13" t="s">
        <v>6078</v>
      </c>
      <c r="J1910" s="23" t="str">
        <f>HYPERLINK("CorLog\ZMB\Kabompo RTO\20140818 ZMB Kabompo RTO DCP test August 18, 2014 (OFFICE S-O-G) (-to-RDC).msg", "DCP test August 18, 2014 (OFFICE S-O-G)")</f>
        <v>DCP test August 18, 2014 (OFFICE S-O-G)</v>
      </c>
      <c r="K1910" s="25" t="s">
        <v>1211</v>
      </c>
      <c r="L1910" s="19"/>
      <c r="M1910" s="20"/>
      <c r="N1910" s="21" t="s">
        <v>6079</v>
      </c>
    </row>
    <row r="1911" spans="1:14">
      <c r="A1911" s="12" t="s">
        <v>4265</v>
      </c>
      <c r="B1911" s="13" t="s">
        <v>2016</v>
      </c>
      <c r="C1911" s="14" t="s">
        <v>6080</v>
      </c>
      <c r="D1911" s="15">
        <v>41869.515752314815</v>
      </c>
      <c r="E1911" s="16" t="s">
        <v>15</v>
      </c>
      <c r="F1911" s="16" t="s">
        <v>16</v>
      </c>
      <c r="G1911" s="17" t="s">
        <v>1169</v>
      </c>
      <c r="H1911" s="17" t="s">
        <v>1819</v>
      </c>
      <c r="I1911" s="13" t="s">
        <v>6081</v>
      </c>
      <c r="J1911" s="23" t="str">
        <f>HYPERLINK("CorLog\COD\Kikwit RTO\20140818 COD Kikwit RTO Preliminary Design Report (ZAF-to-RDC).msg", "Preliminary Design Report")</f>
        <v>Preliminary Design Report</v>
      </c>
      <c r="K1911" s="25" t="s">
        <v>1243</v>
      </c>
      <c r="L1911" s="19"/>
      <c r="M1911" s="20"/>
      <c r="N1911" s="21" t="s">
        <v>6082</v>
      </c>
    </row>
    <row r="1912" spans="1:14">
      <c r="A1912" s="12" t="s">
        <v>817</v>
      </c>
      <c r="B1912" s="13"/>
      <c r="C1912" s="14"/>
      <c r="D1912" s="15">
        <v>41869</v>
      </c>
      <c r="E1912" s="16" t="s">
        <v>15</v>
      </c>
      <c r="F1912" s="16" t="s">
        <v>17</v>
      </c>
      <c r="G1912" s="17" t="s">
        <v>719</v>
      </c>
      <c r="H1912" s="17" t="s">
        <v>781</v>
      </c>
      <c r="I1912" s="13" t="s">
        <v>6083</v>
      </c>
      <c r="J1912" s="23" t="str">
        <f>HYPERLINK("CorLog\Reference\20140818 Reference Recommended Adjustments to ZAF RDC Office (ZAF-to-WDC).docx", "Recommended Adjustments to ZAF RDC Office")</f>
        <v>Recommended Adjustments to ZAF RDC Office</v>
      </c>
      <c r="K1912" s="23" t="str">
        <f>HYPERLINK("CorLog\Reference\20140818 Reference Recommended Adjustments to ZAF RDC Office (ZAF-to-WDC).zip", "Zipped")</f>
        <v>Zipped</v>
      </c>
      <c r="L1912" s="19"/>
      <c r="M1912" s="20"/>
      <c r="N1912" s="21" t="s">
        <v>6084</v>
      </c>
    </row>
    <row r="1913" spans="1:14">
      <c r="A1913" s="12" t="s">
        <v>817</v>
      </c>
      <c r="B1913" s="13"/>
      <c r="C1913" s="14"/>
      <c r="D1913" s="15">
        <v>41869</v>
      </c>
      <c r="E1913" s="16" t="s">
        <v>17</v>
      </c>
      <c r="F1913" s="16" t="s">
        <v>15</v>
      </c>
      <c r="G1913" s="17" t="s">
        <v>16</v>
      </c>
      <c r="H1913" s="17" t="s">
        <v>781</v>
      </c>
      <c r="I1913" s="13" t="s">
        <v>6085</v>
      </c>
      <c r="J1913" s="23" t="str">
        <f>HYPERLINK("CorLog\RDC\20140818 RDC Recommended Adjustments to RDC Office (WDC-to-ZAF).docx", "Recommended Adjustments to RDC Office")</f>
        <v>Recommended Adjustments to RDC Office</v>
      </c>
      <c r="K1913" s="25" t="str">
        <f>HYPERLINK("CorLog\RDC\20140818 RDC Recommended Adjustments to RDC Office (WDC-to-ZAF).zip", "Zipped")</f>
        <v>Zipped</v>
      </c>
      <c r="L1913" s="19"/>
      <c r="M1913" s="20"/>
      <c r="N1913" s="21" t="s">
        <v>6084</v>
      </c>
    </row>
    <row r="1914" spans="1:14">
      <c r="A1914" s="12" t="s">
        <v>874</v>
      </c>
      <c r="B1914" s="13"/>
      <c r="C1914" s="14"/>
      <c r="D1914" s="15">
        <v>41867</v>
      </c>
      <c r="E1914" s="16" t="s">
        <v>25</v>
      </c>
      <c r="F1914" s="16" t="s">
        <v>30</v>
      </c>
      <c r="G1914" s="17" t="s">
        <v>719</v>
      </c>
      <c r="H1914" s="17" t="s">
        <v>4971</v>
      </c>
      <c r="I1914" s="13" t="s">
        <v>6086</v>
      </c>
      <c r="J1914" s="23" t="str">
        <f>HYPERLINK("CorLog\Reference\20140816 ALL Design of Rural Assembly Halls (WHQ-to-ALL).doc", "Design of Rural Assembly Halls")</f>
        <v>Design of Rural Assembly Halls</v>
      </c>
      <c r="K1914" s="25"/>
      <c r="L1914" s="19"/>
      <c r="M1914" s="20"/>
      <c r="N1914" s="21" t="s">
        <v>6087</v>
      </c>
    </row>
    <row r="1915" spans="1:14">
      <c r="A1915" s="12" t="s">
        <v>750</v>
      </c>
      <c r="B1915" s="13" t="s">
        <v>821</v>
      </c>
      <c r="C1915" s="14" t="s">
        <v>6088</v>
      </c>
      <c r="D1915" s="15">
        <v>41866.736840277779</v>
      </c>
      <c r="E1915" s="16" t="s">
        <v>16</v>
      </c>
      <c r="F1915" s="16" t="s">
        <v>21</v>
      </c>
      <c r="G1915" s="17" t="s">
        <v>738</v>
      </c>
      <c r="H1915" s="17" t="s">
        <v>1000</v>
      </c>
      <c r="I1915" s="13" t="s">
        <v>6089</v>
      </c>
      <c r="J1915" s="23" t="str">
        <f>HYPERLINK("CorLog\GHA\BEX 2\20140815 GHA BEX 2 CDP Design Questions - SHIPPING QUERIES (RDC-to-GHA).msg", "CDP Design Questions - SHIPPING QUERIES")</f>
        <v>CDP Design Questions - SHIPPING QUERIES</v>
      </c>
      <c r="K1915" s="25"/>
      <c r="L1915" s="19"/>
      <c r="M1915" s="20"/>
      <c r="N1915" s="21" t="s">
        <v>6090</v>
      </c>
    </row>
    <row r="1916" spans="1:14">
      <c r="A1916" s="12" t="s">
        <v>2016</v>
      </c>
      <c r="B1916" s="13" t="s">
        <v>1969</v>
      </c>
      <c r="C1916" s="14" t="s">
        <v>6091</v>
      </c>
      <c r="D1916" s="15">
        <v>41866.643518518518</v>
      </c>
      <c r="E1916" s="16" t="s">
        <v>16</v>
      </c>
      <c r="F1916" s="16" t="s">
        <v>22</v>
      </c>
      <c r="G1916" s="17" t="s">
        <v>2627</v>
      </c>
      <c r="H1916" s="17" t="s">
        <v>1040</v>
      </c>
      <c r="I1916" s="13" t="s">
        <v>6092</v>
      </c>
      <c r="J1916" s="23" t="str">
        <f>HYPERLINK("CorLog\COD\Kamina RTO\20140815 COD Kamina RTO Field Sketches Hilti HIT HY 200 (RDC-to-COD).msg", "Field Sketches Hilti HIT HY 200")</f>
        <v>Field Sketches Hilti HIT HY 200</v>
      </c>
      <c r="K1916" s="25" t="s">
        <v>1270</v>
      </c>
      <c r="L1916" s="19"/>
      <c r="M1916" s="20"/>
      <c r="N1916" s="21" t="s">
        <v>6093</v>
      </c>
    </row>
    <row r="1917" spans="1:14">
      <c r="A1917" s="12" t="s">
        <v>750</v>
      </c>
      <c r="B1917" s="13" t="s">
        <v>842</v>
      </c>
      <c r="C1917" s="14" t="s">
        <v>6094</v>
      </c>
      <c r="D1917" s="15">
        <v>41866.642060185186</v>
      </c>
      <c r="E1917" s="16" t="s">
        <v>16</v>
      </c>
      <c r="F1917" s="16" t="s">
        <v>21</v>
      </c>
      <c r="G1917" s="17" t="s">
        <v>758</v>
      </c>
      <c r="H1917" s="17" t="s">
        <v>1040</v>
      </c>
      <c r="I1917" s="13" t="s">
        <v>6092</v>
      </c>
      <c r="J1917" s="23" t="str">
        <f>HYPERLINK("CorLog\GHA\Viepe RTO\20140815 GHA Viepe RTO Field Sketches Hilti HIT HY 200 (RDC-to-GHA).msg", "Field Sketches Hilti HIT HY 200")</f>
        <v>Field Sketches Hilti HIT HY 200</v>
      </c>
      <c r="K1917" s="25" t="s">
        <v>1270</v>
      </c>
      <c r="L1917" s="19"/>
      <c r="M1917" s="20"/>
      <c r="N1917" s="21" t="s">
        <v>6095</v>
      </c>
    </row>
    <row r="1918" spans="1:14">
      <c r="A1918" s="12" t="s">
        <v>750</v>
      </c>
      <c r="B1918" s="13" t="s">
        <v>2016</v>
      </c>
      <c r="C1918" s="14" t="s">
        <v>3902</v>
      </c>
      <c r="D1918" s="15">
        <v>41866.641562500001</v>
      </c>
      <c r="E1918" s="16" t="s">
        <v>16</v>
      </c>
      <c r="F1918" s="16" t="s">
        <v>16</v>
      </c>
      <c r="G1918" s="17" t="s">
        <v>2627</v>
      </c>
      <c r="H1918" s="17" t="s">
        <v>854</v>
      </c>
      <c r="I1918" s="13" t="s">
        <v>6092</v>
      </c>
      <c r="J1918" s="23" t="str">
        <f>HYPERLINK("CorLog\COD\Kamina RTO\20140815 COD Kamina RTO Field Sketches Hilti HIT HY 200 (RDC-to-RDC).msg", "Field Sketches Hilti HIT HY 200")</f>
        <v>Field Sketches Hilti HIT HY 200</v>
      </c>
      <c r="K1918" s="25" t="s">
        <v>1270</v>
      </c>
      <c r="L1918" s="19"/>
      <c r="M1918" s="20"/>
      <c r="N1918" s="21" t="s">
        <v>6096</v>
      </c>
    </row>
    <row r="1919" spans="1:14">
      <c r="A1919" s="12" t="s">
        <v>795</v>
      </c>
      <c r="B1919" s="13" t="s">
        <v>1484</v>
      </c>
      <c r="C1919" s="14" t="s">
        <v>6097</v>
      </c>
      <c r="D1919" s="15">
        <v>41865.58829861111</v>
      </c>
      <c r="E1919" s="16" t="s">
        <v>16</v>
      </c>
      <c r="F1919" s="16" t="s">
        <v>18</v>
      </c>
      <c r="G1919" s="17" t="s">
        <v>1070</v>
      </c>
      <c r="H1919" s="17" t="s">
        <v>3275</v>
      </c>
      <c r="I1919" s="13" t="s">
        <v>6098</v>
      </c>
      <c r="J1919" s="23" t="str">
        <f>HYPERLINK("CorLog\ZMB\Katete RTO\20140814 ZMB Katete RTO Information of drilling, testing borehole (RDC-to-).msg", "Information of drilling, testing borehole")</f>
        <v>Information of drilling, testing borehole</v>
      </c>
      <c r="K1919" s="25" t="s">
        <v>1243</v>
      </c>
      <c r="L1919" s="19"/>
      <c r="M1919" s="20"/>
      <c r="N1919" s="21" t="s">
        <v>6099</v>
      </c>
    </row>
    <row r="1920" spans="1:14">
      <c r="A1920" s="12" t="s">
        <v>972</v>
      </c>
      <c r="B1920" s="13" t="s">
        <v>724</v>
      </c>
      <c r="C1920" s="14" t="s">
        <v>5865</v>
      </c>
      <c r="D1920" s="15">
        <v>41865.349282407406</v>
      </c>
      <c r="E1920" s="16" t="s">
        <v>18</v>
      </c>
      <c r="F1920" s="16" t="s">
        <v>16</v>
      </c>
      <c r="G1920" s="17" t="s">
        <v>838</v>
      </c>
      <c r="H1920" s="17" t="s">
        <v>2025</v>
      </c>
      <c r="I1920" s="13" t="s">
        <v>6100</v>
      </c>
      <c r="J1920" s="23" t="str">
        <f>HYPERLINK("CorLog\ZMB\Choma RTO\20140814 ZMB Choma RTO AO-6 No 1 Draft (ZMB-to-RDC).msg", "AO-6 No 1 Draft")</f>
        <v>AO-6 No 1 Draft</v>
      </c>
      <c r="K1920" s="25" t="s">
        <v>1211</v>
      </c>
      <c r="L1920" s="19"/>
      <c r="M1920" s="20"/>
      <c r="N1920" s="21" t="s">
        <v>6101</v>
      </c>
    </row>
    <row r="1921" spans="1:14">
      <c r="A1921" s="12" t="s">
        <v>750</v>
      </c>
      <c r="B1921" s="13" t="s">
        <v>972</v>
      </c>
      <c r="C1921" s="14" t="s">
        <v>2156</v>
      </c>
      <c r="D1921" s="15">
        <v>41864.673206018517</v>
      </c>
      <c r="E1921" s="16" t="s">
        <v>16</v>
      </c>
      <c r="F1921" s="16" t="s">
        <v>18</v>
      </c>
      <c r="G1921" s="17" t="s">
        <v>946</v>
      </c>
      <c r="H1921" s="17" t="s">
        <v>854</v>
      </c>
      <c r="I1921" s="13" t="s">
        <v>6102</v>
      </c>
      <c r="J1921" s="23" t="str">
        <f>HYPERLINK("CorLog\ZMB\Mongu RTO\20140813 ZMB Mongu RTO Rebar Connection betw Int-Ext Footings (FIELD SKETCH) (RDC-to-ZMB).msg", "Rebar Connection betw Int-Ext Footings (FIELD SKETCH)")</f>
        <v>Rebar Connection betw Int-Ext Footings (FIELD SKETCH)</v>
      </c>
      <c r="K1921" s="25" t="s">
        <v>1211</v>
      </c>
      <c r="L1921" s="19"/>
      <c r="M1921" s="20"/>
      <c r="N1921" s="21" t="s">
        <v>6103</v>
      </c>
    </row>
    <row r="1922" spans="1:14">
      <c r="A1922" s="12" t="s">
        <v>750</v>
      </c>
      <c r="B1922" s="13" t="s">
        <v>972</v>
      </c>
      <c r="C1922" s="14" t="s">
        <v>718</v>
      </c>
      <c r="D1922" s="15">
        <v>41864.635567129626</v>
      </c>
      <c r="E1922" s="16" t="s">
        <v>16</v>
      </c>
      <c r="F1922" s="16" t="s">
        <v>18</v>
      </c>
      <c r="G1922" s="17" t="s">
        <v>838</v>
      </c>
      <c r="H1922" s="17" t="s">
        <v>839</v>
      </c>
      <c r="I1922" s="13" t="s">
        <v>6104</v>
      </c>
      <c r="J1922" s="23" t="str">
        <f>HYPERLINK("CorLog\ZMB\Choma RTO\20140813 ZMB Choma RTO Additional soil information (RDC-to-ZMB).msg", "Additional soil information")</f>
        <v>Additional soil information</v>
      </c>
      <c r="K1922" s="25"/>
      <c r="L1922" s="19"/>
      <c r="M1922" s="20"/>
      <c r="N1922" s="21" t="s">
        <v>6105</v>
      </c>
    </row>
    <row r="1923" spans="1:14">
      <c r="A1923" s="12" t="s">
        <v>750</v>
      </c>
      <c r="B1923" s="13" t="s">
        <v>842</v>
      </c>
      <c r="C1923" s="14" t="s">
        <v>6106</v>
      </c>
      <c r="D1923" s="15">
        <v>41864.497245370374</v>
      </c>
      <c r="E1923" s="16" t="s">
        <v>16</v>
      </c>
      <c r="F1923" s="16" t="s">
        <v>21</v>
      </c>
      <c r="G1923" s="17" t="s">
        <v>790</v>
      </c>
      <c r="H1923" s="17" t="s">
        <v>6107</v>
      </c>
      <c r="I1923" s="13" t="s">
        <v>6108</v>
      </c>
      <c r="J1923" s="23" t="str">
        <f>HYPERLINK("CorLog\GHA\BEX\20140813 GHA BEX Electrical Supply Issues (HOW TO HANDLE USD 60,000 COST) (RDC-to-GHA).msg", "Electrical Supply Issues (HOW TO HANDLE USD 60,000 COST)")</f>
        <v>Electrical Supply Issues (HOW TO HANDLE USD 60,000 COST)</v>
      </c>
      <c r="K1923" s="25"/>
      <c r="L1923" s="19"/>
      <c r="M1923" s="20"/>
      <c r="N1923" s="21" t="s">
        <v>6109</v>
      </c>
    </row>
    <row r="1924" spans="1:14">
      <c r="A1924" s="12" t="s">
        <v>723</v>
      </c>
      <c r="B1924" s="13" t="s">
        <v>750</v>
      </c>
      <c r="C1924" s="14" t="s">
        <v>6110</v>
      </c>
      <c r="D1924" s="15">
        <v>41864.469699074078</v>
      </c>
      <c r="E1924" s="16" t="s">
        <v>16</v>
      </c>
      <c r="F1924" s="16" t="s">
        <v>16</v>
      </c>
      <c r="G1924" s="17" t="s">
        <v>790</v>
      </c>
      <c r="H1924" s="17" t="s">
        <v>6111</v>
      </c>
      <c r="I1924" s="13" t="s">
        <v>6112</v>
      </c>
      <c r="J1924" s="23" t="str">
        <f>HYPERLINK("CorLog\GHA\BEX\20140813 GHA BEX Proposed relocation of power supply line (COST ISSUES) (RDC-to-RDC).msg", "Proposed relocation of power supply line (COST ISSUES)")</f>
        <v>Proposed relocation of power supply line (COST ISSUES)</v>
      </c>
      <c r="K1924" s="25"/>
      <c r="L1924" s="19"/>
      <c r="M1924" s="20"/>
      <c r="N1924" s="21" t="s">
        <v>6113</v>
      </c>
    </row>
    <row r="1925" spans="1:14">
      <c r="A1925" s="12" t="s">
        <v>2016</v>
      </c>
      <c r="B1925" s="13" t="s">
        <v>718</v>
      </c>
      <c r="C1925" s="14"/>
      <c r="D1925" s="15">
        <v>41864.41909722222</v>
      </c>
      <c r="E1925" s="16" t="s">
        <v>16</v>
      </c>
      <c r="F1925" s="16" t="s">
        <v>16</v>
      </c>
      <c r="G1925" s="17" t="s">
        <v>2627</v>
      </c>
      <c r="H1925" s="17" t="s">
        <v>6114</v>
      </c>
      <c r="I1925" s="13" t="s">
        <v>6115</v>
      </c>
      <c r="J1925" s="23" t="str">
        <f>HYPERLINK("CorLog\COD\Kamina RTO\20140813 COD Kamina RTO Man holes in Residence side (RDC-to-RDC).msg", "Man holes in Residence side")</f>
        <v>Man holes in Residence side</v>
      </c>
      <c r="K1925" s="25"/>
      <c r="L1925" s="19"/>
      <c r="M1925" s="20"/>
      <c r="N1925" s="21" t="s">
        <v>6116</v>
      </c>
    </row>
    <row r="1926" spans="1:14">
      <c r="A1926" s="12" t="s">
        <v>5207</v>
      </c>
      <c r="B1926" s="13" t="s">
        <v>1069</v>
      </c>
      <c r="C1926" s="14" t="s">
        <v>6117</v>
      </c>
      <c r="D1926" s="15">
        <v>41864.412418981483</v>
      </c>
      <c r="E1926" s="16" t="s">
        <v>16</v>
      </c>
      <c r="F1926" s="16" t="s">
        <v>18</v>
      </c>
      <c r="G1926" s="17" t="s">
        <v>1070</v>
      </c>
      <c r="H1926" s="17" t="s">
        <v>1000</v>
      </c>
      <c r="I1926" s="13" t="s">
        <v>6118</v>
      </c>
      <c r="J1926" s="23" t="str">
        <f>HYPERLINK("CorLog\ZMB\Katete RTO\20140813 ZMB Katete RTO Preconstruction meetings (RDC-to-ZMB).msg", "Preconstruction meetings")</f>
        <v>Preconstruction meetings</v>
      </c>
      <c r="K1926" s="25" t="s">
        <v>1270</v>
      </c>
      <c r="L1926" s="19" t="s">
        <v>6119</v>
      </c>
      <c r="M1926" s="20"/>
      <c r="N1926" s="21" t="s">
        <v>6120</v>
      </c>
    </row>
    <row r="1927" spans="1:14">
      <c r="A1927" s="12" t="s">
        <v>750</v>
      </c>
      <c r="B1927" s="13" t="s">
        <v>1258</v>
      </c>
      <c r="C1927" s="14" t="s">
        <v>3530</v>
      </c>
      <c r="D1927" s="15">
        <v>41863.484560185185</v>
      </c>
      <c r="E1927" s="16" t="s">
        <v>16</v>
      </c>
      <c r="F1927" s="16" t="s">
        <v>16</v>
      </c>
      <c r="G1927" s="17" t="s">
        <v>738</v>
      </c>
      <c r="H1927" s="17" t="s">
        <v>6121</v>
      </c>
      <c r="I1927" s="13" t="s">
        <v>6122</v>
      </c>
      <c r="J1927" s="23" t="str">
        <f>HYPERLINK("CorLog\GHA\BEX 2\20140812 GHA BEX 2 CDP Sketches of Proposal for MRH Quote (RDC-to-RDC).msg", "CDP Sketches of Proposal for MRH Quote")</f>
        <v>CDP Sketches of Proposal for MRH Quote</v>
      </c>
      <c r="K1927" s="25"/>
      <c r="L1927" s="19"/>
      <c r="M1927" s="20"/>
      <c r="N1927" s="21" t="s">
        <v>6123</v>
      </c>
    </row>
    <row r="1928" spans="1:14">
      <c r="A1928" s="12" t="s">
        <v>972</v>
      </c>
      <c r="B1928" s="13" t="s">
        <v>724</v>
      </c>
      <c r="C1928" s="14" t="s">
        <v>6124</v>
      </c>
      <c r="D1928" s="15">
        <v>41863.344108796293</v>
      </c>
      <c r="E1928" s="16" t="s">
        <v>18</v>
      </c>
      <c r="F1928" s="16" t="s">
        <v>16</v>
      </c>
      <c r="G1928" s="17" t="s">
        <v>838</v>
      </c>
      <c r="H1928" s="17" t="s">
        <v>886</v>
      </c>
      <c r="I1928" s="13" t="s">
        <v>6125</v>
      </c>
      <c r="J1928" s="23" t="str">
        <f>HYPERLINK("CorLog\ZMB\Choma RTO\20140812 ZMB Choma RTO Electrical connection relocation (ZMB-to-RDC).msg", "Electrical connection relocation")</f>
        <v>Electrical connection relocation</v>
      </c>
      <c r="K1928" s="25" t="s">
        <v>1211</v>
      </c>
      <c r="L1928" s="19"/>
      <c r="M1928" s="20"/>
      <c r="N1928" s="21" t="s">
        <v>6126</v>
      </c>
    </row>
    <row r="1929" spans="1:14">
      <c r="A1929" s="12" t="s">
        <v>991</v>
      </c>
      <c r="B1929" s="13"/>
      <c r="C1929" s="14"/>
      <c r="D1929" s="15">
        <v>41863</v>
      </c>
      <c r="E1929" s="16" t="s">
        <v>25</v>
      </c>
      <c r="F1929" s="16" t="s">
        <v>30</v>
      </c>
      <c r="G1929" s="17" t="s">
        <v>30</v>
      </c>
      <c r="H1929" s="17" t="s">
        <v>781</v>
      </c>
      <c r="I1929" s="13" t="s">
        <v>6127</v>
      </c>
      <c r="J1929" s="23" t="str">
        <f>HYPERLINK("CorLog\ALL\20140812 ALL Optional jw org note regarding construction volunteers (WHQ-to-ALL).doc", "Optional jw org note regarding construction volunteers")</f>
        <v>Optional jw org note regarding construction volunteers</v>
      </c>
      <c r="K1929" s="25"/>
      <c r="L1929" s="19"/>
      <c r="M1929" s="20"/>
      <c r="N1929" s="21" t="s">
        <v>6128</v>
      </c>
    </row>
    <row r="1930" spans="1:14">
      <c r="A1930" s="12" t="s">
        <v>750</v>
      </c>
      <c r="B1930" s="13" t="s">
        <v>964</v>
      </c>
      <c r="C1930" s="14" t="s">
        <v>3795</v>
      </c>
      <c r="D1930" s="15">
        <v>41862.69390046296</v>
      </c>
      <c r="E1930" s="16" t="s">
        <v>16</v>
      </c>
      <c r="F1930" s="16" t="s">
        <v>16</v>
      </c>
      <c r="G1930" s="17" t="s">
        <v>790</v>
      </c>
      <c r="H1930" s="17" t="s">
        <v>829</v>
      </c>
      <c r="I1930" s="13" t="s">
        <v>6129</v>
      </c>
      <c r="J1930" s="23" t="str">
        <f>HYPERLINK("CorLog\GHA\BEX\20140811 GHA BEX NLBR -49553 Package - 18 Electrical 41 Order (RDC-to-RDC).msg", "NLBR -49553 Package - 18 Electrical 41 Order")</f>
        <v>NLBR -49553 Package - 18 Electrical 41 Order</v>
      </c>
      <c r="K1930" s="25" t="s">
        <v>1211</v>
      </c>
      <c r="L1930" s="19" t="s">
        <v>3083</v>
      </c>
      <c r="M1930" s="20"/>
      <c r="N1930" s="21" t="s">
        <v>6130</v>
      </c>
    </row>
    <row r="1931" spans="1:14">
      <c r="A1931" s="12" t="s">
        <v>3556</v>
      </c>
      <c r="B1931" s="13" t="s">
        <v>1181</v>
      </c>
      <c r="C1931" s="14" t="s">
        <v>6131</v>
      </c>
      <c r="D1931" s="15">
        <v>41862.677094907405</v>
      </c>
      <c r="E1931" s="16" t="s">
        <v>15</v>
      </c>
      <c r="F1931" s="16" t="s">
        <v>16</v>
      </c>
      <c r="G1931" s="17" t="s">
        <v>758</v>
      </c>
      <c r="H1931" s="17" t="s">
        <v>1562</v>
      </c>
      <c r="I1931" s="13" t="s">
        <v>6132</v>
      </c>
      <c r="J1931" s="23" t="str">
        <f>HYPERLINK("CorLog\GHA\Viepe RTO\20140811 GHA Viepe RTO CLOTAN installation manual for roof sheeting, flashing, and rainwater goods (ZAF-to-RDC).msg", "CLOTAN installation manual for roof sheeting, flashing, and rainwater goods")</f>
        <v>CLOTAN installation manual for roof sheeting, flashing, and rainwater goods</v>
      </c>
      <c r="K1931" s="25" t="s">
        <v>1211</v>
      </c>
      <c r="L1931" s="19"/>
      <c r="M1931" s="20"/>
      <c r="N1931" s="21" t="s">
        <v>6133</v>
      </c>
    </row>
    <row r="1932" spans="1:14">
      <c r="A1932" s="12" t="s">
        <v>2016</v>
      </c>
      <c r="B1932" s="13" t="s">
        <v>1818</v>
      </c>
      <c r="C1932" s="14" t="s">
        <v>1710</v>
      </c>
      <c r="D1932" s="15">
        <v>41862.638958333337</v>
      </c>
      <c r="E1932" s="16" t="s">
        <v>16</v>
      </c>
      <c r="F1932" s="16" t="s">
        <v>16</v>
      </c>
      <c r="G1932" s="17" t="s">
        <v>785</v>
      </c>
      <c r="H1932" s="17" t="s">
        <v>3275</v>
      </c>
      <c r="I1932" s="13" t="s">
        <v>6134</v>
      </c>
      <c r="J1932" s="23" t="str">
        <f>HYPERLINK("CorLog\COD\Lubumbashi RTO\20140811 COD Lubumbashi RTO official calcs for a drywell (RDC-to-RDC).msg", "official calcs for a drywell")</f>
        <v>official calcs for a drywell</v>
      </c>
      <c r="K1932" s="25"/>
      <c r="L1932" s="19"/>
      <c r="M1932" s="20"/>
      <c r="N1932" s="21" t="s">
        <v>6135</v>
      </c>
    </row>
    <row r="1933" spans="1:14">
      <c r="A1933" s="12" t="s">
        <v>2612</v>
      </c>
      <c r="B1933" s="13" t="s">
        <v>964</v>
      </c>
      <c r="C1933" s="14" t="s">
        <v>6136</v>
      </c>
      <c r="D1933" s="15">
        <v>41862.638703703706</v>
      </c>
      <c r="E1933" s="16" t="s">
        <v>21</v>
      </c>
      <c r="F1933" s="16" t="s">
        <v>16</v>
      </c>
      <c r="G1933" s="17" t="s">
        <v>790</v>
      </c>
      <c r="H1933" s="17" t="s">
        <v>6137</v>
      </c>
      <c r="I1933" s="13" t="s">
        <v>6138</v>
      </c>
      <c r="J1933" s="23" t="str">
        <f>HYPERLINK("CorLog\GHA\BEX\20140811 GHA BEX Trickle Filter Orenco fan control timing zy574 (GHA-to-RDC).msg", "Trickle Filter Orenco fan control timing zy574")</f>
        <v>Trickle Filter Orenco fan control timing zy574</v>
      </c>
      <c r="K1933" s="25"/>
      <c r="L1933" s="19"/>
      <c r="M1933" s="20"/>
      <c r="N1933" s="21" t="s">
        <v>6139</v>
      </c>
    </row>
    <row r="1934" spans="1:14">
      <c r="A1934" s="12" t="s">
        <v>2612</v>
      </c>
      <c r="B1934" s="13" t="s">
        <v>964</v>
      </c>
      <c r="C1934" s="14" t="s">
        <v>6136</v>
      </c>
      <c r="D1934" s="15">
        <v>41862.638703703706</v>
      </c>
      <c r="E1934" s="16" t="s">
        <v>21</v>
      </c>
      <c r="F1934" s="16" t="s">
        <v>16</v>
      </c>
      <c r="G1934" s="17" t="s">
        <v>790</v>
      </c>
      <c r="H1934" s="17" t="s">
        <v>6137</v>
      </c>
      <c r="I1934" s="13" t="s">
        <v>6138</v>
      </c>
      <c r="J1934" s="23" t="str">
        <f>HYPERLINK("CorLog\GHA\BEX\20140811 GHA BEX Trickle Filter Orenco fan control timing zy574 (GHA-to-RDC).msg", "Trickle Filter Orenco fan control timing zy574")</f>
        <v>Trickle Filter Orenco fan control timing zy574</v>
      </c>
      <c r="K1934" s="25"/>
      <c r="L1934" s="19"/>
      <c r="M1934" s="20"/>
      <c r="N1934" s="21" t="s">
        <v>6139</v>
      </c>
    </row>
    <row r="1935" spans="1:14">
      <c r="A1935" s="12" t="s">
        <v>2195</v>
      </c>
      <c r="B1935" s="13" t="s">
        <v>806</v>
      </c>
      <c r="C1935" s="14" t="s">
        <v>6140</v>
      </c>
      <c r="D1935" s="15">
        <v>41862.599027777775</v>
      </c>
      <c r="E1935" s="16" t="s">
        <v>935</v>
      </c>
      <c r="F1935" s="16" t="s">
        <v>15</v>
      </c>
      <c r="G1935" s="17" t="s">
        <v>6141</v>
      </c>
      <c r="H1935" s="17" t="s">
        <v>829</v>
      </c>
      <c r="I1935" s="13" t="s">
        <v>6142</v>
      </c>
      <c r="J1935" s="23" t="str">
        <f>HYPERLINK("CorLog\MDG\BEX\20140811 MDG BEX Madagascar - MDG-4294 Tents Lit equipment ($49,559 43) (GPD-to-ZAF).msg", "Madagascar - MDG-4294 Tents Lit equipment ($49,559 43)")</f>
        <v>Madagascar - MDG-4294 Tents Lit equipment ($49,559 43)</v>
      </c>
      <c r="K1935" s="25" t="s">
        <v>1211</v>
      </c>
      <c r="L1935" s="19"/>
      <c r="M1935" s="20"/>
      <c r="N1935" s="21" t="s">
        <v>6143</v>
      </c>
    </row>
    <row r="1936" spans="1:14">
      <c r="A1936" s="12" t="s">
        <v>964</v>
      </c>
      <c r="B1936" s="13" t="s">
        <v>750</v>
      </c>
      <c r="C1936" s="14" t="s">
        <v>6144</v>
      </c>
      <c r="D1936" s="15">
        <v>41862.558518518519</v>
      </c>
      <c r="E1936" s="16" t="s">
        <v>16</v>
      </c>
      <c r="F1936" s="16" t="s">
        <v>16</v>
      </c>
      <c r="G1936" s="17" t="s">
        <v>790</v>
      </c>
      <c r="H1936" s="17" t="s">
        <v>6145</v>
      </c>
      <c r="I1936" s="13" t="s">
        <v>6138</v>
      </c>
      <c r="J1936" s="23" t="str">
        <f>HYPERLINK("CorLog\GHA\BEX\20140811 GHA BEX Trickle Filter Orenco fan control timing zy574 (RDC-to-RDC).msg", "Trickle Filter Orenco fan control timing zy574")</f>
        <v>Trickle Filter Orenco fan control timing zy574</v>
      </c>
      <c r="K1936" s="25"/>
      <c r="L1936" s="19"/>
      <c r="M1936" s="20"/>
      <c r="N1936" s="21" t="s">
        <v>6146</v>
      </c>
    </row>
    <row r="1937" spans="1:14">
      <c r="A1937" s="12" t="s">
        <v>750</v>
      </c>
      <c r="B1937" s="13" t="s">
        <v>1529</v>
      </c>
      <c r="C1937" s="14" t="s">
        <v>6147</v>
      </c>
      <c r="D1937" s="15">
        <v>41862.34957175926</v>
      </c>
      <c r="E1937" s="16" t="s">
        <v>16</v>
      </c>
      <c r="F1937" s="16" t="s">
        <v>18</v>
      </c>
      <c r="G1937" s="17" t="s">
        <v>946</v>
      </c>
      <c r="H1937" s="17" t="s">
        <v>1153</v>
      </c>
      <c r="I1937" s="13" t="s">
        <v>6148</v>
      </c>
      <c r="J1937" s="23" t="str">
        <f>HYPERLINK("CorLog\ZMB\Mongu RTO\20140811 ZMB Mongu RTO Retaining wall Soakaway Drainage pipe type (RDC-to-ZMB).msg", "Retaining wall Soakaway Drainage pipe type")</f>
        <v>Retaining wall Soakaway Drainage pipe type</v>
      </c>
      <c r="K1937" s="25" t="s">
        <v>1270</v>
      </c>
      <c r="L1937" s="19"/>
      <c r="M1937" s="20"/>
      <c r="N1937" s="21" t="s">
        <v>6149</v>
      </c>
    </row>
    <row r="1938" spans="1:14">
      <c r="A1938" s="12" t="s">
        <v>2016</v>
      </c>
      <c r="B1938" s="13" t="s">
        <v>1969</v>
      </c>
      <c r="C1938" s="14" t="s">
        <v>6150</v>
      </c>
      <c r="D1938" s="15">
        <v>41862.331817129627</v>
      </c>
      <c r="E1938" s="16" t="s">
        <v>16</v>
      </c>
      <c r="F1938" s="16" t="s">
        <v>22</v>
      </c>
      <c r="G1938" s="17" t="s">
        <v>979</v>
      </c>
      <c r="H1938" s="17" t="s">
        <v>6151</v>
      </c>
      <c r="I1938" s="13" t="s">
        <v>6152</v>
      </c>
      <c r="J1938" s="23" t="str">
        <f>HYPERLINK("CorLog\RTO\Projects\20140811 RTO Projects RTO SEISMIC Considerations (RDC-to-COD).msg", "RTO SEISMIC Considerations")</f>
        <v>RTO SEISMIC Considerations</v>
      </c>
      <c r="K1938" s="25" t="s">
        <v>1211</v>
      </c>
      <c r="L1938" s="19"/>
      <c r="M1938" s="20"/>
      <c r="N1938" s="21" t="s">
        <v>6153</v>
      </c>
    </row>
    <row r="1939" spans="1:14">
      <c r="A1939" s="12" t="s">
        <v>723</v>
      </c>
      <c r="B1939" s="13" t="s">
        <v>717</v>
      </c>
      <c r="C1939" s="14" t="s">
        <v>1447</v>
      </c>
      <c r="D1939" s="15">
        <v>41859.683113425926</v>
      </c>
      <c r="E1939" s="16" t="s">
        <v>16</v>
      </c>
      <c r="F1939" s="16" t="s">
        <v>16</v>
      </c>
      <c r="G1939" s="17" t="s">
        <v>2022</v>
      </c>
      <c r="H1939" s="17" t="s">
        <v>2022</v>
      </c>
      <c r="I1939" s="13" t="s">
        <v>6154</v>
      </c>
      <c r="J1939" s="23" t="str">
        <f>HYPERLINK("CorLog\Directive\20140808 Directive AO-9 submit photo reports together with (RDC-to-RDC).msg", "AO-9 submit photo reports together with")</f>
        <v>AO-9 submit photo reports together with</v>
      </c>
      <c r="K1939" s="25"/>
      <c r="L1939" s="19"/>
      <c r="M1939" s="20"/>
      <c r="N1939" s="21" t="s">
        <v>6155</v>
      </c>
    </row>
    <row r="1940" spans="1:14">
      <c r="A1940" s="12" t="s">
        <v>750</v>
      </c>
      <c r="B1940" s="13" t="s">
        <v>842</v>
      </c>
      <c r="C1940" s="14" t="s">
        <v>6156</v>
      </c>
      <c r="D1940" s="15">
        <v>41859.675405092596</v>
      </c>
      <c r="E1940" s="16" t="s">
        <v>16</v>
      </c>
      <c r="F1940" s="16" t="s">
        <v>21</v>
      </c>
      <c r="G1940" s="17" t="s">
        <v>790</v>
      </c>
      <c r="H1940" s="17" t="s">
        <v>886</v>
      </c>
      <c r="I1940" s="13" t="s">
        <v>6157</v>
      </c>
      <c r="J1940" s="23" t="str">
        <f>HYPERLINK("CorLog\GHA\BEX\20140808 GHA BEX Electrical Supply Problems - ECG power installation (cable options) (RDC-to-GHA).msg", "Electrical Supply Problems - ECG power installation (cable options)")</f>
        <v>Electrical Supply Problems - ECG power installation (cable options)</v>
      </c>
      <c r="K1940" s="25"/>
      <c r="L1940" s="19"/>
      <c r="M1940" s="20"/>
      <c r="N1940" s="21" t="s">
        <v>6158</v>
      </c>
    </row>
    <row r="1941" spans="1:14">
      <c r="A1941" s="12" t="s">
        <v>964</v>
      </c>
      <c r="B1941" s="13" t="s">
        <v>750</v>
      </c>
      <c r="C1941" s="14" t="s">
        <v>6159</v>
      </c>
      <c r="D1941" s="15">
        <v>41859.673356481479</v>
      </c>
      <c r="E1941" s="16" t="s">
        <v>16</v>
      </c>
      <c r="F1941" s="16" t="s">
        <v>16</v>
      </c>
      <c r="G1941" s="17" t="s">
        <v>790</v>
      </c>
      <c r="H1941" s="17" t="s">
        <v>886</v>
      </c>
      <c r="I1941" s="13" t="s">
        <v>6160</v>
      </c>
      <c r="J1941" s="23" t="str">
        <f>HYPERLINK("CorLog\GHA\BEX\20140808 GHA BEX Proposed relocation of power supply line (RDC-to-RDC).msg", "Proposed relocation of power supply line")</f>
        <v>Proposed relocation of power supply line</v>
      </c>
      <c r="K1941" s="25" t="s">
        <v>1274</v>
      </c>
      <c r="L1941" s="19"/>
      <c r="M1941" s="20"/>
      <c r="N1941" s="21" t="s">
        <v>6161</v>
      </c>
    </row>
    <row r="1942" spans="1:14">
      <c r="A1942" s="12" t="s">
        <v>750</v>
      </c>
      <c r="B1942" s="13" t="s">
        <v>1784</v>
      </c>
      <c r="C1942" s="14" t="s">
        <v>6162</v>
      </c>
      <c r="D1942" s="15">
        <v>41859.627002314817</v>
      </c>
      <c r="E1942" s="16" t="s">
        <v>16</v>
      </c>
      <c r="F1942" s="16" t="s">
        <v>16</v>
      </c>
      <c r="G1942" s="17" t="s">
        <v>979</v>
      </c>
      <c r="H1942" s="17" t="s">
        <v>1565</v>
      </c>
      <c r="I1942" s="13" t="s">
        <v>6163</v>
      </c>
      <c r="J1942" s="23" t="str">
        <f>HYPERLINK("CorLog\RTO\Projects\20140808 RTO Projects Trusses landing on Control Joints (RDC-to-RDC).msg", "Trusses landing on Control Joints")</f>
        <v>Trusses landing on Control Joints</v>
      </c>
      <c r="K1942" s="25" t="s">
        <v>1270</v>
      </c>
      <c r="L1942" s="19"/>
      <c r="M1942" s="20"/>
      <c r="N1942" s="21" t="s">
        <v>6164</v>
      </c>
    </row>
    <row r="1943" spans="1:14">
      <c r="A1943" s="12" t="s">
        <v>1181</v>
      </c>
      <c r="B1943" s="13" t="s">
        <v>6165</v>
      </c>
      <c r="C1943" s="14" t="s">
        <v>718</v>
      </c>
      <c r="D1943" s="15">
        <v>41859.477835648147</v>
      </c>
      <c r="E1943" s="16" t="s">
        <v>16</v>
      </c>
      <c r="F1943" s="16" t="s">
        <v>15</v>
      </c>
      <c r="G1943" s="17" t="s">
        <v>946</v>
      </c>
      <c r="H1943" s="17" t="s">
        <v>1565</v>
      </c>
      <c r="I1943" s="13" t="s">
        <v>6166</v>
      </c>
      <c r="J1943" s="23" t="str">
        <f>HYPERLINK("CorLog\ZMB\Mongu RTO\20140808 ZMB Mongu RTO Mitek drawings okay B1278013-B1278013 (RDC-to-ZAF).msg", "Mitek drawings okay B1278013-B1278013")</f>
        <v>Mitek drawings okay B1278013-B1278013</v>
      </c>
      <c r="K1943" s="25" t="s">
        <v>1211</v>
      </c>
      <c r="L1943" s="19"/>
      <c r="M1943" s="20"/>
      <c r="N1943" s="21" t="s">
        <v>6167</v>
      </c>
    </row>
    <row r="1944" spans="1:14">
      <c r="A1944" s="12" t="s">
        <v>750</v>
      </c>
      <c r="B1944" s="13" t="s">
        <v>718</v>
      </c>
      <c r="C1944" s="14" t="s">
        <v>6168</v>
      </c>
      <c r="D1944" s="15">
        <v>41859.36215277778</v>
      </c>
      <c r="E1944" s="16" t="s">
        <v>16</v>
      </c>
      <c r="F1944" s="16" t="s">
        <v>16</v>
      </c>
      <c r="G1944" s="17" t="s">
        <v>30</v>
      </c>
      <c r="H1944" s="17" t="s">
        <v>759</v>
      </c>
      <c r="I1944" s="13" t="s">
        <v>6169</v>
      </c>
      <c r="J1944" s="23" t="str">
        <f>HYPERLINK("CorLog\ALL\20140808 ALL SAF SWR Const Docs Coord REVIEW Aug 14, 2014 - RDC MAINT; SAF-CON (RDC-to-RDC).msg", "SAF SWR Const Docs Coord REVIEW Aug 14, 2014 - RDC MAINT; SAF-CON")</f>
        <v>SAF SWR Const Docs Coord REVIEW Aug 14, 2014 - RDC MAINT; SAF-CON</v>
      </c>
      <c r="K1944" s="25" t="s">
        <v>1270</v>
      </c>
      <c r="L1944" s="19" t="s">
        <v>6170</v>
      </c>
      <c r="M1944" s="20"/>
      <c r="N1944" s="21" t="s">
        <v>6171</v>
      </c>
    </row>
    <row r="1945" spans="1:14">
      <c r="A1945" s="12" t="s">
        <v>724</v>
      </c>
      <c r="B1945" s="13" t="s">
        <v>972</v>
      </c>
      <c r="C1945" s="14" t="s">
        <v>6172</v>
      </c>
      <c r="D1945" s="15">
        <v>41858.736284722225</v>
      </c>
      <c r="E1945" s="16" t="s">
        <v>16</v>
      </c>
      <c r="F1945" s="16" t="s">
        <v>18</v>
      </c>
      <c r="G1945" s="17" t="s">
        <v>1112</v>
      </c>
      <c r="H1945" s="17" t="s">
        <v>829</v>
      </c>
      <c r="I1945" s="13" t="s">
        <v>6173</v>
      </c>
      <c r="J1945" s="23" t="str">
        <f>HYPERLINK("CorLog\ZMB\BEX\20140807 ZMB BEX Draft NLBR for ZMB0018 Electrical Backup (RDC-to-ZMB).msg", "Draft NLBR for ZMB0018 Electrical Backup")</f>
        <v>Draft NLBR for ZMB0018 Electrical Backup</v>
      </c>
      <c r="K1945" s="25"/>
      <c r="L1945" s="19"/>
      <c r="M1945" s="20"/>
      <c r="N1945" s="21" t="s">
        <v>6174</v>
      </c>
    </row>
    <row r="1946" spans="1:14">
      <c r="A1946" s="12" t="s">
        <v>724</v>
      </c>
      <c r="B1946" s="13" t="s">
        <v>842</v>
      </c>
      <c r="C1946" s="14" t="s">
        <v>718</v>
      </c>
      <c r="D1946" s="15">
        <v>41858.73578703704</v>
      </c>
      <c r="E1946" s="16" t="s">
        <v>16</v>
      </c>
      <c r="F1946" s="16" t="s">
        <v>21</v>
      </c>
      <c r="G1946" s="17" t="s">
        <v>758</v>
      </c>
      <c r="H1946" s="17" t="s">
        <v>1562</v>
      </c>
      <c r="I1946" s="13" t="s">
        <v>6175</v>
      </c>
      <c r="J1946" s="23" t="str">
        <f>HYPERLINK("CorLog\GHA\Viepe RTO\20140807 GHA Viepe RTO Clotan roof sheet quotation (RDC-to-GHA).msg", "Clotan roof sheet quotation")</f>
        <v>Clotan roof sheet quotation</v>
      </c>
      <c r="K1946" s="25" t="s">
        <v>4757</v>
      </c>
      <c r="L1946" s="19"/>
      <c r="M1946" s="20"/>
      <c r="N1946" s="21" t="s">
        <v>6176</v>
      </c>
    </row>
    <row r="1947" spans="1:14">
      <c r="A1947" s="12" t="s">
        <v>724</v>
      </c>
      <c r="B1947" s="13" t="s">
        <v>972</v>
      </c>
      <c r="C1947" s="14" t="s">
        <v>6172</v>
      </c>
      <c r="D1947" s="15">
        <v>41858.726041666669</v>
      </c>
      <c r="E1947" s="16" t="s">
        <v>16</v>
      </c>
      <c r="F1947" s="16" t="s">
        <v>18</v>
      </c>
      <c r="G1947" s="17" t="s">
        <v>1065</v>
      </c>
      <c r="H1947" s="17" t="s">
        <v>1000</v>
      </c>
      <c r="I1947" s="13" t="s">
        <v>6177</v>
      </c>
      <c r="J1947" s="23" t="str">
        <f>HYPERLINK("CorLog\ZMB\RTO Projects\20140807 ZMB RTO Projects ZMB-Future RTO properties (RDC-to-ZMB).msg", "ZMB-Future RTO properties")</f>
        <v>ZMB-Future RTO properties</v>
      </c>
      <c r="K1947" s="25"/>
      <c r="L1947" s="19"/>
      <c r="M1947" s="20"/>
      <c r="N1947" s="21" t="s">
        <v>6178</v>
      </c>
    </row>
    <row r="1948" spans="1:14">
      <c r="A1948" s="12" t="s">
        <v>750</v>
      </c>
      <c r="B1948" s="13" t="s">
        <v>718</v>
      </c>
      <c r="C1948" s="14" t="s">
        <v>2016</v>
      </c>
      <c r="D1948" s="15">
        <v>41858.558182870373</v>
      </c>
      <c r="E1948" s="16" t="s">
        <v>16</v>
      </c>
      <c r="F1948" s="16" t="s">
        <v>16</v>
      </c>
      <c r="G1948" s="17" t="s">
        <v>2627</v>
      </c>
      <c r="H1948" s="17" t="s">
        <v>3453</v>
      </c>
      <c r="I1948" s="13" t="s">
        <v>6163</v>
      </c>
      <c r="J1948" s="23" t="str">
        <f>HYPERLINK("CorLog\COD\Kamina RTO\20140807 COD Kamina RTO Trusses landing on Control Joints (RDC-to-RDC).msg", "Trusses landing on Control Joints")</f>
        <v>Trusses landing on Control Joints</v>
      </c>
      <c r="K1948" s="25" t="s">
        <v>1270</v>
      </c>
      <c r="L1948" s="19"/>
      <c r="M1948" s="20"/>
      <c r="N1948" s="21" t="s">
        <v>6179</v>
      </c>
    </row>
    <row r="1949" spans="1:14">
      <c r="A1949" s="12" t="s">
        <v>1258</v>
      </c>
      <c r="B1949" s="13" t="s">
        <v>1761</v>
      </c>
      <c r="C1949" s="14" t="s">
        <v>6180</v>
      </c>
      <c r="D1949" s="15">
        <v>41858.541006944448</v>
      </c>
      <c r="E1949" s="16" t="s">
        <v>16</v>
      </c>
      <c r="F1949" s="16" t="s">
        <v>16</v>
      </c>
      <c r="G1949" s="17" t="s">
        <v>30</v>
      </c>
      <c r="H1949" s="17" t="s">
        <v>719</v>
      </c>
      <c r="I1949" s="13" t="s">
        <v>6181</v>
      </c>
      <c r="J1949" s="23" t="str">
        <f>HYPERLINK("CorLog\ALL\20140807 ALL Instructions how to print an A0 size PDF on the HP DesignJet eMFP T2500 PS (RDC-to-RDC).msg", "Instructions how to print an A0 size PDF on the HP DesignJet eMFP T2500 PS")</f>
        <v>Instructions how to print an A0 size PDF on the HP DesignJet eMFP T2500 PS</v>
      </c>
      <c r="K1949" s="25" t="s">
        <v>3703</v>
      </c>
      <c r="L1949" s="19"/>
      <c r="M1949" s="20"/>
      <c r="N1949" s="21" t="s">
        <v>6182</v>
      </c>
    </row>
    <row r="1950" spans="1:14">
      <c r="A1950" s="12" t="s">
        <v>750</v>
      </c>
      <c r="B1950" s="13" t="s">
        <v>718</v>
      </c>
      <c r="C1950" s="14" t="s">
        <v>2016</v>
      </c>
      <c r="D1950" s="15">
        <v>41858.518807870372</v>
      </c>
      <c r="E1950" s="16" t="s">
        <v>16</v>
      </c>
      <c r="F1950" s="16" t="s">
        <v>16</v>
      </c>
      <c r="G1950" s="17" t="s">
        <v>2627</v>
      </c>
      <c r="H1950" s="17" t="s">
        <v>6183</v>
      </c>
      <c r="I1950" s="13" t="s">
        <v>6184</v>
      </c>
      <c r="J1950" s="23" t="str">
        <f>HYPERLINK("CorLog\COD\Kamina RTO\20140807 COD Kamina RTO Grease trap (RE-ISSUE) (RDC-to-RDC).msg", "Grease trap (RE-ISSUE)")</f>
        <v>Grease trap (RE-ISSUE)</v>
      </c>
      <c r="K1950" s="25" t="s">
        <v>1243</v>
      </c>
      <c r="L1950" s="19"/>
      <c r="M1950" s="20"/>
      <c r="N1950" s="21" t="s">
        <v>6185</v>
      </c>
    </row>
    <row r="1951" spans="1:14">
      <c r="A1951" s="12" t="s">
        <v>795</v>
      </c>
      <c r="B1951" s="13" t="s">
        <v>1969</v>
      </c>
      <c r="C1951" s="14" t="s">
        <v>6186</v>
      </c>
      <c r="D1951" s="15">
        <v>41858.455405092594</v>
      </c>
      <c r="E1951" s="16" t="s">
        <v>16</v>
      </c>
      <c r="F1951" s="16" t="s">
        <v>22</v>
      </c>
      <c r="G1951" s="17" t="s">
        <v>2627</v>
      </c>
      <c r="H1951" s="17" t="s">
        <v>1153</v>
      </c>
      <c r="I1951" s="13" t="s">
        <v>6187</v>
      </c>
      <c r="J1951" s="23" t="str">
        <f>HYPERLINK("CorLog\COD\Kamina RTO\20140807 COD Kamina RTO Grease trap construction documents (RDC-to-COD).msg", "Grease trap construction documents")</f>
        <v>Grease trap construction documents</v>
      </c>
      <c r="K1951" s="25" t="s">
        <v>1243</v>
      </c>
      <c r="L1951" s="19"/>
      <c r="M1951" s="20"/>
      <c r="N1951" s="21" t="s">
        <v>6188</v>
      </c>
    </row>
    <row r="1952" spans="1:14">
      <c r="A1952" s="12" t="s">
        <v>750</v>
      </c>
      <c r="B1952" s="13" t="s">
        <v>6189</v>
      </c>
      <c r="C1952" s="14" t="s">
        <v>6190</v>
      </c>
      <c r="D1952" s="15">
        <v>41858.393576388888</v>
      </c>
      <c r="E1952" s="16" t="s">
        <v>16</v>
      </c>
      <c r="F1952" s="16" t="s">
        <v>15</v>
      </c>
      <c r="G1952" s="17" t="s">
        <v>946</v>
      </c>
      <c r="H1952" s="17" t="s">
        <v>1707</v>
      </c>
      <c r="I1952" s="13" t="s">
        <v>6191</v>
      </c>
      <c r="J1952" s="23" t="str">
        <f>HYPERLINK("CorLog\ZMB\Mongu RTO\20140807 ZMB Mongu RTO AV - 'NO' to Whisper Room in a 5-team facility (RDC-to-).msg", "AV - 'NO' to Whisper Room in a 5-team facility")</f>
        <v>AV - 'NO' to Whisper Room in a 5-team facility</v>
      </c>
      <c r="K1952" s="25" t="s">
        <v>1270</v>
      </c>
      <c r="L1952" s="19"/>
      <c r="M1952" s="20"/>
      <c r="N1952" s="21" t="s">
        <v>6192</v>
      </c>
    </row>
    <row r="1953" spans="1:14">
      <c r="A1953" s="12" t="s">
        <v>4711</v>
      </c>
      <c r="B1953" s="13" t="s">
        <v>718</v>
      </c>
      <c r="C1953" s="14" t="s">
        <v>6193</v>
      </c>
      <c r="D1953" s="15">
        <v>41858.377835648149</v>
      </c>
      <c r="E1953" s="16" t="s">
        <v>26</v>
      </c>
      <c r="F1953" s="16" t="s">
        <v>16</v>
      </c>
      <c r="G1953" s="17" t="s">
        <v>1544</v>
      </c>
      <c r="H1953" s="17" t="s">
        <v>1426</v>
      </c>
      <c r="I1953" s="13" t="s">
        <v>6194</v>
      </c>
      <c r="J1953" s="23" t="str">
        <f>HYPERLINK("CorLog\SALTO\20140807 SALTO Interfacing with ZA Branch Gatehouse Access Control (GBR-to-RDC).msg", "Interfacing with ZA Branch Gatehouse Access Control")</f>
        <v>Interfacing with ZA Branch Gatehouse Access Control</v>
      </c>
      <c r="K1953" s="25"/>
      <c r="L1953" s="19"/>
      <c r="M1953" s="20"/>
      <c r="N1953" s="21" t="s">
        <v>6195</v>
      </c>
    </row>
    <row r="1954" spans="1:14">
      <c r="A1954" s="12" t="s">
        <v>972</v>
      </c>
      <c r="B1954" s="13" t="s">
        <v>724</v>
      </c>
      <c r="C1954" s="14" t="s">
        <v>3821</v>
      </c>
      <c r="D1954" s="15">
        <v>41858.330439814818</v>
      </c>
      <c r="E1954" s="16" t="s">
        <v>18</v>
      </c>
      <c r="F1954" s="16" t="s">
        <v>16</v>
      </c>
      <c r="G1954" s="17" t="s">
        <v>1112</v>
      </c>
      <c r="H1954" s="17" t="s">
        <v>6196</v>
      </c>
      <c r="I1954" s="13" t="s">
        <v>6197</v>
      </c>
      <c r="J1954" s="23" t="str">
        <f>HYPERLINK("CorLog\ZMB\BEX\20140807 ZMB BEX Modular Home as-builts levels and benchmarks (ZMB-to-RDC).msg", "Modular Home as-builts levels and benchmarks")</f>
        <v>Modular Home as-builts levels and benchmarks</v>
      </c>
      <c r="K1954" s="25" t="s">
        <v>1211</v>
      </c>
      <c r="L1954" s="19"/>
      <c r="M1954" s="20"/>
      <c r="N1954" s="21" t="s">
        <v>6198</v>
      </c>
    </row>
    <row r="1955" spans="1:14">
      <c r="A1955" s="12" t="s">
        <v>4834</v>
      </c>
      <c r="B1955" s="13" t="s">
        <v>1181</v>
      </c>
      <c r="C1955" s="14" t="s">
        <v>6199</v>
      </c>
      <c r="D1955" s="15">
        <v>41857.786898148152</v>
      </c>
      <c r="E1955" s="16" t="s">
        <v>16</v>
      </c>
      <c r="F1955" s="16" t="s">
        <v>16</v>
      </c>
      <c r="G1955" s="17" t="s">
        <v>987</v>
      </c>
      <c r="H1955" s="17" t="s">
        <v>3303</v>
      </c>
      <c r="I1955" s="13" t="s">
        <v>6200</v>
      </c>
      <c r="J1955" s="23" t="str">
        <f>HYPERLINK("CorLog\MOZ\Massinga RTO\20140806 MOZ Massinga RTO MOZ Massinga - Plastering PPR pipe and Mitek (RDC-to-RDC).msg", "MOZ Massinga - Plastering PPR pipe and Mitek")</f>
        <v>MOZ Massinga - Plastering PPR pipe and Mitek</v>
      </c>
      <c r="K1955" s="25" t="s">
        <v>1270</v>
      </c>
      <c r="L1955" s="19"/>
      <c r="M1955" s="20"/>
      <c r="N1955" s="21" t="s">
        <v>6201</v>
      </c>
    </row>
    <row r="1956" spans="1:14">
      <c r="A1956" s="12" t="s">
        <v>750</v>
      </c>
      <c r="B1956" s="13" t="s">
        <v>771</v>
      </c>
      <c r="C1956" s="14" t="s">
        <v>6202</v>
      </c>
      <c r="D1956" s="15">
        <v>41857.609502314815</v>
      </c>
      <c r="E1956" s="16" t="s">
        <v>16</v>
      </c>
      <c r="F1956" s="16" t="s">
        <v>17</v>
      </c>
      <c r="G1956" s="17" t="s">
        <v>4606</v>
      </c>
      <c r="H1956" s="17" t="s">
        <v>1707</v>
      </c>
      <c r="I1956" s="13" t="s">
        <v>6203</v>
      </c>
      <c r="J1956" s="23" t="str">
        <f>HYPERLINK("CorLog\COD\BEX\20140806 COD BEX 'CDP' for Choral Studio (RDC-to-WDC).msg", "'CDP' for Choral Studio")</f>
        <v>'CDP' for Choral Studio</v>
      </c>
      <c r="K1956" s="25"/>
      <c r="L1956" s="19"/>
      <c r="M1956" s="20"/>
      <c r="N1956" s="21" t="s">
        <v>6204</v>
      </c>
    </row>
    <row r="1957" spans="1:14">
      <c r="A1957" s="12" t="s">
        <v>750</v>
      </c>
      <c r="B1957" s="13" t="s">
        <v>771</v>
      </c>
      <c r="C1957" s="14" t="s">
        <v>6205</v>
      </c>
      <c r="D1957" s="15">
        <v>41857.606550925928</v>
      </c>
      <c r="E1957" s="16" t="s">
        <v>16</v>
      </c>
      <c r="F1957" s="16" t="s">
        <v>17</v>
      </c>
      <c r="G1957" s="17" t="s">
        <v>790</v>
      </c>
      <c r="H1957" s="17" t="s">
        <v>1000</v>
      </c>
      <c r="I1957" s="13" t="s">
        <v>6206</v>
      </c>
      <c r="J1957" s="23" t="str">
        <f>HYPERLINK("CorLog\GHA\BEX\20140806 GHA BEX GHA Branch Expansion 2013-2015 (GHA0012) END DATE (RDC-to-WDC).msg", "GHA Branch Expansion 2013-2015 (GHA0012) END DATE")</f>
        <v>GHA Branch Expansion 2013-2015 (GHA0012) END DATE</v>
      </c>
      <c r="K1957" s="25"/>
      <c r="L1957" s="19" t="s">
        <v>6207</v>
      </c>
      <c r="M1957" s="20"/>
      <c r="N1957" s="21" t="s">
        <v>6208</v>
      </c>
    </row>
    <row r="1958" spans="1:14">
      <c r="A1958" s="12" t="s">
        <v>2202</v>
      </c>
      <c r="B1958" s="13" t="s">
        <v>723</v>
      </c>
      <c r="C1958" s="14" t="s">
        <v>6209</v>
      </c>
      <c r="D1958" s="15">
        <v>41857.60125</v>
      </c>
      <c r="E1958" s="16" t="s">
        <v>24</v>
      </c>
      <c r="F1958" s="16" t="s">
        <v>16</v>
      </c>
      <c r="G1958" s="17" t="s">
        <v>1112</v>
      </c>
      <c r="H1958" s="17" t="s">
        <v>725</v>
      </c>
      <c r="I1958" s="13" t="s">
        <v>6210</v>
      </c>
      <c r="J1958" s="23" t="str">
        <f>HYPERLINK("CorLog\ZMB\BEX\20140806 ZMB BEX Area Code 15 Discrepancy (USA-to-RDC).msg", "Area Code 15 Discrepancy")</f>
        <v>Area Code 15 Discrepancy</v>
      </c>
      <c r="K1958" s="25"/>
      <c r="L1958" s="19"/>
      <c r="M1958" s="20"/>
      <c r="N1958" s="21" t="s">
        <v>6211</v>
      </c>
    </row>
    <row r="1959" spans="1:14">
      <c r="A1959" s="12" t="s">
        <v>1181</v>
      </c>
      <c r="B1959" s="13" t="s">
        <v>6165</v>
      </c>
      <c r="C1959" s="14" t="s">
        <v>718</v>
      </c>
      <c r="D1959" s="15">
        <v>41857.574606481481</v>
      </c>
      <c r="E1959" s="16" t="s">
        <v>16</v>
      </c>
      <c r="F1959" s="16" t="s">
        <v>15</v>
      </c>
      <c r="G1959" s="17" t="s">
        <v>885</v>
      </c>
      <c r="H1959" s="17" t="s">
        <v>1565</v>
      </c>
      <c r="I1959" s="13" t="s">
        <v>6212</v>
      </c>
      <c r="J1959" s="23" t="str">
        <f>HYPERLINK("CorLog\ZMB\Kabompo RTO\20140806 ZMB Kabompo RTO Mitek Shop Drawings (RDC-to-ZAF).msg", "Mitek Shop Drawings")</f>
        <v>Mitek Shop Drawings</v>
      </c>
      <c r="K1959" s="25" t="s">
        <v>1211</v>
      </c>
      <c r="L1959" s="19" t="s">
        <v>6213</v>
      </c>
      <c r="M1959" s="20"/>
      <c r="N1959" s="21" t="s">
        <v>6214</v>
      </c>
    </row>
    <row r="1960" spans="1:14">
      <c r="A1960" s="12" t="s">
        <v>972</v>
      </c>
      <c r="B1960" s="13" t="s">
        <v>724</v>
      </c>
      <c r="C1960" s="14" t="s">
        <v>718</v>
      </c>
      <c r="D1960" s="15">
        <v>41856.713587962964</v>
      </c>
      <c r="E1960" s="16" t="s">
        <v>18</v>
      </c>
      <c r="F1960" s="16" t="s">
        <v>16</v>
      </c>
      <c r="G1960" s="17" t="s">
        <v>838</v>
      </c>
      <c r="H1960" s="17" t="s">
        <v>3275</v>
      </c>
      <c r="I1960" s="13" t="s">
        <v>6215</v>
      </c>
      <c r="J1960" s="23" t="str">
        <f>HYPERLINK("CorLog\ZMB\Choma RTO\20140805 ZMB Choma RTO Water Sample for Choma (ZMB-to-RDC).msg", "Water Sample for Choma")</f>
        <v>Water Sample for Choma</v>
      </c>
      <c r="K1960" s="25" t="s">
        <v>1211</v>
      </c>
      <c r="L1960" s="19"/>
      <c r="M1960" s="20"/>
      <c r="N1960" s="21" t="s">
        <v>6216</v>
      </c>
    </row>
    <row r="1961" spans="1:14">
      <c r="A1961" s="12" t="s">
        <v>1837</v>
      </c>
      <c r="B1961" s="13"/>
      <c r="C1961" s="14"/>
      <c r="D1961" s="15">
        <v>41856</v>
      </c>
      <c r="E1961" s="16" t="s">
        <v>25</v>
      </c>
      <c r="F1961" s="16" t="s">
        <v>15</v>
      </c>
      <c r="G1961" s="17" t="s">
        <v>719</v>
      </c>
      <c r="H1961" s="17" t="s">
        <v>1728</v>
      </c>
      <c r="I1961" s="13" t="s">
        <v>6217</v>
      </c>
      <c r="J1961" s="23" t="str">
        <f>HYPERLINK("CorLog\Reference\20140805 Reference Guidelines for Procuring Contracted Services (WHQ-to-ZAF).docx", "Guidelines for Procuring Contracted Services")</f>
        <v>Guidelines for Procuring Contracted Services</v>
      </c>
      <c r="K1961" s="23" t="str">
        <f>HYPERLINK("CorLog\Reference\20140805 Reference Guidelines for Procuring Contracted Services (WHQ-to-ZAF).zip", "Zipped")</f>
        <v>Zipped</v>
      </c>
      <c r="L1961" s="19"/>
      <c r="M1961" s="20"/>
      <c r="N1961" s="21" t="s">
        <v>6218</v>
      </c>
    </row>
    <row r="1962" spans="1:14">
      <c r="A1962" s="12" t="s">
        <v>1837</v>
      </c>
      <c r="B1962" s="13"/>
      <c r="C1962" s="14"/>
      <c r="D1962" s="15">
        <v>41856</v>
      </c>
      <c r="E1962" s="16" t="s">
        <v>17</v>
      </c>
      <c r="F1962" s="16" t="s">
        <v>15</v>
      </c>
      <c r="G1962" s="17" t="s">
        <v>2022</v>
      </c>
      <c r="H1962" s="17" t="s">
        <v>6219</v>
      </c>
      <c r="I1962" s="13" t="s">
        <v>6217</v>
      </c>
      <c r="J1962" s="23" t="str">
        <f>HYPERLINK("CorLog\Directive\20140805 Directive Guidelines for Procuring Contracted Services (WDC-to-ZAF).docx", "Guidelines for Procuring Contracted Services")</f>
        <v>Guidelines for Procuring Contracted Services</v>
      </c>
      <c r="K1962" s="25" t="str">
        <f>HYPERLINK("CorLog\Directive\20140805 Directive Guidelines for Procuring Contracted Services (WDC-to-ZAF).zip", "Zipped")</f>
        <v>Zipped</v>
      </c>
      <c r="L1962" s="19"/>
      <c r="M1962" s="20"/>
      <c r="N1962" s="21" t="s">
        <v>6218</v>
      </c>
    </row>
    <row r="1963" spans="1:14">
      <c r="A1963" s="12" t="s">
        <v>1529</v>
      </c>
      <c r="B1963" s="13" t="s">
        <v>724</v>
      </c>
      <c r="C1963" s="14" t="s">
        <v>6220</v>
      </c>
      <c r="D1963" s="15">
        <v>41852.552407407406</v>
      </c>
      <c r="E1963" s="16" t="s">
        <v>18</v>
      </c>
      <c r="F1963" s="16" t="s">
        <v>16</v>
      </c>
      <c r="G1963" s="17" t="s">
        <v>946</v>
      </c>
      <c r="H1963" s="17" t="s">
        <v>1565</v>
      </c>
      <c r="I1963" s="13" t="s">
        <v>6221</v>
      </c>
      <c r="J1963" s="23" t="str">
        <f>HYPERLINK("CorLog\ZMB\Mongu RTO\20140801 ZMB Mongu RTO B1278013-B1278013 Mitek shop drawing review (ZMB-to-RDC).msg", "B1278013-B1278013 Mitek shop drawing review")</f>
        <v>B1278013-B1278013 Mitek shop drawing review</v>
      </c>
      <c r="K1963" s="25" t="s">
        <v>1499</v>
      </c>
      <c r="L1963" s="19"/>
      <c r="M1963" s="20"/>
      <c r="N1963" s="21" t="s">
        <v>6222</v>
      </c>
    </row>
    <row r="1964" spans="1:14">
      <c r="A1964" s="12" t="s">
        <v>795</v>
      </c>
      <c r="B1964" s="13" t="s">
        <v>750</v>
      </c>
      <c r="C1964" s="14" t="s">
        <v>1985</v>
      </c>
      <c r="D1964" s="15">
        <v>41851.723749999997</v>
      </c>
      <c r="E1964" s="16" t="s">
        <v>16</v>
      </c>
      <c r="F1964" s="16" t="s">
        <v>16</v>
      </c>
      <c r="G1964" s="17" t="s">
        <v>790</v>
      </c>
      <c r="H1964" s="17" t="s">
        <v>3330</v>
      </c>
      <c r="I1964" s="13" t="s">
        <v>6223</v>
      </c>
      <c r="J1964" s="23" t="str">
        <f>HYPERLINK("CorLog\GHA\BEX\20140731 GHA BEX Diesel Storage tank - Existing diesel fitting (RDC-to-RDC).msg", "Diesel Storage tank - Existing diesel fitting")</f>
        <v>Diesel Storage tank - Existing diesel fitting</v>
      </c>
      <c r="K1964" s="25" t="s">
        <v>1243</v>
      </c>
      <c r="L1964" s="19"/>
      <c r="M1964" s="20"/>
      <c r="N1964" s="21" t="s">
        <v>6224</v>
      </c>
    </row>
    <row r="1965" spans="1:14">
      <c r="A1965" s="12" t="s">
        <v>750</v>
      </c>
      <c r="B1965" s="13" t="s">
        <v>717</v>
      </c>
      <c r="C1965" s="14" t="s">
        <v>6225</v>
      </c>
      <c r="D1965" s="15">
        <v>41851.610590277778</v>
      </c>
      <c r="E1965" s="16" t="s">
        <v>16</v>
      </c>
      <c r="F1965" s="16" t="s">
        <v>16</v>
      </c>
      <c r="G1965" s="17" t="s">
        <v>2022</v>
      </c>
      <c r="H1965" s="17" t="s">
        <v>1728</v>
      </c>
      <c r="I1965" s="13" t="s">
        <v>6226</v>
      </c>
      <c r="J1965" s="23" t="str">
        <f>HYPERLINK("CorLog\Directive\20140731 Directive Float requests,how to request electronically (RDC-to-RDC).msg", "Float requests,how to request electronically")</f>
        <v>Float requests,how to request electronically</v>
      </c>
      <c r="K1965" s="25" t="s">
        <v>1211</v>
      </c>
      <c r="L1965" s="19"/>
      <c r="M1965" s="20"/>
      <c r="N1965" s="21" t="s">
        <v>6227</v>
      </c>
    </row>
    <row r="1966" spans="1:14">
      <c r="A1966" s="12" t="s">
        <v>6228</v>
      </c>
      <c r="B1966" s="13" t="s">
        <v>5207</v>
      </c>
      <c r="C1966" s="14" t="s">
        <v>6229</v>
      </c>
      <c r="D1966" s="15">
        <v>41851.521053240744</v>
      </c>
      <c r="E1966" s="16"/>
      <c r="F1966" s="16" t="s">
        <v>16</v>
      </c>
      <c r="G1966" s="17" t="s">
        <v>1169</v>
      </c>
      <c r="H1966" s="17" t="s">
        <v>2192</v>
      </c>
      <c r="I1966" s="13" t="s">
        <v>6230</v>
      </c>
      <c r="J1966" s="23" t="str">
        <f>HYPERLINK("CorLog\COD\Kikwit RTO\20140731 COD Kikwit RTO contact for BIO system septic system (-to-RDC).msg", "contact for BIO system septic system")</f>
        <v>contact for BIO system septic system</v>
      </c>
      <c r="K1966" s="25" t="s">
        <v>1270</v>
      </c>
      <c r="L1966" s="19"/>
      <c r="M1966" s="20"/>
      <c r="N1966" s="21" t="s">
        <v>6231</v>
      </c>
    </row>
    <row r="1967" spans="1:14">
      <c r="A1967" s="12" t="s">
        <v>750</v>
      </c>
      <c r="B1967" s="13" t="s">
        <v>1529</v>
      </c>
      <c r="C1967" s="14" t="s">
        <v>5631</v>
      </c>
      <c r="D1967" s="15">
        <v>41850.753506944442</v>
      </c>
      <c r="E1967" s="16" t="s">
        <v>16</v>
      </c>
      <c r="F1967" s="16" t="s">
        <v>18</v>
      </c>
      <c r="G1967" s="17" t="s">
        <v>946</v>
      </c>
      <c r="H1967" s="17" t="s">
        <v>851</v>
      </c>
      <c r="I1967" s="13" t="s">
        <v>6232</v>
      </c>
      <c r="J1967" s="23" t="str">
        <f>HYPERLINK("CorLog\ZMB\Mongu RTO\20140730 ZMB Mongu RTO Office Building DCP Results 16 26 (RDC-to-ZMB).msg", "Office Building DCP Results 16 26")</f>
        <v>Office Building DCP Results 16 26</v>
      </c>
      <c r="K1967" s="25" t="s">
        <v>1211</v>
      </c>
      <c r="L1967" s="19" t="s">
        <v>3083</v>
      </c>
      <c r="M1967" s="20"/>
      <c r="N1967" s="21" t="s">
        <v>6233</v>
      </c>
    </row>
    <row r="1968" spans="1:14">
      <c r="A1968" s="12" t="s">
        <v>750</v>
      </c>
      <c r="B1968" s="13" t="s">
        <v>1818</v>
      </c>
      <c r="C1968" s="14" t="s">
        <v>6234</v>
      </c>
      <c r="D1968" s="15">
        <v>41850.702604166669</v>
      </c>
      <c r="E1968" s="16" t="s">
        <v>16</v>
      </c>
      <c r="F1968" s="16" t="s">
        <v>16</v>
      </c>
      <c r="G1968" s="17" t="s">
        <v>30</v>
      </c>
      <c r="H1968" s="17" t="s">
        <v>3780</v>
      </c>
      <c r="I1968" s="13" t="s">
        <v>6235</v>
      </c>
      <c r="J1968" s="23" t="str">
        <f>HYPERLINK("CorLog\ALL\20140730 ALL CIVIL Details - Pipes thru walls (SEALING GAP) (RDC-to-RDC).msg", "CIVIL Details - Pipes thru walls (SEALING GAP)")</f>
        <v>CIVIL Details - Pipes thru walls (SEALING GAP)</v>
      </c>
      <c r="K1968" s="25" t="s">
        <v>2761</v>
      </c>
      <c r="L1968" s="19"/>
      <c r="M1968" s="20"/>
      <c r="N1968" s="21" t="s">
        <v>6236</v>
      </c>
    </row>
    <row r="1969" spans="1:14">
      <c r="A1969" s="12" t="s">
        <v>750</v>
      </c>
      <c r="B1969" s="13" t="s">
        <v>2612</v>
      </c>
      <c r="C1969" s="14" t="s">
        <v>6237</v>
      </c>
      <c r="D1969" s="15">
        <v>41850.689201388886</v>
      </c>
      <c r="E1969" s="16" t="s">
        <v>16</v>
      </c>
      <c r="F1969" s="16" t="s">
        <v>21</v>
      </c>
      <c r="G1969" s="17" t="s">
        <v>790</v>
      </c>
      <c r="H1969" s="17" t="s">
        <v>5823</v>
      </c>
      <c r="I1969" s="13" t="s">
        <v>6238</v>
      </c>
      <c r="J1969" s="23" t="str">
        <f>HYPERLINK("CorLog\GHA\BEX\20140730 GHA BEX CIVIL Details Pipes thru walls (SEALING GAP) (RDC-to-GHA).msg", "CIVIL Details Pipes thru walls (SEALING GAP)")</f>
        <v>CIVIL Details Pipes thru walls (SEALING GAP)</v>
      </c>
      <c r="K1969" s="25" t="s">
        <v>1626</v>
      </c>
      <c r="L1969" s="19"/>
      <c r="M1969" s="20"/>
      <c r="N1969" s="21" t="s">
        <v>6239</v>
      </c>
    </row>
    <row r="1970" spans="1:14">
      <c r="A1970" s="12" t="s">
        <v>724</v>
      </c>
      <c r="B1970" s="13" t="s">
        <v>750</v>
      </c>
      <c r="C1970" s="14" t="s">
        <v>6240</v>
      </c>
      <c r="D1970" s="15">
        <v>41850.556250000001</v>
      </c>
      <c r="E1970" s="16" t="s">
        <v>16</v>
      </c>
      <c r="F1970" s="16" t="s">
        <v>16</v>
      </c>
      <c r="G1970" s="17" t="s">
        <v>885</v>
      </c>
      <c r="H1970" s="17" t="s">
        <v>886</v>
      </c>
      <c r="I1970" s="13" t="s">
        <v>6241</v>
      </c>
      <c r="J1970" s="23" t="str">
        <f>HYPERLINK("CorLog\ZMB\Kabompo RTO\20140730 ZMB Kabompo RTO Electrical Fire Barriers (NW QUERY) (RDC-to-RDC).msg", "Electrical Fire Barriers (NW QUERY)")</f>
        <v>Electrical Fire Barriers (NW QUERY)</v>
      </c>
      <c r="K1970" s="25"/>
      <c r="L1970" s="19" t="s">
        <v>6242</v>
      </c>
      <c r="M1970" s="20"/>
      <c r="N1970" s="21" t="s">
        <v>6243</v>
      </c>
    </row>
    <row r="1971" spans="1:14">
      <c r="A1971" s="12" t="s">
        <v>750</v>
      </c>
      <c r="B1971" s="13" t="s">
        <v>1818</v>
      </c>
      <c r="C1971" s="14" t="s">
        <v>6234</v>
      </c>
      <c r="D1971" s="15">
        <v>41850.335833333331</v>
      </c>
      <c r="E1971" s="16" t="s">
        <v>16</v>
      </c>
      <c r="F1971" s="16" t="s">
        <v>16</v>
      </c>
      <c r="G1971" s="17" t="s">
        <v>790</v>
      </c>
      <c r="H1971" s="17" t="s">
        <v>3780</v>
      </c>
      <c r="I1971" s="13" t="s">
        <v>6244</v>
      </c>
      <c r="J1971" s="23" t="str">
        <f>HYPERLINK("CorLog\GHA\BEX\20140730 GHA BEX CIVIL Details - Pipes thru walls (CLEARANCES) (RDC-to-RDC).msg", "CIVIL Details - Pipes thru walls (CLEARANCES)")</f>
        <v>CIVIL Details - Pipes thru walls (CLEARANCES)</v>
      </c>
      <c r="K1971" s="25" t="s">
        <v>1626</v>
      </c>
      <c r="L1971" s="19" t="s">
        <v>6245</v>
      </c>
      <c r="M1971" s="20"/>
      <c r="N1971" s="21" t="s">
        <v>6246</v>
      </c>
    </row>
    <row r="1972" spans="1:14">
      <c r="A1972" s="12" t="s">
        <v>750</v>
      </c>
      <c r="B1972" s="13" t="s">
        <v>1529</v>
      </c>
      <c r="C1972" s="14" t="s">
        <v>5631</v>
      </c>
      <c r="D1972" s="15">
        <v>41849.699236111112</v>
      </c>
      <c r="E1972" s="16" t="s">
        <v>16</v>
      </c>
      <c r="F1972" s="16" t="s">
        <v>18</v>
      </c>
      <c r="G1972" s="17" t="s">
        <v>946</v>
      </c>
      <c r="H1972" s="17" t="s">
        <v>851</v>
      </c>
      <c r="I1972" s="13" t="s">
        <v>6247</v>
      </c>
      <c r="J1972" s="23" t="str">
        <f>HYPERLINK("CorLog\ZMB\Mongu RTO\20140729 ZMB Mongu RTO Office Building DCP Results 1 15 (RDC-to-ZMB).msg", "Office Building DCP Results 1 15")</f>
        <v>Office Building DCP Results 1 15</v>
      </c>
      <c r="K1972" s="25"/>
      <c r="L1972" s="19" t="s">
        <v>6248</v>
      </c>
      <c r="M1972" s="20"/>
      <c r="N1972" s="21" t="s">
        <v>6249</v>
      </c>
    </row>
    <row r="1973" spans="1:14">
      <c r="A1973" s="12" t="s">
        <v>4550</v>
      </c>
      <c r="B1973" s="13"/>
      <c r="C1973" s="14"/>
      <c r="D1973" s="15">
        <v>41849</v>
      </c>
      <c r="E1973" s="16" t="s">
        <v>17</v>
      </c>
      <c r="F1973" s="16" t="s">
        <v>15</v>
      </c>
      <c r="G1973" s="17" t="s">
        <v>30</v>
      </c>
      <c r="H1973" s="17" t="s">
        <v>6250</v>
      </c>
      <c r="I1973" s="13" t="s">
        <v>6251</v>
      </c>
      <c r="J1973" s="23" t="str">
        <f>HYPERLINK("CorLog\ALL\20140729 ALL New Role of Procurement Cost Controller (WDC-to-ZAF).docx", "New Role of Procurement Cost Controller")</f>
        <v>New Role of Procurement Cost Controller</v>
      </c>
      <c r="K1973" s="25"/>
      <c r="L1973" s="19"/>
      <c r="M1973" s="20"/>
      <c r="N1973" s="21" t="s">
        <v>6252</v>
      </c>
    </row>
    <row r="1974" spans="1:14">
      <c r="A1974" s="12" t="s">
        <v>750</v>
      </c>
      <c r="B1974" s="13" t="s">
        <v>998</v>
      </c>
      <c r="C1974" s="14" t="s">
        <v>6253</v>
      </c>
      <c r="D1974" s="15">
        <v>41848.718159722222</v>
      </c>
      <c r="E1974" s="16" t="s">
        <v>16</v>
      </c>
      <c r="F1974" s="16" t="s">
        <v>17</v>
      </c>
      <c r="G1974" s="17" t="s">
        <v>738</v>
      </c>
      <c r="H1974" s="17" t="s">
        <v>1000</v>
      </c>
      <c r="I1974" s="13" t="s">
        <v>6254</v>
      </c>
      <c r="J1974" s="23" t="str">
        <f>HYPERLINK("CorLog\GHA\BEX 2\20140728 GHA BEX 2 Questions for ZSJ Staffing Figures (RDC-to-WDC).msg", "Questions for ZSJ Staffing Figures")</f>
        <v>Questions for ZSJ Staffing Figures</v>
      </c>
      <c r="K1974" s="25" t="s">
        <v>1270</v>
      </c>
      <c r="L1974" s="19"/>
      <c r="M1974" s="20"/>
      <c r="N1974" s="21" t="s">
        <v>6255</v>
      </c>
    </row>
    <row r="1975" spans="1:14">
      <c r="A1975" s="12" t="s">
        <v>724</v>
      </c>
      <c r="B1975" s="13" t="s">
        <v>972</v>
      </c>
      <c r="C1975" s="14" t="s">
        <v>718</v>
      </c>
      <c r="D1975" s="15">
        <v>41848.664861111109</v>
      </c>
      <c r="E1975" s="16" t="s">
        <v>16</v>
      </c>
      <c r="F1975" s="16" t="s">
        <v>18</v>
      </c>
      <c r="G1975" s="17" t="s">
        <v>946</v>
      </c>
      <c r="H1975" s="17" t="s">
        <v>829</v>
      </c>
      <c r="I1975" s="13" t="s">
        <v>6256</v>
      </c>
      <c r="J1975" s="23" t="str">
        <f>HYPERLINK("CorLog\ZMB\Mongu RTO\20140728 ZMB Mongu RTO RDC review of Mechanical NLBRs A &amp; B - DRAFTS 7308 &amp; 7309 (RDC-to-ZMB).msg", "RDC review of Mechanical NLBRs A &amp; B - DRAFTS 7308 &amp; 7309")</f>
        <v>RDC review of Mechanical NLBRs A &amp; B - DRAFTS 7308 &amp; 7309</v>
      </c>
      <c r="K1975" s="25"/>
      <c r="L1975" s="19"/>
      <c r="M1975" s="20"/>
      <c r="N1975" s="21" t="s">
        <v>6257</v>
      </c>
    </row>
    <row r="1976" spans="1:14">
      <c r="A1976" s="12" t="s">
        <v>750</v>
      </c>
      <c r="B1976" s="13" t="s">
        <v>1529</v>
      </c>
      <c r="C1976" s="14" t="s">
        <v>6117</v>
      </c>
      <c r="D1976" s="15">
        <v>41848.639884259261</v>
      </c>
      <c r="E1976" s="16" t="s">
        <v>16</v>
      </c>
      <c r="F1976" s="16" t="s">
        <v>18</v>
      </c>
      <c r="G1976" s="17" t="s">
        <v>946</v>
      </c>
      <c r="H1976" s="17" t="s">
        <v>851</v>
      </c>
      <c r="I1976" s="13" t="s">
        <v>6258</v>
      </c>
      <c r="J1976" s="23" t="str">
        <f>HYPERLINK("CorLog\ZMB\Mongu RTO\20140728 ZMB Mongu RTO DCP TEST Results (2nd Half RES Bldg) (RDC-to-ZMB).msg", "DCP TEST Results (2nd Half RES Bldg)")</f>
        <v>DCP TEST Results (2nd Half RES Bldg)</v>
      </c>
      <c r="K1976" s="25" t="s">
        <v>1211</v>
      </c>
      <c r="L1976" s="19" t="s">
        <v>6259</v>
      </c>
      <c r="M1976" s="20"/>
      <c r="N1976" s="21" t="s">
        <v>6260</v>
      </c>
    </row>
    <row r="1977" spans="1:14">
      <c r="A1977" s="12" t="s">
        <v>750</v>
      </c>
      <c r="B1977" s="13" t="s">
        <v>842</v>
      </c>
      <c r="C1977" s="14" t="s">
        <v>6261</v>
      </c>
      <c r="D1977" s="15">
        <v>41848.491157407407</v>
      </c>
      <c r="E1977" s="16" t="s">
        <v>16</v>
      </c>
      <c r="F1977" s="16" t="s">
        <v>21</v>
      </c>
      <c r="G1977" s="17" t="s">
        <v>790</v>
      </c>
      <c r="H1977" s="17" t="s">
        <v>886</v>
      </c>
      <c r="I1977" s="13" t="s">
        <v>6262</v>
      </c>
      <c r="J1977" s="23" t="str">
        <f>HYPERLINK("CorLog\GHA\BEX\20140728 GHA BEX Proposed relocation of power supply line (URGENT - Internal Works) (RDC-to-GHA).msg", "Proposed relocation of power supply line (URGENT - Internal Works)")</f>
        <v>Proposed relocation of power supply line (URGENT - Internal Works)</v>
      </c>
      <c r="K1977" s="25"/>
      <c r="L1977" s="19" t="s">
        <v>6263</v>
      </c>
      <c r="M1977" s="20"/>
      <c r="N1977" s="21" t="s">
        <v>6264</v>
      </c>
    </row>
    <row r="1978" spans="1:14">
      <c r="A1978" s="12" t="s">
        <v>724</v>
      </c>
      <c r="B1978" s="13" t="s">
        <v>750</v>
      </c>
      <c r="C1978" s="14" t="s">
        <v>718</v>
      </c>
      <c r="D1978" s="15">
        <v>41847.746990740743</v>
      </c>
      <c r="E1978" s="16" t="s">
        <v>16</v>
      </c>
      <c r="F1978" s="16" t="s">
        <v>16</v>
      </c>
      <c r="G1978" s="17" t="s">
        <v>1070</v>
      </c>
      <c r="H1978" s="17" t="s">
        <v>6265</v>
      </c>
      <c r="I1978" s="13" t="s">
        <v>6266</v>
      </c>
      <c r="J1978" s="23" t="str">
        <f>HYPERLINK("CorLog\ZMB\Katete RTO\20140727 ZMB Katete RTO Blocks 2 0MPa - CRITERIA 'why 3MPa' (RDC-to-RDC).msg", "Blocks 2 0MPa - CRITERIA 'why 3MPa'")</f>
        <v>Blocks 2 0MPa - CRITERIA 'why 3MPa'</v>
      </c>
      <c r="K1978" s="25" t="s">
        <v>1270</v>
      </c>
      <c r="L1978" s="19" t="s">
        <v>6267</v>
      </c>
      <c r="M1978" s="20"/>
      <c r="N1978" s="21" t="s">
        <v>6268</v>
      </c>
    </row>
    <row r="1979" spans="1:14">
      <c r="A1979" s="12" t="s">
        <v>750</v>
      </c>
      <c r="B1979" s="13" t="s">
        <v>4950</v>
      </c>
      <c r="C1979" s="14" t="s">
        <v>2042</v>
      </c>
      <c r="D1979" s="15">
        <v>41847.609432870369</v>
      </c>
      <c r="E1979" s="16" t="s">
        <v>16</v>
      </c>
      <c r="F1979" s="16" t="s">
        <v>18</v>
      </c>
      <c r="G1979" s="17" t="s">
        <v>885</v>
      </c>
      <c r="H1979" s="17" t="s">
        <v>851</v>
      </c>
      <c r="I1979" s="13" t="s">
        <v>6269</v>
      </c>
      <c r="J1979" s="23" t="str">
        <f>HYPERLINK("CorLog\ZMB\Kabompo RTO\20140727 ZMB Kabompo RTO DCP Results Office Slab -2 Res Gable end Footing (RDC-to-ZMB).msg", "DCP Results Office Slab -2 Res Gable end Footing")</f>
        <v>DCP Results Office Slab -2 Res Gable end Footing</v>
      </c>
      <c r="K1979" s="25" t="s">
        <v>1270</v>
      </c>
      <c r="L1979" s="19"/>
      <c r="M1979" s="20"/>
      <c r="N1979" s="21" t="s">
        <v>6270</v>
      </c>
    </row>
    <row r="1980" spans="1:14">
      <c r="A1980" s="12" t="s">
        <v>4950</v>
      </c>
      <c r="B1980" s="13" t="s">
        <v>750</v>
      </c>
      <c r="C1980" s="14" t="s">
        <v>6172</v>
      </c>
      <c r="D1980" s="15">
        <v>41846.71</v>
      </c>
      <c r="E1980" s="16" t="s">
        <v>18</v>
      </c>
      <c r="F1980" s="16" t="s">
        <v>16</v>
      </c>
      <c r="G1980" s="17" t="s">
        <v>885</v>
      </c>
      <c r="H1980" s="17" t="s">
        <v>851</v>
      </c>
      <c r="I1980" s="13" t="s">
        <v>6269</v>
      </c>
      <c r="J1980" s="23" t="str">
        <f>HYPERLINK("CorLog\ZMB\Kabompo RTO\20140726 ZMB Kabompo RTO DCP Results Office Slab -2 Res Gable end Footing (ZMB-to-RDC).msg", "DCP Results Office Slab -2 Res Gable end Footing")</f>
        <v>DCP Results Office Slab -2 Res Gable end Footing</v>
      </c>
      <c r="K1980" s="25" t="s">
        <v>1243</v>
      </c>
      <c r="L1980" s="19"/>
      <c r="M1980" s="20"/>
      <c r="N1980" s="21" t="s">
        <v>6271</v>
      </c>
    </row>
    <row r="1981" spans="1:14">
      <c r="A1981" s="12" t="s">
        <v>750</v>
      </c>
      <c r="B1981" s="13" t="s">
        <v>724</v>
      </c>
      <c r="C1981" s="14" t="s">
        <v>718</v>
      </c>
      <c r="D1981" s="15">
        <v>41845.835057870368</v>
      </c>
      <c r="E1981" s="16" t="s">
        <v>16</v>
      </c>
      <c r="F1981" s="16" t="s">
        <v>16</v>
      </c>
      <c r="G1981" s="17" t="s">
        <v>946</v>
      </c>
      <c r="H1981" s="17" t="s">
        <v>5545</v>
      </c>
      <c r="I1981" s="13" t="s">
        <v>6272</v>
      </c>
      <c r="J1981" s="23" t="str">
        <f>HYPERLINK("CorLog\ZMB\Mongu RTO\20140725 ZMB Mongu RTO 7 day crush for 150mm blocks (RDC-to-RDC).msg", "7 day crush for 150mm blocks")</f>
        <v>7 day crush for 150mm blocks</v>
      </c>
      <c r="K1981" s="25" t="s">
        <v>1211</v>
      </c>
      <c r="L1981" s="19" t="s">
        <v>6273</v>
      </c>
      <c r="M1981" s="20"/>
      <c r="N1981" s="21" t="s">
        <v>6274</v>
      </c>
    </row>
    <row r="1982" spans="1:14">
      <c r="A1982" s="12" t="s">
        <v>750</v>
      </c>
      <c r="B1982" s="13" t="s">
        <v>842</v>
      </c>
      <c r="C1982" s="14" t="s">
        <v>6275</v>
      </c>
      <c r="D1982" s="15">
        <v>41845.638784722221</v>
      </c>
      <c r="E1982" s="16" t="s">
        <v>16</v>
      </c>
      <c r="F1982" s="16" t="s">
        <v>21</v>
      </c>
      <c r="G1982" s="17" t="s">
        <v>790</v>
      </c>
      <c r="H1982" s="17" t="s">
        <v>839</v>
      </c>
      <c r="I1982" s="13" t="s">
        <v>6276</v>
      </c>
      <c r="J1982" s="23" t="str">
        <f>HYPERLINK("CorLog\GHA\BEX\20140725 GHA BEX Backfill soils for underside of slabs-on-grade (RDC-to-GHA).msg", "Backfill soils for underside of slabs-on-grade")</f>
        <v>Backfill soils for underside of slabs-on-grade</v>
      </c>
      <c r="K1982" s="25" t="s">
        <v>1499</v>
      </c>
      <c r="L1982" s="19"/>
      <c r="M1982" s="20"/>
      <c r="N1982" s="21" t="s">
        <v>6277</v>
      </c>
    </row>
    <row r="1983" spans="1:14">
      <c r="A1983" s="12" t="s">
        <v>1418</v>
      </c>
      <c r="B1983" s="13" t="s">
        <v>1297</v>
      </c>
      <c r="C1983" s="14" t="s">
        <v>2156</v>
      </c>
      <c r="D1983" s="15">
        <v>41845.480034722219</v>
      </c>
      <c r="E1983" s="16" t="s">
        <v>16</v>
      </c>
      <c r="F1983" s="16" t="s">
        <v>18</v>
      </c>
      <c r="G1983" s="17" t="s">
        <v>1070</v>
      </c>
      <c r="H1983" s="17" t="s">
        <v>4762</v>
      </c>
      <c r="I1983" s="13" t="s">
        <v>6278</v>
      </c>
      <c r="J1983" s="23" t="str">
        <f>HYPERLINK("CorLog\ZMB\Katete RTO\20140725 ZMB Katete RTO Electrical Pre-construction meeting 2014-07-25 doc (RDC-to-).msg", "Electrical Pre-construction meeting 2014-07-25 doc")</f>
        <v>Electrical Pre-construction meeting 2014-07-25 doc</v>
      </c>
      <c r="K1983" s="25" t="s">
        <v>1211</v>
      </c>
      <c r="L1983" s="19"/>
      <c r="M1983" s="20"/>
      <c r="N1983" s="21" t="s">
        <v>6279</v>
      </c>
    </row>
    <row r="1984" spans="1:14">
      <c r="A1984" s="12" t="s">
        <v>842</v>
      </c>
      <c r="B1984" s="13" t="s">
        <v>750</v>
      </c>
      <c r="C1984" s="14" t="s">
        <v>1362</v>
      </c>
      <c r="D1984" s="15">
        <v>41844.797893518517</v>
      </c>
      <c r="E1984" s="16" t="s">
        <v>21</v>
      </c>
      <c r="F1984" s="16" t="s">
        <v>16</v>
      </c>
      <c r="G1984" s="17" t="s">
        <v>790</v>
      </c>
      <c r="H1984" s="17" t="s">
        <v>886</v>
      </c>
      <c r="I1984" s="13" t="s">
        <v>6160</v>
      </c>
      <c r="J1984" s="23" t="str">
        <f>HYPERLINK("CorLog\GHA\BEX\20140724 GHA BEX Proposed relocation of power supply line (GHA-to-RDC).msg", "Proposed relocation of power supply line")</f>
        <v>Proposed relocation of power supply line</v>
      </c>
      <c r="K1984" s="25" t="s">
        <v>1274</v>
      </c>
      <c r="L1984" s="19" t="s">
        <v>818</v>
      </c>
      <c r="M1984" s="20"/>
      <c r="N1984" s="21" t="s">
        <v>6280</v>
      </c>
    </row>
    <row r="1985" spans="1:14">
      <c r="A1985" s="12" t="s">
        <v>750</v>
      </c>
      <c r="B1985" s="13" t="s">
        <v>4950</v>
      </c>
      <c r="C1985" s="14" t="s">
        <v>5723</v>
      </c>
      <c r="D1985" s="15">
        <v>41844.546342592592</v>
      </c>
      <c r="E1985" s="16" t="s">
        <v>16</v>
      </c>
      <c r="F1985" s="16" t="s">
        <v>18</v>
      </c>
      <c r="G1985" s="17" t="s">
        <v>885</v>
      </c>
      <c r="H1985" s="17" t="s">
        <v>851</v>
      </c>
      <c r="I1985" s="13" t="s">
        <v>6281</v>
      </c>
      <c r="J1985" s="23" t="str">
        <f>HYPERLINK("CorLog\ZMB\Kabompo RTO\20140724 ZMB Kabompo RTO DCP Re-Test Office Building 24 7 14 (RDC-to-ZMB).msg", "DCP Re-Test Office Building 24 7 14")</f>
        <v>DCP Re-Test Office Building 24 7 14</v>
      </c>
      <c r="K1985" s="25"/>
      <c r="L1985" s="19" t="s">
        <v>3083</v>
      </c>
      <c r="M1985" s="20"/>
      <c r="N1985" s="21" t="s">
        <v>6282</v>
      </c>
    </row>
    <row r="1986" spans="1:14">
      <c r="A1986" s="12" t="s">
        <v>750</v>
      </c>
      <c r="B1986" s="13" t="s">
        <v>1529</v>
      </c>
      <c r="C1986" s="14" t="s">
        <v>6283</v>
      </c>
      <c r="D1986" s="15">
        <v>41844.537685185183</v>
      </c>
      <c r="E1986" s="16" t="s">
        <v>16</v>
      </c>
      <c r="F1986" s="16" t="s">
        <v>18</v>
      </c>
      <c r="G1986" s="17" t="s">
        <v>946</v>
      </c>
      <c r="H1986" s="17" t="s">
        <v>854</v>
      </c>
      <c r="I1986" s="13" t="s">
        <v>6284</v>
      </c>
      <c r="J1986" s="23" t="str">
        <f>HYPERLINK("CorLog\ZMB\Mongu RTO\20140724 ZMB Mongu RTO Alternate to Chasing (Bathroom walls) (Crack in Plaster ) (RDC-to-ZMB).msg", "Alternate to Chasing (Bathroom walls) (Crack in Plaster )")</f>
        <v>Alternate to Chasing (Bathroom walls) (Crack in Plaster )</v>
      </c>
      <c r="K1986" s="25" t="s">
        <v>1369</v>
      </c>
      <c r="L1986" s="19"/>
      <c r="M1986" s="20"/>
      <c r="N1986" s="21" t="s">
        <v>6285</v>
      </c>
    </row>
    <row r="1987" spans="1:14">
      <c r="A1987" s="12" t="s">
        <v>717</v>
      </c>
      <c r="B1987" s="13" t="s">
        <v>5207</v>
      </c>
      <c r="C1987" s="14" t="s">
        <v>6286</v>
      </c>
      <c r="D1987" s="15">
        <v>41844.446516203701</v>
      </c>
      <c r="E1987" s="16" t="s">
        <v>16</v>
      </c>
      <c r="F1987" s="16" t="s">
        <v>16</v>
      </c>
      <c r="G1987" s="17" t="s">
        <v>28</v>
      </c>
      <c r="H1987" s="17" t="s">
        <v>2806</v>
      </c>
      <c r="I1987" s="13" t="s">
        <v>6287</v>
      </c>
      <c r="J1987" s="23" t="str">
        <f>HYPERLINK("CorLog\LDC\20140724 LDC Yearly Budget query (RDC-to-RDC).msg", "Yearly Budget query")</f>
        <v>Yearly Budget query</v>
      </c>
      <c r="K1987" s="25"/>
      <c r="L1987" s="19"/>
      <c r="M1987" s="20"/>
      <c r="N1987" s="21" t="s">
        <v>6288</v>
      </c>
    </row>
    <row r="1988" spans="1:14">
      <c r="A1988" s="12" t="s">
        <v>2016</v>
      </c>
      <c r="B1988" s="13" t="s">
        <v>6289</v>
      </c>
      <c r="C1988" s="14" t="s">
        <v>3729</v>
      </c>
      <c r="D1988" s="15">
        <v>41844.427025462966</v>
      </c>
      <c r="E1988" s="16" t="s">
        <v>16</v>
      </c>
      <c r="F1988" s="16" t="s">
        <v>31</v>
      </c>
      <c r="G1988" s="17" t="s">
        <v>30</v>
      </c>
      <c r="H1988" s="17" t="s">
        <v>814</v>
      </c>
      <c r="I1988" s="13" t="s">
        <v>6290</v>
      </c>
      <c r="J1988" s="23" t="str">
        <f>HYPERLINK("CorLog\ALL\20140724 ALL Setting up jw org signage,instructions (RDC-to-).msg", "Setting up jw org signage,instructions")</f>
        <v>Setting up jw org signage,instructions</v>
      </c>
      <c r="K1988" s="25" t="s">
        <v>1499</v>
      </c>
      <c r="L1988" s="19"/>
      <c r="M1988" s="20"/>
      <c r="N1988" s="21" t="s">
        <v>6291</v>
      </c>
    </row>
    <row r="1989" spans="1:14">
      <c r="A1989" s="12" t="s">
        <v>2016</v>
      </c>
      <c r="B1989" s="13" t="s">
        <v>6292</v>
      </c>
      <c r="C1989" s="14" t="s">
        <v>6293</v>
      </c>
      <c r="D1989" s="15">
        <v>41844.421018518522</v>
      </c>
      <c r="E1989" s="16" t="s">
        <v>16</v>
      </c>
      <c r="F1989" s="16" t="s">
        <v>15</v>
      </c>
      <c r="G1989" s="17" t="s">
        <v>2627</v>
      </c>
      <c r="H1989" s="17" t="s">
        <v>2412</v>
      </c>
      <c r="I1989" s="13" t="s">
        <v>6294</v>
      </c>
      <c r="J1989" s="23" t="str">
        <f>HYPERLINK("CorLog\COD\Kamina RTO\20140724 COD Kamina RTO Quality of the concrete mixer (RDC-to-ZAF).msg", "Quality of the concrete mixer")</f>
        <v>Quality of the concrete mixer</v>
      </c>
      <c r="K1989" s="25" t="s">
        <v>1211</v>
      </c>
      <c r="L1989" s="19"/>
      <c r="M1989" s="20"/>
      <c r="N1989" s="21" t="s">
        <v>6295</v>
      </c>
    </row>
    <row r="1990" spans="1:14">
      <c r="A1990" s="12" t="s">
        <v>750</v>
      </c>
      <c r="B1990" s="13" t="s">
        <v>4950</v>
      </c>
      <c r="C1990" s="14" t="s">
        <v>6296</v>
      </c>
      <c r="D1990" s="15">
        <v>41844.410960648151</v>
      </c>
      <c r="E1990" s="16" t="s">
        <v>16</v>
      </c>
      <c r="F1990" s="16" t="s">
        <v>18</v>
      </c>
      <c r="G1990" s="17" t="s">
        <v>885</v>
      </c>
      <c r="H1990" s="17" t="s">
        <v>829</v>
      </c>
      <c r="I1990" s="13" t="s">
        <v>6297</v>
      </c>
      <c r="J1990" s="23" t="str">
        <f>HYPERLINK("CorLog\ZMB\Kabompo RTO\20140724 ZMB Kabompo RTO RDC review of NLBR 7247-- PROTECTIVE COATINGS (RDC-to-ZMB).msg", "RDC review of NLBR 7247-- PROTECTIVE COATINGS")</f>
        <v>RDC review of NLBR 7247-- PROTECTIVE COATINGS</v>
      </c>
      <c r="K1990" s="25" t="s">
        <v>1243</v>
      </c>
      <c r="L1990" s="19"/>
      <c r="M1990" s="20"/>
      <c r="N1990" s="21" t="s">
        <v>6298</v>
      </c>
    </row>
    <row r="1991" spans="1:14">
      <c r="A1991" s="12" t="s">
        <v>750</v>
      </c>
      <c r="B1991" s="13" t="s">
        <v>1529</v>
      </c>
      <c r="C1991" s="14" t="s">
        <v>6299</v>
      </c>
      <c r="D1991" s="15">
        <v>41844.389004629629</v>
      </c>
      <c r="E1991" s="16" t="s">
        <v>16</v>
      </c>
      <c r="F1991" s="16" t="s">
        <v>18</v>
      </c>
      <c r="G1991" s="17" t="s">
        <v>946</v>
      </c>
      <c r="H1991" s="17" t="s">
        <v>6300</v>
      </c>
      <c r="I1991" s="13" t="s">
        <v>6301</v>
      </c>
      <c r="J1991" s="23" t="str">
        <f>HYPERLINK("CorLog\ZMB\Mongu RTO\20140724 ZMB Mongu RTO Alternate to Chasing (Bathroom walls) (RDC-to-ZMB).msg", "Alternate to Chasing (Bathroom walls)")</f>
        <v>Alternate to Chasing (Bathroom walls)</v>
      </c>
      <c r="K1991" s="25" t="s">
        <v>1499</v>
      </c>
      <c r="L1991" s="19" t="s">
        <v>3083</v>
      </c>
      <c r="M1991" s="20"/>
      <c r="N1991" s="21" t="s">
        <v>6302</v>
      </c>
    </row>
    <row r="1992" spans="1:14">
      <c r="A1992" s="12" t="s">
        <v>2016</v>
      </c>
      <c r="B1992" s="13" t="s">
        <v>6289</v>
      </c>
      <c r="C1992" s="14" t="s">
        <v>6293</v>
      </c>
      <c r="D1992" s="15">
        <v>41844.355902777781</v>
      </c>
      <c r="E1992" s="16" t="s">
        <v>16</v>
      </c>
      <c r="F1992" s="16" t="s">
        <v>31</v>
      </c>
      <c r="G1992" s="17" t="s">
        <v>2022</v>
      </c>
      <c r="H1992" s="17" t="s">
        <v>1728</v>
      </c>
      <c r="I1992" s="13" t="s">
        <v>6303</v>
      </c>
      <c r="J1992" s="23" t="str">
        <f>HYPERLINK("CorLog\Directive\20140724 Directive REF; AO-8 submittal procedure via WDC inbox (RDC-to-).msg", "REF; AO-8 submittal procedure via WDC inbox")</f>
        <v>REF; AO-8 submittal procedure via WDC inbox</v>
      </c>
      <c r="K1992" s="25"/>
      <c r="L1992" s="19" t="s">
        <v>6304</v>
      </c>
      <c r="M1992" s="20"/>
      <c r="N1992" s="21" t="s">
        <v>6305</v>
      </c>
    </row>
    <row r="1993" spans="1:14">
      <c r="A1993" s="12" t="s">
        <v>750</v>
      </c>
      <c r="B1993" s="13" t="s">
        <v>718</v>
      </c>
      <c r="C1993" s="14" t="s">
        <v>795</v>
      </c>
      <c r="D1993" s="15">
        <v>41843.399456018517</v>
      </c>
      <c r="E1993" s="16" t="s">
        <v>16</v>
      </c>
      <c r="F1993" s="16" t="s">
        <v>16</v>
      </c>
      <c r="G1993" s="17" t="s">
        <v>790</v>
      </c>
      <c r="H1993" s="17" t="s">
        <v>1489</v>
      </c>
      <c r="I1993" s="13" t="s">
        <v>6306</v>
      </c>
      <c r="J1993" s="23" t="str">
        <f>HYPERLINK("CorLog\GHA\BEX\20140723 GHA BEX Proposal for drainage venting, residence building (RDC-to-RDC).msg", "Proposal for drainage venting, residence building")</f>
        <v>Proposal for drainage venting, residence building</v>
      </c>
      <c r="K1993" s="25" t="s">
        <v>1270</v>
      </c>
      <c r="L1993" s="19"/>
      <c r="M1993" s="20"/>
      <c r="N1993" s="21" t="s">
        <v>6307</v>
      </c>
    </row>
    <row r="1994" spans="1:14">
      <c r="A1994" s="12" t="s">
        <v>750</v>
      </c>
      <c r="B1994" s="13" t="s">
        <v>2612</v>
      </c>
      <c r="C1994" s="14" t="s">
        <v>2156</v>
      </c>
      <c r="D1994" s="15">
        <v>41843.37054398148</v>
      </c>
      <c r="E1994" s="16" t="s">
        <v>16</v>
      </c>
      <c r="F1994" s="16" t="s">
        <v>21</v>
      </c>
      <c r="G1994" s="17" t="s">
        <v>730</v>
      </c>
      <c r="H1994" s="17" t="s">
        <v>921</v>
      </c>
      <c r="I1994" s="13" t="s">
        <v>6308</v>
      </c>
      <c r="J1994" s="23" t="str">
        <f>HYPERLINK("CorLog\GHA\Baatsona SKE\20140723 GHA Baatsona SKE Cost for Geotechnical report (RDC-to-GHA).msg", "Cost for Geotechnical report")</f>
        <v>Cost for Geotechnical report</v>
      </c>
      <c r="K1994" s="25"/>
      <c r="L1994" s="19"/>
      <c r="M1994" s="20"/>
      <c r="N1994" s="21" t="s">
        <v>6309</v>
      </c>
    </row>
    <row r="1995" spans="1:14">
      <c r="A1995" s="12" t="s">
        <v>750</v>
      </c>
      <c r="B1995" s="13" t="s">
        <v>795</v>
      </c>
      <c r="C1995" s="14"/>
      <c r="D1995" s="15">
        <v>41842.499178240738</v>
      </c>
      <c r="E1995" s="16" t="s">
        <v>16</v>
      </c>
      <c r="F1995" s="16" t="s">
        <v>16</v>
      </c>
      <c r="G1995" s="17" t="s">
        <v>885</v>
      </c>
      <c r="H1995" s="17" t="s">
        <v>1153</v>
      </c>
      <c r="I1995" s="13" t="s">
        <v>6310</v>
      </c>
      <c r="J1995" s="23" t="str">
        <f>HYPERLINK("CorLog\ZMB\Kabompo RTO\20140722 ZMB Kabompo RTO Kitchen Waste Pipes in adjusted stem walls (RDC-to-RDC).msg", "Kitchen Waste Pipes in adjusted stem walls")</f>
        <v>Kitchen Waste Pipes in adjusted stem walls</v>
      </c>
      <c r="K1995" s="25" t="s">
        <v>5137</v>
      </c>
      <c r="L1995" s="19"/>
      <c r="M1995" s="20"/>
      <c r="N1995" s="21" t="s">
        <v>6311</v>
      </c>
    </row>
    <row r="1996" spans="1:14">
      <c r="A1996" s="12" t="s">
        <v>750</v>
      </c>
      <c r="B1996" s="13" t="s">
        <v>718</v>
      </c>
      <c r="C1996" s="14"/>
      <c r="D1996" s="15">
        <v>41842.454675925925</v>
      </c>
      <c r="E1996" s="16" t="s">
        <v>16</v>
      </c>
      <c r="F1996" s="16" t="s">
        <v>16</v>
      </c>
      <c r="G1996" s="17" t="s">
        <v>790</v>
      </c>
      <c r="H1996" s="17" t="s">
        <v>854</v>
      </c>
      <c r="I1996" s="13" t="s">
        <v>6312</v>
      </c>
      <c r="J1996" s="23" t="str">
        <f>HYPERLINK("CorLog\GHA\BEX\20140722 GHA BEX RFI STRUCT - Questions on SAWN-TIED &amp; KEY-TIED JOINTS; DWG S-101; S-102 (RDC-to-RDC).msg", "RFI STRUCT - Questions on SAWN-TIED &amp; KEY-TIED JOINTS; DWG S-101; S-102")</f>
        <v>RFI STRUCT - Questions on SAWN-TIED &amp; KEY-TIED JOINTS; DWG S-101; S-102</v>
      </c>
      <c r="K1996" s="25" t="s">
        <v>1569</v>
      </c>
      <c r="L1996" s="19"/>
      <c r="M1996" s="20"/>
      <c r="N1996" s="21" t="s">
        <v>6313</v>
      </c>
    </row>
    <row r="1997" spans="1:14">
      <c r="A1997" s="12" t="s">
        <v>724</v>
      </c>
      <c r="B1997" s="13" t="s">
        <v>4950</v>
      </c>
      <c r="C1997" s="14" t="s">
        <v>4927</v>
      </c>
      <c r="D1997" s="15">
        <v>41842.433206018519</v>
      </c>
      <c r="E1997" s="16" t="s">
        <v>16</v>
      </c>
      <c r="F1997" s="16" t="s">
        <v>18</v>
      </c>
      <c r="G1997" s="17" t="s">
        <v>885</v>
      </c>
      <c r="H1997" s="17" t="s">
        <v>829</v>
      </c>
      <c r="I1997" s="13" t="s">
        <v>6314</v>
      </c>
      <c r="J1997" s="23" t="str">
        <f>HYPERLINK("CorLog\ZMB\Kabompo RTO\20140722 ZMB Kabompo RTO Electrical items NLBR for ReviewbyRDC (RDC-to-ZMB).msg", "Electrical items NLBR for ReviewbyRDC")</f>
        <v>Electrical items NLBR for ReviewbyRDC</v>
      </c>
      <c r="K1997" s="25"/>
      <c r="L1997" s="19" t="s">
        <v>3083</v>
      </c>
      <c r="M1997" s="20"/>
      <c r="N1997" s="21" t="s">
        <v>6315</v>
      </c>
    </row>
    <row r="1998" spans="1:14">
      <c r="A1998" s="12" t="s">
        <v>750</v>
      </c>
      <c r="B1998" s="13" t="s">
        <v>1818</v>
      </c>
      <c r="C1998" s="14" t="s">
        <v>6316</v>
      </c>
      <c r="D1998" s="15">
        <v>41841.7346412037</v>
      </c>
      <c r="E1998" s="16" t="s">
        <v>16</v>
      </c>
      <c r="F1998" s="16" t="s">
        <v>16</v>
      </c>
      <c r="G1998" s="17" t="s">
        <v>758</v>
      </c>
      <c r="H1998" s="17" t="s">
        <v>6317</v>
      </c>
      <c r="I1998" s="13" t="s">
        <v>6318</v>
      </c>
      <c r="J1998" s="23" t="str">
        <f>HYPERLINK("CorLog\GHA\Viepe RTO\20140721 GHA Viepe RTO 1m of SOIL on top of SepTank (RDC-to-RDC).msg", "1m of SOIL on top of SepTank")</f>
        <v>1m of SOIL on top of SepTank</v>
      </c>
      <c r="K1998" s="25"/>
      <c r="L1998" s="19"/>
      <c r="M1998" s="20"/>
      <c r="N1998" s="21" t="s">
        <v>6319</v>
      </c>
    </row>
    <row r="1999" spans="1:14">
      <c r="A1999" s="12" t="s">
        <v>750</v>
      </c>
      <c r="B1999" s="13" t="s">
        <v>1529</v>
      </c>
      <c r="C1999" s="14" t="s">
        <v>6320</v>
      </c>
      <c r="D1999" s="15">
        <v>41841.649861111109</v>
      </c>
      <c r="E1999" s="16" t="s">
        <v>16</v>
      </c>
      <c r="F1999" s="16" t="s">
        <v>18</v>
      </c>
      <c r="G1999" s="17" t="s">
        <v>946</v>
      </c>
      <c r="H1999" s="17" t="s">
        <v>854</v>
      </c>
      <c r="I1999" s="13" t="s">
        <v>6321</v>
      </c>
      <c r="J1999" s="23" t="str">
        <f>HYPERLINK("CorLog\ZMB\Mongu RTO\20140721 ZMB Mongu RTO Retaining Wal footing detail Query-001 (500mm Overlap) (RDC-to-ZMB).msg", "Retaining Wal footing detail Query-001 (500mm Overlap)")</f>
        <v>Retaining Wal footing detail Query-001 (500mm Overlap)</v>
      </c>
      <c r="K1999" s="25" t="s">
        <v>1274</v>
      </c>
      <c r="L1999" s="19"/>
      <c r="M1999" s="20"/>
      <c r="N1999" s="21" t="s">
        <v>6322</v>
      </c>
    </row>
    <row r="2000" spans="1:14">
      <c r="A2000" s="12" t="s">
        <v>4310</v>
      </c>
      <c r="B2000" s="13" t="s">
        <v>6323</v>
      </c>
      <c r="C2000" s="14"/>
      <c r="D2000" s="15">
        <v>41841.481203703705</v>
      </c>
      <c r="E2000" s="16" t="s">
        <v>15</v>
      </c>
      <c r="F2000" s="16" t="s">
        <v>15</v>
      </c>
      <c r="G2000" s="17" t="s">
        <v>30</v>
      </c>
      <c r="H2000" s="17" t="s">
        <v>6324</v>
      </c>
      <c r="I2000" s="13" t="s">
        <v>6325</v>
      </c>
      <c r="J2000" s="23" t="str">
        <f>HYPERLINK("CorLog\ALL\20140721 ALL ISEO Panic Bar still in production (ZAF-to-ZAF).msg", "ISEO Panic Bar still in production")</f>
        <v>ISEO Panic Bar still in production</v>
      </c>
      <c r="K2000" s="25" t="s">
        <v>1499</v>
      </c>
      <c r="L2000" s="19"/>
      <c r="M2000" s="20"/>
      <c r="N2000" s="21" t="s">
        <v>6326</v>
      </c>
    </row>
    <row r="2001" spans="1:14">
      <c r="A2001" s="12" t="s">
        <v>795</v>
      </c>
      <c r="B2001" s="13" t="s">
        <v>718</v>
      </c>
      <c r="C2001" s="14" t="s">
        <v>842</v>
      </c>
      <c r="D2001" s="15">
        <v>41841.452303240738</v>
      </c>
      <c r="E2001" s="16" t="s">
        <v>16</v>
      </c>
      <c r="F2001" s="16" t="s">
        <v>16</v>
      </c>
      <c r="G2001" s="17" t="s">
        <v>758</v>
      </c>
      <c r="H2001" s="17" t="s">
        <v>1489</v>
      </c>
      <c r="I2001" s="13" t="s">
        <v>6327</v>
      </c>
      <c r="J2001" s="23" t="str">
        <f>HYPERLINK("CorLog\GHA\Viepe RTO\20140721 GHA Viepe RTO RFI Proposed Waste Pipe Changes for Residence Block (RDC-to-RDC).msg", "RFI Proposed Waste Pipe Changes for Residence Block")</f>
        <v>RFI Proposed Waste Pipe Changes for Residence Block</v>
      </c>
      <c r="K2001" s="25" t="s">
        <v>1243</v>
      </c>
      <c r="L2001" s="19"/>
      <c r="M2001" s="20"/>
      <c r="N2001" s="21" t="s">
        <v>6328</v>
      </c>
    </row>
    <row r="2002" spans="1:14">
      <c r="A2002" s="12" t="s">
        <v>2016</v>
      </c>
      <c r="B2002" s="13" t="s">
        <v>1167</v>
      </c>
      <c r="C2002" s="14" t="s">
        <v>1117</v>
      </c>
      <c r="D2002" s="15">
        <v>41841.373298611114</v>
      </c>
      <c r="E2002" s="16" t="s">
        <v>16</v>
      </c>
      <c r="F2002" s="16" t="s">
        <v>22</v>
      </c>
      <c r="G2002" s="17" t="s">
        <v>2627</v>
      </c>
      <c r="H2002" s="17" t="s">
        <v>3780</v>
      </c>
      <c r="I2002" s="13" t="s">
        <v>6329</v>
      </c>
      <c r="J2002" s="23" t="str">
        <f>HYPERLINK("CorLog\COD\Kamina RTO\20140721 COD Kamina RTO Borehole position (RDC-to-COD).msg", "Borehole position")</f>
        <v>Borehole position</v>
      </c>
      <c r="K2002" s="25" t="s">
        <v>1243</v>
      </c>
      <c r="L2002" s="19"/>
      <c r="M2002" s="20"/>
      <c r="N2002" s="21" t="s">
        <v>6330</v>
      </c>
    </row>
    <row r="2003" spans="1:14">
      <c r="A2003" s="12" t="s">
        <v>6331</v>
      </c>
      <c r="B2003" s="13" t="s">
        <v>6332</v>
      </c>
      <c r="C2003" s="14"/>
      <c r="D2003" s="15">
        <v>41838.538946759261</v>
      </c>
      <c r="E2003" s="16" t="s">
        <v>15</v>
      </c>
      <c r="F2003" s="16" t="s">
        <v>15</v>
      </c>
      <c r="G2003" s="17" t="s">
        <v>30</v>
      </c>
      <c r="H2003" s="17" t="s">
        <v>2006</v>
      </c>
      <c r="I2003" s="13" t="s">
        <v>6333</v>
      </c>
      <c r="J2003" s="23" t="str">
        <f>HYPERLINK("CorLog\ALL\20140718 ALL Gatehouse access control Meeting Minutes (-to-ZAF).msg", "Gatehouse access control Meeting Minutes")</f>
        <v>Gatehouse access control Meeting Minutes</v>
      </c>
      <c r="K2003" s="25" t="s">
        <v>1211</v>
      </c>
      <c r="L2003" s="19"/>
      <c r="M2003" s="20"/>
      <c r="N2003" s="21" t="s">
        <v>6334</v>
      </c>
    </row>
    <row r="2004" spans="1:14">
      <c r="A2004" s="12" t="s">
        <v>718</v>
      </c>
      <c r="B2004" s="13" t="s">
        <v>842</v>
      </c>
      <c r="C2004" s="14" t="s">
        <v>6335</v>
      </c>
      <c r="D2004" s="15">
        <v>41837.701527777775</v>
      </c>
      <c r="E2004" s="16" t="s">
        <v>16</v>
      </c>
      <c r="F2004" s="16" t="s">
        <v>21</v>
      </c>
      <c r="G2004" s="17" t="s">
        <v>730</v>
      </c>
      <c r="H2004" s="17" t="s">
        <v>803</v>
      </c>
      <c r="I2004" s="13" t="s">
        <v>6336</v>
      </c>
      <c r="J2004" s="23" t="str">
        <f>HYPERLINK("CorLog\GHA\Baatsona SKE\20140717 GHA Baatsona SKE GHA Baatsona SKE Renovation - Request for CAD DWGs (RDC-to-GHA).msg", "GHA Baatsona SKE Renovation - Request for CAD DWGs")</f>
        <v>GHA Baatsona SKE Renovation - Request for CAD DWGs</v>
      </c>
      <c r="K2004" s="25" t="s">
        <v>1243</v>
      </c>
      <c r="L2004" s="19"/>
      <c r="M2004" s="20"/>
      <c r="N2004" s="21" t="s">
        <v>6337</v>
      </c>
    </row>
    <row r="2005" spans="1:14">
      <c r="A2005" s="12" t="s">
        <v>718</v>
      </c>
      <c r="B2005" s="13" t="s">
        <v>842</v>
      </c>
      <c r="C2005" s="14" t="s">
        <v>6338</v>
      </c>
      <c r="D2005" s="15">
        <v>41837.695717592593</v>
      </c>
      <c r="E2005" s="16" t="s">
        <v>16</v>
      </c>
      <c r="F2005" s="16" t="s">
        <v>21</v>
      </c>
      <c r="G2005" s="17" t="s">
        <v>730</v>
      </c>
      <c r="H2005" s="17" t="s">
        <v>5750</v>
      </c>
      <c r="I2005" s="13" t="s">
        <v>6339</v>
      </c>
      <c r="J2005" s="23" t="str">
        <f>HYPERLINK("CorLog\GHA\Baatsona SKE\20140717 GHA Baatsona SKE Quote for AFC Drawings - Falcon Engineering (Handling Payment) (RDC-to-GHA).msg", "Quote for AFC Drawings - Falcon Engineering (Handling Payment)")</f>
        <v>Quote for AFC Drawings - Falcon Engineering (Handling Payment)</v>
      </c>
      <c r="K2005" s="25" t="s">
        <v>1270</v>
      </c>
      <c r="L2005" s="19"/>
      <c r="M2005" s="20"/>
      <c r="N2005" s="21" t="s">
        <v>6340</v>
      </c>
    </row>
    <row r="2006" spans="1:14">
      <c r="A2006" s="12" t="s">
        <v>718</v>
      </c>
      <c r="B2006" s="13" t="s">
        <v>4927</v>
      </c>
      <c r="C2006" s="14" t="s">
        <v>1304</v>
      </c>
      <c r="D2006" s="15">
        <v>41837.393819444442</v>
      </c>
      <c r="E2006" s="16" t="s">
        <v>16</v>
      </c>
      <c r="F2006" s="16" t="s">
        <v>18</v>
      </c>
      <c r="G2006" s="17" t="s">
        <v>838</v>
      </c>
      <c r="H2006" s="17" t="s">
        <v>759</v>
      </c>
      <c r="I2006" s="13" t="s">
        <v>6341</v>
      </c>
      <c r="J2006" s="23" t="str">
        <f>HYPERLINK("CorLog\ZMB\Choma RTO\20140717 ZMB Choma RTO Project Description (FINAL) (RDC-to-ZMB).msg", "Project Description (FINAL)")</f>
        <v>Project Description (FINAL)</v>
      </c>
      <c r="K2006" s="25" t="s">
        <v>1211</v>
      </c>
      <c r="L2006" s="19"/>
      <c r="M2006" s="20"/>
      <c r="N2006" s="21" t="s">
        <v>6342</v>
      </c>
    </row>
    <row r="2007" spans="1:14">
      <c r="A2007" s="12" t="s">
        <v>1043</v>
      </c>
      <c r="B2007" s="13"/>
      <c r="C2007" s="14"/>
      <c r="D2007" s="15">
        <v>41837</v>
      </c>
      <c r="E2007" s="16" t="s">
        <v>25</v>
      </c>
      <c r="F2007" s="16" t="s">
        <v>15</v>
      </c>
      <c r="G2007" s="17" t="s">
        <v>913</v>
      </c>
      <c r="H2007" s="17" t="s">
        <v>6343</v>
      </c>
      <c r="I2007" s="13" t="s">
        <v>6344</v>
      </c>
      <c r="J2007" s="23" t="str">
        <f>HYPERLINK("CorLog\COD\Branch\20140717 COD Branch Congo (Kinshasa)—Choral Studio Reassessing Cost of Purpose Built Structure (WHQ-to-ZAF).docx", "Congo (Kinshasa)—Choral Studio Reassessing Cost of Purpose Built Structure")</f>
        <v>Congo (Kinshasa)—Choral Studio Reassessing Cost of Purpose Built Structure</v>
      </c>
      <c r="K2007" s="23"/>
      <c r="L2007" s="19"/>
      <c r="M2007" s="20"/>
      <c r="N2007" s="21" t="s">
        <v>6345</v>
      </c>
    </row>
    <row r="2008" spans="1:14">
      <c r="A2008" s="12" t="s">
        <v>750</v>
      </c>
      <c r="B2008" s="13" t="s">
        <v>718</v>
      </c>
      <c r="C2008" s="14" t="s">
        <v>6346</v>
      </c>
      <c r="D2008" s="15">
        <v>41836.760254629633</v>
      </c>
      <c r="E2008" s="16" t="s">
        <v>16</v>
      </c>
      <c r="F2008" s="16" t="s">
        <v>16</v>
      </c>
      <c r="G2008" s="17" t="s">
        <v>1112</v>
      </c>
      <c r="H2008" s="17" t="s">
        <v>5545</v>
      </c>
      <c r="I2008" s="13" t="s">
        <v>6347</v>
      </c>
      <c r="J2008" s="23" t="str">
        <f>HYPERLINK("CorLog\ZMB\BEX\20140716 ZMB BEX ZMB-July 14,2014- 190 mm Blocks crush results (RDC-to-RDC).msg", "ZMB-July 14,2014- 190 mm Blocks crush results")</f>
        <v>ZMB-July 14,2014- 190 mm Blocks crush results</v>
      </c>
      <c r="K2008" s="25"/>
      <c r="L2008" s="19"/>
      <c r="M2008" s="20"/>
      <c r="N2008" s="21" t="s">
        <v>6348</v>
      </c>
    </row>
    <row r="2009" spans="1:14">
      <c r="A2009" s="12" t="s">
        <v>750</v>
      </c>
      <c r="B2009" s="13" t="s">
        <v>718</v>
      </c>
      <c r="C2009" s="14" t="s">
        <v>6349</v>
      </c>
      <c r="D2009" s="15">
        <v>41836.752893518518</v>
      </c>
      <c r="E2009" s="16" t="s">
        <v>16</v>
      </c>
      <c r="F2009" s="16" t="s">
        <v>16</v>
      </c>
      <c r="G2009" s="17" t="s">
        <v>885</v>
      </c>
      <c r="H2009" s="17" t="s">
        <v>829</v>
      </c>
      <c r="I2009" s="13" t="s">
        <v>6297</v>
      </c>
      <c r="J2009" s="23" t="str">
        <f>HYPERLINK("CorLog\ZMB\Kabompo RTO\20140716 ZMB Kabompo RTO RDC review of NLBR 7247-- PROTECTIVE COATINGS (RDC-to-RDC).msg", "RDC review of NLBR 7247-- PROTECTIVE COATINGS")</f>
        <v>RDC review of NLBR 7247-- PROTECTIVE COATINGS</v>
      </c>
      <c r="K2009" s="25" t="s">
        <v>1270</v>
      </c>
      <c r="L2009" s="19"/>
      <c r="M2009" s="20"/>
      <c r="N2009" s="21" t="s">
        <v>6350</v>
      </c>
    </row>
    <row r="2010" spans="1:14">
      <c r="A2010" s="12" t="s">
        <v>750</v>
      </c>
      <c r="B2010" s="13" t="s">
        <v>718</v>
      </c>
      <c r="C2010" s="14"/>
      <c r="D2010" s="15">
        <v>41836.69599537037</v>
      </c>
      <c r="E2010" s="16" t="s">
        <v>16</v>
      </c>
      <c r="F2010" s="16" t="s">
        <v>16</v>
      </c>
      <c r="G2010" s="17" t="s">
        <v>857</v>
      </c>
      <c r="H2010" s="17" t="s">
        <v>6351</v>
      </c>
      <c r="I2010" s="13" t="s">
        <v>6352</v>
      </c>
      <c r="J2010" s="23" t="str">
        <f>HYPERLINK("CorLog\GHA\Kikam RTO\20140716 GHA Kikam RTO CHECKED GHA0014 AO6 2; GHANA KIKAM RTO AO-6-2 - TRANSFORMER (RDC-to-RDC).msg", "CHECKED GHA0014 AO6 2; GHANA KIKAM RTO AO-6-2 - TRANSFORMER")</f>
        <v>CHECKED GHA0014 AO6 2; GHANA KIKAM RTO AO-6-2 - TRANSFORMER</v>
      </c>
      <c r="K2010" s="25" t="s">
        <v>1243</v>
      </c>
      <c r="L2010" s="19" t="s">
        <v>6353</v>
      </c>
      <c r="M2010" s="20"/>
      <c r="N2010" s="21" t="s">
        <v>6354</v>
      </c>
    </row>
    <row r="2011" spans="1:14">
      <c r="A2011" s="12" t="s">
        <v>2202</v>
      </c>
      <c r="B2011" s="13" t="s">
        <v>5860</v>
      </c>
      <c r="C2011" s="14" t="s">
        <v>6355</v>
      </c>
      <c r="D2011" s="15">
        <v>41836.694027777776</v>
      </c>
      <c r="E2011" s="16" t="s">
        <v>24</v>
      </c>
      <c r="F2011" s="16" t="s">
        <v>16</v>
      </c>
      <c r="G2011" s="17" t="s">
        <v>857</v>
      </c>
      <c r="H2011" s="17" t="s">
        <v>886</v>
      </c>
      <c r="I2011" s="13" t="s">
        <v>6352</v>
      </c>
      <c r="J2011" s="23" t="str">
        <f>HYPERLINK("CorLog\GHA\Kikam RTO\20140716 GHA Kikam RTO CHECKED GHA0014 AO6 2; GHANA KIKAM RTO AO-6-2 - TRANSFORMER (USA-to-RDC).msg", "CHECKED GHA0014 AO6 2; GHANA KIKAM RTO AO-6-2 - TRANSFORMER")</f>
        <v>CHECKED GHA0014 AO6 2; GHANA KIKAM RTO AO-6-2 - TRANSFORMER</v>
      </c>
      <c r="K2011" s="25" t="s">
        <v>1243</v>
      </c>
      <c r="L2011" s="19" t="s">
        <v>6356</v>
      </c>
      <c r="M2011" s="20"/>
      <c r="N2011" s="21" t="s">
        <v>6357</v>
      </c>
    </row>
    <row r="2012" spans="1:14">
      <c r="A2012" s="12" t="s">
        <v>1160</v>
      </c>
      <c r="B2012" s="13" t="s">
        <v>718</v>
      </c>
      <c r="C2012" s="14"/>
      <c r="D2012" s="15">
        <v>41836.665856481479</v>
      </c>
      <c r="E2012" s="16" t="s">
        <v>20</v>
      </c>
      <c r="F2012" s="16" t="s">
        <v>16</v>
      </c>
      <c r="G2012" s="17" t="s">
        <v>885</v>
      </c>
      <c r="H2012" s="17" t="s">
        <v>829</v>
      </c>
      <c r="I2012" s="13" t="s">
        <v>6358</v>
      </c>
      <c r="J2012" s="23" t="str">
        <f>HYPERLINK("CorLog\ZMB\Kabompo RTO\20140716 ZMB Kabompo RTO RDC review of NLBR 7247--roof insulation &amp; sealants (MOZ-to-RDC).msg", "RDC review of NLBR 7247--roof insulation &amp; sealants")</f>
        <v>RDC review of NLBR 7247--roof insulation &amp; sealants</v>
      </c>
      <c r="K2012" s="25"/>
      <c r="L2012" s="19"/>
      <c r="M2012" s="20"/>
      <c r="N2012" s="21" t="s">
        <v>6359</v>
      </c>
    </row>
    <row r="2013" spans="1:14">
      <c r="A2013" s="12" t="s">
        <v>718</v>
      </c>
      <c r="B2013" s="13" t="s">
        <v>5455</v>
      </c>
      <c r="C2013" s="14" t="s">
        <v>6360</v>
      </c>
      <c r="D2013" s="15">
        <v>41836.662789351853</v>
      </c>
      <c r="E2013" s="16" t="s">
        <v>16</v>
      </c>
      <c r="F2013" s="16" t="s">
        <v>18</v>
      </c>
      <c r="G2013" s="17" t="s">
        <v>885</v>
      </c>
      <c r="H2013" s="17" t="s">
        <v>1565</v>
      </c>
      <c r="I2013" s="13" t="s">
        <v>6361</v>
      </c>
      <c r="J2013" s="23" t="str">
        <f>HYPERLINK("CorLog\ZMB\Kabompo RTO\20140716 ZMB Kabompo RTO Review of Mitek Roof Structure Shop Drawings (RDC-to-ZMB).msg", "Review of Mitek Roof Structure Shop Drawings")</f>
        <v>Review of Mitek Roof Structure Shop Drawings</v>
      </c>
      <c r="K2013" s="25" t="s">
        <v>1274</v>
      </c>
      <c r="L2013" s="19"/>
      <c r="M2013" s="20"/>
      <c r="N2013" s="21" t="s">
        <v>6362</v>
      </c>
    </row>
    <row r="2014" spans="1:14">
      <c r="A2014" s="12" t="s">
        <v>718</v>
      </c>
      <c r="B2014" s="13" t="s">
        <v>842</v>
      </c>
      <c r="C2014" s="14" t="s">
        <v>6363</v>
      </c>
      <c r="D2014" s="15">
        <v>41836.587800925925</v>
      </c>
      <c r="E2014" s="16" t="s">
        <v>16</v>
      </c>
      <c r="F2014" s="16" t="s">
        <v>21</v>
      </c>
      <c r="G2014" s="17" t="s">
        <v>790</v>
      </c>
      <c r="H2014" s="17" t="s">
        <v>829</v>
      </c>
      <c r="I2014" s="13" t="s">
        <v>6364</v>
      </c>
      <c r="J2014" s="23" t="str">
        <f>HYPERLINK("CorLog\GHA\BEX\20140716 GHA BEX Urgent NLBR Reorder PVC drainage fitting (APPROVED) (RDC-to-GHA).msg", "Urgent NLBR Reorder PVC drainage fitting (APPROVED)")</f>
        <v>Urgent NLBR Reorder PVC drainage fitting (APPROVED)</v>
      </c>
      <c r="K2014" s="25"/>
      <c r="L2014" s="19"/>
      <c r="M2014" s="20"/>
      <c r="N2014" s="21" t="s">
        <v>6365</v>
      </c>
    </row>
    <row r="2015" spans="1:14">
      <c r="A2015" s="12" t="s">
        <v>874</v>
      </c>
      <c r="B2015" s="13"/>
      <c r="C2015" s="14"/>
      <c r="D2015" s="15">
        <v>41836</v>
      </c>
      <c r="E2015" s="16" t="s">
        <v>25</v>
      </c>
      <c r="F2015" s="16" t="s">
        <v>30</v>
      </c>
      <c r="G2015" s="17" t="s">
        <v>2022</v>
      </c>
      <c r="H2015" s="17" t="s">
        <v>1000</v>
      </c>
      <c r="I2015" s="13" t="s">
        <v>6366</v>
      </c>
      <c r="J2015" s="23" t="str">
        <f>HYPERLINK("CorLog\Directive\20140716 Directive Local Design Construction Department Staffing Guidelines (WHQ-to-ALL).doc", "Local Design Construction Department Staffing Guidelines")</f>
        <v>Local Design Construction Department Staffing Guidelines</v>
      </c>
      <c r="K2015" s="25"/>
      <c r="L2015" s="19"/>
      <c r="M2015" s="20"/>
      <c r="N2015" s="21" t="s">
        <v>6367</v>
      </c>
    </row>
    <row r="2016" spans="1:14">
      <c r="A2016" s="12" t="s">
        <v>718</v>
      </c>
      <c r="B2016" s="13" t="s">
        <v>972</v>
      </c>
      <c r="C2016" s="14" t="s">
        <v>6368</v>
      </c>
      <c r="D2016" s="15">
        <v>41835.616597222222</v>
      </c>
      <c r="E2016" s="16" t="s">
        <v>16</v>
      </c>
      <c r="F2016" s="16" t="s">
        <v>18</v>
      </c>
      <c r="G2016" s="17" t="s">
        <v>946</v>
      </c>
      <c r="H2016" s="17" t="s">
        <v>829</v>
      </c>
      <c r="I2016" s="13" t="s">
        <v>6369</v>
      </c>
      <c r="J2016" s="23" t="str">
        <f>HYPERLINK("CorLog\ZMB\Mongu RTO\20140715 ZMB Mongu RTO RDC review of NLBR 7212 Electrolux (RDC-to-ZMB).msg", "RDC review of NLBR 7212 Electrolux")</f>
        <v>RDC review of NLBR 7212 Electrolux</v>
      </c>
      <c r="K2016" s="25" t="s">
        <v>1243</v>
      </c>
      <c r="L2016" s="19"/>
      <c r="M2016" s="20"/>
      <c r="N2016" s="21" t="s">
        <v>6370</v>
      </c>
    </row>
    <row r="2017" spans="1:14">
      <c r="A2017" s="12" t="s">
        <v>718</v>
      </c>
      <c r="B2017" s="13" t="s">
        <v>4950</v>
      </c>
      <c r="C2017" s="14" t="s">
        <v>5397</v>
      </c>
      <c r="D2017" s="15">
        <v>41835.5859837963</v>
      </c>
      <c r="E2017" s="16" t="s">
        <v>16</v>
      </c>
      <c r="F2017" s="16" t="s">
        <v>18</v>
      </c>
      <c r="G2017" s="17" t="s">
        <v>838</v>
      </c>
      <c r="H2017" s="17" t="s">
        <v>3538</v>
      </c>
      <c r="I2017" s="13" t="s">
        <v>6371</v>
      </c>
      <c r="J2017" s="23" t="str">
        <f>HYPERLINK("CorLog\ZMB\Choma RTO\20140715 ZMB Choma RTO Project Description resolutions (RDC-to-ZMB).msg", "Project Description resolutions")</f>
        <v>Project Description resolutions</v>
      </c>
      <c r="K2017" s="25"/>
      <c r="L2017" s="19"/>
      <c r="M2017" s="20"/>
      <c r="N2017" s="21" t="s">
        <v>6372</v>
      </c>
    </row>
    <row r="2018" spans="1:14">
      <c r="A2018" s="12" t="s">
        <v>718</v>
      </c>
      <c r="B2018" s="13" t="s">
        <v>1529</v>
      </c>
      <c r="C2018" s="14" t="s">
        <v>5449</v>
      </c>
      <c r="D2018" s="15">
        <v>41835.496620370373</v>
      </c>
      <c r="E2018" s="16" t="s">
        <v>16</v>
      </c>
      <c r="F2018" s="16" t="s">
        <v>18</v>
      </c>
      <c r="G2018" s="17" t="s">
        <v>946</v>
      </c>
      <c r="H2018" s="17" t="s">
        <v>854</v>
      </c>
      <c r="I2018" s="13" t="s">
        <v>6373</v>
      </c>
      <c r="J2018" s="23" t="str">
        <f>HYPERLINK("CorLog\ZMB\Mongu RTO\20140715 ZMB Mongu RTO Sliding Gate Footer grade beam detail (SOLUTION) (RDC-to-ZMB).msg", "Sliding Gate Footer grade beam detail (SOLUTION)")</f>
        <v>Sliding Gate Footer grade beam detail (SOLUTION)</v>
      </c>
      <c r="K2018" s="25" t="s">
        <v>1274</v>
      </c>
      <c r="L2018" s="19"/>
      <c r="M2018" s="20"/>
      <c r="N2018" s="21" t="s">
        <v>6374</v>
      </c>
    </row>
    <row r="2019" spans="1:14">
      <c r="A2019" s="12" t="s">
        <v>4950</v>
      </c>
      <c r="B2019" s="13" t="s">
        <v>718</v>
      </c>
      <c r="C2019" s="14" t="s">
        <v>5397</v>
      </c>
      <c r="D2019" s="15">
        <v>41835.482557870368</v>
      </c>
      <c r="E2019" s="16" t="s">
        <v>18</v>
      </c>
      <c r="F2019" s="16" t="s">
        <v>16</v>
      </c>
      <c r="G2019" s="17" t="s">
        <v>838</v>
      </c>
      <c r="H2019" s="17" t="s">
        <v>759</v>
      </c>
      <c r="I2019" s="13" t="s">
        <v>6375</v>
      </c>
      <c r="J2019" s="23" t="str">
        <f>HYPERLINK("CorLog\ZMB\Choma RTO\20140715 ZMB Choma RTO Project Description[Approved by BC] (ZMB-to-RDC).msg", "Project Description[Approved by BC]")</f>
        <v>Project Description[Approved by BC]</v>
      </c>
      <c r="K2019" s="25" t="s">
        <v>1211</v>
      </c>
      <c r="L2019" s="19"/>
      <c r="M2019" s="20"/>
      <c r="N2019" s="21" t="s">
        <v>6376</v>
      </c>
    </row>
    <row r="2020" spans="1:14">
      <c r="A2020" s="12" t="s">
        <v>5713</v>
      </c>
      <c r="B2020" s="13" t="s">
        <v>6377</v>
      </c>
      <c r="C2020" s="14" t="s">
        <v>6378</v>
      </c>
      <c r="D2020" s="15">
        <v>41835.430162037039</v>
      </c>
      <c r="E2020" s="16" t="s">
        <v>15</v>
      </c>
      <c r="F2020" s="16" t="s">
        <v>22</v>
      </c>
      <c r="G2020" s="17" t="s">
        <v>1169</v>
      </c>
      <c r="H2020" s="17" t="s">
        <v>3330</v>
      </c>
      <c r="I2020" s="13" t="s">
        <v>6379</v>
      </c>
      <c r="J2020" s="23" t="str">
        <f>HYPERLINK("CorLog\COD\Kikwit RTO\20140715 COD Kikwit RTO Order for SDMO J66 Generator (ZAF-to-).msg", "Order for SDMO J66 Generator")</f>
        <v>Order for SDMO J66 Generator</v>
      </c>
      <c r="K2020" s="25" t="s">
        <v>1211</v>
      </c>
      <c r="L2020" s="19"/>
      <c r="M2020" s="20"/>
      <c r="N2020" s="21" t="s">
        <v>6380</v>
      </c>
    </row>
    <row r="2021" spans="1:14">
      <c r="A2021" s="12"/>
      <c r="B2021" s="13"/>
      <c r="C2021" s="14"/>
      <c r="D2021" s="15">
        <v>41835.365254629629</v>
      </c>
      <c r="E2021" s="16" t="s">
        <v>25</v>
      </c>
      <c r="F2021" s="16" t="s">
        <v>30</v>
      </c>
      <c r="G2021" s="17" t="s">
        <v>30</v>
      </c>
      <c r="H2021" s="17" t="s">
        <v>1714</v>
      </c>
      <c r="I2021" s="13" t="s">
        <v>6381</v>
      </c>
      <c r="J2021" s="23" t="str">
        <f>HYPERLINK("CorLog\ALL\20140715 ALL WHQZAF-C-30344P adjustment to the financial support of Assembly Halls. (WHQ-to-ALL).doc", "WHQZAF-C-30344P adjustment to the financial support of Assembly Halls.")</f>
        <v>WHQZAF-C-30344P adjustment to the financial support of Assembly Halls.</v>
      </c>
      <c r="K2021" s="25"/>
      <c r="L2021" s="19" t="s">
        <v>6382</v>
      </c>
      <c r="M2021" s="20"/>
      <c r="N2021" s="21"/>
    </row>
    <row r="2022" spans="1:14">
      <c r="A2022" s="12" t="s">
        <v>874</v>
      </c>
      <c r="B2022" s="13"/>
      <c r="C2022" s="14"/>
      <c r="D2022" s="15">
        <v>41835</v>
      </c>
      <c r="E2022" s="16" t="s">
        <v>25</v>
      </c>
      <c r="F2022" s="16" t="s">
        <v>15</v>
      </c>
      <c r="G2022" s="17" t="s">
        <v>30</v>
      </c>
      <c r="H2022" s="17" t="s">
        <v>2407</v>
      </c>
      <c r="I2022" s="13" t="s">
        <v>6383</v>
      </c>
      <c r="J2022" s="23" t="str">
        <f>HYPERLINK("CorLog\ALL\20140715 ALL Kingdom Hall and Assembly Hall Project Approval Limits (WHQ-to-ZAF).docx", "Kingdom Hall and Assembly Hall Project Approval Limits")</f>
        <v>Kingdom Hall and Assembly Hall Project Approval Limits</v>
      </c>
      <c r="K2022" s="25"/>
      <c r="L2022" s="19"/>
      <c r="M2022" s="20"/>
      <c r="N2022" s="21" t="s">
        <v>6384</v>
      </c>
    </row>
    <row r="2023" spans="1:14">
      <c r="A2023" s="12" t="s">
        <v>718</v>
      </c>
      <c r="B2023" s="13" t="s">
        <v>1529</v>
      </c>
      <c r="C2023" s="14" t="s">
        <v>6385</v>
      </c>
      <c r="D2023" s="15">
        <v>41834.702870370369</v>
      </c>
      <c r="E2023" s="16" t="s">
        <v>16</v>
      </c>
      <c r="F2023" s="16" t="s">
        <v>18</v>
      </c>
      <c r="G2023" s="17" t="s">
        <v>946</v>
      </c>
      <c r="H2023" s="17" t="s">
        <v>854</v>
      </c>
      <c r="I2023" s="13" t="s">
        <v>6386</v>
      </c>
      <c r="J2023" s="23" t="str">
        <f>HYPERLINK("CorLog\ZMB\Mongu RTO\20140714 ZMB Mongu RTO Updated dwg--Retaining Wall Detail S-501 Sec J and B (RDC-to-ZMB).msg", "Updated dwg--Retaining Wall Detail S-501 Sec J and B")</f>
        <v>Updated dwg--Retaining Wall Detail S-501 Sec J and B</v>
      </c>
      <c r="K2023" s="25" t="s">
        <v>1243</v>
      </c>
      <c r="L2023" s="19"/>
      <c r="M2023" s="20"/>
      <c r="N2023" s="21" t="s">
        <v>6387</v>
      </c>
    </row>
    <row r="2024" spans="1:14">
      <c r="A2024" s="12" t="s">
        <v>972</v>
      </c>
      <c r="B2024" s="13" t="s">
        <v>718</v>
      </c>
      <c r="C2024" s="14" t="s">
        <v>6388</v>
      </c>
      <c r="D2024" s="15">
        <v>41834.665081018517</v>
      </c>
      <c r="E2024" s="16" t="s">
        <v>18</v>
      </c>
      <c r="F2024" s="16" t="s">
        <v>16</v>
      </c>
      <c r="G2024" s="17" t="s">
        <v>1112</v>
      </c>
      <c r="H2024" s="17" t="s">
        <v>5545</v>
      </c>
      <c r="I2024" s="13" t="s">
        <v>6389</v>
      </c>
      <c r="J2024" s="23" t="str">
        <f>HYPERLINK("CorLog\ZMB\BEX\20140714 ZMB BEX July 14,2014- 190 mm Blocks crush results (ZMB-to-RDC).msg", "July 14,2014- 190 mm Blocks crush results")</f>
        <v>July 14,2014- 190 mm Blocks crush results</v>
      </c>
      <c r="K2024" s="25" t="s">
        <v>1211</v>
      </c>
      <c r="L2024" s="19"/>
      <c r="M2024" s="20"/>
      <c r="N2024" s="21" t="s">
        <v>6390</v>
      </c>
    </row>
    <row r="2025" spans="1:14">
      <c r="A2025" s="12" t="s">
        <v>3296</v>
      </c>
      <c r="B2025" s="13" t="s">
        <v>718</v>
      </c>
      <c r="C2025" s="14" t="s">
        <v>6391</v>
      </c>
      <c r="D2025" s="15">
        <v>41834.501469907409</v>
      </c>
      <c r="E2025" s="16" t="s">
        <v>15</v>
      </c>
      <c r="F2025" s="16" t="s">
        <v>16</v>
      </c>
      <c r="G2025" s="17" t="s">
        <v>1544</v>
      </c>
      <c r="H2025" s="17" t="s">
        <v>1426</v>
      </c>
      <c r="I2025" s="13" t="s">
        <v>6392</v>
      </c>
      <c r="J2025" s="23" t="str">
        <f>HYPERLINK("CorLog\SALTO\20140714 SALTO RFQ for ZA Branch Gatehouse Access Control (ZAF-to-RDC).msg", "RFQ for ZA Branch Gatehouse Access Control")</f>
        <v>RFQ for ZA Branch Gatehouse Access Control</v>
      </c>
      <c r="K2025" s="25" t="s">
        <v>4757</v>
      </c>
      <c r="L2025" s="19"/>
      <c r="M2025" s="20"/>
      <c r="N2025" s="21" t="s">
        <v>6393</v>
      </c>
    </row>
    <row r="2026" spans="1:14">
      <c r="A2026" s="12" t="s">
        <v>718</v>
      </c>
      <c r="B2026" s="13" t="s">
        <v>5860</v>
      </c>
      <c r="C2026" s="14"/>
      <c r="D2026" s="15">
        <v>41834.446979166663</v>
      </c>
      <c r="E2026" s="16" t="s">
        <v>16</v>
      </c>
      <c r="F2026" s="16" t="s">
        <v>16</v>
      </c>
      <c r="G2026" s="17" t="s">
        <v>857</v>
      </c>
      <c r="H2026" s="17" t="s">
        <v>886</v>
      </c>
      <c r="I2026" s="13" t="s">
        <v>6394</v>
      </c>
      <c r="J2026" s="23" t="str">
        <f>HYPERLINK("CorLog\GHA\Kikam RTO\20140714 GHA Kikam RTO Prepare AO-6 for new high-voltage electrical connection (RDC-to-RDC).msg", "Prepare AO-6 for new high-voltage electrical connection")</f>
        <v>Prepare AO-6 for new high-voltage electrical connection</v>
      </c>
      <c r="K2026" s="25" t="s">
        <v>1270</v>
      </c>
      <c r="L2026" s="19"/>
      <c r="M2026" s="20"/>
      <c r="N2026" s="21" t="s">
        <v>6395</v>
      </c>
    </row>
    <row r="2027" spans="1:14">
      <c r="A2027" s="12" t="s">
        <v>718</v>
      </c>
      <c r="B2027" s="13" t="s">
        <v>6396</v>
      </c>
      <c r="C2027" s="14" t="s">
        <v>6397</v>
      </c>
      <c r="D2027" s="15">
        <v>41834.347222222219</v>
      </c>
      <c r="E2027" s="16" t="s">
        <v>16</v>
      </c>
      <c r="F2027" s="16" t="s">
        <v>15</v>
      </c>
      <c r="G2027" s="17" t="s">
        <v>1169</v>
      </c>
      <c r="H2027" s="17" t="s">
        <v>1819</v>
      </c>
      <c r="I2027" s="13" t="s">
        <v>6398</v>
      </c>
      <c r="J2027" s="23" t="str">
        <f>HYPERLINK("CorLog\COD\Kikwit RTO\20140714 COD Kikwit RTO Civil Design Contract approved, ready to sign (RDC-to-).msg", "Civil Design Contract approved, ready to sign")</f>
        <v>Civil Design Contract approved, ready to sign</v>
      </c>
      <c r="K2027" s="25" t="s">
        <v>1270</v>
      </c>
      <c r="L2027" s="19"/>
      <c r="M2027" s="20"/>
      <c r="N2027" s="21" t="s">
        <v>6399</v>
      </c>
    </row>
    <row r="2028" spans="1:14">
      <c r="A2028" s="12" t="s">
        <v>718</v>
      </c>
      <c r="B2028" s="13" t="s">
        <v>4950</v>
      </c>
      <c r="C2028" s="14" t="s">
        <v>4394</v>
      </c>
      <c r="D2028" s="15">
        <v>41834.321689814817</v>
      </c>
      <c r="E2028" s="16" t="s">
        <v>16</v>
      </c>
      <c r="F2028" s="16" t="s">
        <v>18</v>
      </c>
      <c r="G2028" s="17" t="s">
        <v>885</v>
      </c>
      <c r="H2028" s="17" t="s">
        <v>1489</v>
      </c>
      <c r="I2028" s="13" t="s">
        <v>6400</v>
      </c>
      <c r="J2028" s="23" t="str">
        <f>HYPERLINK("CorLog\ZMB\Kabompo RTO\20140714 ZMB Kabompo RTO Utilities Water Bypass (OKAY) (RDC-to-ZMB).msg", "Utilities Water Bypass (OKAY)")</f>
        <v>Utilities Water Bypass (OKAY)</v>
      </c>
      <c r="K2028" s="25"/>
      <c r="L2028" s="19"/>
      <c r="M2028" s="20"/>
      <c r="N2028" s="21" t="s">
        <v>6401</v>
      </c>
    </row>
    <row r="2029" spans="1:14">
      <c r="A2029" s="12" t="s">
        <v>874</v>
      </c>
      <c r="B2029" s="13"/>
      <c r="C2029" s="14"/>
      <c r="D2029" s="15">
        <v>41834</v>
      </c>
      <c r="E2029" s="16" t="s">
        <v>25</v>
      </c>
      <c r="F2029" s="16" t="s">
        <v>18</v>
      </c>
      <c r="G2029" s="17" t="s">
        <v>2751</v>
      </c>
      <c r="H2029" s="17" t="s">
        <v>1015</v>
      </c>
      <c r="I2029" s="13" t="s">
        <v>6402</v>
      </c>
      <c r="J2029" s="23" t="str">
        <f>HYPERLINK("CorLog\ZMB\Kasempa RTO\20140714 ZMB Kasempa RTO Property for Kasempa Remote Translation Office for Kikaonde (WHQ-to-ZMB).doc", "Property for Kasempa Remote Translation Office for Kikaonde")</f>
        <v>Property for Kasempa Remote Translation Office for Kikaonde</v>
      </c>
      <c r="K2029" s="23" t="str">
        <f>HYPERLINK("CorLog\ZMB\Kasempa RTO\20140714 ZMB Kasempa RTO Property for Kasempa Remote Translation Office for Kikaonde (WHQ-to-ZMB).zip", "Zipped")</f>
        <v>Zipped</v>
      </c>
      <c r="L2029" s="19"/>
      <c r="M2029" s="20"/>
      <c r="N2029" s="21" t="s">
        <v>6403</v>
      </c>
    </row>
    <row r="2030" spans="1:14">
      <c r="A2030" s="12" t="s">
        <v>750</v>
      </c>
      <c r="B2030" s="13" t="s">
        <v>827</v>
      </c>
      <c r="C2030" s="14" t="s">
        <v>842</v>
      </c>
      <c r="D2030" s="15">
        <v>41832.69253472222</v>
      </c>
      <c r="E2030" s="16" t="s">
        <v>16</v>
      </c>
      <c r="F2030" s="16" t="s">
        <v>21</v>
      </c>
      <c r="G2030" s="17" t="s">
        <v>790</v>
      </c>
      <c r="H2030" s="17" t="s">
        <v>839</v>
      </c>
      <c r="I2030" s="13" t="s">
        <v>6404</v>
      </c>
      <c r="J2030" s="23" t="str">
        <f>HYPERLINK("CorLog\GHA\BEX\20140712 GHA BEX Compaction Test for Building Platforms 3 2 &amp; 3 3 (APPROVED) (RDC-to-GHA).msg", "Compaction Test for Building Platforms 3 2 &amp; 3 3 (APPROVED)")</f>
        <v>Compaction Test for Building Platforms 3 2 &amp; 3 3 (APPROVED)</v>
      </c>
      <c r="K2030" s="25" t="s">
        <v>1243</v>
      </c>
      <c r="L2030" s="19"/>
      <c r="M2030" s="20"/>
      <c r="N2030" s="21" t="s">
        <v>6405</v>
      </c>
    </row>
    <row r="2031" spans="1:14">
      <c r="A2031" s="12" t="s">
        <v>718</v>
      </c>
      <c r="B2031" s="13" t="s">
        <v>1167</v>
      </c>
      <c r="C2031" s="14" t="s">
        <v>6406</v>
      </c>
      <c r="D2031" s="15">
        <v>41831.683819444443</v>
      </c>
      <c r="E2031" s="16" t="s">
        <v>16</v>
      </c>
      <c r="F2031" s="16" t="s">
        <v>22</v>
      </c>
      <c r="G2031" s="17" t="s">
        <v>1169</v>
      </c>
      <c r="H2031" s="17" t="s">
        <v>759</v>
      </c>
      <c r="I2031" s="13" t="s">
        <v>6407</v>
      </c>
      <c r="J2031" s="23" t="str">
        <f>HYPERLINK("CorLog\COD\Kikwit RTO\20140711 COD Kikwit RTO Change site plan layout (Keep Option 3) (RDC-to-COD).msg", "Change site plan layout (Keep Option 3)")</f>
        <v>Change site plan layout (Keep Option 3)</v>
      </c>
      <c r="K2031" s="25"/>
      <c r="L2031" s="19"/>
      <c r="M2031" s="20"/>
      <c r="N2031" s="21" t="s">
        <v>6408</v>
      </c>
    </row>
    <row r="2032" spans="1:14">
      <c r="A2032" s="12" t="s">
        <v>718</v>
      </c>
      <c r="B2032" s="13" t="s">
        <v>827</v>
      </c>
      <c r="C2032" s="14" t="s">
        <v>6409</v>
      </c>
      <c r="D2032" s="15">
        <v>41831.677881944444</v>
      </c>
      <c r="E2032" s="16" t="s">
        <v>16</v>
      </c>
      <c r="F2032" s="16" t="s">
        <v>21</v>
      </c>
      <c r="G2032" s="17" t="s">
        <v>790</v>
      </c>
      <c r="H2032" s="17" t="s">
        <v>829</v>
      </c>
      <c r="I2032" s="13" t="s">
        <v>6410</v>
      </c>
      <c r="J2032" s="23" t="str">
        <f>HYPERLINK("CorLog\GHA\BEX\20140711 GHA BEX RDC review of NLBR Pkg -15 &amp; 16 (48920, 48844, 48855, 48862, 48942) (RDC-to-GHA).msg", "RDC review of NLBR Pkg -15 &amp; 16 (48920, 48844, 48855, 48862, 48942)")</f>
        <v>RDC review of NLBR Pkg -15 &amp; 16 (48920, 48844, 48855, 48862, 48942)</v>
      </c>
      <c r="K2032" s="25" t="s">
        <v>1499</v>
      </c>
      <c r="L2032" s="19"/>
      <c r="M2032" s="20"/>
      <c r="N2032" s="21" t="s">
        <v>6411</v>
      </c>
    </row>
    <row r="2033" spans="1:14">
      <c r="A2033" s="12" t="s">
        <v>1258</v>
      </c>
      <c r="B2033" s="13" t="s">
        <v>1761</v>
      </c>
      <c r="C2033" s="14"/>
      <c r="D2033" s="15">
        <v>41831.621863425928</v>
      </c>
      <c r="E2033" s="16" t="s">
        <v>16</v>
      </c>
      <c r="F2033" s="16" t="s">
        <v>16</v>
      </c>
      <c r="G2033" s="17" t="s">
        <v>2022</v>
      </c>
      <c r="H2033" s="17" t="s">
        <v>759</v>
      </c>
      <c r="I2033" s="13" t="s">
        <v>6412</v>
      </c>
      <c r="J2033" s="23" t="str">
        <f>HYPERLINK("CorLog\Directive\20140711 Directive Update Sign-Language Studio Dimensions (RDC-to-RDC).msg", "Update Sign-Language Studio Dimensions")</f>
        <v>Update Sign-Language Studio Dimensions</v>
      </c>
      <c r="K2033" s="25"/>
      <c r="L2033" s="19"/>
      <c r="M2033" s="20"/>
      <c r="N2033" s="21" t="s">
        <v>6413</v>
      </c>
    </row>
    <row r="2034" spans="1:14">
      <c r="A2034" s="12" t="s">
        <v>750</v>
      </c>
      <c r="B2034" s="13" t="s">
        <v>4950</v>
      </c>
      <c r="C2034" s="14" t="s">
        <v>6172</v>
      </c>
      <c r="D2034" s="15">
        <v>41831.57540509259</v>
      </c>
      <c r="E2034" s="16" t="s">
        <v>16</v>
      </c>
      <c r="F2034" s="16" t="s">
        <v>18</v>
      </c>
      <c r="G2034" s="17" t="s">
        <v>885</v>
      </c>
      <c r="H2034" s="17" t="s">
        <v>851</v>
      </c>
      <c r="I2034" s="13" t="s">
        <v>6414</v>
      </c>
      <c r="J2034" s="23" t="str">
        <f>HYPERLINK("CorLog\ZMB\Kabompo RTO\20140711 ZMB Kabompo RTO Res footing DCP Results (INT Footings) (RDC-to-ZMB).msg", "Res footing DCP Results (INT Footings)")</f>
        <v>Res footing DCP Results (INT Footings)</v>
      </c>
      <c r="K2034" s="25"/>
      <c r="L2034" s="19"/>
      <c r="M2034" s="20"/>
      <c r="N2034" s="21" t="s">
        <v>6415</v>
      </c>
    </row>
    <row r="2035" spans="1:14">
      <c r="A2035" s="12" t="s">
        <v>718</v>
      </c>
      <c r="B2035" s="13" t="s">
        <v>972</v>
      </c>
      <c r="C2035" s="14" t="s">
        <v>6416</v>
      </c>
      <c r="D2035" s="15">
        <v>41831.468217592592</v>
      </c>
      <c r="E2035" s="16" t="s">
        <v>16</v>
      </c>
      <c r="F2035" s="16" t="s">
        <v>18</v>
      </c>
      <c r="G2035" s="17" t="s">
        <v>1070</v>
      </c>
      <c r="H2035" s="17" t="s">
        <v>829</v>
      </c>
      <c r="I2035" s="13" t="s">
        <v>6417</v>
      </c>
      <c r="J2035" s="23" t="str">
        <f>HYPERLINK("CorLog\ZMB\Katete RTO\20140711 ZMB Katete RTO RDC review of NLBR 7157--Kitchen ware, plywood, planks (RDC-to-ZMB).msg", "RDC review of NLBR 7157--Kitchen ware, plywood, planks")</f>
        <v>RDC review of NLBR 7157--Kitchen ware, plywood, planks</v>
      </c>
      <c r="K2035" s="25" t="s">
        <v>1211</v>
      </c>
      <c r="L2035" s="19"/>
      <c r="M2035" s="20"/>
      <c r="N2035" s="21" t="s">
        <v>6418</v>
      </c>
    </row>
    <row r="2036" spans="1:14">
      <c r="A2036" s="12" t="s">
        <v>718</v>
      </c>
      <c r="B2036" s="13" t="s">
        <v>1529</v>
      </c>
      <c r="C2036" s="14" t="s">
        <v>6419</v>
      </c>
      <c r="D2036" s="15">
        <v>41831.463923611111</v>
      </c>
      <c r="E2036" s="16" t="s">
        <v>16</v>
      </c>
      <c r="F2036" s="16" t="s">
        <v>18</v>
      </c>
      <c r="G2036" s="17" t="s">
        <v>946</v>
      </c>
      <c r="H2036" s="17" t="s">
        <v>947</v>
      </c>
      <c r="I2036" s="13" t="s">
        <v>6420</v>
      </c>
      <c r="J2036" s="23" t="str">
        <f>HYPERLINK("CorLog\ZMB\Mongu RTO\20140711 ZMB Mongu RTO Speeding up Earthworks (APPROVED EQUIP RENTAL) (RDC-to-ZMB).msg", "Speeding up Earthworks (APPROVED EQUIP RENTAL)")</f>
        <v>Speeding up Earthworks (APPROVED EQUIP RENTAL)</v>
      </c>
      <c r="K2036" s="25"/>
      <c r="L2036" s="19"/>
      <c r="M2036" s="20"/>
      <c r="N2036" s="21" t="s">
        <v>6421</v>
      </c>
    </row>
    <row r="2037" spans="1:14">
      <c r="A2037" s="12" t="s">
        <v>1069</v>
      </c>
      <c r="B2037" s="13" t="s">
        <v>718</v>
      </c>
      <c r="C2037" s="14"/>
      <c r="D2037" s="15">
        <v>41831.371504629627</v>
      </c>
      <c r="E2037" s="16" t="s">
        <v>18</v>
      </c>
      <c r="F2037" s="16" t="s">
        <v>16</v>
      </c>
      <c r="G2037" s="17" t="s">
        <v>1070</v>
      </c>
      <c r="H2037" s="17" t="s">
        <v>829</v>
      </c>
      <c r="I2037" s="13" t="s">
        <v>6417</v>
      </c>
      <c r="J2037" s="23" t="str">
        <f>HYPERLINK("CorLog\ZMB\Katete RTO\20140711 ZMB Katete RTO RDC review of NLBR 7157--Kitchen ware, plywood, planks (ZMB-to-RDC).msg", "RDC review of NLBR 7157--Kitchen ware, plywood, planks")</f>
        <v>RDC review of NLBR 7157--Kitchen ware, plywood, planks</v>
      </c>
      <c r="K2037" s="25" t="s">
        <v>1211</v>
      </c>
      <c r="L2037" s="19"/>
      <c r="M2037" s="20"/>
      <c r="N2037" s="21" t="s">
        <v>6422</v>
      </c>
    </row>
    <row r="2038" spans="1:14">
      <c r="A2038" s="12" t="s">
        <v>718</v>
      </c>
      <c r="B2038" s="13" t="s">
        <v>1529</v>
      </c>
      <c r="C2038" s="14" t="s">
        <v>5449</v>
      </c>
      <c r="D2038" s="15">
        <v>41831.370266203703</v>
      </c>
      <c r="E2038" s="16" t="s">
        <v>16</v>
      </c>
      <c r="F2038" s="16" t="s">
        <v>18</v>
      </c>
      <c r="G2038" s="17" t="s">
        <v>946</v>
      </c>
      <c r="H2038" s="17" t="s">
        <v>5458</v>
      </c>
      <c r="I2038" s="13" t="s">
        <v>6423</v>
      </c>
      <c r="J2038" s="23" t="str">
        <f>HYPERLINK("CorLog\ZMB\Mongu RTO\20140711 ZMB Mongu RTO Request for Sliding Gate Footer Detail (RDC-to-ZMB).msg", "Request for Sliding Gate Footer Detail")</f>
        <v>Request for Sliding Gate Footer Detail</v>
      </c>
      <c r="K2038" s="25"/>
      <c r="L2038" s="19"/>
      <c r="M2038" s="20"/>
      <c r="N2038" s="21" t="s">
        <v>6424</v>
      </c>
    </row>
    <row r="2039" spans="1:14">
      <c r="A2039" s="12" t="s">
        <v>4349</v>
      </c>
      <c r="B2039" s="13"/>
      <c r="C2039" s="14"/>
      <c r="D2039" s="15">
        <v>41831</v>
      </c>
      <c r="E2039" s="16" t="s">
        <v>25</v>
      </c>
      <c r="F2039" s="16" t="s">
        <v>18</v>
      </c>
      <c r="G2039" s="17" t="s">
        <v>946</v>
      </c>
      <c r="H2039" s="17" t="s">
        <v>1707</v>
      </c>
      <c r="I2039" s="13" t="s">
        <v>6425</v>
      </c>
      <c r="J2039" s="23" t="str">
        <f>HYPERLINK("CorLog\ZMB\Mongu RTO\20140711 ZMB Mongu RTO WhisperRoom Branch Request (WHQ-to-ZMB).doc", "WhisperRoom Branch Request")</f>
        <v>WhisperRoom Branch Request</v>
      </c>
      <c r="K2039" s="25"/>
      <c r="L2039" s="19"/>
      <c r="M2039" s="20"/>
      <c r="N2039" s="21" t="s">
        <v>6426</v>
      </c>
    </row>
    <row r="2040" spans="1:14">
      <c r="A2040" s="12" t="s">
        <v>4711</v>
      </c>
      <c r="B2040" s="13" t="s">
        <v>718</v>
      </c>
      <c r="C2040" s="14" t="s">
        <v>6427</v>
      </c>
      <c r="D2040" s="15">
        <v>41830.950335648151</v>
      </c>
      <c r="E2040" s="16" t="s">
        <v>26</v>
      </c>
      <c r="F2040" s="16" t="s">
        <v>16</v>
      </c>
      <c r="G2040" s="17" t="s">
        <v>30</v>
      </c>
      <c r="H2040" s="17" t="s">
        <v>2006</v>
      </c>
      <c r="I2040" s="13" t="s">
        <v>6392</v>
      </c>
      <c r="J2040" s="23" t="str">
        <f>HYPERLINK("CorLog\ALL\20140710 ALL RFQ for ZA Branch Gatehouse Access Control (GBR-to-RDC).msg", "RFQ for ZA Branch Gatehouse Access Control")</f>
        <v>RFQ for ZA Branch Gatehouse Access Control</v>
      </c>
      <c r="K2040" s="25" t="s">
        <v>5137</v>
      </c>
      <c r="L2040" s="19"/>
      <c r="M2040" s="20"/>
      <c r="N2040" s="21" t="s">
        <v>6428</v>
      </c>
    </row>
    <row r="2041" spans="1:14">
      <c r="A2041" s="12" t="s">
        <v>718</v>
      </c>
      <c r="B2041" s="13" t="s">
        <v>6429</v>
      </c>
      <c r="C2041" s="14" t="s">
        <v>6430</v>
      </c>
      <c r="D2041" s="15">
        <v>41830.728090277778</v>
      </c>
      <c r="E2041" s="16" t="s">
        <v>16</v>
      </c>
      <c r="F2041" s="16" t="s">
        <v>26</v>
      </c>
      <c r="G2041" s="17" t="s">
        <v>30</v>
      </c>
      <c r="H2041" s="17" t="s">
        <v>2006</v>
      </c>
      <c r="I2041" s="13" t="s">
        <v>6392</v>
      </c>
      <c r="J2041" s="23" t="str">
        <f>HYPERLINK("CorLog\ALL\20140710 ALL RFQ for ZA Branch Gatehouse Access Control (RDC-to-GBR).msg", "RFQ for ZA Branch Gatehouse Access Control")</f>
        <v>RFQ for ZA Branch Gatehouse Access Control</v>
      </c>
      <c r="K2041" s="25" t="s">
        <v>4757</v>
      </c>
      <c r="L2041" s="19"/>
      <c r="M2041" s="20"/>
      <c r="N2041" s="21" t="s">
        <v>6431</v>
      </c>
    </row>
    <row r="2042" spans="1:14">
      <c r="A2042" s="12" t="s">
        <v>718</v>
      </c>
      <c r="B2042" s="13" t="s">
        <v>1969</v>
      </c>
      <c r="C2042" s="14"/>
      <c r="D2042" s="15">
        <v>41830.716990740744</v>
      </c>
      <c r="E2042" s="16" t="s">
        <v>16</v>
      </c>
      <c r="F2042" s="16" t="s">
        <v>22</v>
      </c>
      <c r="G2042" s="17" t="s">
        <v>2627</v>
      </c>
      <c r="H2042" s="17" t="s">
        <v>6432</v>
      </c>
      <c r="I2042" s="13" t="s">
        <v>6433</v>
      </c>
      <c r="J2042" s="23" t="str">
        <f>HYPERLINK("CorLog\COD\Kamina RTO\20140710 COD Kamina RTO PS Cat update---Electrical Fire Barriers (HILTI FOAM) (RDC-to-COD).msg", "PS Cat update---Electrical Fire Barriers (HILTI FOAM)")</f>
        <v>PS Cat update---Electrical Fire Barriers (HILTI FOAM)</v>
      </c>
      <c r="K2042" s="25" t="s">
        <v>1211</v>
      </c>
      <c r="L2042" s="19"/>
      <c r="M2042" s="20"/>
      <c r="N2042" s="21" t="s">
        <v>6434</v>
      </c>
    </row>
    <row r="2043" spans="1:14">
      <c r="A2043" s="12" t="s">
        <v>2612</v>
      </c>
      <c r="B2043" s="13" t="s">
        <v>718</v>
      </c>
      <c r="C2043" s="14" t="s">
        <v>6435</v>
      </c>
      <c r="D2043" s="15">
        <v>41830.662037037036</v>
      </c>
      <c r="E2043" s="16" t="s">
        <v>21</v>
      </c>
      <c r="F2043" s="16" t="s">
        <v>16</v>
      </c>
      <c r="G2043" s="17" t="s">
        <v>790</v>
      </c>
      <c r="H2043" s="17" t="s">
        <v>839</v>
      </c>
      <c r="I2043" s="13" t="s">
        <v>6436</v>
      </c>
      <c r="J2043" s="23" t="str">
        <f>HYPERLINK("CorLog\GHA\BEX\20140710 GHA BEX Compaction field density tests at Res 3 2 and 3 3, for review and for filing (GHA-to-RDC).msg", "Compaction field density tests at Res 3 2 and 3 3, for review and for filing")</f>
        <v>Compaction field density tests at Res 3 2 and 3 3, for review and for filing</v>
      </c>
      <c r="K2043" s="25" t="s">
        <v>1243</v>
      </c>
      <c r="L2043" s="19"/>
      <c r="M2043" s="20"/>
      <c r="N2043" s="21" t="s">
        <v>6437</v>
      </c>
    </row>
    <row r="2044" spans="1:14">
      <c r="A2044" s="12" t="s">
        <v>750</v>
      </c>
      <c r="B2044" s="13" t="s">
        <v>5207</v>
      </c>
      <c r="C2044" s="14"/>
      <c r="D2044" s="15">
        <v>41830.612696759257</v>
      </c>
      <c r="E2044" s="16" t="s">
        <v>16</v>
      </c>
      <c r="F2044" s="16" t="s">
        <v>16</v>
      </c>
      <c r="G2044" s="17" t="s">
        <v>30</v>
      </c>
      <c r="H2044" s="17" t="s">
        <v>1728</v>
      </c>
      <c r="I2044" s="13" t="s">
        <v>6438</v>
      </c>
      <c r="J2044" s="23" t="str">
        <f>HYPERLINK("CorLog\ALL\20140710 ALL SKE OFFICE GUIDELINES June 2014 (RDC-to-RDC).msg", "SKE OFFICE GUIDELINES June 2014")</f>
        <v>SKE OFFICE GUIDELINES June 2014</v>
      </c>
      <c r="K2044" s="25"/>
      <c r="L2044" s="19"/>
      <c r="M2044" s="20"/>
      <c r="N2044" s="21" t="s">
        <v>6439</v>
      </c>
    </row>
    <row r="2045" spans="1:14">
      <c r="A2045" s="12" t="s">
        <v>718</v>
      </c>
      <c r="B2045" s="13" t="s">
        <v>1167</v>
      </c>
      <c r="C2045" s="14" t="s">
        <v>6440</v>
      </c>
      <c r="D2045" s="15">
        <v>41830.504976851851</v>
      </c>
      <c r="E2045" s="16" t="s">
        <v>16</v>
      </c>
      <c r="F2045" s="16" t="s">
        <v>22</v>
      </c>
      <c r="G2045" s="17" t="s">
        <v>1169</v>
      </c>
      <c r="H2045" s="17" t="s">
        <v>803</v>
      </c>
      <c r="I2045" s="13" t="s">
        <v>6441</v>
      </c>
      <c r="J2045" s="23" t="str">
        <f>HYPERLINK("CorLog\COD\Kikwit RTO\20140710 COD Kikwit RTO Drawings needed for building permits (Added A-301) (RDC-to-COD).msg", "Drawings needed for building permits (Added A-301)")</f>
        <v>Drawings needed for building permits (Added A-301)</v>
      </c>
      <c r="K2045" s="25" t="s">
        <v>1211</v>
      </c>
      <c r="L2045" s="19"/>
      <c r="M2045" s="20"/>
      <c r="N2045" s="21" t="s">
        <v>6442</v>
      </c>
    </row>
    <row r="2046" spans="1:14">
      <c r="A2046" s="12" t="s">
        <v>3296</v>
      </c>
      <c r="B2046" s="13" t="s">
        <v>1160</v>
      </c>
      <c r="C2046" s="14" t="s">
        <v>6443</v>
      </c>
      <c r="D2046" s="15">
        <v>41829.874861111108</v>
      </c>
      <c r="E2046" s="16" t="s">
        <v>15</v>
      </c>
      <c r="F2046" s="16" t="s">
        <v>20</v>
      </c>
      <c r="G2046" s="17" t="s">
        <v>979</v>
      </c>
      <c r="H2046" s="17" t="s">
        <v>2412</v>
      </c>
      <c r="I2046" s="13" t="s">
        <v>6444</v>
      </c>
      <c r="J2046" s="23" t="str">
        <f>HYPERLINK("CorLog\RTO\Projects\20140709 RTO Projects Standard MFP Printers for RTO Construction (ZAF-to-MOZ).msg", "Standard MFP Printers for RTO Construction")</f>
        <v>Standard MFP Printers for RTO Construction</v>
      </c>
      <c r="K2046" s="25" t="s">
        <v>1270</v>
      </c>
      <c r="L2046" s="19"/>
      <c r="M2046" s="20"/>
      <c r="N2046" s="21" t="s">
        <v>6445</v>
      </c>
    </row>
    <row r="2047" spans="1:14">
      <c r="A2047" s="12" t="s">
        <v>827</v>
      </c>
      <c r="B2047" s="13" t="s">
        <v>718</v>
      </c>
      <c r="C2047" s="14" t="s">
        <v>842</v>
      </c>
      <c r="D2047" s="15">
        <v>41829.73201388889</v>
      </c>
      <c r="E2047" s="16" t="s">
        <v>21</v>
      </c>
      <c r="F2047" s="16" t="s">
        <v>16</v>
      </c>
      <c r="G2047" s="17" t="s">
        <v>790</v>
      </c>
      <c r="H2047" s="17" t="s">
        <v>3159</v>
      </c>
      <c r="I2047" s="13" t="s">
        <v>6446</v>
      </c>
      <c r="J2047" s="23" t="str">
        <f>HYPERLINK("CorLog\GHA\BEX\20140709 GHA BEX Compaction Test for Building Platforms 32 3 3 (GHA-to-RDC).msg", "Compaction Test for Building Platforms 32 3 3")</f>
        <v>Compaction Test for Building Platforms 32 3 3</v>
      </c>
      <c r="K2047" s="25" t="s">
        <v>1270</v>
      </c>
      <c r="L2047" s="19"/>
      <c r="M2047" s="20"/>
      <c r="N2047" s="21" t="s">
        <v>6447</v>
      </c>
    </row>
    <row r="2048" spans="1:14">
      <c r="A2048" s="12" t="s">
        <v>795</v>
      </c>
      <c r="B2048" s="13" t="s">
        <v>6448</v>
      </c>
      <c r="C2048" s="14" t="s">
        <v>6449</v>
      </c>
      <c r="D2048" s="15">
        <v>41829.678460648145</v>
      </c>
      <c r="E2048" s="16" t="s">
        <v>16</v>
      </c>
      <c r="F2048" s="16" t="s">
        <v>26</v>
      </c>
      <c r="G2048" s="17" t="s">
        <v>979</v>
      </c>
      <c r="H2048" s="17" t="s">
        <v>3330</v>
      </c>
      <c r="I2048" s="13" t="s">
        <v>6450</v>
      </c>
      <c r="J2048" s="23" t="str">
        <f>HYPERLINK("CorLog\RTO\Projects\20140709 RTO Projects Tuffa Diesel installation UK (RDC-to-GBR).msg", "Tuffa Diesel installation UK")</f>
        <v>Tuffa Diesel installation UK</v>
      </c>
      <c r="K2048" s="25"/>
      <c r="L2048" s="19" t="s">
        <v>3264</v>
      </c>
      <c r="M2048" s="20"/>
      <c r="N2048" s="21" t="s">
        <v>6451</v>
      </c>
    </row>
    <row r="2049" spans="1:14">
      <c r="A2049" s="12" t="s">
        <v>4834</v>
      </c>
      <c r="B2049" s="13" t="s">
        <v>1181</v>
      </c>
      <c r="C2049" s="14" t="s">
        <v>1245</v>
      </c>
      <c r="D2049" s="15">
        <v>41829.559490740743</v>
      </c>
      <c r="E2049" s="16" t="s">
        <v>16</v>
      </c>
      <c r="F2049" s="16" t="s">
        <v>16</v>
      </c>
      <c r="G2049" s="17" t="s">
        <v>979</v>
      </c>
      <c r="H2049" s="17" t="s">
        <v>871</v>
      </c>
      <c r="I2049" s="13" t="s">
        <v>6452</v>
      </c>
      <c r="J2049" s="23" t="str">
        <f>HYPERLINK("CorLog\RTO\Projects\20140709 RTO Projects MiTek Checklist (RDC-to-RDC).msg", "MiTek Checklist")</f>
        <v>MiTek Checklist</v>
      </c>
      <c r="K2049" s="25" t="s">
        <v>1211</v>
      </c>
      <c r="L2049" s="19"/>
      <c r="M2049" s="20"/>
      <c r="N2049" s="21" t="s">
        <v>6453</v>
      </c>
    </row>
    <row r="2050" spans="1:14">
      <c r="A2050" s="12" t="s">
        <v>4950</v>
      </c>
      <c r="B2050" s="13" t="s">
        <v>750</v>
      </c>
      <c r="C2050" s="14" t="s">
        <v>4927</v>
      </c>
      <c r="D2050" s="15">
        <v>41829.527106481481</v>
      </c>
      <c r="E2050" s="16" t="s">
        <v>18</v>
      </c>
      <c r="F2050" s="16" t="s">
        <v>16</v>
      </c>
      <c r="G2050" s="17" t="s">
        <v>885</v>
      </c>
      <c r="H2050" s="17" t="s">
        <v>851</v>
      </c>
      <c r="I2050" s="13" t="s">
        <v>6454</v>
      </c>
      <c r="J2050" s="23" t="str">
        <f>HYPERLINK("CorLog\ZMB\Kabompo RTO\20140709 ZMB Kabompo RTO Residence Footing DCP Results (ZMB-to-RDC).msg", "Residence Footing DCP Results")</f>
        <v>Residence Footing DCP Results</v>
      </c>
      <c r="K2050" s="25" t="s">
        <v>1211</v>
      </c>
      <c r="L2050" s="19"/>
      <c r="M2050" s="20"/>
      <c r="N2050" s="21" t="s">
        <v>6455</v>
      </c>
    </row>
    <row r="2051" spans="1:14">
      <c r="A2051" s="12" t="s">
        <v>874</v>
      </c>
      <c r="B2051" s="13"/>
      <c r="C2051" s="14"/>
      <c r="D2051" s="15">
        <v>41829</v>
      </c>
      <c r="E2051" s="16" t="s">
        <v>25</v>
      </c>
      <c r="F2051" s="16" t="s">
        <v>30</v>
      </c>
      <c r="G2051" s="17" t="s">
        <v>30</v>
      </c>
      <c r="H2051" s="17" t="s">
        <v>1714</v>
      </c>
      <c r="I2051" s="13" t="s">
        <v>6456</v>
      </c>
      <c r="J2051" s="23" t="str">
        <f>HYPERLINK("CorLog\ALL\20140709 ALL Annual Budget for Kingdom Hall and Assembly Hall Construction (WHQ-to-ALL).doc", "Annual Budget for Kingdom Hall and Assembly Hall Construction")</f>
        <v>Annual Budget for Kingdom Hall and Assembly Hall Construction</v>
      </c>
      <c r="K2051" s="25"/>
      <c r="L2051" s="19" t="s">
        <v>6457</v>
      </c>
      <c r="M2051" s="20"/>
      <c r="N2051" s="21" t="s">
        <v>6458</v>
      </c>
    </row>
    <row r="2052" spans="1:14">
      <c r="A2052" s="12" t="s">
        <v>750</v>
      </c>
      <c r="B2052" s="13" t="s">
        <v>1529</v>
      </c>
      <c r="C2052" s="14" t="s">
        <v>3697</v>
      </c>
      <c r="D2052" s="15">
        <v>41828.650324074071</v>
      </c>
      <c r="E2052" s="16" t="s">
        <v>16</v>
      </c>
      <c r="F2052" s="16" t="s">
        <v>18</v>
      </c>
      <c r="G2052" s="17" t="s">
        <v>946</v>
      </c>
      <c r="H2052" s="17" t="s">
        <v>4815</v>
      </c>
      <c r="I2052" s="13" t="s">
        <v>6459</v>
      </c>
      <c r="J2052" s="23" t="str">
        <f>HYPERLINK("CorLog\ZMB\Mongu RTO\20140708 ZMB Mongu RTO 800mm wide Ftg 6 x Y10 (T+B) (RDC-to-ZMB).msg", "800mm wide Ftg 6 x Y10 (T+B)")</f>
        <v>800mm wide Ftg 6 x Y10 (T+B)</v>
      </c>
      <c r="K2052" s="25" t="s">
        <v>1243</v>
      </c>
      <c r="L2052" s="19"/>
      <c r="M2052" s="20"/>
      <c r="N2052" s="21" t="s">
        <v>6460</v>
      </c>
    </row>
    <row r="2053" spans="1:14">
      <c r="A2053" s="12" t="s">
        <v>750</v>
      </c>
      <c r="B2053" s="13" t="s">
        <v>718</v>
      </c>
      <c r="C2053" s="14"/>
      <c r="D2053" s="15">
        <v>41828.401099537034</v>
      </c>
      <c r="E2053" s="16" t="s">
        <v>16</v>
      </c>
      <c r="F2053" s="16" t="s">
        <v>16</v>
      </c>
      <c r="G2053" s="17" t="s">
        <v>1169</v>
      </c>
      <c r="H2053" s="17" t="s">
        <v>1819</v>
      </c>
      <c r="I2053" s="13" t="s">
        <v>6461</v>
      </c>
      <c r="J2053" s="23" t="str">
        <f>HYPERLINK("CorLog\COD\Kikwit RTO\20140708 COD Kikwit RTO COD Lubumbashi IN-HOUSE and Kikwit OUTSOURCE Civil to WSP (RDC-to-RDC).msg", "COD Lubumbashi IN-HOUSE and Kikwit OUTSOURCE Civil to WSP")</f>
        <v>COD Lubumbashi IN-HOUSE and Kikwit OUTSOURCE Civil to WSP</v>
      </c>
      <c r="K2053" s="25" t="s">
        <v>1211</v>
      </c>
      <c r="L2053" s="19"/>
      <c r="M2053" s="20"/>
      <c r="N2053" s="21" t="s">
        <v>6462</v>
      </c>
    </row>
    <row r="2054" spans="1:14">
      <c r="A2054" s="12" t="s">
        <v>6463</v>
      </c>
      <c r="B2054" s="13" t="s">
        <v>718</v>
      </c>
      <c r="C2054" s="14"/>
      <c r="D2054" s="15">
        <v>41827.996354166666</v>
      </c>
      <c r="E2054" s="16" t="s">
        <v>43</v>
      </c>
      <c r="F2054" s="16" t="s">
        <v>16</v>
      </c>
      <c r="G2054" s="17" t="s">
        <v>4854</v>
      </c>
      <c r="H2054" s="17" t="s">
        <v>2136</v>
      </c>
      <c r="I2054" s="13" t="s">
        <v>6464</v>
      </c>
      <c r="J2054" s="23" t="str">
        <f>HYPERLINK("CorLog\LKA\BEX\20140707 LKA BEX Phase D Mech as-built drawings, bldgs 35 &amp; 40 missing (AUS-to-RDC).msg", "Phase D Mech as-built drawings, bldgs 35 &amp; 40 missing")</f>
        <v>Phase D Mech as-built drawings, bldgs 35 &amp; 40 missing</v>
      </c>
      <c r="K2054" s="25" t="s">
        <v>1243</v>
      </c>
      <c r="L2054" s="19" t="s">
        <v>6465</v>
      </c>
      <c r="M2054" s="20"/>
      <c r="N2054" s="21" t="s">
        <v>6466</v>
      </c>
    </row>
    <row r="2055" spans="1:14">
      <c r="A2055" s="12" t="s">
        <v>874</v>
      </c>
      <c r="B2055" s="13"/>
      <c r="C2055" s="14"/>
      <c r="D2055" s="15">
        <v>41827</v>
      </c>
      <c r="E2055" s="16" t="s">
        <v>25</v>
      </c>
      <c r="F2055" s="16" t="s">
        <v>18</v>
      </c>
      <c r="G2055" s="17" t="s">
        <v>920</v>
      </c>
      <c r="H2055" s="17" t="s">
        <v>1015</v>
      </c>
      <c r="I2055" s="13" t="s">
        <v>6467</v>
      </c>
      <c r="J2055" s="23" t="str">
        <f>HYPERLINK("CorLog\ZMB\Mbala RTO\20140707 ZMB Mbala RTO Property Options in Mbala for Mambwe-Lungu Translation Team (WHQ-to-ZMB).doc", "Property Options in Mbala for Mambwe-Lungu Translation Team")</f>
        <v>Property Options in Mbala for Mambwe-Lungu Translation Team</v>
      </c>
      <c r="K2055" s="23"/>
      <c r="L2055" s="19"/>
      <c r="M2055" s="20"/>
      <c r="N2055" s="21" t="s">
        <v>6468</v>
      </c>
    </row>
    <row r="2056" spans="1:14">
      <c r="A2056" s="12" t="s">
        <v>750</v>
      </c>
      <c r="B2056" s="13" t="s">
        <v>4950</v>
      </c>
      <c r="C2056" s="14" t="s">
        <v>718</v>
      </c>
      <c r="D2056" s="15">
        <v>41825.675324074073</v>
      </c>
      <c r="E2056" s="16" t="s">
        <v>16</v>
      </c>
      <c r="F2056" s="16" t="s">
        <v>18</v>
      </c>
      <c r="G2056" s="17" t="s">
        <v>885</v>
      </c>
      <c r="H2056" s="17" t="s">
        <v>1678</v>
      </c>
      <c r="I2056" s="13" t="s">
        <v>6469</v>
      </c>
      <c r="J2056" s="23" t="str">
        <f>HYPERLINK("CorLog\ZMB\Kabompo RTO\20140705 ZMB Kabompo RTO 28 Day Concrete 100 x 100 (MIX OK) (RDC-to-ZMB).msg", "28 Day Concrete 100 x 100 (MIX OK)")</f>
        <v>28 Day Concrete 100 x 100 (MIX OK)</v>
      </c>
      <c r="K2056" s="25" t="s">
        <v>1270</v>
      </c>
      <c r="L2056" s="19"/>
      <c r="M2056" s="20"/>
      <c r="N2056" s="21" t="s">
        <v>6470</v>
      </c>
    </row>
    <row r="2057" spans="1:14">
      <c r="A2057" s="12" t="s">
        <v>718</v>
      </c>
      <c r="B2057" s="13" t="s">
        <v>842</v>
      </c>
      <c r="C2057" s="14" t="s">
        <v>6471</v>
      </c>
      <c r="D2057" s="15">
        <v>41824.69091435185</v>
      </c>
      <c r="E2057" s="16" t="s">
        <v>16</v>
      </c>
      <c r="F2057" s="16" t="s">
        <v>21</v>
      </c>
      <c r="G2057" s="17" t="s">
        <v>758</v>
      </c>
      <c r="H2057" s="17" t="s">
        <v>803</v>
      </c>
      <c r="I2057" s="13" t="s">
        <v>6472</v>
      </c>
      <c r="J2057" s="23" t="str">
        <f>HYPERLINK("CorLog\GHA\Viepe RTO\20140704 GHA Viepe RTO For Estimating Only drawing package release (ARCH PS Cat) (RDC-to-GHA).msg", "For Estimating Only drawing package release (ARCH PS Cat)")</f>
        <v>For Estimating Only drawing package release (ARCH PS Cat)</v>
      </c>
      <c r="K2057" s="25"/>
      <c r="L2057" s="19"/>
      <c r="M2057" s="20"/>
      <c r="N2057" s="21" t="s">
        <v>6473</v>
      </c>
    </row>
    <row r="2058" spans="1:14">
      <c r="A2058" s="12" t="s">
        <v>4950</v>
      </c>
      <c r="B2058" s="13" t="s">
        <v>750</v>
      </c>
      <c r="C2058" s="14" t="s">
        <v>718</v>
      </c>
      <c r="D2058" s="15">
        <v>41824.669131944444</v>
      </c>
      <c r="E2058" s="16" t="s">
        <v>18</v>
      </c>
      <c r="F2058" s="16" t="s">
        <v>16</v>
      </c>
      <c r="G2058" s="17" t="s">
        <v>885</v>
      </c>
      <c r="H2058" s="17" t="s">
        <v>1678</v>
      </c>
      <c r="I2058" s="13" t="s">
        <v>6474</v>
      </c>
      <c r="J2058" s="23" t="str">
        <f>HYPERLINK("CorLog\ZMB\Kabompo RTO\20140704 ZMB Kabompo RTO 28 day Concrete 100 x 100 (ZMB-to-RDC).msg", "28 day Concrete 100 x 100")</f>
        <v>28 day Concrete 100 x 100</v>
      </c>
      <c r="K2058" s="25" t="s">
        <v>1369</v>
      </c>
      <c r="L2058" s="19"/>
      <c r="M2058" s="20"/>
      <c r="N2058" s="21" t="s">
        <v>6475</v>
      </c>
    </row>
    <row r="2059" spans="1:14">
      <c r="A2059" s="12" t="s">
        <v>718</v>
      </c>
      <c r="B2059" s="13" t="s">
        <v>3556</v>
      </c>
      <c r="C2059" s="14" t="s">
        <v>6476</v>
      </c>
      <c r="D2059" s="15">
        <v>41824.578472222223</v>
      </c>
      <c r="E2059" s="16" t="s">
        <v>16</v>
      </c>
      <c r="F2059" s="16" t="s">
        <v>15</v>
      </c>
      <c r="G2059" s="17" t="s">
        <v>758</v>
      </c>
      <c r="H2059" s="17" t="s">
        <v>1562</v>
      </c>
      <c r="I2059" s="13" t="s">
        <v>6477</v>
      </c>
      <c r="J2059" s="23" t="str">
        <f>HYPERLINK("CorLog\GHA\Viepe RTO\20140704 GHA Viepe RTO RFQ for CLOTAN roof sheeting, flashing, and rainwater goods (RDC-to-ZAF).msg", "RFQ for CLOTAN roof sheeting, flashing, and rainwater goods")</f>
        <v>RFQ for CLOTAN roof sheeting, flashing, and rainwater goods</v>
      </c>
      <c r="K2059" s="25" t="s">
        <v>1243</v>
      </c>
      <c r="L2059" s="19"/>
      <c r="M2059" s="20"/>
      <c r="N2059" s="21" t="s">
        <v>6478</v>
      </c>
    </row>
    <row r="2060" spans="1:14">
      <c r="A2060" s="12" t="s">
        <v>718</v>
      </c>
      <c r="B2060" s="13" t="s">
        <v>1167</v>
      </c>
      <c r="C2060" s="14" t="s">
        <v>6440</v>
      </c>
      <c r="D2060" s="15">
        <v>41824.548067129632</v>
      </c>
      <c r="E2060" s="16" t="s">
        <v>16</v>
      </c>
      <c r="F2060" s="16" t="s">
        <v>22</v>
      </c>
      <c r="G2060" s="17" t="s">
        <v>1169</v>
      </c>
      <c r="H2060" s="17" t="s">
        <v>803</v>
      </c>
      <c r="I2060" s="13" t="s">
        <v>6479</v>
      </c>
      <c r="J2060" s="23" t="str">
        <f>HYPERLINK("CorLog\COD\Kikwit RTO\20140704 COD Kikwit RTO drawings needed for building permits (ISSUED) (RDC-to-COD).msg", "drawings needed for building permits (ISSUED)")</f>
        <v>drawings needed for building permits (ISSUED)</v>
      </c>
      <c r="K2060" s="25" t="s">
        <v>1211</v>
      </c>
      <c r="L2060" s="19"/>
      <c r="M2060" s="20"/>
      <c r="N2060" s="21" t="s">
        <v>6480</v>
      </c>
    </row>
    <row r="2061" spans="1:14">
      <c r="A2061" s="12" t="s">
        <v>718</v>
      </c>
      <c r="B2061" s="13" t="s">
        <v>842</v>
      </c>
      <c r="C2061" s="14"/>
      <c r="D2061" s="15">
        <v>41824.397222222222</v>
      </c>
      <c r="E2061" s="16" t="s">
        <v>16</v>
      </c>
      <c r="F2061" s="16" t="s">
        <v>21</v>
      </c>
      <c r="G2061" s="17" t="s">
        <v>979</v>
      </c>
      <c r="H2061" s="17" t="s">
        <v>3208</v>
      </c>
      <c r="I2061" s="13" t="s">
        <v>6481</v>
      </c>
      <c r="J2061" s="23" t="str">
        <f>HYPERLINK("CorLog\RTO\Projects\20140704 RTO Projects RFQ RTO Kitchen Equipment - ZAF140110 - RFQ52214 - Electrolux cooking tops and accessories - ID1185 (RDC-to-GHA).msg", "RFQ RTO Kitchen Equipment - ZAF140110 - RFQ52214 - Electrolux cooking tops and accessories - ID1185")</f>
        <v>RFQ RTO Kitchen Equipment - ZAF140110 - RFQ52214 - Electrolux cooking tops and accessories - ID1185</v>
      </c>
      <c r="K2061" s="25" t="s">
        <v>2761</v>
      </c>
      <c r="L2061" s="19"/>
      <c r="M2061" s="20"/>
      <c r="N2061" s="21" t="s">
        <v>6482</v>
      </c>
    </row>
    <row r="2062" spans="1:14">
      <c r="A2062" s="12" t="s">
        <v>718</v>
      </c>
      <c r="B2062" s="13" t="s">
        <v>1026</v>
      </c>
      <c r="C2062" s="14" t="s">
        <v>5072</v>
      </c>
      <c r="D2062" s="15">
        <v>41823.667384259257</v>
      </c>
      <c r="E2062" s="16" t="s">
        <v>16</v>
      </c>
      <c r="F2062" s="16" t="s">
        <v>18</v>
      </c>
      <c r="G2062" s="17" t="s">
        <v>838</v>
      </c>
      <c r="H2062" s="17" t="s">
        <v>3538</v>
      </c>
      <c r="I2062" s="13" t="s">
        <v>6483</v>
      </c>
      <c r="J2062" s="23" t="str">
        <f>HYPERLINK("CorLog\ZMB\Choma RTO\20140703 ZMB Choma RTO Review of Project Description and Site Plan (RDC-to-).msg", "Review of Project Description and Site Plan")</f>
        <v>Review of Project Description and Site Plan</v>
      </c>
      <c r="K2062" s="25" t="s">
        <v>1274</v>
      </c>
      <c r="L2062" s="19"/>
      <c r="M2062" s="20"/>
      <c r="N2062" s="21" t="s">
        <v>6484</v>
      </c>
    </row>
    <row r="2063" spans="1:14">
      <c r="A2063" s="12" t="s">
        <v>4950</v>
      </c>
      <c r="B2063" s="13" t="s">
        <v>750</v>
      </c>
      <c r="C2063" s="14"/>
      <c r="D2063" s="15">
        <v>41823.657210648147</v>
      </c>
      <c r="E2063" s="16" t="s">
        <v>18</v>
      </c>
      <c r="F2063" s="16" t="s">
        <v>16</v>
      </c>
      <c r="G2063" s="17" t="s">
        <v>885</v>
      </c>
      <c r="H2063" s="17" t="s">
        <v>1040</v>
      </c>
      <c r="I2063" s="13" t="s">
        <v>6485</v>
      </c>
      <c r="J2063" s="23" t="str">
        <f>HYPERLINK("CorLog\ZMB\Kabompo RTO\20140703 ZMB Kabompo RTO Office Building length error (ZMB-to-RDC).msg", "Office Building length error")</f>
        <v>Office Building length error</v>
      </c>
      <c r="K2063" s="25" t="s">
        <v>1274</v>
      </c>
      <c r="L2063" s="19"/>
      <c r="M2063" s="20"/>
      <c r="N2063" s="21" t="s">
        <v>6486</v>
      </c>
    </row>
    <row r="2064" spans="1:14">
      <c r="A2064" s="12" t="s">
        <v>6487</v>
      </c>
      <c r="B2064" s="13" t="s">
        <v>5900</v>
      </c>
      <c r="C2064" s="14" t="s">
        <v>6488</v>
      </c>
      <c r="D2064" s="15">
        <v>41823.613252314812</v>
      </c>
      <c r="E2064" s="16" t="s">
        <v>22</v>
      </c>
      <c r="F2064" s="16" t="s">
        <v>42</v>
      </c>
      <c r="G2064" s="17" t="s">
        <v>2627</v>
      </c>
      <c r="H2064" s="17" t="s">
        <v>6489</v>
      </c>
      <c r="I2064" s="13" t="s">
        <v>6490</v>
      </c>
      <c r="J2064" s="23" t="str">
        <f>HYPERLINK("CorLog\COD\Kamina RTO\20140703 COD Kamina RTO Reinaerdt Sound Door offer -RFQ51868 - COD6606 - ID349 (COD-to-NLD).msg", "Reinaerdt Sound Door offer -RFQ51868 - COD6606 - ID349")</f>
        <v>Reinaerdt Sound Door offer -RFQ51868 - COD6606 - ID349</v>
      </c>
      <c r="K2064" s="25" t="s">
        <v>1482</v>
      </c>
      <c r="L2064" s="19"/>
      <c r="M2064" s="20"/>
      <c r="N2064" s="21" t="s">
        <v>6491</v>
      </c>
    </row>
    <row r="2065" spans="1:14">
      <c r="A2065" s="12" t="s">
        <v>718</v>
      </c>
      <c r="B2065" s="13" t="s">
        <v>750</v>
      </c>
      <c r="C2065" s="14"/>
      <c r="D2065" s="15">
        <v>41823.566412037035</v>
      </c>
      <c r="E2065" s="16" t="s">
        <v>16</v>
      </c>
      <c r="F2065" s="16" t="s">
        <v>16</v>
      </c>
      <c r="G2065" s="17" t="s">
        <v>30</v>
      </c>
      <c r="H2065" s="17" t="s">
        <v>867</v>
      </c>
      <c r="I2065" s="13" t="s">
        <v>6492</v>
      </c>
      <c r="J2065" s="23" t="str">
        <f>HYPERLINK("CorLog\ALL\20140703 ALL 2015 Budget Preparation - RDC (Symon) (RDC-to-RDC).msg", "2015 Budget Preparation - RDC (Symon)")</f>
        <v>2015 Budget Preparation - RDC (Symon)</v>
      </c>
      <c r="K2065" s="25"/>
      <c r="L2065" s="19"/>
      <c r="M2065" s="20"/>
      <c r="N2065" s="21" t="s">
        <v>6493</v>
      </c>
    </row>
    <row r="2066" spans="1:14">
      <c r="A2066" s="12" t="s">
        <v>6494</v>
      </c>
      <c r="B2066" s="13" t="s">
        <v>6332</v>
      </c>
      <c r="C2066" s="14" t="s">
        <v>6495</v>
      </c>
      <c r="D2066" s="15">
        <v>41823.55572916667</v>
      </c>
      <c r="E2066" s="16" t="s">
        <v>26</v>
      </c>
      <c r="F2066" s="16" t="s">
        <v>15</v>
      </c>
      <c r="G2066" s="17" t="s">
        <v>30</v>
      </c>
      <c r="H2066" s="17" t="s">
        <v>2006</v>
      </c>
      <c r="I2066" s="13" t="s">
        <v>6194</v>
      </c>
      <c r="J2066" s="23" t="str">
        <f>HYPERLINK("CorLog\ALL\20140703 ALL Interfacing with ZA Branch Gatehouse Access Control (-to-).msg", "Interfacing with ZA Branch Gatehouse Access Control")</f>
        <v>Interfacing with ZA Branch Gatehouse Access Control</v>
      </c>
      <c r="K2066" s="25" t="s">
        <v>1243</v>
      </c>
      <c r="L2066" s="19"/>
      <c r="M2066" s="20"/>
      <c r="N2066" s="21" t="s">
        <v>6496</v>
      </c>
    </row>
    <row r="2067" spans="1:14">
      <c r="A2067" s="12" t="s">
        <v>750</v>
      </c>
      <c r="B2067" s="13" t="s">
        <v>1529</v>
      </c>
      <c r="C2067" s="14"/>
      <c r="D2067" s="15">
        <v>41823.413842592592</v>
      </c>
      <c r="E2067" s="16" t="s">
        <v>16</v>
      </c>
      <c r="F2067" s="16" t="s">
        <v>18</v>
      </c>
      <c r="G2067" s="17" t="s">
        <v>946</v>
      </c>
      <c r="H2067" s="17" t="s">
        <v>851</v>
      </c>
      <c r="I2067" s="13" t="s">
        <v>6497</v>
      </c>
      <c r="J2067" s="23" t="str">
        <f>HYPERLINK("CorLog\ZMB\Mongu RTO\20140703 ZMB Mongu RTO Res DCP Results points 11,12 (RDC-to-ZMB).msg", "Res DCP Results points 11,12")</f>
        <v>Res DCP Results points 11,12</v>
      </c>
      <c r="K2067" s="25"/>
      <c r="L2067" s="19" t="s">
        <v>6498</v>
      </c>
      <c r="M2067" s="20"/>
      <c r="N2067" s="21" t="s">
        <v>6499</v>
      </c>
    </row>
    <row r="2068" spans="1:14">
      <c r="A2068" s="12" t="s">
        <v>1529</v>
      </c>
      <c r="B2068" s="13" t="s">
        <v>718</v>
      </c>
      <c r="C2068" s="14"/>
      <c r="D2068" s="15">
        <v>41823.392048611109</v>
      </c>
      <c r="E2068" s="16" t="s">
        <v>18</v>
      </c>
      <c r="F2068" s="16" t="s">
        <v>16</v>
      </c>
      <c r="G2068" s="17" t="s">
        <v>946</v>
      </c>
      <c r="H2068" s="17" t="s">
        <v>851</v>
      </c>
      <c r="I2068" s="13" t="s">
        <v>6497</v>
      </c>
      <c r="J2068" s="23" t="str">
        <f>HYPERLINK("CorLog\ZMB\Mongu RTO\20140703 ZMB Mongu RTO Res DCP Results points 11,12 (ZMB-to-RDC).msg", "Res DCP Results points 11,12")</f>
        <v>Res DCP Results points 11,12</v>
      </c>
      <c r="K2068" s="25" t="s">
        <v>1211</v>
      </c>
      <c r="L2068" s="19"/>
      <c r="M2068" s="20"/>
      <c r="N2068" s="21" t="s">
        <v>6500</v>
      </c>
    </row>
    <row r="2069" spans="1:14">
      <c r="A2069" s="12" t="s">
        <v>750</v>
      </c>
      <c r="B2069" s="13" t="s">
        <v>718</v>
      </c>
      <c r="C2069" s="14" t="s">
        <v>6501</v>
      </c>
      <c r="D2069" s="15">
        <v>41823.334085648145</v>
      </c>
      <c r="E2069" s="16" t="s">
        <v>16</v>
      </c>
      <c r="F2069" s="16" t="s">
        <v>16</v>
      </c>
      <c r="G2069" s="17" t="s">
        <v>1112</v>
      </c>
      <c r="H2069" s="17" t="s">
        <v>5545</v>
      </c>
      <c r="I2069" s="13" t="s">
        <v>6502</v>
      </c>
      <c r="J2069" s="23" t="str">
        <f>HYPERLINK("CorLog\ZMB\BEX\20140703 ZMB BEX Latest BLOCK crush test results June 2014 (RDC-to-RDC).msg", "Latest BLOCK crush test results June 2014")</f>
        <v>Latest BLOCK crush test results June 2014</v>
      </c>
      <c r="K2069" s="25"/>
      <c r="L2069" s="19"/>
      <c r="M2069" s="20"/>
      <c r="N2069" s="21" t="s">
        <v>6503</v>
      </c>
    </row>
    <row r="2070" spans="1:14">
      <c r="A2070" s="12" t="s">
        <v>5207</v>
      </c>
      <c r="B2070" s="13" t="s">
        <v>718</v>
      </c>
      <c r="C2070" s="14"/>
      <c r="D2070" s="15">
        <v>41822.739317129628</v>
      </c>
      <c r="E2070" s="16" t="s">
        <v>16</v>
      </c>
      <c r="F2070" s="16" t="s">
        <v>16</v>
      </c>
      <c r="G2070" s="17" t="s">
        <v>979</v>
      </c>
      <c r="H2070" s="17" t="s">
        <v>759</v>
      </c>
      <c r="I2070" s="13" t="s">
        <v>6504</v>
      </c>
      <c r="J2070" s="23" t="str">
        <f>HYPERLINK("CorLog\RTO\Projects\20140702 RTO Projects Double story RTO design (RDC-to-RDC).msg", "Double story RTO design")</f>
        <v>Double story RTO design</v>
      </c>
      <c r="K2070" s="25" t="s">
        <v>1211</v>
      </c>
      <c r="L2070" s="19"/>
      <c r="M2070" s="20"/>
      <c r="N2070" s="21" t="s">
        <v>6505</v>
      </c>
    </row>
    <row r="2071" spans="1:14">
      <c r="A2071" s="12" t="s">
        <v>718</v>
      </c>
      <c r="B2071" s="13" t="s">
        <v>4950</v>
      </c>
      <c r="C2071" s="14"/>
      <c r="D2071" s="15">
        <v>41822.698796296296</v>
      </c>
      <c r="E2071" s="16" t="s">
        <v>16</v>
      </c>
      <c r="F2071" s="16" t="s">
        <v>18</v>
      </c>
      <c r="G2071" s="17" t="s">
        <v>885</v>
      </c>
      <c r="H2071" s="17" t="s">
        <v>886</v>
      </c>
      <c r="I2071" s="13" t="s">
        <v>6506</v>
      </c>
      <c r="J2071" s="23" t="str">
        <f>HYPERLINK("CorLog\ZMB\Kabompo RTO\20140702 ZMB Kabompo RTO Elec Outlets A F F to center,top,or bottom of box (RDC-to-ZMB).msg", "Elec Outlets A F F to center,top,or bottom of box")</f>
        <v>Elec Outlets A F F to center,top,or bottom of box</v>
      </c>
      <c r="K2071" s="25"/>
      <c r="L2071" s="19"/>
      <c r="M2071" s="20"/>
      <c r="N2071" s="21" t="s">
        <v>6507</v>
      </c>
    </row>
    <row r="2072" spans="1:14">
      <c r="A2072" s="12" t="s">
        <v>750</v>
      </c>
      <c r="B2072" s="13" t="s">
        <v>1529</v>
      </c>
      <c r="C2072" s="14" t="s">
        <v>4927</v>
      </c>
      <c r="D2072" s="15">
        <v>41822.694745370369</v>
      </c>
      <c r="E2072" s="16" t="s">
        <v>16</v>
      </c>
      <c r="F2072" s="16" t="s">
        <v>18</v>
      </c>
      <c r="G2072" s="17" t="s">
        <v>946</v>
      </c>
      <c r="H2072" s="17" t="s">
        <v>851</v>
      </c>
      <c r="I2072" s="13" t="s">
        <v>6508</v>
      </c>
      <c r="J2072" s="23" t="str">
        <f>HYPERLINK("CorLog\ZMB\Mongu RTO\20140702 ZMB Mongu RTO Residence Building DCP Results (APE Method) (RDC-to-ZMB).msg", "Residence Building DCP Results (APE Method)")</f>
        <v>Residence Building DCP Results (APE Method)</v>
      </c>
      <c r="K2072" s="25"/>
      <c r="L2072" s="19"/>
      <c r="M2072" s="20"/>
      <c r="N2072" s="21" t="s">
        <v>6509</v>
      </c>
    </row>
    <row r="2073" spans="1:14">
      <c r="A2073" s="12" t="s">
        <v>827</v>
      </c>
      <c r="B2073" s="13" t="s">
        <v>718</v>
      </c>
      <c r="C2073" s="14" t="s">
        <v>842</v>
      </c>
      <c r="D2073" s="15">
        <v>41822.683645833335</v>
      </c>
      <c r="E2073" s="16" t="s">
        <v>21</v>
      </c>
      <c r="F2073" s="16" t="s">
        <v>16</v>
      </c>
      <c r="G2073" s="17" t="s">
        <v>790</v>
      </c>
      <c r="H2073" s="17" t="s">
        <v>839</v>
      </c>
      <c r="I2073" s="13" t="s">
        <v>6510</v>
      </c>
      <c r="J2073" s="23" t="str">
        <f>HYPERLINK("CorLog\GHA\BEX\20140702 GHA BEX Res 4 2 3 2 Platform Lab tests (GHA-to-RDC).msg", "Res 4 2 3 2 Platform Lab tests")</f>
        <v>Res 4 2 3 2 Platform Lab tests</v>
      </c>
      <c r="K2073" s="25" t="s">
        <v>1499</v>
      </c>
      <c r="L2073" s="19"/>
      <c r="M2073" s="20"/>
      <c r="N2073" s="21" t="s">
        <v>6511</v>
      </c>
    </row>
    <row r="2074" spans="1:14">
      <c r="A2074" s="12" t="s">
        <v>750</v>
      </c>
      <c r="B2074" s="13" t="s">
        <v>1529</v>
      </c>
      <c r="C2074" s="14" t="s">
        <v>4927</v>
      </c>
      <c r="D2074" s="15">
        <v>41821.749027777776</v>
      </c>
      <c r="E2074" s="16" t="s">
        <v>16</v>
      </c>
      <c r="F2074" s="16" t="s">
        <v>18</v>
      </c>
      <c r="G2074" s="17" t="s">
        <v>946</v>
      </c>
      <c r="H2074" s="17" t="s">
        <v>851</v>
      </c>
      <c r="I2074" s="13" t="s">
        <v>6512</v>
      </c>
      <c r="J2074" s="23" t="str">
        <f>HYPERLINK("CorLog\ZMB\Mongu RTO\20140701 ZMB Mongu RTO Residence Building DCP Results (RDC-to-ZMB).msg", "Residence Building DCP Results")</f>
        <v>Residence Building DCP Results</v>
      </c>
      <c r="K2074" s="25"/>
      <c r="L2074" s="19"/>
      <c r="M2074" s="20"/>
      <c r="N2074" s="21" t="s">
        <v>6513</v>
      </c>
    </row>
    <row r="2075" spans="1:14">
      <c r="A2075" s="12" t="s">
        <v>1529</v>
      </c>
      <c r="B2075" s="13" t="s">
        <v>718</v>
      </c>
      <c r="C2075" s="14" t="s">
        <v>4927</v>
      </c>
      <c r="D2075" s="15">
        <v>41821.689386574071</v>
      </c>
      <c r="E2075" s="16" t="s">
        <v>18</v>
      </c>
      <c r="F2075" s="16" t="s">
        <v>16</v>
      </c>
      <c r="G2075" s="17" t="s">
        <v>946</v>
      </c>
      <c r="H2075" s="17" t="s">
        <v>851</v>
      </c>
      <c r="I2075" s="13" t="s">
        <v>6512</v>
      </c>
      <c r="J2075" s="23" t="str">
        <f>HYPERLINK("CorLog\ZMB\Mongu RTO\20140701 ZMB Mongu RTO Residence Building DCP Results (ZMB-to-RDC).msg", "Residence Building DCP Results")</f>
        <v>Residence Building DCP Results</v>
      </c>
      <c r="K2075" s="25" t="s">
        <v>1211</v>
      </c>
      <c r="L2075" s="19"/>
      <c r="M2075" s="20"/>
      <c r="N2075" s="21" t="s">
        <v>6514</v>
      </c>
    </row>
    <row r="2076" spans="1:14">
      <c r="A2076" s="12" t="s">
        <v>718</v>
      </c>
      <c r="B2076" s="13" t="s">
        <v>827</v>
      </c>
      <c r="C2076" s="14"/>
      <c r="D2076" s="15">
        <v>41821.556516203702</v>
      </c>
      <c r="E2076" s="16" t="s">
        <v>16</v>
      </c>
      <c r="F2076" s="16" t="s">
        <v>21</v>
      </c>
      <c r="G2076" s="17" t="s">
        <v>790</v>
      </c>
      <c r="H2076" s="17" t="s">
        <v>3330</v>
      </c>
      <c r="I2076" s="13" t="s">
        <v>6515</v>
      </c>
      <c r="J2076" s="23" t="str">
        <f>HYPERLINK("CorLog\GHA\BEX\20140701 GHA BEX Project Ref 389 Change model to V400C2 SDMO Generator (was V375C2) (RDC-to-GHA).msg", "Project Ref 389 Change model to V400C2 SDMO Generator (was V375C2)")</f>
        <v>Project Ref 389 Change model to V400C2 SDMO Generator (was V375C2)</v>
      </c>
      <c r="K2076" s="25" t="s">
        <v>1211</v>
      </c>
      <c r="L2076" s="19"/>
      <c r="M2076" s="20"/>
      <c r="N2076" s="21" t="s">
        <v>6516</v>
      </c>
    </row>
    <row r="2077" spans="1:14">
      <c r="A2077" s="12" t="s">
        <v>718</v>
      </c>
      <c r="B2077" s="13" t="s">
        <v>972</v>
      </c>
      <c r="C2077" s="14" t="s">
        <v>6517</v>
      </c>
      <c r="D2077" s="15">
        <v>41821.395162037035</v>
      </c>
      <c r="E2077" s="16" t="s">
        <v>16</v>
      </c>
      <c r="F2077" s="16" t="s">
        <v>18</v>
      </c>
      <c r="G2077" s="17" t="s">
        <v>1112</v>
      </c>
      <c r="H2077" s="17" t="s">
        <v>6518</v>
      </c>
      <c r="I2077" s="13" t="s">
        <v>6519</v>
      </c>
      <c r="J2077" s="23" t="str">
        <f>HYPERLINK("CorLog\ZMB\BEX\20140701 ZMB BEX RDC Review of NLBRs 520-6902 Electrical items (RDC-to-ZMB).msg", "RDC Review of NLBRs 520-6902 Electrical items")</f>
        <v>RDC Review of NLBRs 520-6902 Electrical items</v>
      </c>
      <c r="K2077" s="25" t="s">
        <v>1211</v>
      </c>
      <c r="L2077" s="19" t="s">
        <v>6520</v>
      </c>
      <c r="M2077" s="20"/>
      <c r="N2077" s="21" t="s">
        <v>6521</v>
      </c>
    </row>
    <row r="2078" spans="1:14">
      <c r="A2078" s="12" t="s">
        <v>718</v>
      </c>
      <c r="B2078" s="13" t="s">
        <v>827</v>
      </c>
      <c r="C2078" s="14" t="s">
        <v>6522</v>
      </c>
      <c r="D2078" s="15">
        <v>41820.68378472222</v>
      </c>
      <c r="E2078" s="16" t="s">
        <v>16</v>
      </c>
      <c r="F2078" s="16" t="s">
        <v>21</v>
      </c>
      <c r="G2078" s="17" t="s">
        <v>790</v>
      </c>
      <c r="H2078" s="17" t="s">
        <v>854</v>
      </c>
      <c r="I2078" s="13" t="s">
        <v>6523</v>
      </c>
      <c r="J2078" s="23" t="str">
        <f>HYPERLINK("CorLog\GHA\BEX\20140630 GHA BEX Grade beam rebar query, 30-S-102 (RDC-to-GHA).msg", "Grade beam rebar query, 30-S-102")</f>
        <v>Grade beam rebar query, 30-S-102</v>
      </c>
      <c r="K2078" s="25" t="s">
        <v>1243</v>
      </c>
      <c r="L2078" s="19"/>
      <c r="M2078" s="20"/>
      <c r="N2078" s="21" t="s">
        <v>6524</v>
      </c>
    </row>
    <row r="2079" spans="1:14">
      <c r="A2079" s="12" t="s">
        <v>771</v>
      </c>
      <c r="B2079" s="13" t="s">
        <v>718</v>
      </c>
      <c r="C2079" s="14" t="s">
        <v>6525</v>
      </c>
      <c r="D2079" s="15">
        <v>41820.643333333333</v>
      </c>
      <c r="E2079" s="16" t="s">
        <v>17</v>
      </c>
      <c r="F2079" s="16" t="s">
        <v>16</v>
      </c>
      <c r="G2079" s="17" t="s">
        <v>857</v>
      </c>
      <c r="H2079" s="17" t="s">
        <v>886</v>
      </c>
      <c r="I2079" s="13" t="s">
        <v>6526</v>
      </c>
      <c r="J2079" s="23" t="str">
        <f>HYPERLINK("CorLog\GHA\Kikam RTO\20140630 GHA Kikam RTO Proposal to install permanent high-voltage electrical connection (WDC-to-RDC).msg", "Proposal to install permanent high-voltage electrical connection")</f>
        <v>Proposal to install permanent high-voltage electrical connection</v>
      </c>
      <c r="K2079" s="25"/>
      <c r="L2079" s="19" t="s">
        <v>6527</v>
      </c>
      <c r="M2079" s="20"/>
      <c r="N2079" s="21" t="s">
        <v>6528</v>
      </c>
    </row>
    <row r="2080" spans="1:14">
      <c r="A2080" s="12" t="s">
        <v>718</v>
      </c>
      <c r="B2080" s="13" t="s">
        <v>842</v>
      </c>
      <c r="C2080" s="14" t="s">
        <v>6529</v>
      </c>
      <c r="D2080" s="15">
        <v>41820.617222222223</v>
      </c>
      <c r="E2080" s="16" t="s">
        <v>16</v>
      </c>
      <c r="F2080" s="16" t="s">
        <v>21</v>
      </c>
      <c r="G2080" s="17" t="s">
        <v>857</v>
      </c>
      <c r="H2080" s="17" t="s">
        <v>886</v>
      </c>
      <c r="I2080" s="13" t="s">
        <v>6530</v>
      </c>
      <c r="J2080" s="23" t="str">
        <f>HYPERLINK("CorLog\GHA\Kikam RTO\20140630 GHA Kikam RTO Proposal to install high-voltage electrical connection (RDC-to-GHA).msg", "Proposal to install high-voltage electrical connection")</f>
        <v>Proposal to install high-voltage electrical connection</v>
      </c>
      <c r="K2080" s="25"/>
      <c r="L2080" s="19" t="s">
        <v>6531</v>
      </c>
      <c r="M2080" s="20"/>
      <c r="N2080" s="21" t="s">
        <v>6532</v>
      </c>
    </row>
    <row r="2081" spans="1:14">
      <c r="A2081" s="12" t="s">
        <v>827</v>
      </c>
      <c r="B2081" s="13" t="s">
        <v>718</v>
      </c>
      <c r="C2081" s="14" t="s">
        <v>842</v>
      </c>
      <c r="D2081" s="15">
        <v>41820.463449074072</v>
      </c>
      <c r="E2081" s="16" t="s">
        <v>21</v>
      </c>
      <c r="F2081" s="16" t="s">
        <v>16</v>
      </c>
      <c r="G2081" s="17" t="s">
        <v>790</v>
      </c>
      <c r="H2081" s="17" t="s">
        <v>6533</v>
      </c>
      <c r="I2081" s="13" t="s">
        <v>6534</v>
      </c>
      <c r="J2081" s="23" t="str">
        <f>HYPERLINK("CorLog\GHA\BEX\20140630 GHA BEX Missing SDMO generator outlets and exhaust parts (GHA-to-RDC).msg", "Missing SDMO generator outlets and exhaust parts")</f>
        <v>Missing SDMO generator outlets and exhaust parts</v>
      </c>
      <c r="K2081" s="25" t="s">
        <v>1482</v>
      </c>
      <c r="L2081" s="19"/>
      <c r="M2081" s="20"/>
      <c r="N2081" s="21" t="s">
        <v>6535</v>
      </c>
    </row>
    <row r="2082" spans="1:14">
      <c r="A2082" s="12" t="s">
        <v>4711</v>
      </c>
      <c r="B2082" s="13" t="s">
        <v>718</v>
      </c>
      <c r="C2082" s="14" t="s">
        <v>6536</v>
      </c>
      <c r="D2082" s="15">
        <v>41820.400937500002</v>
      </c>
      <c r="E2082" s="16" t="s">
        <v>26</v>
      </c>
      <c r="F2082" s="16" t="s">
        <v>16</v>
      </c>
      <c r="G2082" s="17" t="s">
        <v>1544</v>
      </c>
      <c r="H2082" s="17" t="s">
        <v>1426</v>
      </c>
      <c r="I2082" s="13" t="s">
        <v>6537</v>
      </c>
      <c r="J2082" s="23" t="str">
        <f>HYPERLINK("CorLog\SALTO\20140630 SALTO Version 2 Quotation Pricing for GHA Branch Kmz Salto Access Control (GBR-to-RDC).msg", "Version 2 Quotation Pricing for GHA Branch Kmz Salto Access Control")</f>
        <v>Version 2 Quotation Pricing for GHA Branch Kmz Salto Access Control</v>
      </c>
      <c r="K2082" s="25" t="s">
        <v>1211</v>
      </c>
      <c r="L2082" s="19"/>
      <c r="M2082" s="20"/>
      <c r="N2082" s="21" t="s">
        <v>6538</v>
      </c>
    </row>
    <row r="2083" spans="1:14">
      <c r="A2083" s="12" t="s">
        <v>718</v>
      </c>
      <c r="B2083" s="13" t="s">
        <v>827</v>
      </c>
      <c r="C2083" s="14" t="s">
        <v>6539</v>
      </c>
      <c r="D2083" s="15">
        <v>41820.389560185184</v>
      </c>
      <c r="E2083" s="16" t="s">
        <v>16</v>
      </c>
      <c r="F2083" s="16" t="s">
        <v>21</v>
      </c>
      <c r="G2083" s="17" t="s">
        <v>790</v>
      </c>
      <c r="H2083" s="17" t="s">
        <v>3780</v>
      </c>
      <c r="I2083" s="13" t="s">
        <v>6540</v>
      </c>
      <c r="J2083" s="23" t="str">
        <f>HYPERLINK("CorLog\GHA\BEX\20140630 GHA BEX Relocation of Res 4 2 water line stub up (AGREED) (RDC-to-GHA).msg", "Relocation of Res 4 2 water line stub up (AGREED)")</f>
        <v>Relocation of Res 4 2 water line stub up (AGREED)</v>
      </c>
      <c r="K2083" s="25" t="s">
        <v>1243</v>
      </c>
      <c r="L2083" s="19"/>
      <c r="M2083" s="20"/>
      <c r="N2083" s="21" t="s">
        <v>6541</v>
      </c>
    </row>
    <row r="2084" spans="1:14">
      <c r="A2084" s="12" t="s">
        <v>718</v>
      </c>
      <c r="B2084" s="13" t="s">
        <v>842</v>
      </c>
      <c r="C2084" s="14" t="s">
        <v>6542</v>
      </c>
      <c r="D2084" s="15">
        <v>41820.373263888891</v>
      </c>
      <c r="E2084" s="16" t="s">
        <v>16</v>
      </c>
      <c r="F2084" s="16" t="s">
        <v>21</v>
      </c>
      <c r="G2084" s="17" t="s">
        <v>730</v>
      </c>
      <c r="H2084" s="17" t="s">
        <v>2376</v>
      </c>
      <c r="I2084" s="13" t="s">
        <v>6543</v>
      </c>
      <c r="J2084" s="23" t="str">
        <f>HYPERLINK("CorLog\GHA\Baatsona SKE\20140630 GHA Baatsona SKE Quote for AFC Drawings - Falcon Engineering (APPROVED) (RDC-to-GHA).msg", "Quote for AFC Drawings - Falcon Engineering (APPROVED)")</f>
        <v>Quote for AFC Drawings - Falcon Engineering (APPROVED)</v>
      </c>
      <c r="K2084" s="25" t="s">
        <v>1243</v>
      </c>
      <c r="L2084" s="19"/>
      <c r="M2084" s="20"/>
      <c r="N2084" s="21" t="s">
        <v>6544</v>
      </c>
    </row>
    <row r="2085" spans="1:14">
      <c r="A2085" s="12" t="s">
        <v>750</v>
      </c>
      <c r="B2085" s="13" t="s">
        <v>2016</v>
      </c>
      <c r="C2085" s="14" t="s">
        <v>718</v>
      </c>
      <c r="D2085" s="15">
        <v>41820.341898148145</v>
      </c>
      <c r="E2085" s="16" t="s">
        <v>16</v>
      </c>
      <c r="F2085" s="16" t="s">
        <v>16</v>
      </c>
      <c r="G2085" s="17" t="s">
        <v>1169</v>
      </c>
      <c r="H2085" s="17" t="s">
        <v>1819</v>
      </c>
      <c r="I2085" s="13" t="s">
        <v>6545</v>
      </c>
      <c r="J2085" s="23" t="str">
        <f>HYPERLINK("CorLog\COD\Kikwit RTO\20140630 COD Kikwit RTO COD Lubumbashi and Kikwit Civil Quotes from WSP (RDC-to-RDC).msg", "COD Lubumbashi and Kikwit Civil Quotes from WSP")</f>
        <v>COD Lubumbashi and Kikwit Civil Quotes from WSP</v>
      </c>
      <c r="K2085" s="25" t="s">
        <v>1270</v>
      </c>
      <c r="L2085" s="19"/>
      <c r="M2085" s="20"/>
      <c r="N2085" s="21" t="s">
        <v>6546</v>
      </c>
    </row>
    <row r="2086" spans="1:14">
      <c r="A2086" s="12" t="s">
        <v>750</v>
      </c>
      <c r="B2086" s="13" t="s">
        <v>718</v>
      </c>
      <c r="C2086" s="14" t="s">
        <v>6547</v>
      </c>
      <c r="D2086" s="15">
        <v>41818.554143518515</v>
      </c>
      <c r="E2086" s="16" t="s">
        <v>16</v>
      </c>
      <c r="F2086" s="16" t="s">
        <v>16</v>
      </c>
      <c r="G2086" s="17" t="s">
        <v>730</v>
      </c>
      <c r="H2086" s="17" t="s">
        <v>5750</v>
      </c>
      <c r="I2086" s="13" t="s">
        <v>6548</v>
      </c>
      <c r="J2086" s="23" t="str">
        <f>HYPERLINK("CorLog\GHA\Baatsona SKE\20140628 GHA Baatsona SKE Quote for AFC Drawings Falcon Engineering (RDC-to-RDC).msg", "Quote for AFC Drawings Falcon Engineering")</f>
        <v>Quote for AFC Drawings Falcon Engineering</v>
      </c>
      <c r="K2086" s="25"/>
      <c r="L2086" s="19" t="s">
        <v>6549</v>
      </c>
      <c r="M2086" s="20"/>
      <c r="N2086" s="21" t="s">
        <v>6550</v>
      </c>
    </row>
    <row r="2087" spans="1:14">
      <c r="A2087" s="12" t="s">
        <v>2016</v>
      </c>
      <c r="B2087" s="13" t="s">
        <v>718</v>
      </c>
      <c r="C2087" s="14" t="s">
        <v>771</v>
      </c>
      <c r="D2087" s="15">
        <v>41817.923171296294</v>
      </c>
      <c r="E2087" s="16" t="s">
        <v>16</v>
      </c>
      <c r="F2087" s="16" t="s">
        <v>16</v>
      </c>
      <c r="G2087" s="17" t="s">
        <v>4606</v>
      </c>
      <c r="H2087" s="17" t="s">
        <v>1707</v>
      </c>
      <c r="I2087" s="13" t="s">
        <v>6551</v>
      </c>
      <c r="J2087" s="23" t="str">
        <f>HYPERLINK("CorLog\COD\BEX\20140627 COD BEX Choral Recording Facilities (RDC-to-RDC).msg", "Choral Recording Facilities")</f>
        <v>Choral Recording Facilities</v>
      </c>
      <c r="K2087" s="25" t="s">
        <v>1499</v>
      </c>
      <c r="L2087" s="19"/>
      <c r="M2087" s="20"/>
      <c r="N2087" s="21" t="s">
        <v>6552</v>
      </c>
    </row>
    <row r="2088" spans="1:14">
      <c r="A2088" s="12" t="s">
        <v>827</v>
      </c>
      <c r="B2088" s="13" t="s">
        <v>718</v>
      </c>
      <c r="C2088" s="14" t="s">
        <v>842</v>
      </c>
      <c r="D2088" s="15">
        <v>41817.740717592591</v>
      </c>
      <c r="E2088" s="16" t="s">
        <v>21</v>
      </c>
      <c r="F2088" s="16" t="s">
        <v>16</v>
      </c>
      <c r="G2088" s="17" t="s">
        <v>790</v>
      </c>
      <c r="H2088" s="17" t="s">
        <v>839</v>
      </c>
      <c r="I2088" s="13" t="s">
        <v>6510</v>
      </c>
      <c r="J2088" s="23" t="str">
        <f>HYPERLINK("CorLog\GHA\BEX\20140627 GHA BEX Res 4 2 3 2 Platform Lab tests (GHA-to-RDC).msg", "Res 4 2 3 2 Platform Lab tests")</f>
        <v>Res 4 2 3 2 Platform Lab tests</v>
      </c>
      <c r="K2088" s="25" t="s">
        <v>1499</v>
      </c>
      <c r="L2088" s="19"/>
      <c r="M2088" s="20"/>
      <c r="N2088" s="21" t="s">
        <v>6553</v>
      </c>
    </row>
    <row r="2089" spans="1:14">
      <c r="A2089" s="12" t="s">
        <v>4950</v>
      </c>
      <c r="B2089" s="13" t="s">
        <v>718</v>
      </c>
      <c r="C2089" s="14"/>
      <c r="D2089" s="15">
        <v>41817.726435185185</v>
      </c>
      <c r="E2089" s="16" t="s">
        <v>18</v>
      </c>
      <c r="F2089" s="16" t="s">
        <v>16</v>
      </c>
      <c r="G2089" s="17" t="s">
        <v>885</v>
      </c>
      <c r="H2089" s="17" t="s">
        <v>1678</v>
      </c>
      <c r="I2089" s="13" t="s">
        <v>6554</v>
      </c>
      <c r="J2089" s="23" t="str">
        <f>HYPERLINK("CorLog\ZMB\Kabompo RTO\20140627 ZMB Kabompo RTO Office Footing Concrete Mortar (ZMB-to-RDC).msg", "Office Footing Concrete Mortar")</f>
        <v>Office Footing Concrete Mortar</v>
      </c>
      <c r="K2089" s="25"/>
      <c r="L2089" s="19"/>
      <c r="M2089" s="20"/>
      <c r="N2089" s="21" t="s">
        <v>6555</v>
      </c>
    </row>
    <row r="2090" spans="1:14">
      <c r="A2090" s="12" t="s">
        <v>718</v>
      </c>
      <c r="B2090" s="13" t="s">
        <v>842</v>
      </c>
      <c r="C2090" s="14" t="s">
        <v>6556</v>
      </c>
      <c r="D2090" s="15">
        <v>41817.663252314815</v>
      </c>
      <c r="E2090" s="16" t="s">
        <v>16</v>
      </c>
      <c r="F2090" s="16" t="s">
        <v>21</v>
      </c>
      <c r="G2090" s="17" t="s">
        <v>758</v>
      </c>
      <c r="H2090" s="17" t="s">
        <v>6557</v>
      </c>
      <c r="I2090" s="13" t="s">
        <v>6558</v>
      </c>
      <c r="J2090" s="23" t="str">
        <f>HYPERLINK("CorLog\GHA\Viepe RTO\20140627 GHA Viepe RTO For Estimating Only drawing package release (RDC-to-GHA).msg", "For Estimating Only drawing package release")</f>
        <v>For Estimating Only drawing package release</v>
      </c>
      <c r="K2090" s="25"/>
      <c r="L2090" s="19"/>
      <c r="M2090" s="20"/>
      <c r="N2090" s="21" t="s">
        <v>6559</v>
      </c>
    </row>
    <row r="2091" spans="1:14">
      <c r="A2091" s="12" t="s">
        <v>1529</v>
      </c>
      <c r="B2091" s="13" t="s">
        <v>718</v>
      </c>
      <c r="C2091" s="14" t="s">
        <v>6560</v>
      </c>
      <c r="D2091" s="15">
        <v>41817.591620370367</v>
      </c>
      <c r="E2091" s="16" t="s">
        <v>18</v>
      </c>
      <c r="F2091" s="16" t="s">
        <v>16</v>
      </c>
      <c r="G2091" s="17" t="s">
        <v>946</v>
      </c>
      <c r="H2091" s="17" t="s">
        <v>851</v>
      </c>
      <c r="I2091" s="13" t="s">
        <v>6561</v>
      </c>
      <c r="J2091" s="23" t="str">
        <f>HYPERLINK("CorLog\ZMB\Mongu RTO\20140627 ZMB Mongu RTO Utility Slab DCP Test (ZMB-to-RDC).msg", "Utility Slab DCP Test")</f>
        <v>Utility Slab DCP Test</v>
      </c>
      <c r="K2091" s="25" t="s">
        <v>1211</v>
      </c>
      <c r="L2091" s="19"/>
      <c r="M2091" s="20"/>
      <c r="N2091" s="21" t="s">
        <v>6562</v>
      </c>
    </row>
    <row r="2092" spans="1:14">
      <c r="A2092" s="12" t="s">
        <v>718</v>
      </c>
      <c r="B2092" s="13" t="s">
        <v>827</v>
      </c>
      <c r="C2092" s="14" t="s">
        <v>5967</v>
      </c>
      <c r="D2092" s="15">
        <v>41817.350486111114</v>
      </c>
      <c r="E2092" s="16" t="s">
        <v>16</v>
      </c>
      <c r="F2092" s="16" t="s">
        <v>21</v>
      </c>
      <c r="G2092" s="17" t="s">
        <v>790</v>
      </c>
      <c r="H2092" s="17" t="s">
        <v>947</v>
      </c>
      <c r="I2092" s="13" t="s">
        <v>6563</v>
      </c>
      <c r="J2092" s="23" t="str">
        <f>HYPERLINK("CorLog\GHA\BEX\20140627 GHA BEX Mass Concrete protection for Utilities under foundation (RDC-to-GHA).msg", "Mass Concrete protection for Utilities under foundation")</f>
        <v>Mass Concrete protection for Utilities under foundation</v>
      </c>
      <c r="K2092" s="25" t="s">
        <v>1243</v>
      </c>
      <c r="L2092" s="19"/>
      <c r="M2092" s="20"/>
      <c r="N2092" s="21" t="s">
        <v>6564</v>
      </c>
    </row>
    <row r="2093" spans="1:14">
      <c r="A2093" s="12" t="s">
        <v>842</v>
      </c>
      <c r="B2093" s="13" t="s">
        <v>718</v>
      </c>
      <c r="C2093" s="14" t="s">
        <v>6565</v>
      </c>
      <c r="D2093" s="15">
        <v>41816.707384259258</v>
      </c>
      <c r="E2093" s="16" t="s">
        <v>21</v>
      </c>
      <c r="F2093" s="16" t="s">
        <v>16</v>
      </c>
      <c r="G2093" s="17" t="s">
        <v>857</v>
      </c>
      <c r="H2093" s="17" t="s">
        <v>5938</v>
      </c>
      <c r="I2093" s="13" t="s">
        <v>6566</v>
      </c>
      <c r="J2093" s="23" t="str">
        <f>HYPERLINK("CorLog\GHA\Kikam RTO\20140626 GHA Kikam RTO Validity of survey elevations (GHA-to-RDC).msg", "Validity of survey elevations")</f>
        <v>Validity of survey elevations</v>
      </c>
      <c r="K2093" s="25" t="s">
        <v>1243</v>
      </c>
      <c r="L2093" s="19" t="s">
        <v>6567</v>
      </c>
      <c r="M2093" s="20"/>
      <c r="N2093" s="21" t="s">
        <v>6568</v>
      </c>
    </row>
    <row r="2094" spans="1:14">
      <c r="A2094" s="12" t="s">
        <v>842</v>
      </c>
      <c r="B2094" s="13" t="s">
        <v>718</v>
      </c>
      <c r="C2094" s="14" t="s">
        <v>6529</v>
      </c>
      <c r="D2094" s="15">
        <v>41816.535810185182</v>
      </c>
      <c r="E2094" s="16" t="s">
        <v>21</v>
      </c>
      <c r="F2094" s="16" t="s">
        <v>16</v>
      </c>
      <c r="G2094" s="17" t="s">
        <v>857</v>
      </c>
      <c r="H2094" s="17" t="s">
        <v>886</v>
      </c>
      <c r="I2094" s="13" t="s">
        <v>6530</v>
      </c>
      <c r="J2094" s="23" t="str">
        <f>HYPERLINK("CorLog\GHA\KIKAM RTO\20140626 GHA KIKAM RTO Proposal to install high-voltage electrical connection (GHA-to-RDC).msg", "Proposal to install high-voltage electrical connection")</f>
        <v>Proposal to install high-voltage electrical connection</v>
      </c>
      <c r="K2094" s="25" t="s">
        <v>1270</v>
      </c>
      <c r="L2094" s="19" t="s">
        <v>5568</v>
      </c>
      <c r="M2094" s="20"/>
      <c r="N2094" s="21" t="s">
        <v>6569</v>
      </c>
    </row>
    <row r="2095" spans="1:14">
      <c r="A2095" s="12" t="s">
        <v>3556</v>
      </c>
      <c r="B2095" s="13" t="s">
        <v>4950</v>
      </c>
      <c r="C2095" s="14" t="s">
        <v>6570</v>
      </c>
      <c r="D2095" s="15">
        <v>41816.417812500003</v>
      </c>
      <c r="E2095" s="16" t="s">
        <v>15</v>
      </c>
      <c r="F2095" s="16" t="s">
        <v>18</v>
      </c>
      <c r="G2095" s="17" t="s">
        <v>885</v>
      </c>
      <c r="H2095" s="17" t="s">
        <v>1562</v>
      </c>
      <c r="I2095" s="13" t="s">
        <v>6571</v>
      </c>
      <c r="J2095" s="23" t="str">
        <f>HYPERLINK("CorLog\ZMB\Kabompo RTO\20140626 ZMB Kabompo RTO GRS Roof sheeting quote confirmation (ZAF-to-ZMB).msg", "GRS Roof sheeting quote confirmation")</f>
        <v>GRS Roof sheeting quote confirmation</v>
      </c>
      <c r="K2095" s="25" t="s">
        <v>1243</v>
      </c>
      <c r="L2095" s="19"/>
      <c r="M2095" s="20"/>
      <c r="N2095" s="21" t="s">
        <v>6572</v>
      </c>
    </row>
    <row r="2096" spans="1:14">
      <c r="A2096" s="12" t="s">
        <v>874</v>
      </c>
      <c r="B2096" s="13"/>
      <c r="C2096" s="14"/>
      <c r="D2096" s="15">
        <v>41816</v>
      </c>
      <c r="E2096" s="16" t="s">
        <v>25</v>
      </c>
      <c r="F2096" s="16" t="s">
        <v>30</v>
      </c>
      <c r="G2096" s="17" t="s">
        <v>30</v>
      </c>
      <c r="H2096" s="17" t="s">
        <v>6573</v>
      </c>
      <c r="I2096" s="13" t="s">
        <v>6574</v>
      </c>
      <c r="J2096" s="23" t="str">
        <f>HYPERLINK("CorLog\ALL\20140626 ALL Local Design Construction Department Report (DC-71) (WHQ-to-ALL).doc", "Local Design Construction Department Report (DC-71)")</f>
        <v>Local Design Construction Department Report (DC-71)</v>
      </c>
      <c r="K2096" s="25" t="str">
        <f>HYPERLINK("CorLog\ALL\20140626 ALL Local Design Construction Department Report (DC-71) (WHQ-to-ALL).zip", "Zipped")</f>
        <v>Zipped</v>
      </c>
      <c r="L2096" s="19"/>
      <c r="M2096" s="20"/>
      <c r="N2096" s="21" t="s">
        <v>6575</v>
      </c>
    </row>
    <row r="2097" spans="1:14">
      <c r="A2097" s="12" t="s">
        <v>1052</v>
      </c>
      <c r="B2097" s="13" t="s">
        <v>771</v>
      </c>
      <c r="C2097" s="14"/>
      <c r="D2097" s="15">
        <v>41815.966006944444</v>
      </c>
      <c r="E2097" s="16" t="s">
        <v>17</v>
      </c>
      <c r="F2097" s="16" t="s">
        <v>17</v>
      </c>
      <c r="G2097" s="17" t="s">
        <v>30</v>
      </c>
      <c r="H2097" s="17" t="s">
        <v>6576</v>
      </c>
      <c r="I2097" s="13" t="s">
        <v>6577</v>
      </c>
      <c r="J2097" s="23" t="str">
        <f>HYPERLINK("CorLog\ALL\20140625 ALL Single Contractor for Multiple RTO Projects (WDC-to-WDC).msg", "Single Contractor for Multiple RTO Projects")</f>
        <v>Single Contractor for Multiple RTO Projects</v>
      </c>
      <c r="K2097" s="25" t="s">
        <v>1211</v>
      </c>
      <c r="L2097" s="19" t="s">
        <v>6578</v>
      </c>
      <c r="M2097" s="20"/>
      <c r="N2097" s="21" t="s">
        <v>6579</v>
      </c>
    </row>
    <row r="2098" spans="1:14">
      <c r="A2098" s="12" t="s">
        <v>750</v>
      </c>
      <c r="B2098" s="13" t="s">
        <v>4950</v>
      </c>
      <c r="C2098" s="14" t="s">
        <v>6580</v>
      </c>
      <c r="D2098" s="15">
        <v>41815.71434027778</v>
      </c>
      <c r="E2098" s="16" t="s">
        <v>16</v>
      </c>
      <c r="F2098" s="16" t="s">
        <v>18</v>
      </c>
      <c r="G2098" s="17" t="s">
        <v>885</v>
      </c>
      <c r="H2098" s="17" t="s">
        <v>851</v>
      </c>
      <c r="I2098" s="13" t="s">
        <v>6581</v>
      </c>
      <c r="J2098" s="23" t="str">
        <f>HYPERLINK("CorLog\ZMB\Kabompo RTO\20140625 ZMB Kabompo RTO Utilities Building DCP Results (RDC-to-ZMB).msg", "Utilities Building DCP Results")</f>
        <v>Utilities Building DCP Results</v>
      </c>
      <c r="K2098" s="25" t="s">
        <v>1211</v>
      </c>
      <c r="L2098" s="19" t="s">
        <v>6582</v>
      </c>
      <c r="M2098" s="20"/>
      <c r="N2098" s="21" t="s">
        <v>6583</v>
      </c>
    </row>
    <row r="2099" spans="1:14">
      <c r="A2099" s="12" t="s">
        <v>842</v>
      </c>
      <c r="B2099" s="13" t="s">
        <v>718</v>
      </c>
      <c r="C2099" s="14"/>
      <c r="D2099" s="15">
        <v>41815.633321759262</v>
      </c>
      <c r="E2099" s="16" t="s">
        <v>21</v>
      </c>
      <c r="F2099" s="16" t="s">
        <v>16</v>
      </c>
      <c r="G2099" s="17" t="s">
        <v>3133</v>
      </c>
      <c r="H2099" s="17" t="s">
        <v>1015</v>
      </c>
      <c r="I2099" s="13" t="s">
        <v>6584</v>
      </c>
      <c r="J2099" s="23" t="str">
        <f>HYPERLINK("CorLog\GHA\Somanya RTO\20140625 GHA Somanya RTO SOMANYA is proposed location (GHA-to-RDC).msg", "SOMANYA is proposed location")</f>
        <v>SOMANYA is proposed location</v>
      </c>
      <c r="K2099" s="25" t="s">
        <v>1211</v>
      </c>
      <c r="L2099" s="19"/>
      <c r="M2099" s="20"/>
      <c r="N2099" s="21" t="s">
        <v>6585</v>
      </c>
    </row>
    <row r="2100" spans="1:14">
      <c r="A2100" s="12" t="s">
        <v>718</v>
      </c>
      <c r="B2100" s="13" t="s">
        <v>5455</v>
      </c>
      <c r="C2100" s="14" t="s">
        <v>795</v>
      </c>
      <c r="D2100" s="15">
        <v>41815.605381944442</v>
      </c>
      <c r="E2100" s="16" t="s">
        <v>16</v>
      </c>
      <c r="F2100" s="16" t="s">
        <v>18</v>
      </c>
      <c r="G2100" s="17" t="s">
        <v>885</v>
      </c>
      <c r="H2100" s="17" t="s">
        <v>1489</v>
      </c>
      <c r="I2100" s="13" t="s">
        <v>6586</v>
      </c>
      <c r="J2100" s="23" t="str">
        <f>HYPERLINK("CorLog\ZMB\Kabompo RTO\20140625 ZMB Kabompo RTO Ring Beam &amp; Conduits (No pipe insulation) (RDC-to-ZMB).msg", "Ring Beam &amp; Conduits (No pipe insulation)")</f>
        <v>Ring Beam &amp; Conduits (No pipe insulation)</v>
      </c>
      <c r="K2100" s="25" t="s">
        <v>1274</v>
      </c>
      <c r="L2100" s="19"/>
      <c r="M2100" s="20"/>
      <c r="N2100" s="21" t="s">
        <v>6587</v>
      </c>
    </row>
    <row r="2101" spans="1:14">
      <c r="A2101" s="12" t="s">
        <v>718</v>
      </c>
      <c r="B2101" s="13" t="s">
        <v>5106</v>
      </c>
      <c r="C2101" s="14"/>
      <c r="D2101" s="15">
        <v>41815.581712962965</v>
      </c>
      <c r="E2101" s="16" t="s">
        <v>16</v>
      </c>
      <c r="F2101" s="16" t="s">
        <v>16</v>
      </c>
      <c r="G2101" s="17" t="s">
        <v>857</v>
      </c>
      <c r="H2101" s="17" t="s">
        <v>961</v>
      </c>
      <c r="I2101" s="13" t="s">
        <v>6566</v>
      </c>
      <c r="J2101" s="23" t="str">
        <f>HYPERLINK("CorLog\GHA\Kikam RTO\20140625 GHA Kikam RTO Validity of survey elevations (RDC-to-).msg", "Validity of survey elevations")</f>
        <v>Validity of survey elevations</v>
      </c>
      <c r="K2101" s="25" t="s">
        <v>1243</v>
      </c>
      <c r="L2101" s="19"/>
      <c r="M2101" s="20"/>
      <c r="N2101" s="21" t="s">
        <v>6588</v>
      </c>
    </row>
    <row r="2102" spans="1:14">
      <c r="A2102" s="12" t="s">
        <v>842</v>
      </c>
      <c r="B2102" s="13" t="s">
        <v>718</v>
      </c>
      <c r="C2102" s="14"/>
      <c r="D2102" s="15">
        <v>41815.559618055559</v>
      </c>
      <c r="E2102" s="16" t="s">
        <v>21</v>
      </c>
      <c r="F2102" s="16" t="s">
        <v>16</v>
      </c>
      <c r="G2102" s="17" t="s">
        <v>857</v>
      </c>
      <c r="H2102" s="17" t="s">
        <v>961</v>
      </c>
      <c r="I2102" s="13" t="s">
        <v>6589</v>
      </c>
      <c r="J2102" s="23" t="str">
        <f>HYPERLINK("CorLog\GHA\Kikam RTO\20140625 GHA Kikam RTO Validity of survey elevations, update from site (GHA-to-RDC).msg", "Validity of survey elevations, update from site")</f>
        <v>Validity of survey elevations, update from site</v>
      </c>
      <c r="K2102" s="25" t="s">
        <v>1243</v>
      </c>
      <c r="L2102" s="19"/>
      <c r="M2102" s="20"/>
      <c r="N2102" s="21" t="s">
        <v>6590</v>
      </c>
    </row>
    <row r="2103" spans="1:14">
      <c r="A2103" s="12" t="s">
        <v>4950</v>
      </c>
      <c r="B2103" s="13" t="s">
        <v>3556</v>
      </c>
      <c r="C2103" s="14" t="s">
        <v>6570</v>
      </c>
      <c r="D2103" s="15">
        <v>41815.340960648151</v>
      </c>
      <c r="E2103" s="16" t="s">
        <v>18</v>
      </c>
      <c r="F2103" s="16" t="s">
        <v>15</v>
      </c>
      <c r="G2103" s="17" t="s">
        <v>885</v>
      </c>
      <c r="H2103" s="17" t="s">
        <v>1562</v>
      </c>
      <c r="I2103" s="13" t="s">
        <v>6591</v>
      </c>
      <c r="J2103" s="23" t="str">
        <f>HYPERLINK("CorLog\ZMB\Kabompo RTO\20140625 ZMB Kabompo RTO Original GRS roof sheeting quote (ZMB-to-ZAF).msg", "Original GRS roof sheeting quote")</f>
        <v>Original GRS roof sheeting quote</v>
      </c>
      <c r="K2103" s="25" t="s">
        <v>1270</v>
      </c>
      <c r="L2103" s="19"/>
      <c r="M2103" s="20"/>
      <c r="N2103" s="21" t="s">
        <v>6592</v>
      </c>
    </row>
    <row r="2104" spans="1:14">
      <c r="A2104" s="12" t="s">
        <v>5207</v>
      </c>
      <c r="B2104" s="13" t="s">
        <v>724</v>
      </c>
      <c r="C2104" s="14"/>
      <c r="D2104" s="15">
        <v>41815.321168981478</v>
      </c>
      <c r="E2104" s="16" t="s">
        <v>16</v>
      </c>
      <c r="F2104" s="16" t="s">
        <v>16</v>
      </c>
      <c r="G2104" s="17" t="s">
        <v>979</v>
      </c>
      <c r="H2104" s="17" t="s">
        <v>1819</v>
      </c>
      <c r="I2104" s="13" t="s">
        <v>6593</v>
      </c>
      <c r="J2104" s="23" t="str">
        <f>HYPERLINK("CorLog\RTO\Projects\20140625 RTO Projects RTO grease traps, stay with 4m concrete block version (RDC-to-RDC).msg", "RTO grease traps, stay with 4m concrete block version")</f>
        <v>RTO grease traps, stay with 4m concrete block version</v>
      </c>
      <c r="K2104" s="25" t="s">
        <v>1211</v>
      </c>
      <c r="L2104" s="19"/>
      <c r="M2104" s="20"/>
      <c r="N2104" s="21" t="s">
        <v>6594</v>
      </c>
    </row>
    <row r="2105" spans="1:14">
      <c r="A2105" s="12" t="s">
        <v>972</v>
      </c>
      <c r="B2105" s="13" t="s">
        <v>718</v>
      </c>
      <c r="C2105" s="14" t="s">
        <v>6388</v>
      </c>
      <c r="D2105" s="15">
        <v>41814.764918981484</v>
      </c>
      <c r="E2105" s="16" t="s">
        <v>18</v>
      </c>
      <c r="F2105" s="16" t="s">
        <v>16</v>
      </c>
      <c r="G2105" s="17" t="s">
        <v>1112</v>
      </c>
      <c r="H2105" s="17" t="s">
        <v>5545</v>
      </c>
      <c r="I2105" s="13" t="s">
        <v>6595</v>
      </c>
      <c r="J2105" s="23" t="str">
        <f>HYPERLINK("CorLog\ZMB\BEX\20140624 ZMB BEX latest crush test results June 2014 (ZMB-to-RDC).msg", "latest crush test results June 2014")</f>
        <v>latest crush test results June 2014</v>
      </c>
      <c r="K2105" s="25" t="s">
        <v>1211</v>
      </c>
      <c r="L2105" s="19"/>
      <c r="M2105" s="20"/>
      <c r="N2105" s="21" t="s">
        <v>6596</v>
      </c>
    </row>
    <row r="2106" spans="1:14">
      <c r="A2106" s="12" t="s">
        <v>2612</v>
      </c>
      <c r="B2106" s="13" t="s">
        <v>718</v>
      </c>
      <c r="C2106" s="14" t="s">
        <v>1757</v>
      </c>
      <c r="D2106" s="15">
        <v>41814.624571759261</v>
      </c>
      <c r="E2106" s="16" t="s">
        <v>21</v>
      </c>
      <c r="F2106" s="16" t="s">
        <v>16</v>
      </c>
      <c r="G2106" s="17" t="s">
        <v>730</v>
      </c>
      <c r="H2106" s="17" t="s">
        <v>2376</v>
      </c>
      <c r="I2106" s="13" t="s">
        <v>6548</v>
      </c>
      <c r="J2106" s="23" t="str">
        <f>HYPERLINK("CorLog\GHA\Baatsona SKE\20140624 GHA Baatsona SKE Quote for AFC Drawings Falcon Engineering (GHA-to-RDC).msg", "Quote for AFC Drawings Falcon Engineering")</f>
        <v>Quote for AFC Drawings Falcon Engineering</v>
      </c>
      <c r="K2106" s="25" t="s">
        <v>1211</v>
      </c>
      <c r="L2106" s="19"/>
      <c r="M2106" s="20"/>
      <c r="N2106" s="21" t="s">
        <v>6597</v>
      </c>
    </row>
    <row r="2107" spans="1:14">
      <c r="A2107" s="12" t="s">
        <v>718</v>
      </c>
      <c r="B2107" s="13" t="s">
        <v>972</v>
      </c>
      <c r="C2107" s="14" t="s">
        <v>6598</v>
      </c>
      <c r="D2107" s="15">
        <v>41814.481979166667</v>
      </c>
      <c r="E2107" s="16" t="s">
        <v>16</v>
      </c>
      <c r="F2107" s="16" t="s">
        <v>18</v>
      </c>
      <c r="G2107" s="17" t="s">
        <v>1065</v>
      </c>
      <c r="H2107" s="17" t="s">
        <v>829</v>
      </c>
      <c r="I2107" s="13" t="s">
        <v>6599</v>
      </c>
      <c r="J2107" s="23" t="str">
        <f>HYPERLINK("CorLog\ZMB\RTO Projects\20140624 ZMB RTO Projects RDC Review of NLBR 520-6960 Block mould (RDC-to-ZMB).msg", "RDC Review of NLBR 520-6960 Block mould")</f>
        <v>RDC Review of NLBR 520-6960 Block mould</v>
      </c>
      <c r="K2107" s="25" t="s">
        <v>1211</v>
      </c>
      <c r="L2107" s="19"/>
      <c r="M2107" s="20"/>
      <c r="N2107" s="21" t="s">
        <v>6600</v>
      </c>
    </row>
    <row r="2108" spans="1:14">
      <c r="A2108" s="12"/>
      <c r="B2108" s="13"/>
      <c r="C2108" s="14"/>
      <c r="D2108" s="15">
        <v>41814.472407407404</v>
      </c>
      <c r="E2108" s="16" t="s">
        <v>25</v>
      </c>
      <c r="F2108" s="16" t="s">
        <v>15</v>
      </c>
      <c r="G2108" s="17" t="s">
        <v>30</v>
      </c>
      <c r="H2108" s="17" t="s">
        <v>2493</v>
      </c>
      <c r="I2108" s="13" t="s">
        <v>6601</v>
      </c>
      <c r="J2108" s="23" t="str">
        <f>HYPERLINK("CorLog\ALL\20140624 ALL WHQ358502 Contracted Engineering Costs for Construction Projects (WHQ-to-ZAF).docx", "WHQ358502 Contracted Engineering Costs for Construction Projects")</f>
        <v>WHQ358502 Contracted Engineering Costs for Construction Projects</v>
      </c>
      <c r="K2108" s="25"/>
      <c r="L2108" s="19"/>
      <c r="M2108" s="20"/>
      <c r="N2108" s="21"/>
    </row>
    <row r="2109" spans="1:14">
      <c r="A2109" s="12" t="s">
        <v>718</v>
      </c>
      <c r="B2109" s="13" t="s">
        <v>2612</v>
      </c>
      <c r="C2109" s="14" t="s">
        <v>6602</v>
      </c>
      <c r="D2109" s="15">
        <v>41814.468055555553</v>
      </c>
      <c r="E2109" s="16" t="s">
        <v>16</v>
      </c>
      <c r="F2109" s="16" t="s">
        <v>21</v>
      </c>
      <c r="G2109" s="17" t="s">
        <v>790</v>
      </c>
      <c r="H2109" s="17" t="s">
        <v>829</v>
      </c>
      <c r="I2109" s="13" t="s">
        <v>6603</v>
      </c>
      <c r="J2109" s="23" t="str">
        <f>HYPERLINK("CorLog\GHA\BEX\20140624 GHA BEX RDC Review of NLBRs package -14--48522 to 48531 Mech and Elec (RDC-to-GHA).msg", "RDC Review of NLBRs package -14--48522 to 48531 Mech and Elec")</f>
        <v>RDC Review of NLBRs package -14--48522 to 48531 Mech and Elec</v>
      </c>
      <c r="K2109" s="25" t="s">
        <v>4047</v>
      </c>
      <c r="L2109" s="19"/>
      <c r="M2109" s="20"/>
      <c r="N2109" s="21" t="s">
        <v>6604</v>
      </c>
    </row>
    <row r="2110" spans="1:14">
      <c r="A2110" s="12" t="s">
        <v>972</v>
      </c>
      <c r="B2110" s="13" t="s">
        <v>718</v>
      </c>
      <c r="C2110" s="14" t="s">
        <v>724</v>
      </c>
      <c r="D2110" s="15">
        <v>41814.364629629628</v>
      </c>
      <c r="E2110" s="16" t="s">
        <v>18</v>
      </c>
      <c r="F2110" s="16" t="s">
        <v>16</v>
      </c>
      <c r="G2110" s="17" t="s">
        <v>1070</v>
      </c>
      <c r="H2110" s="17" t="s">
        <v>4536</v>
      </c>
      <c r="I2110" s="13" t="s">
        <v>6605</v>
      </c>
      <c r="J2110" s="23" t="str">
        <f>HYPERLINK("CorLog\ZMB\Katete RTO\20140624 ZMB Katete RTO quote for contract for fence project (ZMB-to-RDC).msg", "quote for contract for fence project")</f>
        <v>quote for contract for fence project</v>
      </c>
      <c r="K2110" s="25" t="s">
        <v>1211</v>
      </c>
      <c r="L2110" s="19"/>
      <c r="M2110" s="20"/>
      <c r="N2110" s="21" t="s">
        <v>6606</v>
      </c>
    </row>
    <row r="2111" spans="1:14">
      <c r="A2111" s="12" t="s">
        <v>6607</v>
      </c>
      <c r="B2111" s="13" t="s">
        <v>1181</v>
      </c>
      <c r="C2111" s="14"/>
      <c r="D2111" s="15">
        <v>41814.327893518515</v>
      </c>
      <c r="E2111" s="16" t="s">
        <v>15</v>
      </c>
      <c r="F2111" s="16" t="s">
        <v>16</v>
      </c>
      <c r="G2111" s="17" t="s">
        <v>946</v>
      </c>
      <c r="H2111" s="17" t="s">
        <v>3303</v>
      </c>
      <c r="I2111" s="13" t="s">
        <v>6608</v>
      </c>
      <c r="J2111" s="23" t="str">
        <f>HYPERLINK("CorLog\ZMB\Mongu RTO\20140624 ZMB Mongu RTO Quote and drawings for Mitek roof structure (B1278013) (-to-RDC).msg", "Quote and drawings for Mitek roof structure (B1278013)")</f>
        <v>Quote and drawings for Mitek roof structure (B1278013)</v>
      </c>
      <c r="K2111" s="25" t="s">
        <v>1499</v>
      </c>
      <c r="L2111" s="19"/>
      <c r="M2111" s="20"/>
      <c r="N2111" s="21" t="s">
        <v>6609</v>
      </c>
    </row>
    <row r="2112" spans="1:14">
      <c r="A2112" s="12" t="s">
        <v>1233</v>
      </c>
      <c r="B2112" s="13"/>
      <c r="C2112" s="14"/>
      <c r="D2112" s="15">
        <v>41814</v>
      </c>
      <c r="E2112" s="16" t="s">
        <v>17</v>
      </c>
      <c r="F2112" s="16" t="s">
        <v>15</v>
      </c>
      <c r="G2112" s="17" t="s">
        <v>30</v>
      </c>
      <c r="H2112" s="17" t="s">
        <v>2022</v>
      </c>
      <c r="I2112" s="13" t="s">
        <v>6610</v>
      </c>
      <c r="J2112" s="23" t="str">
        <f>HYPERLINK("CorLog\ALL\20140624 ALL Budget Items to include Shipping Costs (WDC-to-ZAF).doc", "Budget Items to include Shipping Costs")</f>
        <v>Budget Items to include Shipping Costs</v>
      </c>
      <c r="K2112" s="25"/>
      <c r="L2112" s="19" t="s">
        <v>6611</v>
      </c>
      <c r="M2112" s="20"/>
      <c r="N2112" s="21" t="s">
        <v>6612</v>
      </c>
    </row>
    <row r="2113" spans="1:14">
      <c r="A2113" s="12" t="s">
        <v>1176</v>
      </c>
      <c r="B2113" s="13" t="s">
        <v>1035</v>
      </c>
      <c r="C2113" s="14" t="s">
        <v>718</v>
      </c>
      <c r="D2113" s="15">
        <v>41813.62940972222</v>
      </c>
      <c r="E2113" s="16" t="s">
        <v>16</v>
      </c>
      <c r="F2113" s="16" t="s">
        <v>18</v>
      </c>
      <c r="G2113" s="17" t="s">
        <v>790</v>
      </c>
      <c r="H2113" s="17" t="s">
        <v>5746</v>
      </c>
      <c r="I2113" s="13" t="s">
        <v>6613</v>
      </c>
      <c r="J2113" s="23" t="str">
        <f>HYPERLINK("CorLog\GHA\BEX\20140623 GHA BEX AC replacement program zy547 (RDC-to-).msg", "AC replacement program zy547")</f>
        <v>AC replacement program zy547</v>
      </c>
      <c r="K2113" s="25"/>
      <c r="L2113" s="19"/>
      <c r="M2113" s="20"/>
      <c r="N2113" s="21" t="s">
        <v>6614</v>
      </c>
    </row>
    <row r="2114" spans="1:14">
      <c r="A2114" s="12" t="s">
        <v>718</v>
      </c>
      <c r="B2114" s="13" t="s">
        <v>6165</v>
      </c>
      <c r="C2114" s="14" t="s">
        <v>6615</v>
      </c>
      <c r="D2114" s="15">
        <v>41813.594525462962</v>
      </c>
      <c r="E2114" s="16" t="s">
        <v>16</v>
      </c>
      <c r="F2114" s="16" t="s">
        <v>15</v>
      </c>
      <c r="G2114" s="17" t="s">
        <v>790</v>
      </c>
      <c r="H2114" s="17" t="s">
        <v>1040</v>
      </c>
      <c r="I2114" s="13" t="s">
        <v>6616</v>
      </c>
      <c r="J2114" s="23" t="str">
        <f>HYPERLINK("CorLog\GHA\BEX\20140623 GHA BEX Shop Detail Drawings (Ghana Water Treatment Plant) (RDC Review) (RDC-to-).msg", "Shop Detail Drawings (Ghana Water Treatment Plant) (RDC Review)")</f>
        <v>Shop Detail Drawings (Ghana Water Treatment Plant) (RDC Review)</v>
      </c>
      <c r="K2114" s="25" t="s">
        <v>1243</v>
      </c>
      <c r="L2114" s="19"/>
      <c r="M2114" s="20"/>
      <c r="N2114" s="21" t="s">
        <v>6617</v>
      </c>
    </row>
    <row r="2115" spans="1:14">
      <c r="A2115" s="12" t="s">
        <v>718</v>
      </c>
      <c r="B2115" s="13" t="s">
        <v>972</v>
      </c>
      <c r="C2115" s="14" t="s">
        <v>6618</v>
      </c>
      <c r="D2115" s="15">
        <v>41813.559907407405</v>
      </c>
      <c r="E2115" s="16" t="s">
        <v>16</v>
      </c>
      <c r="F2115" s="16" t="s">
        <v>18</v>
      </c>
      <c r="G2115" s="17" t="s">
        <v>946</v>
      </c>
      <c r="H2115" s="17" t="s">
        <v>829</v>
      </c>
      <c r="I2115" s="13" t="s">
        <v>6619</v>
      </c>
      <c r="J2115" s="23" t="str">
        <f>HYPERLINK("CorLog\ZMB\Mongu RTO\20140623 ZMB Mongu RTO RDC Review of NLBR 6940--cube moulds (RDC-to-ZMB).msg", "RDC Review of NLBR 6940--cube moulds")</f>
        <v>RDC Review of NLBR 6940--cube moulds</v>
      </c>
      <c r="K2115" s="25" t="s">
        <v>1211</v>
      </c>
      <c r="L2115" s="19"/>
      <c r="M2115" s="20"/>
      <c r="N2115" s="21" t="s">
        <v>6620</v>
      </c>
    </row>
    <row r="2116" spans="1:14">
      <c r="A2116" s="12" t="s">
        <v>964</v>
      </c>
      <c r="B2116" s="13" t="s">
        <v>718</v>
      </c>
      <c r="C2116" s="14" t="s">
        <v>1418</v>
      </c>
      <c r="D2116" s="15">
        <v>41813.548622685186</v>
      </c>
      <c r="E2116" s="16" t="s">
        <v>16</v>
      </c>
      <c r="F2116" s="16" t="s">
        <v>16</v>
      </c>
      <c r="G2116" s="17" t="s">
        <v>758</v>
      </c>
      <c r="H2116" s="17" t="s">
        <v>3330</v>
      </c>
      <c r="I2116" s="13" t="s">
        <v>6621</v>
      </c>
      <c r="J2116" s="23" t="str">
        <f>HYPERLINK("CorLog\GHA\Viepe RTO\20140623 GHA Viepe RTO Power Log data, one generator okay (RDC-to-RDC).msg", "Power Log data, one generator okay")</f>
        <v>Power Log data, one generator okay</v>
      </c>
      <c r="K2116" s="25"/>
      <c r="L2116" s="19"/>
      <c r="M2116" s="20"/>
      <c r="N2116" s="21" t="s">
        <v>6622</v>
      </c>
    </row>
    <row r="2117" spans="1:14">
      <c r="A2117" s="12" t="s">
        <v>794</v>
      </c>
      <c r="B2117" s="13" t="s">
        <v>6623</v>
      </c>
      <c r="C2117" s="14"/>
      <c r="D2117" s="15">
        <v>41813.466319444444</v>
      </c>
      <c r="E2117" s="16" t="s">
        <v>15</v>
      </c>
      <c r="F2117" s="16" t="s">
        <v>14</v>
      </c>
      <c r="G2117" s="17" t="s">
        <v>6141</v>
      </c>
      <c r="H2117" s="17" t="s">
        <v>1489</v>
      </c>
      <c r="I2117" s="13" t="s">
        <v>6624</v>
      </c>
      <c r="J2117" s="23" t="str">
        <f>HYPERLINK("CorLog\MDG\BEX\20140623 MDG BEX bearing failure on Booster pump LOWARA (ZAF-to-MDG).msg", "bearing failure on Booster pump LOWARA")</f>
        <v>bearing failure on Booster pump LOWARA</v>
      </c>
      <c r="K2117" s="25" t="s">
        <v>1270</v>
      </c>
      <c r="L2117" s="19" t="s">
        <v>6625</v>
      </c>
      <c r="M2117" s="20"/>
      <c r="N2117" s="21" t="s">
        <v>6626</v>
      </c>
    </row>
    <row r="2118" spans="1:14">
      <c r="A2118" s="12" t="s">
        <v>718</v>
      </c>
      <c r="B2118" s="13" t="s">
        <v>5413</v>
      </c>
      <c r="C2118" s="14" t="s">
        <v>6627</v>
      </c>
      <c r="D2118" s="15">
        <v>41813.426805555559</v>
      </c>
      <c r="E2118" s="16" t="s">
        <v>16</v>
      </c>
      <c r="F2118" s="16" t="s">
        <v>21</v>
      </c>
      <c r="G2118" s="17" t="s">
        <v>790</v>
      </c>
      <c r="H2118" s="17" t="s">
        <v>829</v>
      </c>
      <c r="I2118" s="13" t="s">
        <v>6628</v>
      </c>
      <c r="J2118" s="23" t="str">
        <f>HYPERLINK("CorLog\GHA\BEX\20140623 GHA BEX RDC review of NLBR Package -13 (48439, 48450) (RDC-to-GHA).msg", "RDC review of NLBR Package -13 (48439, 48450)")</f>
        <v>RDC review of NLBR Package -13 (48439, 48450)</v>
      </c>
      <c r="K2118" s="25" t="s">
        <v>1270</v>
      </c>
      <c r="L2118" s="19"/>
      <c r="M2118" s="20"/>
      <c r="N2118" s="21" t="s">
        <v>6629</v>
      </c>
    </row>
    <row r="2119" spans="1:14">
      <c r="A2119" s="12" t="s">
        <v>718</v>
      </c>
      <c r="B2119" s="13" t="s">
        <v>964</v>
      </c>
      <c r="C2119" s="14"/>
      <c r="D2119" s="15">
        <v>41813.413587962961</v>
      </c>
      <c r="E2119" s="16" t="s">
        <v>16</v>
      </c>
      <c r="F2119" s="16" t="s">
        <v>16</v>
      </c>
      <c r="G2119" s="17" t="s">
        <v>758</v>
      </c>
      <c r="H2119" s="17" t="s">
        <v>886</v>
      </c>
      <c r="I2119" s="13" t="s">
        <v>6630</v>
      </c>
      <c r="J2119" s="23" t="str">
        <f>HYPERLINK("CorLog\GHA\Viepe RTO\20140623 GHA Viepe RTO Power Log data (RDC-to-RDC).msg", "Power Log data")</f>
        <v>Power Log data</v>
      </c>
      <c r="K2119" s="25" t="s">
        <v>1243</v>
      </c>
      <c r="L2119" s="19"/>
      <c r="M2119" s="20"/>
      <c r="N2119" s="21" t="s">
        <v>6631</v>
      </c>
    </row>
    <row r="2120" spans="1:14">
      <c r="A2120" s="12" t="s">
        <v>1818</v>
      </c>
      <c r="B2120" s="13" t="s">
        <v>718</v>
      </c>
      <c r="C2120" s="14"/>
      <c r="D2120" s="15">
        <v>41813.411365740743</v>
      </c>
      <c r="E2120" s="16" t="s">
        <v>16</v>
      </c>
      <c r="F2120" s="16" t="s">
        <v>16</v>
      </c>
      <c r="G2120" s="17" t="s">
        <v>979</v>
      </c>
      <c r="H2120" s="17" t="s">
        <v>947</v>
      </c>
      <c r="I2120" s="13" t="s">
        <v>6632</v>
      </c>
      <c r="J2120" s="23" t="str">
        <f>HYPERLINK("CorLog\RTO\Projects\20140623 RTO Projects Gates, sliding vs swing (RDC-to-RDC).msg", "Gates, sliding vs swing")</f>
        <v>Gates, sliding vs swing</v>
      </c>
      <c r="K2120" s="25" t="s">
        <v>1243</v>
      </c>
      <c r="L2120" s="19"/>
      <c r="M2120" s="20"/>
      <c r="N2120" s="21" t="s">
        <v>6633</v>
      </c>
    </row>
    <row r="2121" spans="1:14">
      <c r="A2121" s="12" t="s">
        <v>1160</v>
      </c>
      <c r="B2121" s="13" t="s">
        <v>5207</v>
      </c>
      <c r="C2121" s="14" t="s">
        <v>6634</v>
      </c>
      <c r="D2121" s="15">
        <v>41813.408645833333</v>
      </c>
      <c r="E2121" s="16" t="s">
        <v>20</v>
      </c>
      <c r="F2121" s="16" t="s">
        <v>16</v>
      </c>
      <c r="G2121" s="17" t="s">
        <v>979</v>
      </c>
      <c r="H2121" s="17" t="s">
        <v>6635</v>
      </c>
      <c r="I2121" s="13" t="s">
        <v>6636</v>
      </c>
      <c r="J2121" s="23" t="str">
        <f>HYPERLINK("CorLog\RTO\Projects\20140623 RTO Projects How to install UPVC ceilings (Video) (MOZ-to-RDC).msg", "How to install UPVC ceilings (Video)")</f>
        <v>How to install UPVC ceilings (Video)</v>
      </c>
      <c r="K2121" s="25" t="s">
        <v>1243</v>
      </c>
      <c r="L2121" s="19"/>
      <c r="M2121" s="20"/>
      <c r="N2121" s="21" t="s">
        <v>6637</v>
      </c>
    </row>
    <row r="2122" spans="1:14">
      <c r="A2122" s="12" t="s">
        <v>4950</v>
      </c>
      <c r="B2122" s="13" t="s">
        <v>718</v>
      </c>
      <c r="C2122" s="14" t="s">
        <v>6638</v>
      </c>
      <c r="D2122" s="15">
        <v>41813.284097222226</v>
      </c>
      <c r="E2122" s="16" t="s">
        <v>18</v>
      </c>
      <c r="F2122" s="16" t="s">
        <v>16</v>
      </c>
      <c r="G2122" s="17" t="s">
        <v>885</v>
      </c>
      <c r="H2122" s="17" t="s">
        <v>844</v>
      </c>
      <c r="I2122" s="13" t="s">
        <v>6639</v>
      </c>
      <c r="J2122" s="23" t="str">
        <f>HYPERLINK("CorLog\ZMB\Kabompo RTO\20140623 ZMB Kabompo RTO Office Footing Concrete and Mortar Crush Tests (ZMB-to-RDC).msg", "Office Footing Concrete and Mortar Crush Tests")</f>
        <v>Office Footing Concrete and Mortar Crush Tests</v>
      </c>
      <c r="K2122" s="25" t="s">
        <v>1270</v>
      </c>
      <c r="L2122" s="19"/>
      <c r="M2122" s="20"/>
      <c r="N2122" s="21" t="s">
        <v>6640</v>
      </c>
    </row>
    <row r="2123" spans="1:14">
      <c r="A2123" s="12" t="s">
        <v>972</v>
      </c>
      <c r="B2123" s="13" t="s">
        <v>718</v>
      </c>
      <c r="C2123" s="14" t="s">
        <v>6641</v>
      </c>
      <c r="D2123" s="15">
        <v>41812.842615740738</v>
      </c>
      <c r="E2123" s="16" t="s">
        <v>18</v>
      </c>
      <c r="F2123" s="16" t="s">
        <v>16</v>
      </c>
      <c r="G2123" s="17" t="s">
        <v>838</v>
      </c>
      <c r="H2123" s="17" t="s">
        <v>961</v>
      </c>
      <c r="I2123" s="13" t="s">
        <v>6642</v>
      </c>
      <c r="J2123" s="23" t="str">
        <f>HYPERLINK("CorLog\ZMB\Choma RTO\20140622 ZMB Choma RTO Updated site survey (ZMB-to-RDC).msg", "Updated site survey")</f>
        <v>Updated site survey</v>
      </c>
      <c r="K2123" s="25" t="s">
        <v>1270</v>
      </c>
      <c r="L2123" s="19" t="s">
        <v>6643</v>
      </c>
      <c r="M2123" s="20"/>
      <c r="N2123" s="21" t="s">
        <v>6644</v>
      </c>
    </row>
    <row r="2124" spans="1:14">
      <c r="A2124" s="12" t="s">
        <v>842</v>
      </c>
      <c r="B2124" s="13" t="s">
        <v>718</v>
      </c>
      <c r="C2124" s="14"/>
      <c r="D2124" s="15">
        <v>41811.736875000002</v>
      </c>
      <c r="E2124" s="16" t="s">
        <v>21</v>
      </c>
      <c r="F2124" s="16" t="s">
        <v>16</v>
      </c>
      <c r="G2124" s="17" t="s">
        <v>758</v>
      </c>
      <c r="H2124" s="17" t="s">
        <v>886</v>
      </c>
      <c r="I2124" s="13" t="s">
        <v>6630</v>
      </c>
      <c r="J2124" s="23" t="str">
        <f>HYPERLINK("CorLog\GHA\VIEPE RTO\20140621 GHA VIEPE RTO Power Log data (GHA-to-RDC).msg", "Power Log data")</f>
        <v>Power Log data</v>
      </c>
      <c r="K2124" s="25" t="s">
        <v>1243</v>
      </c>
      <c r="L2124" s="19"/>
      <c r="M2124" s="20"/>
      <c r="N2124" s="21" t="s">
        <v>6645</v>
      </c>
    </row>
    <row r="2125" spans="1:14">
      <c r="A2125" s="12" t="s">
        <v>718</v>
      </c>
      <c r="B2125" s="13" t="s">
        <v>5455</v>
      </c>
      <c r="C2125" s="14" t="s">
        <v>6646</v>
      </c>
      <c r="D2125" s="15">
        <v>41810.609606481485</v>
      </c>
      <c r="E2125" s="16" t="s">
        <v>16</v>
      </c>
      <c r="F2125" s="16" t="s">
        <v>18</v>
      </c>
      <c r="G2125" s="17" t="s">
        <v>885</v>
      </c>
      <c r="H2125" s="17" t="s">
        <v>854</v>
      </c>
      <c r="I2125" s="13" t="s">
        <v>6647</v>
      </c>
      <c r="J2125" s="23" t="str">
        <f>HYPERLINK("CorLog\ZMB\Kabompo RTO\20140620 ZMB Kabompo RTO Ring Beam &amp; Conduits (SOLUTION) (RDC-to-ZMB).msg", "Ring Beam &amp; Conduits (SOLUTION)")</f>
        <v>Ring Beam &amp; Conduits (SOLUTION)</v>
      </c>
      <c r="K2125" s="25" t="s">
        <v>1274</v>
      </c>
      <c r="L2125" s="19"/>
      <c r="M2125" s="20"/>
      <c r="N2125" s="21" t="s">
        <v>6648</v>
      </c>
    </row>
    <row r="2126" spans="1:14">
      <c r="A2126" s="12" t="s">
        <v>718</v>
      </c>
      <c r="B2126" s="13" t="s">
        <v>1181</v>
      </c>
      <c r="C2126" s="14"/>
      <c r="D2126" s="15">
        <v>41810.607974537037</v>
      </c>
      <c r="E2126" s="16" t="s">
        <v>16</v>
      </c>
      <c r="F2126" s="16" t="s">
        <v>16</v>
      </c>
      <c r="G2126" s="17" t="s">
        <v>946</v>
      </c>
      <c r="H2126" s="17" t="s">
        <v>1565</v>
      </c>
      <c r="I2126" s="13" t="s">
        <v>6649</v>
      </c>
      <c r="J2126" s="23" t="str">
        <f>HYPERLINK("CorLog\ZMB\Mongu RTO\20140620 ZMB Mongu RTO Trusses length check (RDC-to-RDC).msg", "Trusses length check")</f>
        <v>Trusses length check</v>
      </c>
      <c r="K2126" s="25" t="s">
        <v>1211</v>
      </c>
      <c r="L2126" s="19" t="s">
        <v>6650</v>
      </c>
      <c r="M2126" s="20"/>
      <c r="N2126" s="21" t="s">
        <v>6651</v>
      </c>
    </row>
    <row r="2127" spans="1:14">
      <c r="A2127" s="12" t="s">
        <v>1181</v>
      </c>
      <c r="B2127" s="13" t="s">
        <v>728</v>
      </c>
      <c r="C2127" s="14" t="s">
        <v>718</v>
      </c>
      <c r="D2127" s="15">
        <v>41810.580243055556</v>
      </c>
      <c r="E2127" s="16" t="s">
        <v>16</v>
      </c>
      <c r="F2127" s="16" t="s">
        <v>20</v>
      </c>
      <c r="G2127" s="17" t="s">
        <v>979</v>
      </c>
      <c r="H2127" s="17" t="s">
        <v>2175</v>
      </c>
      <c r="I2127" s="13" t="s">
        <v>6652</v>
      </c>
      <c r="J2127" s="23" t="str">
        <f>HYPERLINK("CorLog\RTO\Projects\20140620 RTO Chair, plastic F02 &amp; F08, black and red (RDC-to-).msg", "Chair, plastic F02 &amp; F08, black and red")</f>
        <v>Chair, plastic F02 &amp; F08, black and red</v>
      </c>
      <c r="K2127" s="25" t="s">
        <v>1243</v>
      </c>
      <c r="L2127" s="19"/>
      <c r="M2127" s="20"/>
      <c r="N2127" s="21" t="s">
        <v>6653</v>
      </c>
    </row>
    <row r="2128" spans="1:14">
      <c r="A2128" s="12" t="s">
        <v>750</v>
      </c>
      <c r="B2128" s="13" t="s">
        <v>718</v>
      </c>
      <c r="C2128" s="14"/>
      <c r="D2128" s="15">
        <v>41810.391863425924</v>
      </c>
      <c r="E2128" s="16" t="s">
        <v>16</v>
      </c>
      <c r="F2128" s="16" t="s">
        <v>16</v>
      </c>
      <c r="G2128" s="17" t="s">
        <v>857</v>
      </c>
      <c r="H2128" s="17" t="s">
        <v>851</v>
      </c>
      <c r="I2128" s="13" t="s">
        <v>6654</v>
      </c>
      <c r="J2128" s="23" t="str">
        <f>HYPERLINK("CorLog\GHA\Kikam RTO\20140620 GHA Kikam RTO Fence DCP tests - Direction for Fence only (RDC-to-RDC).msg", "Fence DCP tests - Direction for Fence only")</f>
        <v>Fence DCP tests - Direction for Fence only</v>
      </c>
      <c r="K2128" s="25" t="s">
        <v>1243</v>
      </c>
      <c r="L2128" s="19"/>
      <c r="M2128" s="20"/>
      <c r="N2128" s="21" t="s">
        <v>6655</v>
      </c>
    </row>
    <row r="2129" spans="1:14">
      <c r="A2129" s="12" t="s">
        <v>972</v>
      </c>
      <c r="B2129" s="13" t="s">
        <v>718</v>
      </c>
      <c r="C2129" s="14" t="s">
        <v>6656</v>
      </c>
      <c r="D2129" s="15">
        <v>41809.865381944444</v>
      </c>
      <c r="E2129" s="16" t="s">
        <v>18</v>
      </c>
      <c r="F2129" s="16" t="s">
        <v>16</v>
      </c>
      <c r="G2129" s="17" t="s">
        <v>1070</v>
      </c>
      <c r="H2129" s="17" t="s">
        <v>1819</v>
      </c>
      <c r="I2129" s="13" t="s">
        <v>6657</v>
      </c>
      <c r="J2129" s="23" t="str">
        <f>HYPERLINK("CorLog\ZMB\Katete RTO\20140619 ZMB Katete RTO Confirming location of the storm water outflows under fence (ZMB-to-RDC).msg", "Confirming location of the storm water outflows under fence")</f>
        <v>Confirming location of the storm water outflows under fence</v>
      </c>
      <c r="K2129" s="25"/>
      <c r="L2129" s="19"/>
      <c r="M2129" s="20"/>
      <c r="N2129" s="21" t="s">
        <v>6658</v>
      </c>
    </row>
    <row r="2130" spans="1:14">
      <c r="A2130" s="12" t="s">
        <v>718</v>
      </c>
      <c r="B2130" s="13" t="s">
        <v>1529</v>
      </c>
      <c r="C2130" s="14" t="s">
        <v>6659</v>
      </c>
      <c r="D2130" s="15">
        <v>41809.588125000002</v>
      </c>
      <c r="E2130" s="16" t="s">
        <v>16</v>
      </c>
      <c r="F2130" s="16" t="s">
        <v>18</v>
      </c>
      <c r="G2130" s="17" t="s">
        <v>946</v>
      </c>
      <c r="H2130" s="17" t="s">
        <v>6660</v>
      </c>
      <c r="I2130" s="13" t="s">
        <v>6661</v>
      </c>
      <c r="J2130" s="23" t="str">
        <f>HYPERLINK("CorLog\ZMB\Mongu RTO\20140619 ZMB Mongu RTO Increase size of Gate pier due to sliding gate length - S-501 (RDC-to-ZMB).msg", "Increase size of Gate pier due to sliding gate length - S-501")</f>
        <v>Increase size of Gate pier due to sliding gate length - S-501</v>
      </c>
      <c r="K2130" s="25" t="s">
        <v>1499</v>
      </c>
      <c r="L2130" s="19"/>
      <c r="M2130" s="20"/>
      <c r="N2130" s="21" t="s">
        <v>6662</v>
      </c>
    </row>
    <row r="2131" spans="1:14">
      <c r="A2131" s="12" t="s">
        <v>6663</v>
      </c>
      <c r="B2131" s="13" t="s">
        <v>718</v>
      </c>
      <c r="C2131" s="14"/>
      <c r="D2131" s="15">
        <v>41809.553368055553</v>
      </c>
      <c r="E2131" s="16" t="s">
        <v>21</v>
      </c>
      <c r="F2131" s="16" t="s">
        <v>16</v>
      </c>
      <c r="G2131" s="17" t="s">
        <v>857</v>
      </c>
      <c r="H2131" s="17" t="s">
        <v>6664</v>
      </c>
      <c r="I2131" s="13" t="s">
        <v>6665</v>
      </c>
      <c r="J2131" s="23" t="str">
        <f>HYPERLINK("CorLog\GHA\Kikam RTO\20140619 GHA Kikam RTO Fence DCP tests, extra details (GHA-to-RDC).msg", "Fence DCP tests, extra details")</f>
        <v>Fence DCP tests, extra details</v>
      </c>
      <c r="K2131" s="25"/>
      <c r="L2131" s="19"/>
      <c r="M2131" s="20"/>
      <c r="N2131" s="21" t="s">
        <v>6666</v>
      </c>
    </row>
    <row r="2132" spans="1:14">
      <c r="A2132" s="12" t="s">
        <v>718</v>
      </c>
      <c r="B2132" s="13" t="s">
        <v>972</v>
      </c>
      <c r="C2132" s="14" t="s">
        <v>6667</v>
      </c>
      <c r="D2132" s="15">
        <v>41808.718692129631</v>
      </c>
      <c r="E2132" s="16" t="s">
        <v>16</v>
      </c>
      <c r="F2132" s="16" t="s">
        <v>18</v>
      </c>
      <c r="G2132" s="17" t="s">
        <v>946</v>
      </c>
      <c r="H2132" s="17" t="s">
        <v>829</v>
      </c>
      <c r="I2132" s="13" t="s">
        <v>6668</v>
      </c>
      <c r="J2132" s="23" t="str">
        <f>HYPERLINK("CorLog\ZMB\Mongu RTO\20140618 ZMB Mongu RTO RDC Review of NLBR 6886 mixer and drains (RDC-to-ZMB).msg", "RDC Review of NLBR 6886 mixer and drains")</f>
        <v>RDC Review of NLBR 6886 mixer and drains</v>
      </c>
      <c r="K2132" s="25"/>
      <c r="L2132" s="19"/>
      <c r="M2132" s="20"/>
      <c r="N2132" s="21" t="s">
        <v>6669</v>
      </c>
    </row>
    <row r="2133" spans="1:14">
      <c r="A2133" s="12" t="s">
        <v>750</v>
      </c>
      <c r="B2133" s="13" t="s">
        <v>4950</v>
      </c>
      <c r="C2133" s="14" t="s">
        <v>4673</v>
      </c>
      <c r="D2133" s="15">
        <v>41808.711481481485</v>
      </c>
      <c r="E2133" s="16" t="s">
        <v>16</v>
      </c>
      <c r="F2133" s="16" t="s">
        <v>18</v>
      </c>
      <c r="G2133" s="17" t="s">
        <v>885</v>
      </c>
      <c r="H2133" s="17" t="s">
        <v>851</v>
      </c>
      <c r="I2133" s="13" t="s">
        <v>6670</v>
      </c>
      <c r="J2133" s="23" t="str">
        <f>HYPERLINK("CorLog\ZMB\Kabompo RTO\20140618 ZMB Kabompo RTO Residence DCP Results RES BLDG June 18th (RDC-to-ZMB).msg", "Residence DCP Results RES BLDG June 18th")</f>
        <v>Residence DCP Results RES BLDG June 18th</v>
      </c>
      <c r="K2133" s="25" t="s">
        <v>1211</v>
      </c>
      <c r="L2133" s="19" t="s">
        <v>6582</v>
      </c>
      <c r="M2133" s="20"/>
      <c r="N2133" s="21" t="s">
        <v>6671</v>
      </c>
    </row>
    <row r="2134" spans="1:14">
      <c r="A2134" s="12" t="s">
        <v>718</v>
      </c>
      <c r="B2134" s="13" t="s">
        <v>2787</v>
      </c>
      <c r="C2134" s="14" t="s">
        <v>6672</v>
      </c>
      <c r="D2134" s="15">
        <v>41808.681967592594</v>
      </c>
      <c r="E2134" s="16" t="s">
        <v>16</v>
      </c>
      <c r="F2134" s="16" t="s">
        <v>14</v>
      </c>
      <c r="G2134" s="17" t="s">
        <v>30</v>
      </c>
      <c r="H2134" s="17" t="s">
        <v>6673</v>
      </c>
      <c r="I2134" s="13" t="s">
        <v>6674</v>
      </c>
      <c r="J2134" s="23" t="str">
        <f>HYPERLINK("CorLog\ALL\20140618 ALL LDC GHA MDG ZMB; Submitting quarterly CN-23 reports (RDC-to-).msg", "LDC GHA MDG ZMB; Submitting quarterly CN-23 reports")</f>
        <v>LDC GHA MDG ZMB; Submitting quarterly CN-23 reports</v>
      </c>
      <c r="K2134" s="25"/>
      <c r="L2134" s="19"/>
      <c r="M2134" s="20"/>
      <c r="N2134" s="21" t="s">
        <v>6675</v>
      </c>
    </row>
    <row r="2135" spans="1:14">
      <c r="A2135" s="12" t="s">
        <v>750</v>
      </c>
      <c r="B2135" s="13" t="s">
        <v>5207</v>
      </c>
      <c r="C2135" s="14" t="s">
        <v>6676</v>
      </c>
      <c r="D2135" s="15">
        <v>41808.681840277779</v>
      </c>
      <c r="E2135" s="16" t="s">
        <v>16</v>
      </c>
      <c r="F2135" s="16" t="s">
        <v>16</v>
      </c>
      <c r="G2135" s="17" t="s">
        <v>979</v>
      </c>
      <c r="H2135" s="17" t="s">
        <v>1678</v>
      </c>
      <c r="I2135" s="13" t="s">
        <v>6677</v>
      </c>
      <c r="J2135" s="23" t="str">
        <f>HYPERLINK("CorLog\RTO\Projects\20140618 RTO Projects RTO's Sulphate Tests to Aggregates (RDC-to-RDC).msg", "RTO's Sulphate Tests to Aggregates")</f>
        <v>RTO's Sulphate Tests to Aggregates</v>
      </c>
      <c r="K2135" s="25" t="s">
        <v>1270</v>
      </c>
      <c r="L2135" s="19"/>
      <c r="M2135" s="20"/>
      <c r="N2135" s="21" t="s">
        <v>6678</v>
      </c>
    </row>
    <row r="2136" spans="1:14">
      <c r="A2136" s="12" t="s">
        <v>724</v>
      </c>
      <c r="B2136" s="13" t="s">
        <v>718</v>
      </c>
      <c r="C2136" s="14"/>
      <c r="D2136" s="15">
        <v>41808.641365740739</v>
      </c>
      <c r="E2136" s="16" t="s">
        <v>16</v>
      </c>
      <c r="F2136" s="16" t="s">
        <v>16</v>
      </c>
      <c r="G2136" s="17" t="s">
        <v>885</v>
      </c>
      <c r="H2136" s="17" t="s">
        <v>781</v>
      </c>
      <c r="I2136" s="13" t="s">
        <v>6679</v>
      </c>
      <c r="J2136" s="23" t="str">
        <f>HYPERLINK("CorLog\ZMB\Kabompo RTO\20140618 ZMB Kabompo RTO Personnel--agree to Richies as potential CS again (RDC-to-RDC).msg", "Personnel--agree to Richies as potential CS again")</f>
        <v>Personnel--agree to Richies as potential CS again</v>
      </c>
      <c r="K2136" s="25" t="s">
        <v>1243</v>
      </c>
      <c r="L2136" s="19"/>
      <c r="M2136" s="20"/>
      <c r="N2136" s="21" t="s">
        <v>6680</v>
      </c>
    </row>
    <row r="2137" spans="1:14">
      <c r="A2137" s="12" t="s">
        <v>972</v>
      </c>
      <c r="B2137" s="13" t="s">
        <v>724</v>
      </c>
      <c r="C2137" s="14" t="s">
        <v>4927</v>
      </c>
      <c r="D2137" s="15">
        <v>41808.489351851851</v>
      </c>
      <c r="E2137" s="16" t="s">
        <v>18</v>
      </c>
      <c r="F2137" s="16" t="s">
        <v>16</v>
      </c>
      <c r="G2137" s="17" t="s">
        <v>946</v>
      </c>
      <c r="H2137" s="17" t="s">
        <v>781</v>
      </c>
      <c r="I2137" s="13" t="s">
        <v>6681</v>
      </c>
      <c r="J2137" s="23" t="str">
        <f>HYPERLINK("CorLog\ZMB\Mongu RTO\20140618 ZMB Mongu RTO Travel expenses for some local volunteers under Local Travel (ZMB-to-RDC).msg", "Travel expenses for some local volunteers under Local Travel")</f>
        <v>Travel expenses for some local volunteers under Local Travel</v>
      </c>
      <c r="K2137" s="25"/>
      <c r="L2137" s="19"/>
      <c r="M2137" s="20"/>
      <c r="N2137" s="21" t="s">
        <v>6682</v>
      </c>
    </row>
    <row r="2138" spans="1:14">
      <c r="A2138" s="12" t="s">
        <v>1552</v>
      </c>
      <c r="B2138" s="13" t="s">
        <v>718</v>
      </c>
      <c r="C2138" s="14" t="s">
        <v>6683</v>
      </c>
      <c r="D2138" s="15">
        <v>41808.448657407411</v>
      </c>
      <c r="E2138" s="16" t="s">
        <v>18</v>
      </c>
      <c r="F2138" s="16" t="s">
        <v>16</v>
      </c>
      <c r="G2138" s="17" t="s">
        <v>999</v>
      </c>
      <c r="H2138" s="17" t="s">
        <v>829</v>
      </c>
      <c r="I2138" s="13" t="s">
        <v>6684</v>
      </c>
      <c r="J2138" s="23" t="str">
        <f>HYPERLINK("CorLog\ZMB\Branch\20140618 ZMB Branch Draft NLBR for generator and invertor welder - Zambia LDC (ZMB-to-RDC).msg", "Draft NLBR for generator and invertor welder - Zambia LDC")</f>
        <v>Draft NLBR for generator and invertor welder - Zambia LDC</v>
      </c>
      <c r="K2138" s="25"/>
      <c r="L2138" s="19"/>
      <c r="M2138" s="20"/>
      <c r="N2138" s="21" t="s">
        <v>6685</v>
      </c>
    </row>
    <row r="2139" spans="1:14">
      <c r="A2139" s="12" t="s">
        <v>4711</v>
      </c>
      <c r="B2139" s="13" t="s">
        <v>718</v>
      </c>
      <c r="C2139" s="14" t="s">
        <v>6686</v>
      </c>
      <c r="D2139" s="15">
        <v>41808.400405092594</v>
      </c>
      <c r="E2139" s="16" t="s">
        <v>26</v>
      </c>
      <c r="F2139" s="16" t="s">
        <v>16</v>
      </c>
      <c r="G2139" s="17" t="s">
        <v>30</v>
      </c>
      <c r="H2139" s="17" t="s">
        <v>2006</v>
      </c>
      <c r="I2139" s="13" t="s">
        <v>6687</v>
      </c>
      <c r="J2139" s="23" t="str">
        <f>HYPERLINK("CorLog\ALL\20140618 ALL Update for Salto Panic Bar Kit (-to-RDC).msg", "Update for Salto Panic Bar Kit")</f>
        <v>Update for Salto Panic Bar Kit</v>
      </c>
      <c r="K2139" s="25"/>
      <c r="L2139" s="19"/>
      <c r="M2139" s="20"/>
      <c r="N2139" s="21" t="s">
        <v>6688</v>
      </c>
    </row>
    <row r="2140" spans="1:14">
      <c r="A2140" s="12" t="s">
        <v>5207</v>
      </c>
      <c r="B2140" s="13" t="s">
        <v>724</v>
      </c>
      <c r="C2140" s="14"/>
      <c r="D2140" s="15">
        <v>41808.399050925924</v>
      </c>
      <c r="E2140" s="16" t="s">
        <v>16</v>
      </c>
      <c r="F2140" s="16" t="s">
        <v>16</v>
      </c>
      <c r="G2140" s="17" t="s">
        <v>30</v>
      </c>
      <c r="H2140" s="17" t="s">
        <v>1000</v>
      </c>
      <c r="I2140" s="13" t="s">
        <v>6689</v>
      </c>
      <c r="J2140" s="23" t="str">
        <f>HYPERLINK("CorLog\ALL\20140618 ALL Design Build Initiative for RTOs in Southern Africa (RDC-to-RDC).msg", "Design Build Initiative for RTOs in Southern Africa")</f>
        <v>Design Build Initiative for RTOs in Southern Africa</v>
      </c>
      <c r="K2140" s="25" t="s">
        <v>1211</v>
      </c>
      <c r="L2140" s="19"/>
      <c r="M2140" s="20"/>
      <c r="N2140" s="21" t="s">
        <v>6690</v>
      </c>
    </row>
    <row r="2141" spans="1:14">
      <c r="A2141" s="12" t="s">
        <v>718</v>
      </c>
      <c r="B2141" s="13" t="s">
        <v>842</v>
      </c>
      <c r="C2141" s="14" t="s">
        <v>6691</v>
      </c>
      <c r="D2141" s="15">
        <v>41808.39199074074</v>
      </c>
      <c r="E2141" s="16" t="s">
        <v>16</v>
      </c>
      <c r="F2141" s="16" t="s">
        <v>21</v>
      </c>
      <c r="G2141" s="17" t="s">
        <v>758</v>
      </c>
      <c r="H2141" s="17" t="s">
        <v>1489</v>
      </c>
      <c r="I2141" s="13" t="s">
        <v>6692</v>
      </c>
      <c r="J2141" s="23" t="str">
        <f>HYPERLINK("CorLog\GHA\Viepe RTO\20140618 GHA Viepe RTO Shower curtains (Confirmed) (RDC-to-GHA).msg", "Shower curtains (Confirmed)")</f>
        <v>Shower curtains (Confirmed)</v>
      </c>
      <c r="K2141" s="25"/>
      <c r="L2141" s="19"/>
      <c r="M2141" s="20"/>
      <c r="N2141" s="21" t="s">
        <v>6693</v>
      </c>
    </row>
    <row r="2142" spans="1:14">
      <c r="A2142" s="12" t="s">
        <v>1095</v>
      </c>
      <c r="B2142" s="13" t="s">
        <v>718</v>
      </c>
      <c r="C2142" s="14" t="s">
        <v>750</v>
      </c>
      <c r="D2142" s="15">
        <v>41808.380057870374</v>
      </c>
      <c r="E2142" s="16" t="s">
        <v>952</v>
      </c>
      <c r="F2142" s="16" t="s">
        <v>16</v>
      </c>
      <c r="G2142" s="17" t="s">
        <v>1169</v>
      </c>
      <c r="H2142" s="17" t="s">
        <v>6694</v>
      </c>
      <c r="I2142" s="13" t="s">
        <v>6545</v>
      </c>
      <c r="J2142" s="23" t="str">
        <f>HYPERLINK("CorLog\COD\Kikwit RTO\20140618 COD Kikwit RTO COD Lubumbashi and Kikwit Civil Quotes from WSP (WSP-to-RDC).msg", "COD Lubumbashi and Kikwit Civil Quotes from WSP")</f>
        <v>COD Lubumbashi and Kikwit Civil Quotes from WSP</v>
      </c>
      <c r="K2142" s="25" t="s">
        <v>1270</v>
      </c>
      <c r="L2142" s="19" t="s">
        <v>6695</v>
      </c>
      <c r="M2142" s="20"/>
      <c r="N2142" s="21" t="s">
        <v>6696</v>
      </c>
    </row>
    <row r="2143" spans="1:14">
      <c r="A2143" s="12" t="s">
        <v>718</v>
      </c>
      <c r="B2143" s="13" t="s">
        <v>1552</v>
      </c>
      <c r="C2143" s="14" t="s">
        <v>6697</v>
      </c>
      <c r="D2143" s="15">
        <v>41808.377152777779</v>
      </c>
      <c r="E2143" s="16" t="s">
        <v>16</v>
      </c>
      <c r="F2143" s="16" t="s">
        <v>18</v>
      </c>
      <c r="G2143" s="17" t="s">
        <v>780</v>
      </c>
      <c r="H2143" s="17" t="s">
        <v>829</v>
      </c>
      <c r="I2143" s="13" t="s">
        <v>6684</v>
      </c>
      <c r="J2143" s="23" t="str">
        <f>HYPERLINK("CorLog\ZMB\LDC\20140618 ZMB LDC Draft NLBR for generator and invertor welder - Zambia LDC (RDC-to-ZMB).msg", "Draft NLBR for generator and invertor welder - Zambia LDC")</f>
        <v>Draft NLBR for generator and invertor welder - Zambia LDC</v>
      </c>
      <c r="K2143" s="25" t="s">
        <v>1211</v>
      </c>
      <c r="L2143" s="19"/>
      <c r="M2143" s="20"/>
      <c r="N2143" s="21" t="s">
        <v>6698</v>
      </c>
    </row>
    <row r="2144" spans="1:14">
      <c r="A2144" s="12" t="s">
        <v>718</v>
      </c>
      <c r="B2144" s="13" t="s">
        <v>972</v>
      </c>
      <c r="C2144" s="14" t="s">
        <v>750</v>
      </c>
      <c r="D2144" s="15">
        <v>41808.368506944447</v>
      </c>
      <c r="E2144" s="16" t="s">
        <v>16</v>
      </c>
      <c r="F2144" s="16" t="s">
        <v>18</v>
      </c>
      <c r="G2144" s="17" t="s">
        <v>838</v>
      </c>
      <c r="H2144" s="17" t="s">
        <v>839</v>
      </c>
      <c r="I2144" s="13" t="s">
        <v>6699</v>
      </c>
      <c r="J2144" s="23" t="str">
        <f>HYPERLINK("CorLog\ZMB\Choma RTO\20140618 ZMB Choma RTO how to update the Soil Assessment form (RDC-to-ZMB).msg", "how to update the Soil Assessment form")</f>
        <v>how to update the Soil Assessment form</v>
      </c>
      <c r="K2144" s="25"/>
      <c r="L2144" s="19"/>
      <c r="M2144" s="20"/>
      <c r="N2144" s="21" t="s">
        <v>6700</v>
      </c>
    </row>
    <row r="2145" spans="1:14">
      <c r="A2145" s="12" t="s">
        <v>718</v>
      </c>
      <c r="B2145" s="13" t="s">
        <v>972</v>
      </c>
      <c r="C2145" s="14" t="s">
        <v>5435</v>
      </c>
      <c r="D2145" s="15">
        <v>41808.360983796294</v>
      </c>
      <c r="E2145" s="16" t="s">
        <v>16</v>
      </c>
      <c r="F2145" s="16" t="s">
        <v>18</v>
      </c>
      <c r="G2145" s="17" t="s">
        <v>946</v>
      </c>
      <c r="H2145" s="17" t="s">
        <v>781</v>
      </c>
      <c r="I2145" s="13" t="s">
        <v>6701</v>
      </c>
      <c r="J2145" s="23" t="str">
        <f>HYPERLINK("CorLog\ZMB\Mongu RTO\20140618 ZMB Mongu RTO Travel expenses for some local volunteers, which code (RDC-to-ZMB).msg", "Travel expenses for some local volunteers, which code")</f>
        <v>Travel expenses for some local volunteers, which code</v>
      </c>
      <c r="K2145" s="25"/>
      <c r="L2145" s="19"/>
      <c r="M2145" s="20"/>
      <c r="N2145" s="21" t="s">
        <v>6702</v>
      </c>
    </row>
    <row r="2146" spans="1:14">
      <c r="A2146" s="12" t="s">
        <v>2612</v>
      </c>
      <c r="B2146" s="13" t="s">
        <v>718</v>
      </c>
      <c r="C2146" s="14" t="s">
        <v>6703</v>
      </c>
      <c r="D2146" s="15">
        <v>41807.867349537039</v>
      </c>
      <c r="E2146" s="16" t="s">
        <v>21</v>
      </c>
      <c r="F2146" s="16" t="s">
        <v>16</v>
      </c>
      <c r="G2146" s="17" t="s">
        <v>857</v>
      </c>
      <c r="H2146" s="17" t="s">
        <v>6664</v>
      </c>
      <c r="I2146" s="13" t="s">
        <v>6704</v>
      </c>
      <c r="J2146" s="23" t="str">
        <f>HYPERLINK("CorLog\GHA\Kikam RTO\20140617 GHA Kikam RTO Fence DCP tests, request for analysis (GHA-to-RDC).msg", "Fence DCP tests, request for analysis")</f>
        <v>Fence DCP tests, request for analysis</v>
      </c>
      <c r="K2146" s="25"/>
      <c r="L2146" s="19"/>
      <c r="M2146" s="20"/>
      <c r="N2146" s="21" t="s">
        <v>6705</v>
      </c>
    </row>
    <row r="2147" spans="1:14">
      <c r="A2147" s="12" t="s">
        <v>1181</v>
      </c>
      <c r="B2147" s="13" t="s">
        <v>5567</v>
      </c>
      <c r="C2147" s="14" t="s">
        <v>718</v>
      </c>
      <c r="D2147" s="15">
        <v>41807.599537037036</v>
      </c>
      <c r="E2147" s="16" t="s">
        <v>16</v>
      </c>
      <c r="F2147" s="16" t="s">
        <v>15</v>
      </c>
      <c r="G2147" s="17" t="s">
        <v>790</v>
      </c>
      <c r="H2147" s="17" t="s">
        <v>1565</v>
      </c>
      <c r="I2147" s="13" t="s">
        <v>6706</v>
      </c>
      <c r="J2147" s="23" t="str">
        <f>HYPERLINK("CorLog\GHA\BEX\20140617 GHA BEX Mitek order fabrication approval (B1278002) (RDC-to-ZAF).msg", "Mitek order fabrication approval (B1278002)")</f>
        <v>Mitek order fabrication approval (B1278002)</v>
      </c>
      <c r="K2147" s="25" t="s">
        <v>1369</v>
      </c>
      <c r="L2147" s="19"/>
      <c r="M2147" s="20"/>
      <c r="N2147" s="21" t="s">
        <v>6707</v>
      </c>
    </row>
    <row r="2148" spans="1:14">
      <c r="A2148" s="12" t="s">
        <v>718</v>
      </c>
      <c r="B2148" s="13" t="s">
        <v>5413</v>
      </c>
      <c r="C2148" s="14" t="s">
        <v>6708</v>
      </c>
      <c r="D2148" s="15">
        <v>41807.499907407408</v>
      </c>
      <c r="E2148" s="16" t="s">
        <v>16</v>
      </c>
      <c r="F2148" s="16" t="s">
        <v>21</v>
      </c>
      <c r="G2148" s="17" t="s">
        <v>790</v>
      </c>
      <c r="H2148" s="17" t="s">
        <v>947</v>
      </c>
      <c r="I2148" s="13" t="s">
        <v>6709</v>
      </c>
      <c r="J2148" s="23" t="str">
        <f>HYPERLINK("CorLog\GHA\BEX\20140617 GHA BEX Res 3 underground pipe can run under concrete apron (typ detail) (RDC-to-GHA).msg", "Res 3 underground pipe can run under concrete apron (typ detail)")</f>
        <v>Res 3 underground pipe can run under concrete apron (typ detail)</v>
      </c>
      <c r="K2148" s="25" t="s">
        <v>1243</v>
      </c>
      <c r="L2148" s="19"/>
      <c r="M2148" s="20"/>
      <c r="N2148" s="21" t="s">
        <v>6710</v>
      </c>
    </row>
    <row r="2149" spans="1:14">
      <c r="A2149" s="12" t="s">
        <v>718</v>
      </c>
      <c r="B2149" s="13" t="s">
        <v>5413</v>
      </c>
      <c r="C2149" s="14" t="s">
        <v>6711</v>
      </c>
      <c r="D2149" s="15">
        <v>41807.356388888889</v>
      </c>
      <c r="E2149" s="16" t="s">
        <v>16</v>
      </c>
      <c r="F2149" s="16" t="s">
        <v>21</v>
      </c>
      <c r="G2149" s="17" t="s">
        <v>790</v>
      </c>
      <c r="H2149" s="17" t="s">
        <v>947</v>
      </c>
      <c r="I2149" s="13" t="s">
        <v>6712</v>
      </c>
      <c r="J2149" s="23" t="str">
        <f>HYPERLINK("CorLog\GHA\BEX\20140617 GHA BEX Res 3 underground pipe can run under concrete apron (RDC-to-GHA).msg", "Res 3 underground pipe can run under concrete apron")</f>
        <v>Res 3 underground pipe can run under concrete apron</v>
      </c>
      <c r="K2149" s="25"/>
      <c r="L2149" s="19"/>
      <c r="M2149" s="20"/>
      <c r="N2149" s="21" t="s">
        <v>6713</v>
      </c>
    </row>
    <row r="2150" spans="1:14">
      <c r="A2150" s="12" t="s">
        <v>6714</v>
      </c>
      <c r="B2150" s="13" t="s">
        <v>718</v>
      </c>
      <c r="C2150" s="14" t="s">
        <v>6715</v>
      </c>
      <c r="D2150" s="15">
        <v>41807.06931712963</v>
      </c>
      <c r="E2150" s="16" t="s">
        <v>43</v>
      </c>
      <c r="F2150" s="16" t="s">
        <v>16</v>
      </c>
      <c r="G2150" s="17" t="s">
        <v>4854</v>
      </c>
      <c r="H2150" s="17" t="s">
        <v>2136</v>
      </c>
      <c r="I2150" s="13" t="s">
        <v>6464</v>
      </c>
      <c r="J2150" s="23" t="str">
        <f>HYPERLINK("CorLog\LKA\BEX\20140617 LKA BEX Phase D Mech as-built drawings, bldgs 35 &amp; 40 missing (AUS-to-RDC).msg", "Phase D Mech as-built drawings, bldgs 35 &amp; 40 missing")</f>
        <v>Phase D Mech as-built drawings, bldgs 35 &amp; 40 missing</v>
      </c>
      <c r="K2150" s="25" t="s">
        <v>1243</v>
      </c>
      <c r="L2150" s="19" t="s">
        <v>6465</v>
      </c>
      <c r="M2150" s="20"/>
      <c r="N2150" s="21" t="s">
        <v>6716</v>
      </c>
    </row>
    <row r="2151" spans="1:14">
      <c r="A2151" s="12" t="s">
        <v>750</v>
      </c>
      <c r="B2151" s="13" t="s">
        <v>718</v>
      </c>
      <c r="C2151" s="14"/>
      <c r="D2151" s="15">
        <v>41806.682824074072</v>
      </c>
      <c r="E2151" s="16" t="s">
        <v>16</v>
      </c>
      <c r="F2151" s="16" t="s">
        <v>16</v>
      </c>
      <c r="G2151" s="17" t="s">
        <v>758</v>
      </c>
      <c r="H2151" s="17" t="s">
        <v>759</v>
      </c>
      <c r="I2151" s="13" t="s">
        <v>6717</v>
      </c>
      <c r="J2151" s="23" t="str">
        <f>HYPERLINK("CorLog\GHA\Viepe RTO\20140616 GHA Viepe RTO GHA Viepe RTO Coord Comments from DG (RDC-to-RDC).msg", "GHA Viepe RTO Coord Comments from DG")</f>
        <v>GHA Viepe RTO Coord Comments from DG</v>
      </c>
      <c r="K2151" s="25" t="s">
        <v>1243</v>
      </c>
      <c r="L2151" s="19"/>
      <c r="M2151" s="20"/>
      <c r="N2151" s="21" t="s">
        <v>6718</v>
      </c>
    </row>
    <row r="2152" spans="1:14">
      <c r="A2152" s="12" t="s">
        <v>718</v>
      </c>
      <c r="B2152" s="13" t="s">
        <v>1181</v>
      </c>
      <c r="C2152" s="14" t="s">
        <v>750</v>
      </c>
      <c r="D2152" s="15">
        <v>41806.665763888886</v>
      </c>
      <c r="E2152" s="16" t="s">
        <v>16</v>
      </c>
      <c r="F2152" s="16" t="s">
        <v>16</v>
      </c>
      <c r="G2152" s="17" t="s">
        <v>758</v>
      </c>
      <c r="H2152" s="17" t="s">
        <v>759</v>
      </c>
      <c r="I2152" s="13" t="s">
        <v>6719</v>
      </c>
      <c r="J2152" s="23" t="str">
        <f>HYPERLINK("CorLog\GHA\Viepe RTO\20140616 GHA Viepe RTO Coord Comments from DG (RDC-to-RDC).msg", "Coord Comments from DG")</f>
        <v>Coord Comments from DG</v>
      </c>
      <c r="K2152" s="25" t="s">
        <v>1211</v>
      </c>
      <c r="L2152" s="19"/>
      <c r="M2152" s="20"/>
      <c r="N2152" s="21" t="s">
        <v>6720</v>
      </c>
    </row>
    <row r="2153" spans="1:14">
      <c r="A2153" s="12" t="s">
        <v>718</v>
      </c>
      <c r="B2153" s="13" t="s">
        <v>5413</v>
      </c>
      <c r="C2153" s="14" t="s">
        <v>750</v>
      </c>
      <c r="D2153" s="15">
        <v>41806.657175925924</v>
      </c>
      <c r="E2153" s="16" t="s">
        <v>16</v>
      </c>
      <c r="F2153" s="16" t="s">
        <v>21</v>
      </c>
      <c r="G2153" s="17" t="s">
        <v>790</v>
      </c>
      <c r="H2153" s="17" t="s">
        <v>851</v>
      </c>
      <c r="I2153" s="13" t="s">
        <v>6721</v>
      </c>
      <c r="J2153" s="23" t="str">
        <f>HYPERLINK("CorLog\GHA\BEX\20140616 GHA BEX DCP test residence 3-2 3-3 ANALYSIS (RDC-to-GHA).msg", "DCP test residence 3-2 3-3 ANALYSIS")</f>
        <v>DCP test residence 3-2 3-3 ANALYSIS</v>
      </c>
      <c r="K2153" s="25" t="s">
        <v>1211</v>
      </c>
      <c r="L2153" s="19" t="s">
        <v>6722</v>
      </c>
      <c r="M2153" s="20"/>
      <c r="N2153" s="21" t="s">
        <v>6723</v>
      </c>
    </row>
    <row r="2154" spans="1:14">
      <c r="A2154" s="12"/>
      <c r="B2154" s="13"/>
      <c r="C2154" s="14"/>
      <c r="D2154" s="15">
        <v>41806.645636574074</v>
      </c>
      <c r="E2154" s="16" t="s">
        <v>21</v>
      </c>
      <c r="F2154" s="16" t="s">
        <v>15</v>
      </c>
      <c r="G2154" s="17" t="s">
        <v>730</v>
      </c>
      <c r="H2154" s="17" t="s">
        <v>803</v>
      </c>
      <c r="I2154" s="13" t="s">
        <v>6724</v>
      </c>
      <c r="J2154" s="23" t="str">
        <f>HYPERLINK("CorLog\GHA\Baatsona SKE\20140616 GHA Baatsona SKE Baatsona SKE Plans &amp; Sections (GHA-to-ZAF).zip", "Baatsona SKE Plans &amp; Sections")</f>
        <v>Baatsona SKE Plans &amp; Sections</v>
      </c>
      <c r="K2154" s="25"/>
      <c r="L2154" s="19"/>
      <c r="M2154" s="20"/>
      <c r="N2154" s="21"/>
    </row>
    <row r="2155" spans="1:14">
      <c r="A2155" s="12" t="s">
        <v>718</v>
      </c>
      <c r="B2155" s="13" t="s">
        <v>6714</v>
      </c>
      <c r="C2155" s="14" t="s">
        <v>6715</v>
      </c>
      <c r="D2155" s="15">
        <v>41806.567361111112</v>
      </c>
      <c r="E2155" s="16" t="s">
        <v>16</v>
      </c>
      <c r="F2155" s="16" t="s">
        <v>43</v>
      </c>
      <c r="G2155" s="17" t="s">
        <v>4854</v>
      </c>
      <c r="H2155" s="17" t="s">
        <v>2136</v>
      </c>
      <c r="I2155" s="13" t="s">
        <v>6464</v>
      </c>
      <c r="J2155" s="23" t="str">
        <f>HYPERLINK("CorLog\LKA\BEX\20140616 LKA BEX Phase D Mech as-built drawings, bldgs 35 &amp; 40 missing (RDC-to-AUS).msg", "Phase D Mech as-built drawings, bldgs 35 &amp; 40 missing")</f>
        <v>Phase D Mech as-built drawings, bldgs 35 &amp; 40 missing</v>
      </c>
      <c r="K2155" s="25" t="s">
        <v>1243</v>
      </c>
      <c r="L2155" s="19" t="s">
        <v>6465</v>
      </c>
      <c r="M2155" s="20"/>
      <c r="N2155" s="21" t="s">
        <v>6725</v>
      </c>
    </row>
    <row r="2156" spans="1:14">
      <c r="A2156" s="12" t="s">
        <v>5413</v>
      </c>
      <c r="B2156" s="13" t="s">
        <v>718</v>
      </c>
      <c r="C2156" s="14" t="s">
        <v>827</v>
      </c>
      <c r="D2156" s="15">
        <v>41806.515324074076</v>
      </c>
      <c r="E2156" s="16" t="s">
        <v>21</v>
      </c>
      <c r="F2156" s="16" t="s">
        <v>16</v>
      </c>
      <c r="G2156" s="17" t="s">
        <v>790</v>
      </c>
      <c r="H2156" s="17" t="s">
        <v>851</v>
      </c>
      <c r="I2156" s="13" t="s">
        <v>6726</v>
      </c>
      <c r="J2156" s="23" t="str">
        <f>HYPERLINK("CorLog\GHA\BEX\20140616 GHA BEX DCP test residence 3-2 3-3 (GHA-to-RDC).msg", "DCP test residence 3-2 3-3")</f>
        <v>DCP test residence 3-2 3-3</v>
      </c>
      <c r="K2156" s="25" t="s">
        <v>1274</v>
      </c>
      <c r="L2156" s="19"/>
      <c r="M2156" s="20"/>
      <c r="N2156" s="21" t="s">
        <v>6727</v>
      </c>
    </row>
    <row r="2157" spans="1:14">
      <c r="A2157" s="12" t="s">
        <v>724</v>
      </c>
      <c r="B2157" s="13" t="s">
        <v>1761</v>
      </c>
      <c r="C2157" s="14"/>
      <c r="D2157" s="15">
        <v>41806.492754629631</v>
      </c>
      <c r="E2157" s="16" t="s">
        <v>16</v>
      </c>
      <c r="F2157" s="16" t="s">
        <v>16</v>
      </c>
      <c r="G2157" s="17" t="s">
        <v>2022</v>
      </c>
      <c r="H2157" s="17" t="s">
        <v>725</v>
      </c>
      <c r="I2157" s="13" t="s">
        <v>6728</v>
      </c>
      <c r="J2157" s="23" t="str">
        <f>HYPERLINK("CorLog\Directive\20140616 Directive Guidelines for Handling Personal Cash Floats (RDC-to-RDC).msg", "Guidelines for Handling Personal Cash Floats")</f>
        <v>Guidelines for Handling Personal Cash Floats</v>
      </c>
      <c r="K2157" s="25" t="s">
        <v>1243</v>
      </c>
      <c r="L2157" s="19"/>
      <c r="M2157" s="20"/>
      <c r="N2157" s="21" t="s">
        <v>6729</v>
      </c>
    </row>
    <row r="2158" spans="1:14">
      <c r="A2158" s="12" t="s">
        <v>3854</v>
      </c>
      <c r="B2158" s="13" t="s">
        <v>5413</v>
      </c>
      <c r="C2158" s="14" t="s">
        <v>6730</v>
      </c>
      <c r="D2158" s="15">
        <v>41804.867777777778</v>
      </c>
      <c r="E2158" s="16" t="s">
        <v>26</v>
      </c>
      <c r="F2158" s="16" t="s">
        <v>21</v>
      </c>
      <c r="G2158" s="17" t="s">
        <v>790</v>
      </c>
      <c r="H2158" s="17" t="s">
        <v>3330</v>
      </c>
      <c r="I2158" s="13" t="s">
        <v>6731</v>
      </c>
      <c r="J2158" s="23" t="str">
        <f>HYPERLINK("CorLog\GHA\BEX\20140614 GHA BEX SDMO package, missing accessories (GBR-to-GHA).msg", "SDMO package, missing accessories")</f>
        <v>SDMO package, missing accessories</v>
      </c>
      <c r="K2158" s="25" t="s">
        <v>1499</v>
      </c>
      <c r="L2158" s="19"/>
      <c r="M2158" s="20"/>
      <c r="N2158" s="21" t="s">
        <v>6732</v>
      </c>
    </row>
    <row r="2159" spans="1:14">
      <c r="A2159" s="12" t="s">
        <v>724</v>
      </c>
      <c r="B2159" s="13" t="s">
        <v>1310</v>
      </c>
      <c r="C2159" s="14" t="s">
        <v>6733</v>
      </c>
      <c r="D2159" s="15">
        <v>41804.679039351853</v>
      </c>
      <c r="E2159" s="16" t="s">
        <v>16</v>
      </c>
      <c r="F2159" s="16" t="s">
        <v>16</v>
      </c>
      <c r="G2159" s="17" t="s">
        <v>30</v>
      </c>
      <c r="H2159" s="17" t="s">
        <v>814</v>
      </c>
      <c r="I2159" s="13" t="s">
        <v>6734</v>
      </c>
      <c r="J2159" s="23" t="str">
        <f>HYPERLINK("CorLog\ALL\20140614 ALL jw org sign-installation instructions (RDC-to-).msg", "jw org sign-installation instructions")</f>
        <v>jw org sign-installation instructions</v>
      </c>
      <c r="K2159" s="25" t="s">
        <v>1211</v>
      </c>
      <c r="L2159" s="19"/>
      <c r="M2159" s="20"/>
      <c r="N2159" s="21" t="s">
        <v>6735</v>
      </c>
    </row>
    <row r="2160" spans="1:14">
      <c r="A2160" s="12" t="s">
        <v>750</v>
      </c>
      <c r="B2160" s="13" t="s">
        <v>4950</v>
      </c>
      <c r="C2160" s="14" t="s">
        <v>6736</v>
      </c>
      <c r="D2160" s="15">
        <v>41803.722442129627</v>
      </c>
      <c r="E2160" s="16" t="s">
        <v>16</v>
      </c>
      <c r="F2160" s="16" t="s">
        <v>18</v>
      </c>
      <c r="G2160" s="17" t="s">
        <v>885</v>
      </c>
      <c r="H2160" s="17" t="s">
        <v>851</v>
      </c>
      <c r="I2160" s="13" t="s">
        <v>6737</v>
      </c>
      <c r="J2160" s="23" t="str">
        <f>HYPERLINK("CorLog\ZMB\Kabompo RTO\20140613 ZMB Kabompo RTO Res DCP results GABLE END (RDC-to-ZMB).msg", "Res DCP results GABLE END")</f>
        <v>Res DCP results GABLE END</v>
      </c>
      <c r="K2160" s="25" t="s">
        <v>1211</v>
      </c>
      <c r="L2160" s="19" t="s">
        <v>6738</v>
      </c>
      <c r="M2160" s="20"/>
      <c r="N2160" s="21" t="s">
        <v>6739</v>
      </c>
    </row>
    <row r="2161" spans="1:14">
      <c r="A2161" s="12" t="s">
        <v>842</v>
      </c>
      <c r="B2161" s="13" t="s">
        <v>718</v>
      </c>
      <c r="C2161" s="14"/>
      <c r="D2161" s="15">
        <v>41803.718958333331</v>
      </c>
      <c r="E2161" s="16" t="s">
        <v>21</v>
      </c>
      <c r="F2161" s="16" t="s">
        <v>16</v>
      </c>
      <c r="G2161" s="17" t="s">
        <v>790</v>
      </c>
      <c r="H2161" s="17" t="s">
        <v>6740</v>
      </c>
      <c r="I2161" s="13" t="s">
        <v>6741</v>
      </c>
      <c r="J2161" s="23" t="str">
        <f>HYPERLINK("CorLog\GHA\BEX\20140613 GHA BEX G4S Quote for Electric Fence on new Property (GHA-to-RDC).msg", "G4S Quote for Electric Fence on new Property")</f>
        <v>G4S Quote for Electric Fence on new Property</v>
      </c>
      <c r="K2161" s="25" t="s">
        <v>1626</v>
      </c>
      <c r="L2161" s="19" t="s">
        <v>6742</v>
      </c>
      <c r="M2161" s="20"/>
      <c r="N2161" s="21" t="s">
        <v>6743</v>
      </c>
    </row>
    <row r="2162" spans="1:14">
      <c r="A2162" s="12" t="s">
        <v>718</v>
      </c>
      <c r="B2162" s="13" t="s">
        <v>1529</v>
      </c>
      <c r="C2162" s="14" t="s">
        <v>750</v>
      </c>
      <c r="D2162" s="15">
        <v>41803.707673611112</v>
      </c>
      <c r="E2162" s="16" t="s">
        <v>16</v>
      </c>
      <c r="F2162" s="16" t="s">
        <v>18</v>
      </c>
      <c r="G2162" s="17" t="s">
        <v>946</v>
      </c>
      <c r="H2162" s="17" t="s">
        <v>854</v>
      </c>
      <c r="I2162" s="13" t="s">
        <v>6744</v>
      </c>
      <c r="J2162" s="23" t="str">
        <f>HYPERLINK("CorLog\ZMB\Mongu RTO\20140613 ZMB Mongu RTO Retaining wall footing Perimeter Wall footing tie detail S-501 (RDC-to-ZMB).msg", "Retaining wall footing Perimeter Wall footing tie detail S-501")</f>
        <v>Retaining wall footing Perimeter Wall footing tie detail S-501</v>
      </c>
      <c r="K2162" s="25" t="s">
        <v>1243</v>
      </c>
      <c r="L2162" s="19" t="s">
        <v>6745</v>
      </c>
      <c r="M2162" s="20"/>
      <c r="N2162" s="21" t="s">
        <v>6746</v>
      </c>
    </row>
    <row r="2163" spans="1:14">
      <c r="A2163" s="12" t="s">
        <v>757</v>
      </c>
      <c r="B2163" s="13" t="s">
        <v>718</v>
      </c>
      <c r="C2163" s="14" t="s">
        <v>842</v>
      </c>
      <c r="D2163" s="15">
        <v>41803.68340277778</v>
      </c>
      <c r="E2163" s="16"/>
      <c r="F2163" s="16" t="s">
        <v>16</v>
      </c>
      <c r="G2163" s="17" t="s">
        <v>857</v>
      </c>
      <c r="H2163" s="17" t="s">
        <v>4521</v>
      </c>
      <c r="I2163" s="13" t="s">
        <v>6747</v>
      </c>
      <c r="J2163" s="23" t="str">
        <f>HYPERLINK("CorLog\GHA\Kikam RTO\20140613 GHA Kikam RTO Transformer power supply sizing for the facility (-to-RDC).msg", "Transformer power supply sizing for the facility")</f>
        <v>Transformer power supply sizing for the facility</v>
      </c>
      <c r="K2163" s="25"/>
      <c r="L2163" s="19" t="s">
        <v>6748</v>
      </c>
      <c r="M2163" s="20"/>
      <c r="N2163" s="21" t="s">
        <v>6749</v>
      </c>
    </row>
    <row r="2164" spans="1:14">
      <c r="A2164" s="12" t="s">
        <v>972</v>
      </c>
      <c r="B2164" s="13" t="s">
        <v>718</v>
      </c>
      <c r="C2164" s="14" t="s">
        <v>724</v>
      </c>
      <c r="D2164" s="15">
        <v>41803.670347222222</v>
      </c>
      <c r="E2164" s="16" t="s">
        <v>18</v>
      </c>
      <c r="F2164" s="16" t="s">
        <v>16</v>
      </c>
      <c r="G2164" s="17" t="s">
        <v>1065</v>
      </c>
      <c r="H2164" s="17" t="s">
        <v>781</v>
      </c>
      <c r="I2164" s="13" t="s">
        <v>6750</v>
      </c>
      <c r="J2164" s="23" t="str">
        <f>HYPERLINK("CorLog\ZMB\RTO Projects\20140613 ZMB RTOs Planning for Future RTO with CS (Meeting Minutes) (ZMB-to-RDC).msg", "Planning for Future RTO with CS (Meeting Minutes)")</f>
        <v>Planning for Future RTO with CS (Meeting Minutes)</v>
      </c>
      <c r="K2164" s="25"/>
      <c r="L2164" s="19"/>
      <c r="M2164" s="20"/>
      <c r="N2164" s="21" t="s">
        <v>6751</v>
      </c>
    </row>
    <row r="2165" spans="1:14">
      <c r="A2165" s="12" t="s">
        <v>718</v>
      </c>
      <c r="B2165" s="13" t="s">
        <v>972</v>
      </c>
      <c r="C2165" s="14" t="s">
        <v>6752</v>
      </c>
      <c r="D2165" s="15">
        <v>41803.667453703703</v>
      </c>
      <c r="E2165" s="16" t="s">
        <v>16</v>
      </c>
      <c r="F2165" s="16" t="s">
        <v>18</v>
      </c>
      <c r="G2165" s="17" t="s">
        <v>838</v>
      </c>
      <c r="H2165" s="17" t="s">
        <v>781</v>
      </c>
      <c r="I2165" s="13" t="s">
        <v>6753</v>
      </c>
      <c r="J2165" s="23" t="str">
        <f>HYPERLINK("CorLog\ZMB\Choma RTO\20140613 ZMB Choma RTO CS for 4th team in Choma (AGREED) (RDC-to-ZMB).msg", "CS for 4th team in Choma (AGREED)")</f>
        <v>CS for 4th team in Choma (AGREED)</v>
      </c>
      <c r="K2165" s="25"/>
      <c r="L2165" s="19"/>
      <c r="M2165" s="20"/>
      <c r="N2165" s="21" t="s">
        <v>6754</v>
      </c>
    </row>
    <row r="2166" spans="1:14">
      <c r="A2166" s="12" t="s">
        <v>718</v>
      </c>
      <c r="B2166" s="13" t="s">
        <v>972</v>
      </c>
      <c r="C2166" s="14" t="s">
        <v>724</v>
      </c>
      <c r="D2166" s="15">
        <v>41803.66511574074</v>
      </c>
      <c r="E2166" s="16" t="s">
        <v>16</v>
      </c>
      <c r="F2166" s="16" t="s">
        <v>18</v>
      </c>
      <c r="G2166" s="17" t="s">
        <v>1065</v>
      </c>
      <c r="H2166" s="17" t="s">
        <v>2460</v>
      </c>
      <c r="I2166" s="13" t="s">
        <v>6750</v>
      </c>
      <c r="J2166" s="23" t="str">
        <f>HYPERLINK("CorLog\ZMB\RTO Projects\20140613 ZMB RTO Projects Planning for Future RTO with CS (Meeting Minutes) (RDC-to-ZMB).msg", "Planning for Future RTO with CS (Meeting Minutes)")</f>
        <v>Planning for Future RTO with CS (Meeting Minutes)</v>
      </c>
      <c r="K2166" s="25"/>
      <c r="L2166" s="19" t="s">
        <v>6755</v>
      </c>
      <c r="M2166" s="20"/>
      <c r="N2166" s="21" t="s">
        <v>6756</v>
      </c>
    </row>
    <row r="2167" spans="1:14">
      <c r="A2167" s="12" t="s">
        <v>718</v>
      </c>
      <c r="B2167" s="13" t="s">
        <v>972</v>
      </c>
      <c r="C2167" s="14" t="s">
        <v>6598</v>
      </c>
      <c r="D2167" s="15">
        <v>41803.653495370374</v>
      </c>
      <c r="E2167" s="16" t="s">
        <v>16</v>
      </c>
      <c r="F2167" s="16" t="s">
        <v>18</v>
      </c>
      <c r="G2167" s="17" t="s">
        <v>1070</v>
      </c>
      <c r="H2167" s="17" t="s">
        <v>6757</v>
      </c>
      <c r="I2167" s="13" t="s">
        <v>6758</v>
      </c>
      <c r="J2167" s="23" t="str">
        <f>HYPERLINK("CorLog\ZMB\Katete RTO\20140613 ZMB Katete RTO RDC Review of NLBR 6836 (RDC-to-ZMB).msg", "RDC Review of NLBR 6836")</f>
        <v>RDC Review of NLBR 6836</v>
      </c>
      <c r="K2167" s="25" t="s">
        <v>1211</v>
      </c>
      <c r="L2167" s="19"/>
      <c r="M2167" s="20"/>
      <c r="N2167" s="21" t="s">
        <v>6759</v>
      </c>
    </row>
    <row r="2168" spans="1:14">
      <c r="A2168" s="12" t="s">
        <v>750</v>
      </c>
      <c r="B2168" s="13" t="s">
        <v>4950</v>
      </c>
      <c r="C2168" s="14" t="s">
        <v>6760</v>
      </c>
      <c r="D2168" s="15">
        <v>41803.648148148146</v>
      </c>
      <c r="E2168" s="16" t="s">
        <v>16</v>
      </c>
      <c r="F2168" s="16" t="s">
        <v>18</v>
      </c>
      <c r="G2168" s="17" t="s">
        <v>885</v>
      </c>
      <c r="H2168" s="17" t="s">
        <v>6761</v>
      </c>
      <c r="I2168" s="13" t="s">
        <v>6762</v>
      </c>
      <c r="J2168" s="23" t="str">
        <f>HYPERLINK("CorLog\ZMB\Kabompo RTO\20140613 ZMB Kabompo RTO Manhole Lids 780mm instead of 600mm! (Septic) (RDC-to-ZMB).msg", "Manhole Lids 780mm instead of 600mm! (Septic)")</f>
        <v>Manhole Lids 780mm instead of 600mm! (Septic)</v>
      </c>
      <c r="K2168" s="25" t="s">
        <v>1270</v>
      </c>
      <c r="L2168" s="19" t="s">
        <v>6763</v>
      </c>
      <c r="M2168" s="20"/>
      <c r="N2168" s="21" t="s">
        <v>6764</v>
      </c>
    </row>
    <row r="2169" spans="1:14">
      <c r="A2169" s="12" t="s">
        <v>718</v>
      </c>
      <c r="B2169" s="13" t="s">
        <v>1969</v>
      </c>
      <c r="C2169" s="14" t="s">
        <v>6765</v>
      </c>
      <c r="D2169" s="15">
        <v>41803.617002314815</v>
      </c>
      <c r="E2169" s="16" t="s">
        <v>16</v>
      </c>
      <c r="F2169" s="16" t="s">
        <v>22</v>
      </c>
      <c r="G2169" s="17" t="s">
        <v>2627</v>
      </c>
      <c r="H2169" s="17" t="s">
        <v>854</v>
      </c>
      <c r="I2169" s="13" t="s">
        <v>6766</v>
      </c>
      <c r="J2169" s="23" t="str">
        <f>HYPERLINK("CorLog\COD\Kamina RTO\20140613 COD Kamina RTO Res Int Passage Wall Truss Connection to Ring Beam (Field Sketch S-302-S2) (RDC-to-COD).msg", "Res Int Passage Wall Truss Connection to Ring Beam (Field Sketch S-302-S2)")</f>
        <v>Res Int Passage Wall Truss Connection to Ring Beam (Field Sketch S-302-S2)</v>
      </c>
      <c r="K2169" s="25" t="s">
        <v>1211</v>
      </c>
      <c r="L2169" s="19"/>
      <c r="M2169" s="20"/>
      <c r="N2169" s="21" t="s">
        <v>6767</v>
      </c>
    </row>
    <row r="2170" spans="1:14">
      <c r="A2170" s="12" t="s">
        <v>718</v>
      </c>
      <c r="B2170" s="13" t="s">
        <v>1529</v>
      </c>
      <c r="C2170" s="14" t="s">
        <v>6768</v>
      </c>
      <c r="D2170" s="15">
        <v>41803.616967592592</v>
      </c>
      <c r="E2170" s="16" t="s">
        <v>16</v>
      </c>
      <c r="F2170" s="16" t="s">
        <v>18</v>
      </c>
      <c r="G2170" s="17" t="s">
        <v>946</v>
      </c>
      <c r="H2170" s="17" t="s">
        <v>854</v>
      </c>
      <c r="I2170" s="13" t="s">
        <v>6766</v>
      </c>
      <c r="J2170" s="23" t="str">
        <f>HYPERLINK("CorLog\ZMB\Mongu RTO\20140613 ZMB Mongu RTO Res Int Passage Wall Truss Connection to Ring Beam (Field Sketch S-302-S2) (RDC-to-ZMB).msg", "Res Int Passage Wall Truss Connection to Ring Beam (Field Sketch S-302-S2)")</f>
        <v>Res Int Passage Wall Truss Connection to Ring Beam (Field Sketch S-302-S2)</v>
      </c>
      <c r="K2170" s="25" t="s">
        <v>1211</v>
      </c>
      <c r="L2170" s="19"/>
      <c r="M2170" s="20"/>
      <c r="N2170" s="21" t="s">
        <v>6769</v>
      </c>
    </row>
    <row r="2171" spans="1:14">
      <c r="A2171" s="12" t="s">
        <v>718</v>
      </c>
      <c r="B2171" s="13" t="s">
        <v>5455</v>
      </c>
      <c r="C2171" s="14" t="s">
        <v>6770</v>
      </c>
      <c r="D2171" s="15">
        <v>41803.605046296296</v>
      </c>
      <c r="E2171" s="16" t="s">
        <v>16</v>
      </c>
      <c r="F2171" s="16" t="s">
        <v>18</v>
      </c>
      <c r="G2171" s="17" t="s">
        <v>885</v>
      </c>
      <c r="H2171" s="17" t="s">
        <v>854</v>
      </c>
      <c r="I2171" s="13" t="s">
        <v>6771</v>
      </c>
      <c r="J2171" s="23" t="str">
        <f>HYPERLINK("CorLog\ZMB\Kabompo RTO\20140613 ZMB Kabompo RTO Manhole Lids 780mm instead of 600mm! (RDC-to-ZMB).msg", "Manhole Lids 780mm instead of 600mm!")</f>
        <v>Manhole Lids 780mm instead of 600mm!</v>
      </c>
      <c r="K2171" s="25" t="s">
        <v>1211</v>
      </c>
      <c r="L2171" s="19" t="s">
        <v>6772</v>
      </c>
      <c r="M2171" s="20"/>
      <c r="N2171" s="21" t="s">
        <v>6773</v>
      </c>
    </row>
    <row r="2172" spans="1:14">
      <c r="A2172" s="12" t="s">
        <v>724</v>
      </c>
      <c r="B2172" s="13" t="s">
        <v>972</v>
      </c>
      <c r="C2172" s="14" t="s">
        <v>6172</v>
      </c>
      <c r="D2172" s="15">
        <v>41803.578726851854</v>
      </c>
      <c r="E2172" s="16" t="s">
        <v>16</v>
      </c>
      <c r="F2172" s="16" t="s">
        <v>18</v>
      </c>
      <c r="G2172" s="17" t="s">
        <v>946</v>
      </c>
      <c r="H2172" s="17" t="s">
        <v>886</v>
      </c>
      <c r="I2172" s="13" t="s">
        <v>6774</v>
      </c>
      <c r="J2172" s="23" t="str">
        <f>HYPERLINK("CorLog\ZMB\Mongu RTO\20140613 ZMB Mongu RTO Draft NLBR for DB Panel Components (RDC-to-ZMB).msg", "Draft NLBR for DB Panel Components")</f>
        <v>Draft NLBR for DB Panel Components</v>
      </c>
      <c r="K2172" s="25" t="s">
        <v>1270</v>
      </c>
      <c r="L2172" s="19"/>
      <c r="M2172" s="20"/>
      <c r="N2172" s="21" t="s">
        <v>6775</v>
      </c>
    </row>
    <row r="2173" spans="1:14">
      <c r="A2173" s="12" t="s">
        <v>718</v>
      </c>
      <c r="B2173" s="13" t="s">
        <v>5413</v>
      </c>
      <c r="C2173" s="14"/>
      <c r="D2173" s="15">
        <v>41803.568194444444</v>
      </c>
      <c r="E2173" s="16" t="s">
        <v>16</v>
      </c>
      <c r="F2173" s="16" t="s">
        <v>21</v>
      </c>
      <c r="G2173" s="17" t="s">
        <v>790</v>
      </c>
      <c r="H2173" s="17" t="s">
        <v>6757</v>
      </c>
      <c r="I2173" s="13" t="s">
        <v>6776</v>
      </c>
      <c r="J2173" s="23" t="str">
        <f>HYPERLINK("CorLog\GHA\BEX\20140613 GHA BEX Inquiry Ghana Door Quotation (Incident No 2645) (RDC-to-GHA).msg", "Inquiry Ghana Door Quotation (Incident No 2645)")</f>
        <v>Inquiry Ghana Door Quotation (Incident No 2645)</v>
      </c>
      <c r="K2173" s="25" t="s">
        <v>1211</v>
      </c>
      <c r="L2173" s="19" t="s">
        <v>5896</v>
      </c>
      <c r="M2173" s="20"/>
      <c r="N2173" s="21" t="s">
        <v>6777</v>
      </c>
    </row>
    <row r="2174" spans="1:14">
      <c r="A2174" s="12" t="s">
        <v>972</v>
      </c>
      <c r="B2174" s="13" t="s">
        <v>718</v>
      </c>
      <c r="C2174" s="14" t="s">
        <v>5435</v>
      </c>
      <c r="D2174" s="15">
        <v>41803.423935185187</v>
      </c>
      <c r="E2174" s="16" t="s">
        <v>18</v>
      </c>
      <c r="F2174" s="16" t="s">
        <v>16</v>
      </c>
      <c r="G2174" s="17" t="s">
        <v>1065</v>
      </c>
      <c r="H2174" s="17" t="s">
        <v>781</v>
      </c>
      <c r="I2174" s="13" t="s">
        <v>6778</v>
      </c>
      <c r="J2174" s="23" t="str">
        <f>HYPERLINK("CorLog\ZMB\RTO Projects\20140613 ZMB RTO Projects Increased in number of BCS (ZMB-to-RDC).msg", "Increased in number of BCS")</f>
        <v>Increased in number of BCS</v>
      </c>
      <c r="K2174" s="25"/>
      <c r="L2174" s="19"/>
      <c r="M2174" s="20"/>
      <c r="N2174" s="21" t="s">
        <v>6779</v>
      </c>
    </row>
    <row r="2175" spans="1:14">
      <c r="A2175" s="12" t="s">
        <v>718</v>
      </c>
      <c r="B2175" s="13" t="s">
        <v>972</v>
      </c>
      <c r="C2175" s="14" t="s">
        <v>5435</v>
      </c>
      <c r="D2175" s="15">
        <v>41803.369722222225</v>
      </c>
      <c r="E2175" s="16" t="s">
        <v>16</v>
      </c>
      <c r="F2175" s="16" t="s">
        <v>18</v>
      </c>
      <c r="G2175" s="17" t="s">
        <v>1065</v>
      </c>
      <c r="H2175" s="17" t="s">
        <v>781</v>
      </c>
      <c r="I2175" s="13" t="s">
        <v>6780</v>
      </c>
      <c r="J2175" s="23" t="str">
        <f>HYPERLINK("CorLog\ZMB\RTO Projects\20140613 ZMB RTO Projects Switch in the use of Innes Blackman to Choma RTO (RDC-to-ZMB).msg", "Switch in the use of Innes Blackman to Choma RTO")</f>
        <v>Switch in the use of Innes Blackman to Choma RTO</v>
      </c>
      <c r="K2175" s="25"/>
      <c r="L2175" s="19"/>
      <c r="M2175" s="20"/>
      <c r="N2175" s="21" t="s">
        <v>6781</v>
      </c>
    </row>
    <row r="2176" spans="1:14">
      <c r="A2176" s="12"/>
      <c r="B2176" s="13"/>
      <c r="C2176" s="14"/>
      <c r="D2176" s="15">
        <v>41803.359652777777</v>
      </c>
      <c r="E2176" s="16" t="s">
        <v>16</v>
      </c>
      <c r="F2176" s="16" t="s">
        <v>16</v>
      </c>
      <c r="G2176" s="17" t="s">
        <v>979</v>
      </c>
      <c r="H2176" s="17" t="s">
        <v>6782</v>
      </c>
      <c r="I2176" s="13" t="s">
        <v>6783</v>
      </c>
      <c r="J2176" s="23" t="str">
        <f>HYPERLINK("CorLog\RTO\Projects\2014-06-13 RTO Projects Burglar Bars--Use of retractable Maxidor-Trellidor agreed (RDC-to-RDC).docx", "Burglar Bars--Use of retractable Maxidor-Trellidor agreed")</f>
        <v>Burglar Bars--Use of retractable Maxidor-Trellidor agreed</v>
      </c>
      <c r="K2176" s="25"/>
      <c r="L2176" s="19" t="s">
        <v>6784</v>
      </c>
      <c r="M2176" s="20"/>
      <c r="N2176" s="21"/>
    </row>
    <row r="2177" spans="1:14">
      <c r="A2177" s="12" t="s">
        <v>718</v>
      </c>
      <c r="B2177" s="13" t="s">
        <v>5413</v>
      </c>
      <c r="C2177" s="14" t="s">
        <v>6708</v>
      </c>
      <c r="D2177" s="15">
        <v>41802.687245370369</v>
      </c>
      <c r="E2177" s="16" t="s">
        <v>16</v>
      </c>
      <c r="F2177" s="16" t="s">
        <v>21</v>
      </c>
      <c r="G2177" s="17" t="s">
        <v>790</v>
      </c>
      <c r="H2177" s="17" t="s">
        <v>839</v>
      </c>
      <c r="I2177" s="13" t="s">
        <v>6785</v>
      </c>
      <c r="J2177" s="23" t="str">
        <f>HYPERLINK("CorLog\GHA\BEX\20140612 GHA BEX Use of Stockpile in-situ soil (EXPLANATION) (RDC-to-GHA).msg", "Use of Stockpile in-situ soil (EXPLANATION)")</f>
        <v>Use of Stockpile in-situ soil (EXPLANATION)</v>
      </c>
      <c r="K2177" s="25" t="s">
        <v>1270</v>
      </c>
      <c r="L2177" s="19" t="s">
        <v>6786</v>
      </c>
      <c r="M2177" s="20"/>
      <c r="N2177" s="21" t="s">
        <v>6787</v>
      </c>
    </row>
    <row r="2178" spans="1:14">
      <c r="A2178" s="12" t="s">
        <v>718</v>
      </c>
      <c r="B2178" s="13" t="s">
        <v>5413</v>
      </c>
      <c r="C2178" s="14" t="s">
        <v>6788</v>
      </c>
      <c r="D2178" s="15">
        <v>41802.676307870373</v>
      </c>
      <c r="E2178" s="16" t="s">
        <v>16</v>
      </c>
      <c r="F2178" s="16" t="s">
        <v>21</v>
      </c>
      <c r="G2178" s="17" t="s">
        <v>790</v>
      </c>
      <c r="H2178" s="17" t="s">
        <v>6757</v>
      </c>
      <c r="I2178" s="13" t="s">
        <v>6789</v>
      </c>
      <c r="J2178" s="23" t="str">
        <f>HYPERLINK("CorLog\GHA\BEX\20140612 GHA BEX RDC Review of NLBR Package No 12 (48145,48158,48212,48163,48210) (APPROVED) (RDC-to-GHA).msg", "RDC Review of NLBR Package No 12 (48145,48158,48212,48163,48210) (APPROVED)")</f>
        <v>RDC Review of NLBR Package No 12 (48145,48158,48212,48163,48210) (APPROVED)</v>
      </c>
      <c r="K2178" s="25" t="s">
        <v>1270</v>
      </c>
      <c r="L2178" s="19"/>
      <c r="M2178" s="20"/>
      <c r="N2178" s="21" t="s">
        <v>6790</v>
      </c>
    </row>
    <row r="2179" spans="1:14">
      <c r="A2179" s="12" t="s">
        <v>1181</v>
      </c>
      <c r="B2179" s="13" t="s">
        <v>3556</v>
      </c>
      <c r="C2179" s="14"/>
      <c r="D2179" s="15">
        <v>41802.662511574075</v>
      </c>
      <c r="E2179" s="16" t="s">
        <v>16</v>
      </c>
      <c r="F2179" s="16"/>
      <c r="G2179" s="17" t="s">
        <v>979</v>
      </c>
      <c r="H2179" s="17" t="s">
        <v>1565</v>
      </c>
      <c r="I2179" s="13" t="s">
        <v>6791</v>
      </c>
      <c r="J2179" s="23" t="str">
        <f>HYPERLINK("CorLog\RTO\Projects\20140612 RTO Projects MiTek Meeting Minutes (11-06-2014) Roof Structure (RDC-to-).msg", "MiTek Meeting Minutes (11-06-2014) Roof Structure")</f>
        <v>MiTek Meeting Minutes (11-06-2014) Roof Structure</v>
      </c>
      <c r="K2179" s="25" t="s">
        <v>1211</v>
      </c>
      <c r="L2179" s="19" t="s">
        <v>6792</v>
      </c>
      <c r="M2179" s="20"/>
      <c r="N2179" s="21" t="s">
        <v>6793</v>
      </c>
    </row>
    <row r="2180" spans="1:14">
      <c r="A2180" s="12" t="s">
        <v>827</v>
      </c>
      <c r="B2180" s="13" t="s">
        <v>718</v>
      </c>
      <c r="C2180" s="14" t="s">
        <v>5413</v>
      </c>
      <c r="D2180" s="15">
        <v>41802.660266203704</v>
      </c>
      <c r="E2180" s="16" t="s">
        <v>21</v>
      </c>
      <c r="F2180" s="16" t="s">
        <v>16</v>
      </c>
      <c r="G2180" s="17" t="s">
        <v>790</v>
      </c>
      <c r="H2180" s="17" t="s">
        <v>839</v>
      </c>
      <c r="I2180" s="13" t="s">
        <v>6794</v>
      </c>
      <c r="J2180" s="23" t="str">
        <f>HYPERLINK("CorLog\GHA\BEX\20140612 GHA BEX Tests and Use of Stockpile in-situ soil (Photos) (GHA-to-RDC).msg", "Tests and Use of Stockpile in-situ soil (Photos)")</f>
        <v>Tests and Use of Stockpile in-situ soil (Photos)</v>
      </c>
      <c r="K2180" s="25" t="s">
        <v>1369</v>
      </c>
      <c r="L2180" s="19"/>
      <c r="M2180" s="20"/>
      <c r="N2180" s="21" t="s">
        <v>6795</v>
      </c>
    </row>
    <row r="2181" spans="1:14">
      <c r="A2181" s="12" t="s">
        <v>718</v>
      </c>
      <c r="B2181" s="13" t="s">
        <v>5413</v>
      </c>
      <c r="C2181" s="14" t="s">
        <v>6796</v>
      </c>
      <c r="D2181" s="15">
        <v>41802.626354166663</v>
      </c>
      <c r="E2181" s="16" t="s">
        <v>16</v>
      </c>
      <c r="F2181" s="16" t="s">
        <v>21</v>
      </c>
      <c r="G2181" s="17" t="s">
        <v>790</v>
      </c>
      <c r="H2181" s="17" t="s">
        <v>1619</v>
      </c>
      <c r="I2181" s="13" t="s">
        <v>6797</v>
      </c>
      <c r="J2181" s="23" t="str">
        <f>HYPERLINK("CorLog\GHA\BEX\20140612 GHA BEX Cost of BEKA LED Outdoor bollard light (replace Philips from GBR) (RDC-to-GHA).msg", "Cost of BEKA LED Outdoor bollard light (replace Philips from GBR)")</f>
        <v>Cost of BEKA LED Outdoor bollard light (replace Philips from GBR)</v>
      </c>
      <c r="K2181" s="25" t="s">
        <v>1243</v>
      </c>
      <c r="L2181" s="19"/>
      <c r="M2181" s="20"/>
      <c r="N2181" s="21" t="s">
        <v>6798</v>
      </c>
    </row>
    <row r="2182" spans="1:14">
      <c r="A2182" s="12" t="s">
        <v>750</v>
      </c>
      <c r="B2182" s="13" t="s">
        <v>4950</v>
      </c>
      <c r="C2182" s="14" t="s">
        <v>4673</v>
      </c>
      <c r="D2182" s="15">
        <v>41802.605381944442</v>
      </c>
      <c r="E2182" s="16" t="s">
        <v>16</v>
      </c>
      <c r="F2182" s="16" t="s">
        <v>18</v>
      </c>
      <c r="G2182" s="17" t="s">
        <v>885</v>
      </c>
      <c r="H2182" s="17" t="s">
        <v>851</v>
      </c>
      <c r="I2182" s="13" t="s">
        <v>6799</v>
      </c>
      <c r="J2182" s="23" t="str">
        <f>HYPERLINK("CorLog\ZMB\Kabompo RTO\20140612 ZMB Kabompo RTO DCP Results (RES BLDG) (RDC-to-ZMB).msg", "DCP Results (RES BLDG)")</f>
        <v>DCP Results (RES BLDG)</v>
      </c>
      <c r="K2182" s="25"/>
      <c r="L2182" s="19" t="s">
        <v>6722</v>
      </c>
      <c r="M2182" s="20"/>
      <c r="N2182" s="21" t="s">
        <v>6800</v>
      </c>
    </row>
    <row r="2183" spans="1:14">
      <c r="A2183" s="12" t="s">
        <v>795</v>
      </c>
      <c r="B2183" s="13" t="s">
        <v>3854</v>
      </c>
      <c r="C2183" s="14" t="s">
        <v>6801</v>
      </c>
      <c r="D2183" s="15">
        <v>41802.466585648152</v>
      </c>
      <c r="E2183" s="16" t="s">
        <v>16</v>
      </c>
      <c r="F2183" s="16" t="s">
        <v>26</v>
      </c>
      <c r="G2183" s="17" t="s">
        <v>790</v>
      </c>
      <c r="H2183" s="17" t="s">
        <v>1489</v>
      </c>
      <c r="I2183" s="13" t="s">
        <v>6802</v>
      </c>
      <c r="J2183" s="23" t="str">
        <f>HYPERLINK("CorLog\GHA\BEX\20140612 GHA BEX Info request for AHU's new residences_Ref 413_Rev 14 (RDC-to-GBR).msg", "Info request for AHU's new residences_Ref 413_Rev 14")</f>
        <v>Info request for AHU's new residences_Ref 413_Rev 14</v>
      </c>
      <c r="K2183" s="25" t="s">
        <v>1499</v>
      </c>
      <c r="L2183" s="19"/>
      <c r="M2183" s="20"/>
      <c r="N2183" s="21" t="s">
        <v>6803</v>
      </c>
    </row>
    <row r="2184" spans="1:14">
      <c r="A2184" s="12" t="s">
        <v>718</v>
      </c>
      <c r="B2184" s="13" t="s">
        <v>5413</v>
      </c>
      <c r="C2184" s="14" t="s">
        <v>6796</v>
      </c>
      <c r="D2184" s="15">
        <v>41802.3746875</v>
      </c>
      <c r="E2184" s="16" t="s">
        <v>16</v>
      </c>
      <c r="F2184" s="16" t="s">
        <v>21</v>
      </c>
      <c r="G2184" s="17" t="s">
        <v>790</v>
      </c>
      <c r="H2184" s="17" t="s">
        <v>886</v>
      </c>
      <c r="I2184" s="13" t="s">
        <v>6804</v>
      </c>
      <c r="J2184" s="23" t="str">
        <f>HYPERLINK("CorLog\GHA\BEX\20140612 GHA BEX Q Boreholes and Water Treatment Elec--cable, 24V transformer ref (ELEC Replies) (RDC-to-GHA).msg", "Q Boreholes and Water Treatment Elec--cable, 24V transformer ref (ELEC Replies)")</f>
        <v>Q Boreholes and Water Treatment Elec--cable, 24V transformer ref (ELEC Replies)</v>
      </c>
      <c r="K2184" s="25" t="s">
        <v>1270</v>
      </c>
      <c r="L2184" s="19" t="s">
        <v>6805</v>
      </c>
      <c r="M2184" s="20"/>
      <c r="N2184" s="21" t="s">
        <v>6806</v>
      </c>
    </row>
    <row r="2185" spans="1:14">
      <c r="A2185" s="12" t="s">
        <v>718</v>
      </c>
      <c r="B2185" s="13" t="s">
        <v>972</v>
      </c>
      <c r="C2185" s="14"/>
      <c r="D2185" s="15">
        <v>41802.324305555558</v>
      </c>
      <c r="E2185" s="16" t="s">
        <v>16</v>
      </c>
      <c r="F2185" s="16" t="s">
        <v>18</v>
      </c>
      <c r="G2185" s="17" t="s">
        <v>2751</v>
      </c>
      <c r="H2185" s="17" t="s">
        <v>1131</v>
      </c>
      <c r="I2185" s="13" t="s">
        <v>6807</v>
      </c>
      <c r="J2185" s="23" t="str">
        <f>HYPERLINK("CorLog\ZMB\Kasempa RTO\20140612 ZMB Kasempa RTO Questions from the CN-27 Review (RDC Commnets) (RDC-to-ZMB).msg", "Questions from the CN-27 Review (RDC Commnets)")</f>
        <v>Questions from the CN-27 Review (RDC Commnets)</v>
      </c>
      <c r="K2185" s="25"/>
      <c r="L2185" s="19"/>
      <c r="M2185" s="20"/>
      <c r="N2185" s="21" t="s">
        <v>6808</v>
      </c>
    </row>
    <row r="2186" spans="1:14">
      <c r="A2186" s="12" t="s">
        <v>6714</v>
      </c>
      <c r="B2186" s="13" t="s">
        <v>718</v>
      </c>
      <c r="C2186" s="14" t="s">
        <v>6809</v>
      </c>
      <c r="D2186" s="15">
        <v>41802.312858796293</v>
      </c>
      <c r="E2186" s="16" t="s">
        <v>43</v>
      </c>
      <c r="F2186" s="16" t="s">
        <v>16</v>
      </c>
      <c r="G2186" s="17" t="s">
        <v>4854</v>
      </c>
      <c r="H2186" s="17" t="s">
        <v>2136</v>
      </c>
      <c r="I2186" s="13" t="s">
        <v>6810</v>
      </c>
      <c r="J2186" s="23" t="str">
        <f>HYPERLINK("CorLog\LKA\BEX\20140612 LKA BEX Mech as-built drawings, phase D (AUS-to-RDC).msg", "Mech as-built drawings, phase D")</f>
        <v>Mech as-built drawings, phase D</v>
      </c>
      <c r="K2186" s="25" t="s">
        <v>1243</v>
      </c>
      <c r="L2186" s="19" t="s">
        <v>6465</v>
      </c>
      <c r="M2186" s="20"/>
      <c r="N2186" s="21" t="s">
        <v>6811</v>
      </c>
    </row>
    <row r="2187" spans="1:14">
      <c r="A2187" s="12" t="s">
        <v>750</v>
      </c>
      <c r="B2187" s="13" t="s">
        <v>5413</v>
      </c>
      <c r="C2187" s="14" t="s">
        <v>718</v>
      </c>
      <c r="D2187" s="15">
        <v>41801.862604166665</v>
      </c>
      <c r="E2187" s="16" t="s">
        <v>16</v>
      </c>
      <c r="F2187" s="16" t="s">
        <v>21</v>
      </c>
      <c r="G2187" s="17" t="s">
        <v>790</v>
      </c>
      <c r="H2187" s="17" t="s">
        <v>851</v>
      </c>
      <c r="I2187" s="13" t="s">
        <v>6812</v>
      </c>
      <c r="J2187" s="23" t="str">
        <f>HYPERLINK("CorLog\GHA\BEX\20140611 GHA BEX Res 4 2 DCP TEST Analysis by MA (RDC-to-GHA).msg", "Res 4 2 DCP TEST Analysis by MA")</f>
        <v>Res 4 2 DCP TEST Analysis by MA</v>
      </c>
      <c r="K2187" s="25" t="s">
        <v>1211</v>
      </c>
      <c r="L2187" s="19" t="s">
        <v>6813</v>
      </c>
      <c r="M2187" s="20"/>
      <c r="N2187" s="21" t="s">
        <v>6814</v>
      </c>
    </row>
    <row r="2188" spans="1:14">
      <c r="A2188" s="12" t="s">
        <v>750</v>
      </c>
      <c r="B2188" s="13" t="s">
        <v>1818</v>
      </c>
      <c r="C2188" s="14" t="s">
        <v>6815</v>
      </c>
      <c r="D2188" s="15">
        <v>41801.814386574071</v>
      </c>
      <c r="E2188" s="16" t="s">
        <v>16</v>
      </c>
      <c r="F2188" s="16" t="s">
        <v>16</v>
      </c>
      <c r="G2188" s="17" t="s">
        <v>790</v>
      </c>
      <c r="H2188" s="17" t="s">
        <v>839</v>
      </c>
      <c r="I2188" s="13" t="s">
        <v>6816</v>
      </c>
      <c r="J2188" s="23" t="str">
        <f>HYPERLINK("CorLog\GHA\BEX\20140611 GHA BEX Tests and Use of Stockpile in-situ soil (MALLAN Comments) (RDC-to-RDC).msg", "Tests and Use of Stockpile in-situ soil (MALLAN Comments)")</f>
        <v>Tests and Use of Stockpile in-situ soil (MALLAN Comments)</v>
      </c>
      <c r="K2188" s="25" t="s">
        <v>1270</v>
      </c>
      <c r="L2188" s="19" t="s">
        <v>6817</v>
      </c>
      <c r="M2188" s="20"/>
      <c r="N2188" s="21" t="s">
        <v>6818</v>
      </c>
    </row>
    <row r="2189" spans="1:14">
      <c r="A2189" s="12" t="s">
        <v>724</v>
      </c>
      <c r="B2189" s="13" t="s">
        <v>1552</v>
      </c>
      <c r="C2189" s="14" t="s">
        <v>6819</v>
      </c>
      <c r="D2189" s="15">
        <v>41801.794976851852</v>
      </c>
      <c r="E2189" s="16" t="s">
        <v>16</v>
      </c>
      <c r="F2189" s="16" t="s">
        <v>18</v>
      </c>
      <c r="G2189" s="17" t="s">
        <v>780</v>
      </c>
      <c r="H2189" s="17" t="s">
        <v>6820</v>
      </c>
      <c r="I2189" s="13" t="s">
        <v>6821</v>
      </c>
      <c r="J2189" s="23" t="str">
        <f>HYPERLINK("CorLog\ZMB\LDC\20140611 ZMB LDC Draft NLBR - For Metal Doors (RDC-to-ZMB).msg", "Draft NLBR - For Metal Doors")</f>
        <v>Draft NLBR - For Metal Doors</v>
      </c>
      <c r="K2189" s="25" t="s">
        <v>1211</v>
      </c>
      <c r="L2189" s="19"/>
      <c r="M2189" s="20"/>
      <c r="N2189" s="21" t="s">
        <v>6822</v>
      </c>
    </row>
    <row r="2190" spans="1:14">
      <c r="A2190" s="12" t="s">
        <v>724</v>
      </c>
      <c r="B2190" s="13" t="s">
        <v>972</v>
      </c>
      <c r="C2190" s="14" t="s">
        <v>6823</v>
      </c>
      <c r="D2190" s="15">
        <v>41801.78429398148</v>
      </c>
      <c r="E2190" s="16" t="s">
        <v>16</v>
      </c>
      <c r="F2190" s="16" t="s">
        <v>18</v>
      </c>
      <c r="G2190" s="17" t="s">
        <v>1065</v>
      </c>
      <c r="H2190" s="17" t="s">
        <v>781</v>
      </c>
      <c r="I2190" s="13" t="s">
        <v>6824</v>
      </c>
      <c r="J2190" s="23" t="str">
        <f>HYPERLINK("CorLog\ZMB\RTO Projects\20140611 ZMB RTO Projects Communication through vacation periods (RDC-to-ZMB).msg", "Communication through vacation periods")</f>
        <v>Communication through vacation periods</v>
      </c>
      <c r="K2190" s="25"/>
      <c r="L2190" s="19" t="s">
        <v>6825</v>
      </c>
      <c r="M2190" s="20"/>
      <c r="N2190" s="21" t="s">
        <v>6826</v>
      </c>
    </row>
    <row r="2191" spans="1:14">
      <c r="A2191" s="12" t="s">
        <v>5413</v>
      </c>
      <c r="B2191" s="13" t="s">
        <v>718</v>
      </c>
      <c r="C2191" s="14" t="s">
        <v>6827</v>
      </c>
      <c r="D2191" s="15">
        <v>41801.703888888886</v>
      </c>
      <c r="E2191" s="16" t="s">
        <v>21</v>
      </c>
      <c r="F2191" s="16" t="s">
        <v>16</v>
      </c>
      <c r="G2191" s="17" t="s">
        <v>790</v>
      </c>
      <c r="H2191" s="17" t="s">
        <v>851</v>
      </c>
      <c r="I2191" s="13" t="s">
        <v>6828</v>
      </c>
      <c r="J2191" s="23" t="str">
        <f>HYPERLINK("CorLog\GHA\BEX\20140611 GHA BEX Res 4 2 25x DCP Tests (GHA-to-RDC).msg", "Res 4 2 25x DCP Tests")</f>
        <v>Res 4 2 25x DCP Tests</v>
      </c>
      <c r="K2191" s="25" t="s">
        <v>1243</v>
      </c>
      <c r="L2191" s="19"/>
      <c r="M2191" s="20"/>
      <c r="N2191" s="21" t="s">
        <v>6829</v>
      </c>
    </row>
    <row r="2192" spans="1:14">
      <c r="A2192" s="12" t="s">
        <v>750</v>
      </c>
      <c r="B2192" s="13" t="s">
        <v>6830</v>
      </c>
      <c r="C2192" s="14" t="s">
        <v>6831</v>
      </c>
      <c r="D2192" s="15">
        <v>41801.700416666667</v>
      </c>
      <c r="E2192" s="16" t="s">
        <v>16</v>
      </c>
      <c r="F2192" s="16" t="s">
        <v>15</v>
      </c>
      <c r="G2192" s="17" t="s">
        <v>738</v>
      </c>
      <c r="H2192" s="17" t="s">
        <v>1000</v>
      </c>
      <c r="I2192" s="13" t="s">
        <v>6832</v>
      </c>
      <c r="J2192" s="23" t="str">
        <f>HYPERLINK("CorLog\GHA\BEX 2\20140611 GHA BEX 2 'the way forward' with the NEW Buildings (RDC-to-ZAF).msg", "'the way forward' with the NEW Buildings")</f>
        <v>'the way forward' with the NEW Buildings</v>
      </c>
      <c r="K2192" s="25"/>
      <c r="L2192" s="19" t="s">
        <v>6833</v>
      </c>
      <c r="M2192" s="20"/>
      <c r="N2192" s="21" t="s">
        <v>6834</v>
      </c>
    </row>
    <row r="2193" spans="1:14">
      <c r="A2193" s="12" t="s">
        <v>1818</v>
      </c>
      <c r="B2193" s="13" t="s">
        <v>718</v>
      </c>
      <c r="C2193" s="14"/>
      <c r="D2193" s="15">
        <v>41801.69023148148</v>
      </c>
      <c r="E2193" s="16" t="s">
        <v>16</v>
      </c>
      <c r="F2193" s="16" t="s">
        <v>16</v>
      </c>
      <c r="G2193" s="17" t="s">
        <v>790</v>
      </c>
      <c r="H2193" s="17" t="s">
        <v>839</v>
      </c>
      <c r="I2193" s="13" t="s">
        <v>6835</v>
      </c>
      <c r="J2193" s="23" t="str">
        <f>HYPERLINK("CorLog\GHA\BEX\20140611 GHA BEX Tests and Use of Stockpile in-situ soil (RDC-to-RDC).msg", "Tests and Use of Stockpile in-situ soil")</f>
        <v>Tests and Use of Stockpile in-situ soil</v>
      </c>
      <c r="K2193" s="25"/>
      <c r="L2193" s="19" t="s">
        <v>6836</v>
      </c>
      <c r="M2193" s="20"/>
      <c r="N2193" s="21" t="s">
        <v>6837</v>
      </c>
    </row>
    <row r="2194" spans="1:14">
      <c r="A2194" s="12" t="s">
        <v>718</v>
      </c>
      <c r="B2194" s="13" t="s">
        <v>1258</v>
      </c>
      <c r="C2194" s="14"/>
      <c r="D2194" s="15">
        <v>41801.587141203701</v>
      </c>
      <c r="E2194" s="16" t="s">
        <v>16</v>
      </c>
      <c r="F2194" s="16" t="s">
        <v>16</v>
      </c>
      <c r="G2194" s="17" t="s">
        <v>738</v>
      </c>
      <c r="H2194" s="17" t="s">
        <v>3538</v>
      </c>
      <c r="I2194" s="13" t="s">
        <v>6838</v>
      </c>
      <c r="J2194" s="23" t="str">
        <f>HYPERLINK("CorLog\GHA\BEX 2\20140611 GHA BEX 2 Decide residence style (single vs double); who to design buildings (RDC or OLA)--Minutes (RDC-to-RDC).msg", "Decide residence style (single vs double); who to design buildings (RDC or OLA)--Minutes")</f>
        <v>Decide residence style (single vs double); who to design buildings (RDC or OLA)--Minutes</v>
      </c>
      <c r="K2194" s="25" t="s">
        <v>1211</v>
      </c>
      <c r="L2194" s="19" t="s">
        <v>6839</v>
      </c>
      <c r="M2194" s="20"/>
      <c r="N2194" s="21" t="s">
        <v>6840</v>
      </c>
    </row>
    <row r="2195" spans="1:14">
      <c r="A2195" s="12" t="s">
        <v>718</v>
      </c>
      <c r="B2195" s="13" t="s">
        <v>5413</v>
      </c>
      <c r="C2195" s="14" t="s">
        <v>6841</v>
      </c>
      <c r="D2195" s="15">
        <v>41801.54896990741</v>
      </c>
      <c r="E2195" s="16" t="s">
        <v>16</v>
      </c>
      <c r="F2195" s="16" t="s">
        <v>21</v>
      </c>
      <c r="G2195" s="17" t="s">
        <v>790</v>
      </c>
      <c r="H2195" s="17" t="s">
        <v>854</v>
      </c>
      <c r="I2195" s="13" t="s">
        <v>6842</v>
      </c>
      <c r="J2195" s="23" t="str">
        <f>HYPERLINK("CorLog\GHA\BEX\20140611 GHA BEX Review Generator Housing Shop Detail Drawings (No Comments) (RDC-to-GHA).msg", "Review Generator Housing Shop Detail Drawings (No Comments)")</f>
        <v>Review Generator Housing Shop Detail Drawings (No Comments)</v>
      </c>
      <c r="K2195" s="25" t="s">
        <v>1211</v>
      </c>
      <c r="L2195" s="19" t="s">
        <v>6843</v>
      </c>
      <c r="M2195" s="20"/>
      <c r="N2195" s="21" t="s">
        <v>6844</v>
      </c>
    </row>
    <row r="2196" spans="1:14">
      <c r="A2196" s="12" t="s">
        <v>718</v>
      </c>
      <c r="B2196" s="13" t="s">
        <v>6429</v>
      </c>
      <c r="C2196" s="14" t="s">
        <v>6845</v>
      </c>
      <c r="D2196" s="15">
        <v>41801.449953703705</v>
      </c>
      <c r="E2196" s="16" t="s">
        <v>16</v>
      </c>
      <c r="F2196" s="16" t="s">
        <v>26</v>
      </c>
      <c r="G2196" s="17" t="s">
        <v>30</v>
      </c>
      <c r="H2196" s="17" t="s">
        <v>2006</v>
      </c>
      <c r="I2196" s="13" t="s">
        <v>6846</v>
      </c>
      <c r="J2196" s="23" t="str">
        <f>HYPERLINK("CorLog\ALL\20140611 ALL SALTO Access ControlCISA and ISEO Panic bar specs; RFQ Final Pricing (RDC-to-).msg", "SALTO Access ControlCISA and ISEO Panic bar specs; RFQ Final Pricing")</f>
        <v>SALTO Access ControlCISA and ISEO Panic bar specs; RFQ Final Pricing</v>
      </c>
      <c r="K2196" s="25" t="s">
        <v>1243</v>
      </c>
      <c r="L2196" s="19"/>
      <c r="M2196" s="20"/>
      <c r="N2196" s="21" t="s">
        <v>6847</v>
      </c>
    </row>
    <row r="2197" spans="1:14">
      <c r="A2197" s="12" t="s">
        <v>718</v>
      </c>
      <c r="B2197" s="13" t="s">
        <v>972</v>
      </c>
      <c r="C2197" s="14" t="s">
        <v>6848</v>
      </c>
      <c r="D2197" s="15">
        <v>41801.408333333333</v>
      </c>
      <c r="E2197" s="16" t="s">
        <v>16</v>
      </c>
      <c r="F2197" s="16" t="s">
        <v>18</v>
      </c>
      <c r="G2197" s="17" t="s">
        <v>2751</v>
      </c>
      <c r="H2197" s="17" t="s">
        <v>1131</v>
      </c>
      <c r="I2197" s="13" t="s">
        <v>6807</v>
      </c>
      <c r="J2197" s="23" t="str">
        <f>HYPERLINK("CorLog\ZMB\Kasempa RTO\20140611 ZMB Kasempa RTO Questions from the CN-27 Review (RDC Commnets) (RDC-to-ZMB).msg", "Questions from the CN-27 Review (RDC Commnets)")</f>
        <v>Questions from the CN-27 Review (RDC Commnets)</v>
      </c>
      <c r="K2197" s="25" t="s">
        <v>1211</v>
      </c>
      <c r="L2197" s="19"/>
      <c r="M2197" s="20"/>
      <c r="N2197" s="21" t="s">
        <v>6849</v>
      </c>
    </row>
    <row r="2198" spans="1:14">
      <c r="A2198" s="12" t="s">
        <v>4950</v>
      </c>
      <c r="B2198" s="13" t="s">
        <v>718</v>
      </c>
      <c r="C2198" s="14" t="s">
        <v>6850</v>
      </c>
      <c r="D2198" s="15">
        <v>41801.383657407408</v>
      </c>
      <c r="E2198" s="16" t="s">
        <v>18</v>
      </c>
      <c r="F2198" s="16" t="s">
        <v>16</v>
      </c>
      <c r="G2198" s="17" t="s">
        <v>885</v>
      </c>
      <c r="H2198" s="17" t="s">
        <v>851</v>
      </c>
      <c r="I2198" s="13" t="s">
        <v>6851</v>
      </c>
      <c r="J2198" s="23" t="str">
        <f>HYPERLINK("CorLog\ZMB\Kabompo RTO\20140611 ZMB Kabompo RTO DCP Results Res 1st section (ZMB-to-RDC).msg", "DCP Results Res 1st section")</f>
        <v>DCP Results Res 1st section</v>
      </c>
      <c r="K2198" s="25" t="s">
        <v>1211</v>
      </c>
      <c r="L2198" s="19"/>
      <c r="M2198" s="20"/>
      <c r="N2198" s="21" t="s">
        <v>6852</v>
      </c>
    </row>
    <row r="2199" spans="1:14">
      <c r="A2199" s="12" t="s">
        <v>6853</v>
      </c>
      <c r="B2199" s="13"/>
      <c r="C2199" s="14"/>
      <c r="D2199" s="15">
        <v>41801</v>
      </c>
      <c r="E2199" s="16" t="s">
        <v>17</v>
      </c>
      <c r="F2199" s="16" t="s">
        <v>16</v>
      </c>
      <c r="G2199" s="17" t="s">
        <v>864</v>
      </c>
      <c r="H2199" s="17" t="s">
        <v>1000</v>
      </c>
      <c r="I2199" s="13" t="s">
        <v>6551</v>
      </c>
      <c r="J2199" s="18" t="str">
        <f>HYPERLINK("CorLog\COD\Choral Studio\20140611 COD Choral Studio Choral Recording Facilities (WDC-to-RDC).doc", "Choral Recording Facilities")</f>
        <v>Choral Recording Facilities</v>
      </c>
      <c r="K2199" s="22"/>
      <c r="L2199" s="19"/>
      <c r="M2199" s="20"/>
      <c r="N2199" s="21" t="s">
        <v>6854</v>
      </c>
    </row>
    <row r="2200" spans="1:14">
      <c r="A2200" s="12" t="s">
        <v>5207</v>
      </c>
      <c r="B2200" s="13" t="s">
        <v>1160</v>
      </c>
      <c r="C2200" s="14" t="s">
        <v>4136</v>
      </c>
      <c r="D2200" s="15">
        <v>41800.554108796299</v>
      </c>
      <c r="E2200" s="16" t="s">
        <v>16</v>
      </c>
      <c r="F2200" s="16" t="s">
        <v>20</v>
      </c>
      <c r="G2200" s="17" t="s">
        <v>979</v>
      </c>
      <c r="H2200" s="17" t="s">
        <v>886</v>
      </c>
      <c r="I2200" s="13" t="s">
        <v>6855</v>
      </c>
      <c r="J2200" s="23" t="str">
        <f>HYPERLINK("CorLog\RTO\Projects\20140610 RTO Projects Standard RTO MTO network items (RDC-to-MOZ).msg", "Standard RTO MTO network items")</f>
        <v>Standard RTO MTO network items</v>
      </c>
      <c r="K2200" s="25" t="s">
        <v>1211</v>
      </c>
      <c r="L2200" s="19"/>
      <c r="M2200" s="20"/>
      <c r="N2200" s="21" t="s">
        <v>6856</v>
      </c>
    </row>
    <row r="2201" spans="1:14">
      <c r="A2201" s="12" t="s">
        <v>5207</v>
      </c>
      <c r="B2201" s="13" t="s">
        <v>718</v>
      </c>
      <c r="C2201" s="14"/>
      <c r="D2201" s="15">
        <v>41800.527581018519</v>
      </c>
      <c r="E2201" s="16" t="s">
        <v>16</v>
      </c>
      <c r="F2201" s="16" t="s">
        <v>16</v>
      </c>
      <c r="G2201" s="17" t="s">
        <v>979</v>
      </c>
      <c r="H2201" s="17" t="s">
        <v>1000</v>
      </c>
      <c r="I2201" s="13" t="s">
        <v>6857</v>
      </c>
      <c r="J2201" s="23" t="str">
        <f>HYPERLINK("CorLog\RTO\Projects\20140610 RTO Projects Comments from HT about RTO sizing, spec (RDC-to-RDC).msg", "Comments from HT about RTO sizing, spec")</f>
        <v>Comments from HT about RTO sizing, spec</v>
      </c>
      <c r="K2201" s="25" t="s">
        <v>1211</v>
      </c>
      <c r="L2201" s="19"/>
      <c r="M2201" s="20"/>
      <c r="N2201" s="21" t="s">
        <v>6858</v>
      </c>
    </row>
    <row r="2202" spans="1:14">
      <c r="A2202" s="12" t="s">
        <v>718</v>
      </c>
      <c r="B2202" s="13" t="s">
        <v>750</v>
      </c>
      <c r="C2202" s="14"/>
      <c r="D2202" s="15">
        <v>41800.42423611111</v>
      </c>
      <c r="E2202" s="16" t="s">
        <v>16</v>
      </c>
      <c r="F2202" s="16" t="s">
        <v>16</v>
      </c>
      <c r="G2202" s="17" t="s">
        <v>738</v>
      </c>
      <c r="H2202" s="17" t="s">
        <v>5758</v>
      </c>
      <c r="I2202" s="13" t="s">
        <v>6859</v>
      </c>
      <c r="J2202" s="23" t="str">
        <f>HYPERLINK("CorLog\GHA\BEX 2\20140610 GHA BEX 2 Original residence building drawings (RDC-to-RDC).msg", "Original residence building drawings")</f>
        <v>Original residence building drawings</v>
      </c>
      <c r="K2202" s="25"/>
      <c r="L2202" s="19"/>
      <c r="M2202" s="20"/>
      <c r="N2202" s="21" t="s">
        <v>6860</v>
      </c>
    </row>
    <row r="2203" spans="1:14">
      <c r="A2203" s="12" t="s">
        <v>1784</v>
      </c>
      <c r="B2203" s="13" t="s">
        <v>718</v>
      </c>
      <c r="C2203" s="14" t="s">
        <v>750</v>
      </c>
      <c r="D2203" s="15">
        <v>41800.394837962966</v>
      </c>
      <c r="E2203" s="16" t="s">
        <v>16</v>
      </c>
      <c r="F2203" s="16" t="s">
        <v>16</v>
      </c>
      <c r="G2203" s="17" t="s">
        <v>4854</v>
      </c>
      <c r="H2203" s="17" t="s">
        <v>2136</v>
      </c>
      <c r="I2203" s="13" t="s">
        <v>6861</v>
      </c>
      <c r="J2203" s="23" t="str">
        <f>HYPERLINK("CorLog\LKA\BEX\20140610 LKA BEX LKA 01 &amp; LKA 02 Civil &amp; Struct As Builts (RDC-to-RDC).msg", "LKA 01 &amp; LKA 02 Civil &amp; Struct As Builts")</f>
        <v>LKA 01 &amp; LKA 02 Civil &amp; Struct As Builts</v>
      </c>
      <c r="K2203" s="25"/>
      <c r="L2203" s="19" t="s">
        <v>6465</v>
      </c>
      <c r="M2203" s="20"/>
      <c r="N2203" s="21" t="s">
        <v>6862</v>
      </c>
    </row>
    <row r="2204" spans="1:14">
      <c r="A2204" s="12" t="s">
        <v>718</v>
      </c>
      <c r="B2204" s="13" t="s">
        <v>1529</v>
      </c>
      <c r="C2204" s="14" t="s">
        <v>6863</v>
      </c>
      <c r="D2204" s="15">
        <v>41800.383657407408</v>
      </c>
      <c r="E2204" s="16" t="s">
        <v>16</v>
      </c>
      <c r="F2204" s="16" t="s">
        <v>18</v>
      </c>
      <c r="G2204" s="17" t="s">
        <v>979</v>
      </c>
      <c r="H2204" s="17" t="s">
        <v>2412</v>
      </c>
      <c r="I2204" s="13" t="s">
        <v>6864</v>
      </c>
      <c r="J2204" s="23" t="str">
        <f>HYPERLINK("CorLog\RTO\Projects\20140610 RTO Projects RTO Electrolux Equipment Update--Therma 85 Free cooking top (RDC-to-ZMB).msg", "RTO Electrolux Equipment Update--Therma 85 Free cooking top")</f>
        <v>RTO Electrolux Equipment Update--Therma 85 Free cooking top</v>
      </c>
      <c r="K2204" s="25" t="s">
        <v>1243</v>
      </c>
      <c r="L2204" s="19" t="s">
        <v>6865</v>
      </c>
      <c r="M2204" s="20"/>
      <c r="N2204" s="21" t="s">
        <v>6866</v>
      </c>
    </row>
    <row r="2205" spans="1:14">
      <c r="A2205" s="12" t="s">
        <v>718</v>
      </c>
      <c r="B2205" s="13" t="s">
        <v>5413</v>
      </c>
      <c r="C2205" s="14"/>
      <c r="D2205" s="15">
        <v>41799.724756944444</v>
      </c>
      <c r="E2205" s="16" t="s">
        <v>16</v>
      </c>
      <c r="F2205" s="16" t="s">
        <v>21</v>
      </c>
      <c r="G2205" s="17" t="s">
        <v>790</v>
      </c>
      <c r="H2205" s="17" t="s">
        <v>851</v>
      </c>
      <c r="I2205" s="13" t="s">
        <v>6867</v>
      </c>
      <c r="J2205" s="23" t="str">
        <f>HYPERLINK("CorLog\GHA\BEX\20140609 GHA BEX Earthworks Compaction Challenges--DCP in virgin soil as deep as possible (RDC-to-GHA).msg", "Earthworks Compaction Challenges--DCP in virgin soil as deep as possible")</f>
        <v>Earthworks Compaction Challenges--DCP in virgin soil as deep as possible</v>
      </c>
      <c r="K2205" s="25" t="s">
        <v>1211</v>
      </c>
      <c r="L2205" s="19"/>
      <c r="M2205" s="20"/>
      <c r="N2205" s="21" t="s">
        <v>6868</v>
      </c>
    </row>
    <row r="2206" spans="1:14">
      <c r="A2206" s="12" t="s">
        <v>5413</v>
      </c>
      <c r="B2206" s="13" t="s">
        <v>718</v>
      </c>
      <c r="C2206" s="14" t="s">
        <v>827</v>
      </c>
      <c r="D2206" s="15">
        <v>41799.640960648147</v>
      </c>
      <c r="E2206" s="16" t="s">
        <v>21</v>
      </c>
      <c r="F2206" s="16" t="s">
        <v>16</v>
      </c>
      <c r="G2206" s="17" t="s">
        <v>790</v>
      </c>
      <c r="H2206" s="17" t="s">
        <v>6869</v>
      </c>
      <c r="I2206" s="13" t="s">
        <v>6870</v>
      </c>
      <c r="J2206" s="23" t="str">
        <f>HYPERLINK("CorLog\GHA\BEX\20140609 GHA BEX List of additional work costs to be added to next AO-6 (GHA-to-RDC).msg", "List of additional work costs to be added to next AO-6")</f>
        <v>List of additional work costs to be added to next AO-6</v>
      </c>
      <c r="K2206" s="25" t="s">
        <v>1211</v>
      </c>
      <c r="L2206" s="19"/>
      <c r="M2206" s="20"/>
      <c r="N2206" s="21" t="s">
        <v>6871</v>
      </c>
    </row>
    <row r="2207" spans="1:14">
      <c r="A2207" s="12" t="s">
        <v>5413</v>
      </c>
      <c r="B2207" s="13" t="s">
        <v>718</v>
      </c>
      <c r="C2207" s="14" t="s">
        <v>827</v>
      </c>
      <c r="D2207" s="15">
        <v>41799.625497685185</v>
      </c>
      <c r="E2207" s="16" t="s">
        <v>21</v>
      </c>
      <c r="F2207" s="16" t="s">
        <v>16</v>
      </c>
      <c r="G2207" s="17" t="s">
        <v>790</v>
      </c>
      <c r="H2207" s="17" t="s">
        <v>6872</v>
      </c>
      <c r="I2207" s="13" t="s">
        <v>6873</v>
      </c>
      <c r="J2207" s="23" t="str">
        <f>HYPERLINK("CorLog\GHA\BEX\20140609 GHA BEX Box Culvert pricing update (GHA-to-RDC).msg", "Box Culvert pricing update")</f>
        <v>Box Culvert pricing update</v>
      </c>
      <c r="K2207" s="25" t="s">
        <v>1243</v>
      </c>
      <c r="L2207" s="19"/>
      <c r="M2207" s="20"/>
      <c r="N2207" s="21" t="s">
        <v>6874</v>
      </c>
    </row>
    <row r="2208" spans="1:14">
      <c r="A2208" s="12" t="s">
        <v>718</v>
      </c>
      <c r="B2208" s="13" t="s">
        <v>1181</v>
      </c>
      <c r="C2208" s="14"/>
      <c r="D2208" s="15">
        <v>41799.598773148151</v>
      </c>
      <c r="E2208" s="16" t="s">
        <v>16</v>
      </c>
      <c r="F2208" s="16" t="s">
        <v>16</v>
      </c>
      <c r="G2208" s="17" t="s">
        <v>1070</v>
      </c>
      <c r="H2208" s="17" t="s">
        <v>803</v>
      </c>
      <c r="I2208" s="13" t="s">
        <v>6875</v>
      </c>
      <c r="J2208" s="23" t="str">
        <f>HYPERLINK("CorLog\ZMB\Katete RTO\20140609 ZMB Katete RTO Begin drawing coordination on June 16 (RDC-to-RDC).msg", "Begin drawing coordination on June 16")</f>
        <v>Begin drawing coordination on June 16</v>
      </c>
      <c r="K2208" s="25"/>
      <c r="L2208" s="19"/>
      <c r="M2208" s="20"/>
      <c r="N2208" s="21" t="s">
        <v>6876</v>
      </c>
    </row>
    <row r="2209" spans="1:14">
      <c r="A2209" s="12" t="s">
        <v>5713</v>
      </c>
      <c r="B2209" s="13" t="s">
        <v>1552</v>
      </c>
      <c r="C2209" s="14" t="s">
        <v>6877</v>
      </c>
      <c r="D2209" s="15">
        <v>41799.482488425929</v>
      </c>
      <c r="E2209" s="16" t="s">
        <v>15</v>
      </c>
      <c r="F2209" s="16" t="s">
        <v>18</v>
      </c>
      <c r="G2209" s="17" t="s">
        <v>1112</v>
      </c>
      <c r="H2209" s="17" t="s">
        <v>6489</v>
      </c>
      <c r="I2209" s="13" t="s">
        <v>6878</v>
      </c>
      <c r="J2209" s="23" t="str">
        <f>HYPERLINK("CorLog\ZMB\BEX\20140609 ZMB BEX Quote of ZAF galv metal costs (ZAF-to-ZMB).msg", "Quote of ZAF galv metal costs")</f>
        <v>Quote of ZAF galv metal costs</v>
      </c>
      <c r="K2209" s="25" t="s">
        <v>1211</v>
      </c>
      <c r="L2209" s="19" t="s">
        <v>6879</v>
      </c>
      <c r="M2209" s="20"/>
      <c r="N2209" s="21" t="s">
        <v>6880</v>
      </c>
    </row>
    <row r="2210" spans="1:14">
      <c r="A2210" s="12" t="s">
        <v>718</v>
      </c>
      <c r="B2210" s="13" t="s">
        <v>1784</v>
      </c>
      <c r="C2210" s="14" t="s">
        <v>750</v>
      </c>
      <c r="D2210" s="15">
        <v>41796.783333333333</v>
      </c>
      <c r="E2210" s="16" t="s">
        <v>16</v>
      </c>
      <c r="F2210" s="16" t="s">
        <v>16</v>
      </c>
      <c r="G2210" s="17" t="s">
        <v>6881</v>
      </c>
      <c r="H2210" s="17" t="s">
        <v>4855</v>
      </c>
      <c r="I2210" s="13" t="s">
        <v>6882</v>
      </c>
      <c r="J2210" s="23" t="str">
        <f>HYPERLINK("CorLog\LKA\Branch\20140606 LKA Branch As Built Query TV AHU line (RDC-to-RDC).msg", "As Built Query TV AHU line")</f>
        <v>As Built Query TV AHU line</v>
      </c>
      <c r="K2210" s="25"/>
      <c r="L2210" s="19"/>
      <c r="M2210" s="20"/>
      <c r="N2210" s="21" t="s">
        <v>6883</v>
      </c>
    </row>
    <row r="2211" spans="1:14">
      <c r="A2211" s="12"/>
      <c r="B2211" s="13" t="s">
        <v>718</v>
      </c>
      <c r="C2211" s="14"/>
      <c r="D2211" s="15">
        <v>41796.759340277778</v>
      </c>
      <c r="E2211" s="16" t="s">
        <v>44</v>
      </c>
      <c r="F2211" s="16" t="s">
        <v>16</v>
      </c>
      <c r="G2211" s="17" t="s">
        <v>6881</v>
      </c>
      <c r="H2211" s="17" t="s">
        <v>2136</v>
      </c>
      <c r="I2211" s="13" t="s">
        <v>6882</v>
      </c>
      <c r="J2211" s="23" t="str">
        <f>HYPERLINK("CorLog\LKA\Branch\20140606 LKA Branch As Built Query TV AHU line (LKA-to-RDC).msg", "As Built Query TV AHU line")</f>
        <v>As Built Query TV AHU line</v>
      </c>
      <c r="K2211" s="25" t="s">
        <v>1211</v>
      </c>
      <c r="L2211" s="19"/>
      <c r="M2211" s="20"/>
      <c r="N2211" s="21" t="s">
        <v>6884</v>
      </c>
    </row>
    <row r="2212" spans="1:14">
      <c r="A2212" s="12" t="s">
        <v>718</v>
      </c>
      <c r="B2212" s="13" t="s">
        <v>718</v>
      </c>
      <c r="C2212" s="14"/>
      <c r="D2212" s="15">
        <v>41796.705879629626</v>
      </c>
      <c r="E2212" s="16" t="s">
        <v>16</v>
      </c>
      <c r="F2212" s="16" t="s">
        <v>16</v>
      </c>
      <c r="G2212" s="17" t="s">
        <v>30</v>
      </c>
      <c r="H2212" s="17" t="s">
        <v>2333</v>
      </c>
      <c r="I2212" s="13" t="s">
        <v>6885</v>
      </c>
      <c r="J2212" s="23" t="str">
        <f>HYPERLINK("CorLog\ALL\20140606 ALL Project development Phases (Meeting Minutes) (RDC-to-RDC).msg", "Project development Phases (Meeting Minutes)")</f>
        <v>Project development Phases (Meeting Minutes)</v>
      </c>
      <c r="K2212" s="25"/>
      <c r="L2212" s="19" t="s">
        <v>6886</v>
      </c>
      <c r="M2212" s="20"/>
      <c r="N2212" s="21" t="s">
        <v>6887</v>
      </c>
    </row>
    <row r="2213" spans="1:14">
      <c r="A2213" s="12" t="s">
        <v>718</v>
      </c>
      <c r="B2213" s="13" t="s">
        <v>718</v>
      </c>
      <c r="C2213" s="14"/>
      <c r="D2213" s="15">
        <v>41796.705868055556</v>
      </c>
      <c r="E2213" s="16" t="s">
        <v>16</v>
      </c>
      <c r="F2213" s="16" t="s">
        <v>16</v>
      </c>
      <c r="G2213" s="17" t="s">
        <v>30</v>
      </c>
      <c r="H2213" s="17" t="s">
        <v>2333</v>
      </c>
      <c r="I2213" s="13" t="s">
        <v>6888</v>
      </c>
      <c r="J2213" s="23" t="str">
        <f>HYPERLINK("CorLog\ALL\20140606 ALL WDC Project development Phases, Meeting Minutes (RDC-to-RDC).msg", "WDC Project development Phases, Meeting Minutes")</f>
        <v>WDC Project development Phases, Meeting Minutes</v>
      </c>
      <c r="K2213" s="25"/>
      <c r="L2213" s="19"/>
      <c r="M2213" s="20"/>
      <c r="N2213" s="21" t="s">
        <v>6887</v>
      </c>
    </row>
    <row r="2214" spans="1:14">
      <c r="A2214" s="12" t="s">
        <v>718</v>
      </c>
      <c r="B2214" s="13" t="s">
        <v>972</v>
      </c>
      <c r="C2214" s="14" t="s">
        <v>5849</v>
      </c>
      <c r="D2214" s="15">
        <v>41796.702789351853</v>
      </c>
      <c r="E2214" s="16" t="s">
        <v>16</v>
      </c>
      <c r="F2214" s="16" t="s">
        <v>18</v>
      </c>
      <c r="G2214" s="17" t="s">
        <v>946</v>
      </c>
      <c r="H2214" s="17" t="s">
        <v>854</v>
      </c>
      <c r="I2214" s="13" t="s">
        <v>6889</v>
      </c>
      <c r="J2214" s="23" t="str">
        <f>HYPERLINK("CorLog\ZMB\Mongu RTO\20140606 ZMB Mongu RTO Lintel Ring Beam (RDC-to-ZMB).msg", "Lintel Ring Beam")</f>
        <v>Lintel Ring Beam</v>
      </c>
      <c r="K2214" s="25"/>
      <c r="L2214" s="19" t="s">
        <v>6890</v>
      </c>
      <c r="M2214" s="20"/>
      <c r="N2214" s="21" t="s">
        <v>6891</v>
      </c>
    </row>
    <row r="2215" spans="1:14">
      <c r="A2215" s="12" t="s">
        <v>718</v>
      </c>
      <c r="B2215" s="13" t="s">
        <v>5413</v>
      </c>
      <c r="C2215" s="14" t="s">
        <v>6708</v>
      </c>
      <c r="D2215" s="15">
        <v>41796.619432870371</v>
      </c>
      <c r="E2215" s="16" t="s">
        <v>16</v>
      </c>
      <c r="F2215" s="16" t="s">
        <v>21</v>
      </c>
      <c r="G2215" s="17" t="s">
        <v>790</v>
      </c>
      <c r="H2215" s="17" t="s">
        <v>3159</v>
      </c>
      <c r="I2215" s="13" t="s">
        <v>6892</v>
      </c>
      <c r="J2215" s="23" t="str">
        <f>HYPERLINK("CorLog\GHA\BEX\20140606 GHA BEX Residence Foundation bearing capacity for local engineer (RDC-to-GHA).msg", "Residence Foundation bearing capacity for local engineer")</f>
        <v>Residence Foundation bearing capacity for local engineer</v>
      </c>
      <c r="K2215" s="25" t="s">
        <v>1211</v>
      </c>
      <c r="L2215" s="19" t="s">
        <v>6893</v>
      </c>
      <c r="M2215" s="20"/>
      <c r="N2215" s="21" t="s">
        <v>6894</v>
      </c>
    </row>
    <row r="2216" spans="1:14">
      <c r="A2216" s="12" t="s">
        <v>718</v>
      </c>
      <c r="B2216" s="13" t="s">
        <v>5413</v>
      </c>
      <c r="C2216" s="14" t="s">
        <v>6711</v>
      </c>
      <c r="D2216" s="15">
        <v>41796.596678240741</v>
      </c>
      <c r="E2216" s="16" t="s">
        <v>16</v>
      </c>
      <c r="F2216" s="16" t="s">
        <v>21</v>
      </c>
      <c r="G2216" s="17" t="s">
        <v>790</v>
      </c>
      <c r="H2216" s="17" t="s">
        <v>839</v>
      </c>
      <c r="I2216" s="13" t="s">
        <v>6895</v>
      </c>
      <c r="J2216" s="23" t="str">
        <f>HYPERLINK("CorLog\GHA\BEX\20140606 GHA BEX Earthworks Compaction Challenges, Res 4.2 (RDC-to-GHA).msg", "Earthworks Compaction Challenges, Res 4.2")</f>
        <v>Earthworks Compaction Challenges, Res 4.2</v>
      </c>
      <c r="K2216" s="25" t="s">
        <v>1270</v>
      </c>
      <c r="L2216" s="19"/>
      <c r="M2216" s="20"/>
      <c r="N2216" s="21" t="s">
        <v>6896</v>
      </c>
    </row>
    <row r="2217" spans="1:14">
      <c r="A2217" s="12" t="s">
        <v>750</v>
      </c>
      <c r="B2217" s="13" t="s">
        <v>4950</v>
      </c>
      <c r="C2217" s="14" t="s">
        <v>6897</v>
      </c>
      <c r="D2217" s="15">
        <v>41796.584374999999</v>
      </c>
      <c r="E2217" s="16" t="s">
        <v>16</v>
      </c>
      <c r="F2217" s="16" t="s">
        <v>18</v>
      </c>
      <c r="G2217" s="17" t="s">
        <v>885</v>
      </c>
      <c r="H2217" s="17" t="s">
        <v>844</v>
      </c>
      <c r="I2217" s="13" t="s">
        <v>6898</v>
      </c>
      <c r="J2217" s="23" t="str">
        <f>HYPERLINK("CorLog\ZMB\Kabompo RTO\20140606 ZMB Kabompo RTO 7 day crush test for Office footings (ACCEPTABLE) (RDC-to-ZMB).msg", "7 day crush test for Office footings (ACCEPTABLE)")</f>
        <v>7 day crush test for Office footings (ACCEPTABLE)</v>
      </c>
      <c r="K2217" s="25"/>
      <c r="L2217" s="19" t="s">
        <v>6899</v>
      </c>
      <c r="M2217" s="20"/>
      <c r="N2217" s="21" t="s">
        <v>6900</v>
      </c>
    </row>
    <row r="2218" spans="1:14">
      <c r="A2218" s="12" t="s">
        <v>718</v>
      </c>
      <c r="B2218" s="13" t="s">
        <v>6901</v>
      </c>
      <c r="C2218" s="14"/>
      <c r="D2218" s="15">
        <v>41796.584027777775</v>
      </c>
      <c r="E2218" s="16" t="s">
        <v>16</v>
      </c>
      <c r="F2218" s="16" t="s">
        <v>44</v>
      </c>
      <c r="G2218" s="17" t="s">
        <v>6881</v>
      </c>
      <c r="H2218" s="17" t="s">
        <v>2136</v>
      </c>
      <c r="I2218" s="13" t="s">
        <v>6902</v>
      </c>
      <c r="J2218" s="23" t="str">
        <f>HYPERLINK("CorLog\LKA\Branch\20140606 LKA Branch As-built--Fuel Tank (5000 gallon) near the front gate (RDC-to-LKA).msg", "As-built--Fuel Tank (5000 gallon) near the front gate")</f>
        <v>As-built--Fuel Tank (5000 gallon) near the front gate</v>
      </c>
      <c r="K2218" s="25"/>
      <c r="L2218" s="19"/>
      <c r="M2218" s="20"/>
      <c r="N2218" s="21" t="s">
        <v>6903</v>
      </c>
    </row>
    <row r="2219" spans="1:14">
      <c r="A2219" s="12" t="s">
        <v>718</v>
      </c>
      <c r="B2219" s="13" t="s">
        <v>6901</v>
      </c>
      <c r="C2219" s="14"/>
      <c r="D2219" s="15">
        <v>41796.567361111112</v>
      </c>
      <c r="E2219" s="16" t="s">
        <v>16</v>
      </c>
      <c r="F2219" s="16" t="s">
        <v>44</v>
      </c>
      <c r="G2219" s="17" t="s">
        <v>6881</v>
      </c>
      <c r="H2219" s="17" t="s">
        <v>2136</v>
      </c>
      <c r="I2219" s="13" t="s">
        <v>6904</v>
      </c>
      <c r="J2219" s="23" t="str">
        <f>HYPERLINK("CorLog\LKA\Branch\20140606 LKA Branch Structural As builts OS AHU Elevation detail (RDC-to-LKA).msg", "Structural As builts OS AHU Elevation detail")</f>
        <v>Structural As builts OS AHU Elevation detail</v>
      </c>
      <c r="K2219" s="25" t="s">
        <v>1211</v>
      </c>
      <c r="L2219" s="19"/>
      <c r="M2219" s="20"/>
      <c r="N2219" s="21" t="s">
        <v>6905</v>
      </c>
    </row>
    <row r="2220" spans="1:14">
      <c r="A2220" s="12" t="s">
        <v>5567</v>
      </c>
      <c r="B2220" s="13" t="s">
        <v>1418</v>
      </c>
      <c r="C2220" s="14" t="s">
        <v>6906</v>
      </c>
      <c r="D2220" s="15">
        <v>41795.737638888888</v>
      </c>
      <c r="E2220" s="16" t="s">
        <v>15</v>
      </c>
      <c r="F2220" s="16" t="s">
        <v>16</v>
      </c>
      <c r="G2220" s="17" t="s">
        <v>979</v>
      </c>
      <c r="H2220" s="17" t="s">
        <v>871</v>
      </c>
      <c r="I2220" s="13" t="s">
        <v>6907</v>
      </c>
      <c r="J2220" s="23" t="str">
        <f>HYPERLINK("CorLog\RTO\Projects\20140605 RTO Projects Commonly requested electrical items on the MTO (ZAF-to-RDC).msg", "Commonly requested electrical items on the MTO")</f>
        <v>Commonly requested electrical items on the MTO</v>
      </c>
      <c r="K2220" s="25"/>
      <c r="L2220" s="19" t="s">
        <v>6908</v>
      </c>
      <c r="M2220" s="20"/>
      <c r="N2220" s="21" t="s">
        <v>6909</v>
      </c>
    </row>
    <row r="2221" spans="1:14">
      <c r="A2221" s="12" t="s">
        <v>718</v>
      </c>
      <c r="B2221" s="13" t="s">
        <v>4950</v>
      </c>
      <c r="C2221" s="14" t="s">
        <v>750</v>
      </c>
      <c r="D2221" s="15">
        <v>41795.71802083333</v>
      </c>
      <c r="E2221" s="16" t="s">
        <v>16</v>
      </c>
      <c r="F2221" s="16" t="s">
        <v>18</v>
      </c>
      <c r="G2221" s="17" t="s">
        <v>885</v>
      </c>
      <c r="H2221" s="17" t="s">
        <v>803</v>
      </c>
      <c r="I2221" s="13" t="s">
        <v>6910</v>
      </c>
      <c r="J2221" s="23" t="str">
        <f>HYPERLINK("CorLog\ZMB\Kabompo RTO\20140605 ZMB Kabompo RTO C-501-S1 Revised soakaway detail (RDC-to-ZMB).msg", "C-501-S1 Revised soakaway detail")</f>
        <v>C-501-S1 Revised soakaway detail</v>
      </c>
      <c r="K2221" s="25" t="s">
        <v>1211</v>
      </c>
      <c r="L2221" s="19"/>
      <c r="M2221" s="20"/>
      <c r="N2221" s="21" t="s">
        <v>6911</v>
      </c>
    </row>
    <row r="2222" spans="1:14">
      <c r="A2222" s="12" t="s">
        <v>718</v>
      </c>
      <c r="B2222" s="13" t="s">
        <v>6912</v>
      </c>
      <c r="C2222" s="14" t="s">
        <v>6913</v>
      </c>
      <c r="D2222" s="15">
        <v>41795.658576388887</v>
      </c>
      <c r="E2222" s="16" t="s">
        <v>16</v>
      </c>
      <c r="F2222" s="16" t="s">
        <v>952</v>
      </c>
      <c r="G2222" s="17" t="s">
        <v>1169</v>
      </c>
      <c r="H2222" s="17" t="s">
        <v>2192</v>
      </c>
      <c r="I2222" s="13" t="s">
        <v>6914</v>
      </c>
      <c r="J2222" s="23" t="str">
        <f>HYPERLINK("CorLog\COD\Kikwit RTO\20140605 COD Kikwit RTO RFQ for Civil Design Package (RDC-to-WSP).msg", "RFQ for Civil Design Package")</f>
        <v>RFQ for Civil Design Package</v>
      </c>
      <c r="K2222" s="25"/>
      <c r="L2222" s="19"/>
      <c r="M2222" s="20"/>
      <c r="N2222" s="21" t="s">
        <v>6915</v>
      </c>
    </row>
    <row r="2223" spans="1:14">
      <c r="A2223" s="12" t="s">
        <v>5860</v>
      </c>
      <c r="B2223" s="13" t="s">
        <v>5804</v>
      </c>
      <c r="C2223" s="14" t="s">
        <v>2156</v>
      </c>
      <c r="D2223" s="15">
        <v>41795.648773148147</v>
      </c>
      <c r="E2223" s="16" t="s">
        <v>16</v>
      </c>
      <c r="F2223" s="16" t="s">
        <v>16</v>
      </c>
      <c r="G2223" s="17" t="s">
        <v>4606</v>
      </c>
      <c r="H2223" s="17" t="s">
        <v>1707</v>
      </c>
      <c r="I2223" s="13" t="s">
        <v>6916</v>
      </c>
      <c r="J2223" s="23" t="str">
        <f>HYPERLINK("CorLog\COD\BEX\20140605 COD BEX GF original estimate for choral studio (RDC-to-RDC).msg", "GF original estimate for choral studio")</f>
        <v>GF original estimate for choral studio</v>
      </c>
      <c r="K2223" s="25" t="s">
        <v>1211</v>
      </c>
      <c r="L2223" s="19"/>
      <c r="M2223" s="20"/>
      <c r="N2223" s="21" t="s">
        <v>6917</v>
      </c>
    </row>
    <row r="2224" spans="1:14">
      <c r="A2224" s="12" t="s">
        <v>718</v>
      </c>
      <c r="B2224" s="13" t="s">
        <v>4950</v>
      </c>
      <c r="C2224" s="14" t="s">
        <v>5781</v>
      </c>
      <c r="D2224" s="15">
        <v>41795.630162037036</v>
      </c>
      <c r="E2224" s="16" t="s">
        <v>16</v>
      </c>
      <c r="F2224" s="16" t="s">
        <v>18</v>
      </c>
      <c r="G2224" s="17" t="s">
        <v>885</v>
      </c>
      <c r="H2224" s="17" t="s">
        <v>803</v>
      </c>
      <c r="I2224" s="13" t="s">
        <v>6918</v>
      </c>
      <c r="J2224" s="23" t="str">
        <f>HYPERLINK("CorLog\ZMB\Kabompo RTO\20140605 ZMB Kabompo RTO C-501-S1 Revised soakaway detail (RDC-to-ZMB).msg", "C-501-S1 Revised soakaway detail")</f>
        <v>C-501-S1 Revised soakaway detail</v>
      </c>
      <c r="K2224" s="25" t="s">
        <v>1243</v>
      </c>
      <c r="L2224" s="19"/>
      <c r="M2224" s="20"/>
      <c r="N2224" s="21" t="s">
        <v>6919</v>
      </c>
    </row>
    <row r="2225" spans="1:14">
      <c r="A2225" s="12" t="s">
        <v>718</v>
      </c>
      <c r="B2225" s="13" t="s">
        <v>1529</v>
      </c>
      <c r="C2225" s="14" t="s">
        <v>6920</v>
      </c>
      <c r="D2225" s="15">
        <v>41795.623622685183</v>
      </c>
      <c r="E2225" s="16" t="s">
        <v>16</v>
      </c>
      <c r="F2225" s="16" t="s">
        <v>18</v>
      </c>
      <c r="G2225" s="17" t="s">
        <v>946</v>
      </c>
      <c r="H2225" s="17" t="s">
        <v>759</v>
      </c>
      <c r="I2225" s="13" t="s">
        <v>6889</v>
      </c>
      <c r="J2225" s="23" t="str">
        <f>HYPERLINK("CorLog\ZMB\Mongu RTO\20140605 ZMB Mongu RTO Lintel Ring Beam (RDC-to-ZMB).msg", "Lintel Ring Beam")</f>
        <v>Lintel Ring Beam</v>
      </c>
      <c r="K2225" s="25"/>
      <c r="L2225" s="19" t="s">
        <v>6921</v>
      </c>
      <c r="M2225" s="20"/>
      <c r="N2225" s="21" t="s">
        <v>6922</v>
      </c>
    </row>
    <row r="2226" spans="1:14">
      <c r="A2226" s="12"/>
      <c r="B2226" s="13"/>
      <c r="C2226" s="14"/>
      <c r="D2226" s="15">
        <v>41795.606168981481</v>
      </c>
      <c r="E2226" s="16" t="s">
        <v>25</v>
      </c>
      <c r="F2226" s="16" t="s">
        <v>30</v>
      </c>
      <c r="G2226" s="17" t="s">
        <v>30</v>
      </c>
      <c r="H2226" s="17" t="s">
        <v>719</v>
      </c>
      <c r="I2226" s="13" t="s">
        <v>6923</v>
      </c>
      <c r="J2226" s="23" t="str">
        <f>HYPERLINK("CorLog\ALL\20140605 ALL Vehicle Analysis Spreadsheet (-to-).xls", "Vehicle Analysis Spreadsheet")</f>
        <v>Vehicle Analysis Spreadsheet</v>
      </c>
      <c r="K2226" s="25"/>
      <c r="L2226" s="19" t="s">
        <v>6924</v>
      </c>
      <c r="M2226" s="20"/>
      <c r="N2226" s="21"/>
    </row>
    <row r="2227" spans="1:14">
      <c r="A2227" s="12" t="s">
        <v>718</v>
      </c>
      <c r="B2227" s="13" t="s">
        <v>1529</v>
      </c>
      <c r="C2227" s="14" t="s">
        <v>6925</v>
      </c>
      <c r="D2227" s="15">
        <v>41795.605393518519</v>
      </c>
      <c r="E2227" s="16" t="s">
        <v>16</v>
      </c>
      <c r="F2227" s="16" t="s">
        <v>18</v>
      </c>
      <c r="G2227" s="17" t="s">
        <v>946</v>
      </c>
      <c r="H2227" s="17" t="s">
        <v>1619</v>
      </c>
      <c r="I2227" s="13" t="s">
        <v>6926</v>
      </c>
      <c r="J2227" s="23" t="str">
        <f>HYPERLINK("CorLog\ZMB\Mongu RTO\20140605 ZMB Mongu RTO Material list for DB fabrication NLBR (RDC-to-ZMB).msg", "Material list for DB fabrication NLBR")</f>
        <v>Material list for DB fabrication NLBR</v>
      </c>
      <c r="K2227" s="25" t="s">
        <v>1211</v>
      </c>
      <c r="L2227" s="19"/>
      <c r="M2227" s="20"/>
      <c r="N2227" s="21" t="s">
        <v>6927</v>
      </c>
    </row>
    <row r="2228" spans="1:14">
      <c r="A2228" s="12" t="s">
        <v>718</v>
      </c>
      <c r="B2228" s="13" t="s">
        <v>1529</v>
      </c>
      <c r="C2228" s="14" t="s">
        <v>6928</v>
      </c>
      <c r="D2228" s="15">
        <v>41795.594039351854</v>
      </c>
      <c r="E2228" s="16" t="s">
        <v>16</v>
      </c>
      <c r="F2228" s="16" t="s">
        <v>18</v>
      </c>
      <c r="G2228" s="17" t="s">
        <v>946</v>
      </c>
      <c r="H2228" s="17" t="s">
        <v>2475</v>
      </c>
      <c r="I2228" s="13" t="s">
        <v>6929</v>
      </c>
      <c r="J2228" s="23" t="str">
        <f>HYPERLINK("CorLog\ZMB\Mongu RTO\20140605 ZMB Mongu RTO C-501-S1 Revised septic soakaway details (RDC-to-ZMB).msg", "C-501-S1 Revised septic soakaway details")</f>
        <v>C-501-S1 Revised septic soakaway details</v>
      </c>
      <c r="K2228" s="25" t="s">
        <v>1211</v>
      </c>
      <c r="L2228" s="19"/>
      <c r="M2228" s="20"/>
      <c r="N2228" s="21" t="s">
        <v>6930</v>
      </c>
    </row>
    <row r="2229" spans="1:14">
      <c r="A2229" s="12" t="s">
        <v>718</v>
      </c>
      <c r="B2229" s="13" t="s">
        <v>842</v>
      </c>
      <c r="C2229" s="14" t="s">
        <v>5413</v>
      </c>
      <c r="D2229" s="15">
        <v>41795.5703125</v>
      </c>
      <c r="E2229" s="16" t="s">
        <v>16</v>
      </c>
      <c r="F2229" s="16" t="s">
        <v>21</v>
      </c>
      <c r="G2229" s="17" t="s">
        <v>730</v>
      </c>
      <c r="H2229" s="17" t="s">
        <v>6931</v>
      </c>
      <c r="I2229" s="13" t="s">
        <v>6932</v>
      </c>
      <c r="J2229" s="23" t="str">
        <f>HYPERLINK("CorLog\GHA\Baatsona SKE\20140605 GHA Baatsona SKE DRAFT - AFC Work Description for Consultant (RDC-to-GHA).msg", "DRAFT - AFC Work Description for Consultant")</f>
        <v>DRAFT - AFC Work Description for Consultant</v>
      </c>
      <c r="K2229" s="25" t="s">
        <v>1211</v>
      </c>
      <c r="L2229" s="19"/>
      <c r="M2229" s="20"/>
      <c r="N2229" s="21" t="s">
        <v>6933</v>
      </c>
    </row>
    <row r="2230" spans="1:14">
      <c r="A2230" s="12" t="s">
        <v>718</v>
      </c>
      <c r="B2230" s="13" t="s">
        <v>842</v>
      </c>
      <c r="C2230" s="14" t="s">
        <v>6934</v>
      </c>
      <c r="D2230" s="15">
        <v>41795.557939814818</v>
      </c>
      <c r="E2230" s="16" t="s">
        <v>16</v>
      </c>
      <c r="F2230" s="16" t="s">
        <v>21</v>
      </c>
      <c r="G2230" s="17" t="s">
        <v>790</v>
      </c>
      <c r="H2230" s="17" t="s">
        <v>886</v>
      </c>
      <c r="I2230" s="13" t="s">
        <v>6935</v>
      </c>
      <c r="J2230" s="23" t="str">
        <f>HYPERLINK("CorLog\GHA\BEX\20140605 GHA BEX 11kv cable outside in a tray at ZAF (RDC-to-GHA).msg", "11kv cable outside in a tray at ZAF")</f>
        <v>11kv cable outside in a tray at ZAF</v>
      </c>
      <c r="K2230" s="25" t="s">
        <v>1211</v>
      </c>
      <c r="L2230" s="19"/>
      <c r="M2230" s="20"/>
      <c r="N2230" s="21" t="s">
        <v>6936</v>
      </c>
    </row>
    <row r="2231" spans="1:14">
      <c r="A2231" s="12" t="s">
        <v>718</v>
      </c>
      <c r="B2231" s="13" t="s">
        <v>5860</v>
      </c>
      <c r="C2231" s="14"/>
      <c r="D2231" s="15">
        <v>41795.556203703702</v>
      </c>
      <c r="E2231" s="16" t="s">
        <v>16</v>
      </c>
      <c r="F2231" s="16" t="s">
        <v>16</v>
      </c>
      <c r="G2231" s="17" t="s">
        <v>4606</v>
      </c>
      <c r="H2231" s="17" t="s">
        <v>867</v>
      </c>
      <c r="I2231" s="13" t="s">
        <v>6937</v>
      </c>
      <c r="J2231" s="23" t="str">
        <f>HYPERLINK("CorLog\COD\BEX\20140605 COD BEX COD Current VAT and import duty (RDC-to-RDC).msg", "COD Current VAT and import duty")</f>
        <v>COD Current VAT and import duty</v>
      </c>
      <c r="K2231" s="25"/>
      <c r="L2231" s="19" t="s">
        <v>6938</v>
      </c>
      <c r="M2231" s="20"/>
      <c r="N2231" s="21" t="s">
        <v>6939</v>
      </c>
    </row>
    <row r="2232" spans="1:14">
      <c r="A2232" s="12" t="s">
        <v>718</v>
      </c>
      <c r="B2232" s="13" t="s">
        <v>5413</v>
      </c>
      <c r="C2232" s="14" t="s">
        <v>6940</v>
      </c>
      <c r="D2232" s="15">
        <v>41795.499201388891</v>
      </c>
      <c r="E2232" s="16" t="s">
        <v>16</v>
      </c>
      <c r="F2232" s="16" t="s">
        <v>21</v>
      </c>
      <c r="G2232" s="17" t="s">
        <v>790</v>
      </c>
      <c r="H2232" s="17" t="s">
        <v>5862</v>
      </c>
      <c r="I2232" s="13" t="s">
        <v>6870</v>
      </c>
      <c r="J2232" s="23" t="str">
        <f>HYPERLINK("CorLog\GHA\BEX\20140605 GHA BEX List of additional work costs to be added to next AO-6 (RDC-to-GHA).msg", "List of additional work costs to be added to next AO-6")</f>
        <v>List of additional work costs to be added to next AO-6</v>
      </c>
      <c r="K2232" s="25" t="s">
        <v>1211</v>
      </c>
      <c r="L2232" s="19"/>
      <c r="M2232" s="20"/>
      <c r="N2232" s="21" t="s">
        <v>6941</v>
      </c>
    </row>
    <row r="2233" spans="1:14">
      <c r="A2233" s="12" t="s">
        <v>750</v>
      </c>
      <c r="B2233" s="13" t="s">
        <v>1181</v>
      </c>
      <c r="C2233" s="14" t="s">
        <v>6942</v>
      </c>
      <c r="D2233" s="15">
        <v>41795.488391203704</v>
      </c>
      <c r="E2233" s="16" t="s">
        <v>16</v>
      </c>
      <c r="F2233" s="16" t="s">
        <v>16</v>
      </c>
      <c r="G2233" s="17" t="s">
        <v>885</v>
      </c>
      <c r="H2233" s="17" t="s">
        <v>6943</v>
      </c>
      <c r="I2233" s="13" t="s">
        <v>6944</v>
      </c>
      <c r="J2233" s="23" t="str">
        <f>HYPERLINK("CorLog\ZMB\Kabompo RTO\20140605 ZMB Kabompo RTO AFC drawings for roof size (RDC-to-RDC).msg", "AFC drawings for roof size")</f>
        <v>AFC drawings for roof size</v>
      </c>
      <c r="K2233" s="25"/>
      <c r="L2233" s="19"/>
      <c r="M2233" s="20"/>
      <c r="N2233" s="21" t="s">
        <v>6945</v>
      </c>
    </row>
    <row r="2234" spans="1:14">
      <c r="A2234" s="12" t="s">
        <v>718</v>
      </c>
      <c r="B2234" s="13" t="s">
        <v>1181</v>
      </c>
      <c r="C2234" s="14" t="s">
        <v>6946</v>
      </c>
      <c r="D2234" s="15">
        <v>41795.454085648147</v>
      </c>
      <c r="E2234" s="16" t="s">
        <v>16</v>
      </c>
      <c r="F2234" s="16" t="s">
        <v>16</v>
      </c>
      <c r="G2234" s="17" t="s">
        <v>979</v>
      </c>
      <c r="H2234" s="17" t="s">
        <v>1707</v>
      </c>
      <c r="I2234" s="13" t="s">
        <v>6947</v>
      </c>
      <c r="J2234" s="23" t="str">
        <f>HYPERLINK("CorLog\RTO\Projects\20140605 RTO Projects No castor baseplate for WhisperRooms (RDC-to-RDC).msg", "No castor baseplate for WhisperRooms")</f>
        <v>No castor baseplate for WhisperRooms</v>
      </c>
      <c r="K2234" s="25"/>
      <c r="L2234" s="19"/>
      <c r="M2234" s="20"/>
      <c r="N2234" s="21" t="s">
        <v>6948</v>
      </c>
    </row>
    <row r="2235" spans="1:14">
      <c r="A2235" s="12" t="s">
        <v>1181</v>
      </c>
      <c r="B2235" s="13" t="s">
        <v>5567</v>
      </c>
      <c r="C2235" s="14" t="s">
        <v>6949</v>
      </c>
      <c r="D2235" s="15">
        <v>41795.351770833331</v>
      </c>
      <c r="E2235" s="16" t="s">
        <v>16</v>
      </c>
      <c r="F2235" s="16" t="s">
        <v>15</v>
      </c>
      <c r="G2235" s="17" t="s">
        <v>885</v>
      </c>
      <c r="H2235" s="17" t="s">
        <v>1565</v>
      </c>
      <c r="I2235" s="13" t="s">
        <v>6950</v>
      </c>
      <c r="J2235" s="23" t="str">
        <f>HYPERLINK("CorLog\ZMB\Kabompo RTO\20140605 ZMB Kabompo RTO Mitek quotation approval (RDC-to-ZAF).msg", "Mitek quotation approval")</f>
        <v>Mitek quotation approval</v>
      </c>
      <c r="K2235" s="25" t="s">
        <v>1211</v>
      </c>
      <c r="L2235" s="19"/>
      <c r="M2235" s="20"/>
      <c r="N2235" s="21" t="s">
        <v>6951</v>
      </c>
    </row>
    <row r="2236" spans="1:14">
      <c r="A2236" s="12" t="s">
        <v>750</v>
      </c>
      <c r="B2236" s="13" t="s">
        <v>1181</v>
      </c>
      <c r="C2236" s="14" t="s">
        <v>6952</v>
      </c>
      <c r="D2236" s="15">
        <v>41794.811793981484</v>
      </c>
      <c r="E2236" s="16" t="s">
        <v>16</v>
      </c>
      <c r="F2236" s="16" t="s">
        <v>16</v>
      </c>
      <c r="G2236" s="17" t="s">
        <v>979</v>
      </c>
      <c r="H2236" s="17" t="s">
        <v>1562</v>
      </c>
      <c r="I2236" s="13" t="s">
        <v>6953</v>
      </c>
      <c r="J2236" s="23" t="str">
        <f>HYPERLINK("CorLog\RTO\Projects\20140604 RTO Projects RTO Roofs Zincalume Sheets vs Chromadek Gutters vs Longspan Alu (RDC-to-RDC).msg", "RTO Roofs Zincalume Sheets vs Chromadek Gutters vs Longspan Alu")</f>
        <v>RTO Roofs Zincalume Sheets vs Chromadek Gutters vs Longspan Alu</v>
      </c>
      <c r="K2236" s="25" t="s">
        <v>1499</v>
      </c>
      <c r="L2236" s="19"/>
      <c r="M2236" s="20"/>
      <c r="N2236" s="21" t="s">
        <v>6954</v>
      </c>
    </row>
    <row r="2237" spans="1:14">
      <c r="A2237" s="12" t="s">
        <v>750</v>
      </c>
      <c r="B2237" s="13" t="s">
        <v>795</v>
      </c>
      <c r="C2237" s="14" t="s">
        <v>718</v>
      </c>
      <c r="D2237" s="15">
        <v>41794.781493055554</v>
      </c>
      <c r="E2237" s="16" t="s">
        <v>16</v>
      </c>
      <c r="F2237" s="16" t="s">
        <v>16</v>
      </c>
      <c r="G2237" s="17" t="s">
        <v>946</v>
      </c>
      <c r="H2237" s="17" t="s">
        <v>6300</v>
      </c>
      <c r="I2237" s="13" t="s">
        <v>6955</v>
      </c>
      <c r="J2237" s="23" t="str">
        <f>HYPERLINK("CorLog\ZMB\Mongu RTO\20140604 ZMB Mongu RTO Bath Kitchen Wall Chase (RDC-to-RDC).msg", "Bath Kitchen Wall Chase")</f>
        <v>Bath Kitchen Wall Chase</v>
      </c>
      <c r="K2237" s="25" t="s">
        <v>1243</v>
      </c>
      <c r="L2237" s="19" t="s">
        <v>6956</v>
      </c>
      <c r="M2237" s="20"/>
      <c r="N2237" s="21" t="s">
        <v>6957</v>
      </c>
    </row>
    <row r="2238" spans="1:14">
      <c r="A2238" s="12" t="s">
        <v>750</v>
      </c>
      <c r="B2238" s="13" t="s">
        <v>4950</v>
      </c>
      <c r="C2238" s="14" t="s">
        <v>6958</v>
      </c>
      <c r="D2238" s="15">
        <v>41794.649629629632</v>
      </c>
      <c r="E2238" s="16" t="s">
        <v>16</v>
      </c>
      <c r="F2238" s="16" t="s">
        <v>18</v>
      </c>
      <c r="G2238" s="17" t="s">
        <v>885</v>
      </c>
      <c r="H2238" s="17" t="s">
        <v>839</v>
      </c>
      <c r="I2238" s="13" t="s">
        <v>6959</v>
      </c>
      <c r="J2238" s="23" t="str">
        <f>HYPERLINK("CorLog\ZMB\Kabompo RTO\20140604 ZMB Kabompo RTO Res Int Corridor Wall soil stabilization ONE MASS (RDC-to-ZMB).msg", "Res Int Corridor Wall soil stabilization ONE MASS")</f>
        <v>Res Int Corridor Wall soil stabilization ONE MASS</v>
      </c>
      <c r="K2238" s="25"/>
      <c r="L2238" s="19" t="s">
        <v>6960</v>
      </c>
      <c r="M2238" s="20"/>
      <c r="N2238" s="21" t="s">
        <v>6961</v>
      </c>
    </row>
    <row r="2239" spans="1:14">
      <c r="A2239" s="12" t="s">
        <v>718</v>
      </c>
      <c r="B2239" s="13" t="s">
        <v>3556</v>
      </c>
      <c r="C2239" s="14" t="s">
        <v>6962</v>
      </c>
      <c r="D2239" s="15">
        <v>41794.506435185183</v>
      </c>
      <c r="E2239" s="16" t="s">
        <v>16</v>
      </c>
      <c r="F2239" s="16" t="s">
        <v>15</v>
      </c>
      <c r="G2239" s="17" t="s">
        <v>30</v>
      </c>
      <c r="H2239" s="17" t="s">
        <v>1562</v>
      </c>
      <c r="I2239" s="13" t="s">
        <v>6963</v>
      </c>
      <c r="J2239" s="23" t="str">
        <f>HYPERLINK("CorLog\ALL\20140604 ALL Change to CLOTAN roofing products; Update MITEK design details (RDC-to-).msg", "Change to CLOTAN roofing products; Update MITEK design details")</f>
        <v>Change to CLOTAN roofing products; Update MITEK design details</v>
      </c>
      <c r="K2239" s="25"/>
      <c r="L2239" s="19"/>
      <c r="M2239" s="20"/>
      <c r="N2239" s="21" t="s">
        <v>6964</v>
      </c>
    </row>
    <row r="2240" spans="1:14">
      <c r="A2240" s="12" t="s">
        <v>4376</v>
      </c>
      <c r="B2240" s="13"/>
      <c r="C2240" s="14"/>
      <c r="D2240" s="15">
        <v>41794</v>
      </c>
      <c r="E2240" s="16" t="s">
        <v>25</v>
      </c>
      <c r="F2240" s="16" t="s">
        <v>30</v>
      </c>
      <c r="G2240" s="17" t="s">
        <v>30</v>
      </c>
      <c r="H2240" s="17" t="s">
        <v>1728</v>
      </c>
      <c r="I2240" s="13" t="s">
        <v>6965</v>
      </c>
      <c r="J2240" s="23" t="str">
        <f>HYPERLINK("CorLog\ALL\20140604 ALL Supervision of Assembly Hall Servants (WHQ-to-ALL).doc", "Supervision of Assembly Hall Servants")</f>
        <v>Supervision of Assembly Hall Servants</v>
      </c>
      <c r="K2240" s="25"/>
      <c r="L2240" s="19"/>
      <c r="M2240" s="20"/>
      <c r="N2240" s="21" t="s">
        <v>6966</v>
      </c>
    </row>
    <row r="2241" spans="1:14">
      <c r="A2241" s="12" t="s">
        <v>5413</v>
      </c>
      <c r="B2241" s="13" t="s">
        <v>723</v>
      </c>
      <c r="C2241" s="14" t="s">
        <v>718</v>
      </c>
      <c r="D2241" s="15">
        <v>41793.698321759257</v>
      </c>
      <c r="E2241" s="16" t="s">
        <v>21</v>
      </c>
      <c r="F2241" s="16" t="s">
        <v>16</v>
      </c>
      <c r="G2241" s="17" t="s">
        <v>790</v>
      </c>
      <c r="H2241" s="17" t="s">
        <v>6967</v>
      </c>
      <c r="I2241" s="13" t="s">
        <v>6968</v>
      </c>
      <c r="J2241" s="23" t="str">
        <f>HYPERLINK("CorLog\GHA\BEX\20140603 GHA BEX Commissioning dates electrical and mechanical (GHA-to-RDC).msg", "Commissioning dates electrical and mechanical")</f>
        <v>Commissioning dates electrical and mechanical</v>
      </c>
      <c r="K2241" s="25"/>
      <c r="L2241" s="19"/>
      <c r="M2241" s="20"/>
      <c r="N2241" s="21" t="s">
        <v>6969</v>
      </c>
    </row>
    <row r="2242" spans="1:14">
      <c r="A2242" s="12" t="s">
        <v>718</v>
      </c>
      <c r="B2242" s="13" t="s">
        <v>972</v>
      </c>
      <c r="C2242" s="14" t="s">
        <v>4286</v>
      </c>
      <c r="D2242" s="15">
        <v>41793.641122685185</v>
      </c>
      <c r="E2242" s="16" t="s">
        <v>16</v>
      </c>
      <c r="F2242" s="16" t="s">
        <v>18</v>
      </c>
      <c r="G2242" s="17" t="s">
        <v>1070</v>
      </c>
      <c r="H2242" s="17" t="s">
        <v>803</v>
      </c>
      <c r="I2242" s="13" t="s">
        <v>6970</v>
      </c>
      <c r="J2242" s="23" t="str">
        <f>HYPERLINK("CorLog\ZMB\Katete RTO\20140603 ZMB Katete RTO Filing drawings release (x3) (RDC-to-ZMB).msg", "Filing drawings release (x3)")</f>
        <v>Filing drawings release (x3)</v>
      </c>
      <c r="K2242" s="25" t="s">
        <v>1211</v>
      </c>
      <c r="L2242" s="19"/>
      <c r="M2242" s="20"/>
      <c r="N2242" s="21" t="s">
        <v>6971</v>
      </c>
    </row>
    <row r="2243" spans="1:14">
      <c r="A2243" s="12" t="s">
        <v>972</v>
      </c>
      <c r="B2243" s="13" t="s">
        <v>724</v>
      </c>
      <c r="C2243" s="14" t="s">
        <v>6972</v>
      </c>
      <c r="D2243" s="15">
        <v>41793.638090277775</v>
      </c>
      <c r="E2243" s="16" t="s">
        <v>18</v>
      </c>
      <c r="F2243" s="16" t="s">
        <v>16</v>
      </c>
      <c r="G2243" s="17" t="s">
        <v>946</v>
      </c>
      <c r="H2243" s="17" t="s">
        <v>4536</v>
      </c>
      <c r="I2243" s="13" t="s">
        <v>6973</v>
      </c>
      <c r="J2243" s="23" t="str">
        <f>HYPERLINK("CorLog\ZMB\Mongu RTO\20140603 ZMB Mongu RTO Contract Wall Fence project (ZMB-to-RDC).msg", "Contract Wall Fence project")</f>
        <v>Contract Wall Fence project</v>
      </c>
      <c r="K2243" s="25"/>
      <c r="L2243" s="19" t="s">
        <v>6974</v>
      </c>
      <c r="M2243" s="20"/>
      <c r="N2243" s="21" t="s">
        <v>6975</v>
      </c>
    </row>
    <row r="2244" spans="1:14">
      <c r="A2244" s="12" t="s">
        <v>718</v>
      </c>
      <c r="B2244" s="13" t="s">
        <v>1969</v>
      </c>
      <c r="C2244" s="14" t="s">
        <v>6976</v>
      </c>
      <c r="D2244" s="15">
        <v>41793.476921296293</v>
      </c>
      <c r="E2244" s="16" t="s">
        <v>16</v>
      </c>
      <c r="F2244" s="16" t="s">
        <v>22</v>
      </c>
      <c r="G2244" s="17" t="s">
        <v>2627</v>
      </c>
      <c r="H2244" s="17" t="s">
        <v>6977</v>
      </c>
      <c r="I2244" s="13" t="s">
        <v>6978</v>
      </c>
      <c r="J2244" s="23" t="str">
        <f>HYPERLINK("CorLog\COD\Kamina RTO\20140603 COD Kamina RTO 2nd submersible pump, place NLBR (RDC-to-COD).msg", "2nd submersible pump, place NLBR")</f>
        <v>2nd submersible pump, place NLBR</v>
      </c>
      <c r="K2244" s="25" t="s">
        <v>1274</v>
      </c>
      <c r="L2244" s="19" t="s">
        <v>6979</v>
      </c>
      <c r="M2244" s="20"/>
      <c r="N2244" s="21" t="s">
        <v>6980</v>
      </c>
    </row>
    <row r="2245" spans="1:14">
      <c r="A2245" s="12" t="s">
        <v>718</v>
      </c>
      <c r="B2245" s="13" t="s">
        <v>1181</v>
      </c>
      <c r="C2245" s="14"/>
      <c r="D2245" s="15">
        <v>41793.318506944444</v>
      </c>
      <c r="E2245" s="16" t="s">
        <v>16</v>
      </c>
      <c r="F2245" s="16" t="s">
        <v>16</v>
      </c>
      <c r="G2245" s="17" t="s">
        <v>790</v>
      </c>
      <c r="H2245" s="17" t="s">
        <v>1565</v>
      </c>
      <c r="I2245" s="13" t="s">
        <v>6981</v>
      </c>
      <c r="J2245" s="23" t="str">
        <f>HYPERLINK("CorLog\GHA\BEX\20140603 GHA BEX Residence Mitek roof trusses drawing review (B1278002) (RDC-to-RDC).msg", "Residence Mitek roof trusses drawing review (B1278002)")</f>
        <v>Residence Mitek roof trusses drawing review (B1278002)</v>
      </c>
      <c r="K2245" s="25" t="s">
        <v>1369</v>
      </c>
      <c r="L2245" s="19" t="s">
        <v>6982</v>
      </c>
      <c r="M2245" s="20"/>
      <c r="N2245" s="21" t="s">
        <v>6983</v>
      </c>
    </row>
    <row r="2246" spans="1:14">
      <c r="A2246" s="12" t="s">
        <v>723</v>
      </c>
      <c r="B2246" s="13" t="s">
        <v>718</v>
      </c>
      <c r="C2246" s="14"/>
      <c r="D2246" s="15">
        <v>41792.563796296294</v>
      </c>
      <c r="E2246" s="16" t="s">
        <v>16</v>
      </c>
      <c r="F2246" s="16" t="s">
        <v>16</v>
      </c>
      <c r="G2246" s="17" t="s">
        <v>807</v>
      </c>
      <c r="H2246" s="17" t="s">
        <v>4925</v>
      </c>
      <c r="I2246" s="13" t="s">
        <v>6984</v>
      </c>
      <c r="J2246" s="23" t="str">
        <f>HYPERLINK("CorLog\GHA\Branch\20140602 GHA Branch Assembly-Convention Venues Overall Plan (RDC-to-RDC).msg", "Assembly-Convention Venues Overall Plan")</f>
        <v>Assembly-Convention Venues Overall Plan</v>
      </c>
      <c r="K2246" s="25" t="s">
        <v>1211</v>
      </c>
      <c r="L2246" s="19"/>
      <c r="M2246" s="20"/>
      <c r="N2246" s="21" t="s">
        <v>6985</v>
      </c>
    </row>
    <row r="2247" spans="1:14">
      <c r="A2247" s="12" t="s">
        <v>723</v>
      </c>
      <c r="B2247" s="13" t="s">
        <v>718</v>
      </c>
      <c r="C2247" s="14"/>
      <c r="D2247" s="15">
        <v>41792.361759259256</v>
      </c>
      <c r="E2247" s="16" t="s">
        <v>16</v>
      </c>
      <c r="F2247" s="16" t="s">
        <v>16</v>
      </c>
      <c r="G2247" s="17" t="s">
        <v>790</v>
      </c>
      <c r="H2247" s="17" t="s">
        <v>781</v>
      </c>
      <c r="I2247" s="13" t="s">
        <v>6986</v>
      </c>
      <c r="J2247" s="23" t="str">
        <f>HYPERLINK("CorLog\GHA\BEX\20140602 GHA BEX Vacation schedule during conventions (RDC-to-RDC).msg", "Vacation schedule during conventions")</f>
        <v>Vacation schedule during conventions</v>
      </c>
      <c r="K2247" s="25" t="s">
        <v>1243</v>
      </c>
      <c r="L2247" s="19"/>
      <c r="M2247" s="20"/>
      <c r="N2247" s="21" t="s">
        <v>6987</v>
      </c>
    </row>
    <row r="2248" spans="1:14">
      <c r="A2248" s="12" t="s">
        <v>6714</v>
      </c>
      <c r="B2248" s="13" t="s">
        <v>718</v>
      </c>
      <c r="C2248" s="14"/>
      <c r="D2248" s="15">
        <v>41789.373888888891</v>
      </c>
      <c r="E2248" s="16" t="s">
        <v>43</v>
      </c>
      <c r="F2248" s="16" t="s">
        <v>16</v>
      </c>
      <c r="G2248" s="17" t="s">
        <v>4854</v>
      </c>
      <c r="H2248" s="17" t="s">
        <v>4855</v>
      </c>
      <c r="I2248" s="13" t="s">
        <v>6988</v>
      </c>
      <c r="J2248" s="23" t="str">
        <f>HYPERLINK("CorLog\LKA\BEX\20140530 LKA BEX Mech as-built drawings release (AUS-to-RDC).msg", "Mech as-built drawings release")</f>
        <v>Mech as-built drawings release</v>
      </c>
      <c r="K2248" s="25"/>
      <c r="L2248" s="19" t="s">
        <v>6989</v>
      </c>
      <c r="M2248" s="20"/>
      <c r="N2248" s="21" t="s">
        <v>6990</v>
      </c>
    </row>
    <row r="2249" spans="1:14">
      <c r="A2249" s="12" t="s">
        <v>6714</v>
      </c>
      <c r="B2249" s="13" t="s">
        <v>718</v>
      </c>
      <c r="C2249" s="14" t="s">
        <v>6809</v>
      </c>
      <c r="D2249" s="15">
        <v>41789.161782407406</v>
      </c>
      <c r="E2249" s="16" t="s">
        <v>43</v>
      </c>
      <c r="F2249" s="16" t="s">
        <v>16</v>
      </c>
      <c r="G2249" s="17" t="s">
        <v>4854</v>
      </c>
      <c r="H2249" s="17" t="s">
        <v>2136</v>
      </c>
      <c r="I2249" s="13" t="s">
        <v>6991</v>
      </c>
      <c r="J2249" s="23" t="str">
        <f>HYPERLINK("CorLog\LKA\BEX\20140530 LKA BEX Mech as-built drawings Bldg 3 (AUS-to-RDC).msg", "Mech as-built drawings Bldg 3")</f>
        <v>Mech as-built drawings Bldg 3</v>
      </c>
      <c r="K2249" s="25"/>
      <c r="L2249" s="19" t="s">
        <v>6465</v>
      </c>
      <c r="M2249" s="20"/>
      <c r="N2249" s="21" t="s">
        <v>6992</v>
      </c>
    </row>
    <row r="2250" spans="1:14">
      <c r="A2250" s="12" t="s">
        <v>718</v>
      </c>
      <c r="B2250" s="13" t="s">
        <v>5413</v>
      </c>
      <c r="C2250" s="14" t="s">
        <v>1258</v>
      </c>
      <c r="D2250" s="15">
        <v>41788.630729166667</v>
      </c>
      <c r="E2250" s="16" t="s">
        <v>16</v>
      </c>
      <c r="F2250" s="16" t="s">
        <v>21</v>
      </c>
      <c r="G2250" s="17" t="s">
        <v>790</v>
      </c>
      <c r="H2250" s="17" t="s">
        <v>5574</v>
      </c>
      <c r="I2250" s="13" t="s">
        <v>5575</v>
      </c>
      <c r="J2250" s="23" t="str">
        <f>HYPERLINK("CorLog\GHA\BEX\20140529 GHA BEX Door schedule--preliminary hardware schedule update (RDC-to-GHA).msg", "Door schedule--preliminary hardware schedule update")</f>
        <v>Door schedule--preliminary hardware schedule update</v>
      </c>
      <c r="K2250" s="25" t="s">
        <v>1211</v>
      </c>
      <c r="L2250" s="19" t="s">
        <v>6993</v>
      </c>
      <c r="M2250" s="20"/>
      <c r="N2250" s="21" t="s">
        <v>6994</v>
      </c>
    </row>
    <row r="2251" spans="1:14">
      <c r="A2251" s="12" t="s">
        <v>718</v>
      </c>
      <c r="B2251" s="13" t="s">
        <v>6995</v>
      </c>
      <c r="C2251" s="14"/>
      <c r="D2251" s="15">
        <v>41788.490578703706</v>
      </c>
      <c r="E2251" s="16" t="s">
        <v>16</v>
      </c>
      <c r="F2251" s="16" t="s">
        <v>26</v>
      </c>
      <c r="G2251" s="17" t="s">
        <v>30</v>
      </c>
      <c r="H2251" s="17" t="s">
        <v>1426</v>
      </c>
      <c r="I2251" s="13" t="s">
        <v>6996</v>
      </c>
      <c r="J2251" s="23" t="str">
        <f>HYPERLINK("CorLog\ALL\20140529 ALL Salto Access Control need a rim-based solution (RDC-to-GBR).msg", "Salto Access Control need a rim-based solution")</f>
        <v>Salto Access Control need a rim-based solution</v>
      </c>
      <c r="K2251" s="25" t="s">
        <v>1243</v>
      </c>
      <c r="L2251" s="19"/>
      <c r="M2251" s="20"/>
      <c r="N2251" s="21" t="s">
        <v>6997</v>
      </c>
    </row>
    <row r="2252" spans="1:14">
      <c r="A2252" s="12" t="s">
        <v>5413</v>
      </c>
      <c r="B2252" s="13" t="s">
        <v>718</v>
      </c>
      <c r="C2252" s="14" t="s">
        <v>3588</v>
      </c>
      <c r="D2252" s="15">
        <v>41788.476759259262</v>
      </c>
      <c r="E2252" s="16" t="s">
        <v>21</v>
      </c>
      <c r="F2252" s="16" t="s">
        <v>16</v>
      </c>
      <c r="G2252" s="17" t="s">
        <v>790</v>
      </c>
      <c r="H2252" s="17" t="s">
        <v>886</v>
      </c>
      <c r="I2252" s="13" t="s">
        <v>6998</v>
      </c>
      <c r="J2252" s="23" t="str">
        <f>HYPERLINK("CorLog\GHA\BEX\20140529 GHA BEX Proposed relocation of power supply line (ALL) (GHA-to-RDC).msg", "Proposed relocation of power supply line (ALL)")</f>
        <v>Proposed relocation of power supply line (ALL)</v>
      </c>
      <c r="K2252" s="25" t="s">
        <v>1369</v>
      </c>
      <c r="L2252" s="19" t="s">
        <v>6999</v>
      </c>
      <c r="M2252" s="20"/>
      <c r="N2252" s="21" t="s">
        <v>7000</v>
      </c>
    </row>
    <row r="2253" spans="1:14">
      <c r="A2253" s="12" t="s">
        <v>7001</v>
      </c>
      <c r="B2253" s="13"/>
      <c r="C2253" s="14"/>
      <c r="D2253" s="15">
        <v>41788</v>
      </c>
      <c r="E2253" s="16" t="s">
        <v>29</v>
      </c>
      <c r="F2253" s="16" t="s">
        <v>15</v>
      </c>
      <c r="G2253" s="17" t="s">
        <v>30</v>
      </c>
      <c r="H2253" s="17" t="s">
        <v>1728</v>
      </c>
      <c r="I2253" s="13" t="s">
        <v>7002</v>
      </c>
      <c r="J2253" s="23" t="str">
        <f>HYPERLINK("CorLog\ALL\20140529 ALL Construction Volunteers - Skill Sheet (DEU-to-ZAF).docx", "Construction Volunteers - Skill Sheet")</f>
        <v>Construction Volunteers - Skill Sheet</v>
      </c>
      <c r="K2253" s="25" t="str">
        <f>HYPERLINK("CorLog\ALL\20140529 ALL Construction Volunteers - Skill Sheet (DEU-to-ZAF).zip", "Zipped")</f>
        <v>Zipped</v>
      </c>
      <c r="L2253" s="19"/>
      <c r="M2253" s="20"/>
      <c r="N2253" s="21" t="s">
        <v>7003</v>
      </c>
    </row>
    <row r="2254" spans="1:14">
      <c r="A2254" s="12" t="s">
        <v>5207</v>
      </c>
      <c r="B2254" s="13" t="s">
        <v>1258</v>
      </c>
      <c r="C2254" s="14" t="s">
        <v>1866</v>
      </c>
      <c r="D2254" s="15">
        <v>41787.676736111112</v>
      </c>
      <c r="E2254" s="16" t="s">
        <v>16</v>
      </c>
      <c r="F2254" s="16" t="s">
        <v>16</v>
      </c>
      <c r="G2254" s="17" t="s">
        <v>979</v>
      </c>
      <c r="H2254" s="17" t="s">
        <v>759</v>
      </c>
      <c r="I2254" s="13" t="s">
        <v>7004</v>
      </c>
      <c r="J2254" s="23" t="str">
        <f>HYPERLINK("CorLog\RTO\Projects\20140528 RTO Projects Double story RTO design--Review Mtg Minutes (RDC-to-RDC).msg", "Double story RTO design--Review Mtg Minutes")</f>
        <v>Double story RTO design--Review Mtg Minutes</v>
      </c>
      <c r="K2254" s="25" t="s">
        <v>1211</v>
      </c>
      <c r="L2254" s="19"/>
      <c r="M2254" s="20"/>
      <c r="N2254" s="21" t="s">
        <v>7005</v>
      </c>
    </row>
    <row r="2255" spans="1:14">
      <c r="A2255" s="12" t="s">
        <v>750</v>
      </c>
      <c r="B2255" s="13" t="s">
        <v>4950</v>
      </c>
      <c r="C2255" s="14" t="s">
        <v>7006</v>
      </c>
      <c r="D2255" s="15">
        <v>41787.668923611112</v>
      </c>
      <c r="E2255" s="16" t="s">
        <v>16</v>
      </c>
      <c r="F2255" s="16" t="s">
        <v>18</v>
      </c>
      <c r="G2255" s="17" t="s">
        <v>885</v>
      </c>
      <c r="H2255" s="17" t="s">
        <v>851</v>
      </c>
      <c r="I2255" s="13" t="s">
        <v>7007</v>
      </c>
      <c r="J2255" s="23" t="str">
        <f>HYPERLINK("CorLog\ZMB\Kabompo RTO\20140528 ZMB Kabompo RTO Office DCP Results (Test 3 OK) (RDC-to-ZMB).msg", "Office DCP Results (Test 3 OK)")</f>
        <v>Office DCP Results (Test 3 OK)</v>
      </c>
      <c r="K2255" s="25"/>
      <c r="L2255" s="19" t="s">
        <v>7008</v>
      </c>
      <c r="M2255" s="20"/>
      <c r="N2255" s="21" t="s">
        <v>7009</v>
      </c>
    </row>
    <row r="2256" spans="1:14">
      <c r="A2256" s="12" t="s">
        <v>718</v>
      </c>
      <c r="B2256" s="13" t="s">
        <v>771</v>
      </c>
      <c r="C2256" s="14"/>
      <c r="D2256" s="15">
        <v>41787.666168981479</v>
      </c>
      <c r="E2256" s="16" t="s">
        <v>16</v>
      </c>
      <c r="F2256" s="16" t="s">
        <v>17</v>
      </c>
      <c r="G2256" s="17" t="s">
        <v>30</v>
      </c>
      <c r="H2256" s="17" t="s">
        <v>2333</v>
      </c>
      <c r="I2256" s="13" t="s">
        <v>7010</v>
      </c>
      <c r="J2256" s="23" t="str">
        <f>HYPERLINK("CorLog\ALL\20140528 ALL Maintenance Meeting at 2;00 PM - ZAF time - Wednesday (RDC-to-WDC).msg", "Maintenance Meeting at 2;00 PM - ZAF time - Wednesday")</f>
        <v>Maintenance Meeting at 2;00 PM - ZAF time - Wednesday</v>
      </c>
      <c r="K2256" s="25"/>
      <c r="L2256" s="19" t="s">
        <v>7011</v>
      </c>
      <c r="M2256" s="20"/>
      <c r="N2256" s="21" t="s">
        <v>7012</v>
      </c>
    </row>
    <row r="2257" spans="1:14">
      <c r="A2257" s="12" t="s">
        <v>4950</v>
      </c>
      <c r="B2257" s="13" t="s">
        <v>718</v>
      </c>
      <c r="C2257" s="14" t="s">
        <v>6850</v>
      </c>
      <c r="D2257" s="15">
        <v>41787.609247685185</v>
      </c>
      <c r="E2257" s="16" t="s">
        <v>18</v>
      </c>
      <c r="F2257" s="16" t="s">
        <v>16</v>
      </c>
      <c r="G2257" s="17" t="s">
        <v>885</v>
      </c>
      <c r="H2257" s="17" t="s">
        <v>851</v>
      </c>
      <c r="I2257" s="13" t="s">
        <v>7013</v>
      </c>
      <c r="J2257" s="23" t="str">
        <f>HYPERLINK("CorLog\ZMB\Kabompo RTO\20140528 ZMB ZMB Kabompo RTO Office DCP Results Test 3 (ZMB-to-RDC).msg", "Office DCP Results Test 3")</f>
        <v>Office DCP Results Test 3</v>
      </c>
      <c r="K2257" s="25" t="s">
        <v>1211</v>
      </c>
      <c r="L2257" s="19"/>
      <c r="M2257" s="20"/>
      <c r="N2257" s="21" t="s">
        <v>7014</v>
      </c>
    </row>
    <row r="2258" spans="1:14">
      <c r="A2258" s="12" t="s">
        <v>718</v>
      </c>
      <c r="B2258" s="13" t="s">
        <v>842</v>
      </c>
      <c r="C2258" s="14" t="s">
        <v>795</v>
      </c>
      <c r="D2258" s="15">
        <v>41787.466597222221</v>
      </c>
      <c r="E2258" s="16" t="s">
        <v>16</v>
      </c>
      <c r="F2258" s="16" t="s">
        <v>21</v>
      </c>
      <c r="G2258" s="17" t="s">
        <v>758</v>
      </c>
      <c r="H2258" s="17" t="s">
        <v>3275</v>
      </c>
      <c r="I2258" s="13" t="s">
        <v>7015</v>
      </c>
      <c r="J2258" s="23" t="str">
        <f>HYPERLINK("CorLog\GHA\Viepe RTO\20140528 RDC GHA Viepe RTO Low level buffer tanks for city water supply (RDC-to-GHA).msg", "Low level buffer tanks for city water supply")</f>
        <v>Low level buffer tanks for city water supply</v>
      </c>
      <c r="K2258" s="25" t="s">
        <v>1243</v>
      </c>
      <c r="L2258" s="19" t="s">
        <v>7016</v>
      </c>
      <c r="M2258" s="20"/>
      <c r="N2258" s="21" t="s">
        <v>7017</v>
      </c>
    </row>
    <row r="2259" spans="1:14">
      <c r="A2259" s="12" t="s">
        <v>718</v>
      </c>
      <c r="B2259" s="13" t="s">
        <v>5413</v>
      </c>
      <c r="C2259" s="14" t="s">
        <v>1818</v>
      </c>
      <c r="D2259" s="15">
        <v>41787.413912037038</v>
      </c>
      <c r="E2259" s="16" t="s">
        <v>16</v>
      </c>
      <c r="F2259" s="16" t="s">
        <v>21</v>
      </c>
      <c r="G2259" s="17" t="s">
        <v>790</v>
      </c>
      <c r="H2259" s="17" t="s">
        <v>947</v>
      </c>
      <c r="I2259" s="13" t="s">
        <v>7018</v>
      </c>
      <c r="J2259" s="23" t="str">
        <f>HYPERLINK("CorLog\GHA\BEX\20140528 RDC GHA BEX Topography around water house (RDC-to-GHA).msg", "Topography around water house")</f>
        <v>Topography around water house</v>
      </c>
      <c r="K2259" s="25"/>
      <c r="L2259" s="19" t="s">
        <v>7019</v>
      </c>
      <c r="M2259" s="20"/>
      <c r="N2259" s="21" t="s">
        <v>7020</v>
      </c>
    </row>
    <row r="2260" spans="1:14">
      <c r="A2260" s="12" t="s">
        <v>718</v>
      </c>
      <c r="B2260" s="13" t="s">
        <v>5413</v>
      </c>
      <c r="C2260" s="14" t="s">
        <v>7021</v>
      </c>
      <c r="D2260" s="15">
        <v>41787.40452546296</v>
      </c>
      <c r="E2260" s="16" t="s">
        <v>16</v>
      </c>
      <c r="F2260" s="16" t="s">
        <v>21</v>
      </c>
      <c r="G2260" s="17" t="s">
        <v>790</v>
      </c>
      <c r="H2260" s="17" t="s">
        <v>5574</v>
      </c>
      <c r="I2260" s="13" t="s">
        <v>5575</v>
      </c>
      <c r="J2260" s="23" t="str">
        <f>HYPERLINK("CorLog\GHA\BEX\20140528 RDC GHA BEX Door schedule--preliminary hardware schedule update (RDC-to-GHA).msg", "Door schedule--preliminary hardware schedule update")</f>
        <v>Door schedule--preliminary hardware schedule update</v>
      </c>
      <c r="K2260" s="25" t="s">
        <v>1211</v>
      </c>
      <c r="L2260" s="19"/>
      <c r="M2260" s="20"/>
      <c r="N2260" s="21" t="s">
        <v>7022</v>
      </c>
    </row>
    <row r="2261" spans="1:14">
      <c r="A2261" s="12" t="s">
        <v>724</v>
      </c>
      <c r="B2261" s="13" t="s">
        <v>7023</v>
      </c>
      <c r="C2261" s="14" t="s">
        <v>7024</v>
      </c>
      <c r="D2261" s="15">
        <v>41787.393888888888</v>
      </c>
      <c r="E2261" s="16" t="s">
        <v>16</v>
      </c>
      <c r="F2261" s="16" t="s">
        <v>20</v>
      </c>
      <c r="G2261" s="17" t="s">
        <v>3875</v>
      </c>
      <c r="H2261" s="17" t="s">
        <v>1426</v>
      </c>
      <c r="I2261" s="13" t="s">
        <v>7025</v>
      </c>
      <c r="J2261" s="23" t="str">
        <f>HYPERLINK("CorLog\MOZ\BEX\20140528 MOZ BEX Electronic access control--state of play (RDC-to-MOZ).msg", "Electronic access control--state of play")</f>
        <v>Electronic access control--state of play</v>
      </c>
      <c r="K2261" s="25"/>
      <c r="L2261" s="19"/>
      <c r="M2261" s="20"/>
      <c r="N2261" s="21" t="s">
        <v>7026</v>
      </c>
    </row>
    <row r="2262" spans="1:14">
      <c r="A2262" s="12" t="s">
        <v>718</v>
      </c>
      <c r="B2262" s="13" t="s">
        <v>771</v>
      </c>
      <c r="C2262" s="14" t="s">
        <v>7027</v>
      </c>
      <c r="D2262" s="15">
        <v>41785.711817129632</v>
      </c>
      <c r="E2262" s="16" t="s">
        <v>16</v>
      </c>
      <c r="F2262" s="16" t="s">
        <v>17</v>
      </c>
      <c r="G2262" s="17" t="s">
        <v>30</v>
      </c>
      <c r="H2262" s="17" t="s">
        <v>2333</v>
      </c>
      <c r="I2262" s="13" t="s">
        <v>7028</v>
      </c>
      <c r="J2262" s="23" t="str">
        <f>HYPERLINK("CorLog\ALL\20140526 Meeting minutes Value Design and Engineering (RDC-to-WDC).msg", "Value Design and Engineering")</f>
        <v>Value Design and Engineering</v>
      </c>
      <c r="K2262" s="25"/>
      <c r="L2262" s="19" t="s">
        <v>7011</v>
      </c>
      <c r="M2262" s="20"/>
      <c r="N2262" s="21" t="s">
        <v>7029</v>
      </c>
    </row>
    <row r="2263" spans="1:14">
      <c r="A2263" s="12" t="s">
        <v>750</v>
      </c>
      <c r="B2263" s="13" t="s">
        <v>771</v>
      </c>
      <c r="C2263" s="14" t="s">
        <v>7030</v>
      </c>
      <c r="D2263" s="15">
        <v>41785.582858796297</v>
      </c>
      <c r="E2263" s="16" t="s">
        <v>16</v>
      </c>
      <c r="F2263" s="16" t="s">
        <v>17</v>
      </c>
      <c r="G2263" s="17" t="s">
        <v>7031</v>
      </c>
      <c r="H2263" s="17" t="s">
        <v>1728</v>
      </c>
      <c r="I2263" s="13" t="s">
        <v>7032</v>
      </c>
      <c r="J2263" s="23" t="str">
        <f>HYPERLINK("CorLog\20140526 ALL 3-team facility for Four Teams (e.g. SAF KwaMhlanga RTO) (RDC-to-WDC).msg", "3-team facility for Four Teams (e.g. SAF KwaMhlanga RTO)")</f>
        <v>3-team facility for Four Teams (e.g. SAF KwaMhlanga RTO)</v>
      </c>
      <c r="K2263" s="25"/>
      <c r="L2263" s="19"/>
      <c r="M2263" s="20"/>
      <c r="N2263" s="21" t="s">
        <v>7033</v>
      </c>
    </row>
    <row r="2264" spans="1:14">
      <c r="A2264" s="12" t="s">
        <v>718</v>
      </c>
      <c r="B2264" s="13" t="s">
        <v>1529</v>
      </c>
      <c r="C2264" s="14" t="s">
        <v>7034</v>
      </c>
      <c r="D2264" s="15">
        <v>41785.560844907406</v>
      </c>
      <c r="E2264" s="16" t="s">
        <v>16</v>
      </c>
      <c r="F2264" s="16" t="s">
        <v>18</v>
      </c>
      <c r="G2264" s="17" t="s">
        <v>946</v>
      </c>
      <c r="H2264" s="17" t="s">
        <v>2688</v>
      </c>
      <c r="I2264" s="13" t="s">
        <v>7035</v>
      </c>
      <c r="J2264" s="23" t="str">
        <f>HYPERLINK("CorLog\ZMB\Mongu RTO\20140526 RDC ZMB Mongu RTO Drawing re-issue--C-502,C-503, C-506 (RDC-to-ZMB).msg", "Drawing re-issue--C-502,C-503, C-506")</f>
        <v>Drawing re-issue--C-502,C-503, C-506</v>
      </c>
      <c r="K2264" s="25" t="s">
        <v>1270</v>
      </c>
      <c r="L2264" s="19"/>
      <c r="M2264" s="20"/>
      <c r="N2264" s="21" t="s">
        <v>7036</v>
      </c>
    </row>
    <row r="2265" spans="1:14">
      <c r="A2265" s="12" t="s">
        <v>1529</v>
      </c>
      <c r="B2265" s="13" t="s">
        <v>718</v>
      </c>
      <c r="C2265" s="14"/>
      <c r="D2265" s="15">
        <v>41782.571342592593</v>
      </c>
      <c r="E2265" s="16" t="s">
        <v>18</v>
      </c>
      <c r="F2265" s="16" t="s">
        <v>16</v>
      </c>
      <c r="G2265" s="17" t="s">
        <v>946</v>
      </c>
      <c r="H2265" s="17" t="s">
        <v>839</v>
      </c>
      <c r="I2265" s="13" t="s">
        <v>7037</v>
      </c>
      <c r="J2265" s="23" t="str">
        <f>HYPERLINK("CorLog\ZMB\Mongu RTO\20140523 ZMB ZMB Mongu RTO Do you have a high water table No---29m (ZMB-to-RDC).msg", "Do you have a high water table No---29m")</f>
        <v>Do you have a high water table No---29m</v>
      </c>
      <c r="K2265" s="25"/>
      <c r="L2265" s="19"/>
      <c r="M2265" s="20"/>
      <c r="N2265" s="21" t="s">
        <v>7038</v>
      </c>
    </row>
    <row r="2266" spans="1:14">
      <c r="A2266" s="12" t="s">
        <v>6623</v>
      </c>
      <c r="B2266" s="13" t="s">
        <v>718</v>
      </c>
      <c r="C2266" s="14"/>
      <c r="D2266" s="15">
        <v>41782.557349537034</v>
      </c>
      <c r="E2266" s="16" t="s">
        <v>14</v>
      </c>
      <c r="F2266" s="16" t="s">
        <v>16</v>
      </c>
      <c r="G2266" s="17" t="s">
        <v>966</v>
      </c>
      <c r="H2266" s="17" t="s">
        <v>1612</v>
      </c>
      <c r="I2266" s="13" t="s">
        <v>7039</v>
      </c>
      <c r="J2266" s="23" t="str">
        <f>HYPERLINK("CorLog\MDG\Branch\20140523 MDG Branch MDG - EML Booster Pump Motor (MDG-to-RDC).msg", "MDG - EML Booster Pump Motor")</f>
        <v>MDG - EML Booster Pump Motor</v>
      </c>
      <c r="K2266" s="25" t="s">
        <v>1274</v>
      </c>
      <c r="L2266" s="19"/>
      <c r="M2266" s="20"/>
      <c r="N2266" s="21" t="s">
        <v>7040</v>
      </c>
    </row>
    <row r="2267" spans="1:14">
      <c r="A2267" s="12" t="s">
        <v>972</v>
      </c>
      <c r="B2267" s="13" t="s">
        <v>718</v>
      </c>
      <c r="C2267" s="14" t="s">
        <v>4286</v>
      </c>
      <c r="D2267" s="15">
        <v>41781.483425925922</v>
      </c>
      <c r="E2267" s="16" t="s">
        <v>18</v>
      </c>
      <c r="F2267" s="16" t="s">
        <v>16</v>
      </c>
      <c r="G2267" s="17" t="s">
        <v>920</v>
      </c>
      <c r="H2267" s="17" t="s">
        <v>2403</v>
      </c>
      <c r="I2267" s="13" t="s">
        <v>7041</v>
      </c>
      <c r="J2267" s="23" t="str">
        <f>HYPERLINK("CorLog\ZMB\Mbala RTO\20140522 ZMB Mbala RTO Review of CN-27 Property Options (ZMB-to-RDC).msg", "Review of CN-27 Property Options")</f>
        <v>Review of CN-27 Property Options</v>
      </c>
      <c r="K2267" s="25"/>
      <c r="L2267" s="19"/>
      <c r="M2267" s="20"/>
      <c r="N2267" s="21" t="s">
        <v>7042</v>
      </c>
    </row>
    <row r="2268" spans="1:14">
      <c r="A2268" s="12" t="s">
        <v>1818</v>
      </c>
      <c r="B2268" s="13" t="s">
        <v>750</v>
      </c>
      <c r="C2268" s="14" t="s">
        <v>7043</v>
      </c>
      <c r="D2268" s="15">
        <v>41781.446585648147</v>
      </c>
      <c r="E2268" s="16" t="s">
        <v>16</v>
      </c>
      <c r="F2268" s="16" t="s">
        <v>16</v>
      </c>
      <c r="G2268" s="17" t="s">
        <v>758</v>
      </c>
      <c r="H2268" s="17" t="s">
        <v>3964</v>
      </c>
      <c r="I2268" s="13" t="s">
        <v>7044</v>
      </c>
      <c r="J2268" s="23" t="str">
        <f>HYPERLINK("CorLog\GHA\Viepe RTO\20140522 RDC GHA Viepe RTO 1m of SOIL on Top Of Septic Tank (RDC-to-RDC).msg", "1m of SOIL on Top Of Septic Tank")</f>
        <v>1m of SOIL on Top Of Septic Tank</v>
      </c>
      <c r="K2268" s="25"/>
      <c r="L2268" s="19"/>
      <c r="M2268" s="20"/>
      <c r="N2268" s="21" t="s">
        <v>7045</v>
      </c>
    </row>
    <row r="2269" spans="1:14">
      <c r="A2269" s="12" t="s">
        <v>718</v>
      </c>
      <c r="B2269" s="13" t="s">
        <v>6995</v>
      </c>
      <c r="C2269" s="14"/>
      <c r="D2269" s="15">
        <v>41780.687164351853</v>
      </c>
      <c r="E2269" s="16" t="s">
        <v>16</v>
      </c>
      <c r="F2269" s="16" t="s">
        <v>26</v>
      </c>
      <c r="G2269" s="17" t="s">
        <v>30</v>
      </c>
      <c r="H2269" s="17" t="s">
        <v>1426</v>
      </c>
      <c r="I2269" s="13" t="s">
        <v>7046</v>
      </c>
      <c r="J2269" s="23" t="str">
        <f>HYPERLINK("CorLog\ALL\20140521 ALL SALTO Panic Hardware --rim mounted panic bars (RDC-to-GBR).msg", "SALTO Panic Hardware --rim mounted panic bars")</f>
        <v>SALTO Panic Hardware --rim mounted panic bars</v>
      </c>
      <c r="K2269" s="25" t="s">
        <v>1243</v>
      </c>
      <c r="L2269" s="19"/>
      <c r="M2269" s="20"/>
      <c r="N2269" s="21" t="s">
        <v>7047</v>
      </c>
    </row>
    <row r="2270" spans="1:14">
      <c r="A2270" s="12" t="s">
        <v>718</v>
      </c>
      <c r="B2270" s="13" t="s">
        <v>3296</v>
      </c>
      <c r="C2270" s="14"/>
      <c r="D2270" s="15">
        <v>41780.600486111114</v>
      </c>
      <c r="E2270" s="16" t="s">
        <v>16</v>
      </c>
      <c r="F2270" s="16" t="s">
        <v>15</v>
      </c>
      <c r="G2270" s="17" t="s">
        <v>30</v>
      </c>
      <c r="H2270" s="17" t="s">
        <v>1426</v>
      </c>
      <c r="I2270" s="13" t="s">
        <v>7048</v>
      </c>
      <c r="J2270" s="23" t="str">
        <f>HYPERLINK("CorLog\ALL\20140521 ALL SALTO Access Control - Product Information (RDC-to-ZAF).msg", "SALTO Access Control - Product Information")</f>
        <v>SALTO Access Control - Product Information</v>
      </c>
      <c r="K2270" s="25" t="s">
        <v>1270</v>
      </c>
      <c r="L2270" s="19" t="s">
        <v>7049</v>
      </c>
      <c r="M2270" s="20"/>
      <c r="N2270" s="21" t="s">
        <v>7050</v>
      </c>
    </row>
    <row r="2271" spans="1:14">
      <c r="A2271" s="12" t="s">
        <v>718</v>
      </c>
      <c r="B2271" s="13" t="s">
        <v>4950</v>
      </c>
      <c r="C2271" s="14" t="s">
        <v>7051</v>
      </c>
      <c r="D2271" s="15">
        <v>41780.564988425926</v>
      </c>
      <c r="E2271" s="16" t="s">
        <v>16</v>
      </c>
      <c r="F2271" s="16" t="s">
        <v>18</v>
      </c>
      <c r="G2271" s="17" t="s">
        <v>885</v>
      </c>
      <c r="H2271" s="17" t="s">
        <v>1489</v>
      </c>
      <c r="I2271" s="13" t="s">
        <v>7052</v>
      </c>
      <c r="J2271" s="23" t="str">
        <f>HYPERLINK("CorLog\ZMB\Kabompo RTO\20140521RDC ZMB Kabompo RTO Proposal to use 2 x 2 48m water tanks (RDC-to-ZMB).msg", "Proposal to use 2 x 2 48m water tanks")</f>
        <v>Proposal to use 2 x 2 48m water tanks</v>
      </c>
      <c r="K2271" s="25" t="s">
        <v>1270</v>
      </c>
      <c r="L2271" s="19" t="s">
        <v>7053</v>
      </c>
      <c r="M2271" s="20"/>
      <c r="N2271" s="21" t="s">
        <v>7054</v>
      </c>
    </row>
    <row r="2272" spans="1:14">
      <c r="A2272" s="12" t="s">
        <v>718</v>
      </c>
      <c r="B2272" s="13" t="s">
        <v>4950</v>
      </c>
      <c r="C2272" s="14" t="s">
        <v>7051</v>
      </c>
      <c r="D2272" s="15">
        <v>41780.450300925928</v>
      </c>
      <c r="E2272" s="16" t="s">
        <v>16</v>
      </c>
      <c r="F2272" s="16" t="s">
        <v>18</v>
      </c>
      <c r="G2272" s="17" t="s">
        <v>885</v>
      </c>
      <c r="H2272" s="17" t="s">
        <v>1489</v>
      </c>
      <c r="I2272" s="13" t="s">
        <v>7055</v>
      </c>
      <c r="J2272" s="23" t="str">
        <f>HYPERLINK("CorLog\ZMB\Kabompo RTO\20140521RDC ZMB Kabompo RTO Separate HDPE water lines to Buildings (RDC-to-ZMB).msg", "Separate HDPE water lines to Buildings")</f>
        <v>Separate HDPE water lines to Buildings</v>
      </c>
      <c r="K2272" s="25" t="s">
        <v>1274</v>
      </c>
      <c r="L2272" s="19"/>
      <c r="M2272" s="20"/>
      <c r="N2272" s="21" t="s">
        <v>7056</v>
      </c>
    </row>
    <row r="2273" spans="1:14">
      <c r="A2273" s="12" t="s">
        <v>718</v>
      </c>
      <c r="B2273" s="13" t="s">
        <v>4950</v>
      </c>
      <c r="C2273" s="14" t="s">
        <v>7051</v>
      </c>
      <c r="D2273" s="15">
        <v>41780.440694444442</v>
      </c>
      <c r="E2273" s="16" t="s">
        <v>16</v>
      </c>
      <c r="F2273" s="16" t="s">
        <v>18</v>
      </c>
      <c r="G2273" s="17" t="s">
        <v>885</v>
      </c>
      <c r="H2273" s="17" t="s">
        <v>1489</v>
      </c>
      <c r="I2273" s="13" t="s">
        <v>7057</v>
      </c>
      <c r="J2273" s="23" t="str">
        <f>HYPERLINK("CorLog\ZMB\Kabompo RTO\20140521RDC ZMB Kabompo RTO Avoiding underground HDPE tees to feed water tanks (RDC-to-ZMB).msg", "Avoiding underground HDPE tees to feed water tanks")</f>
        <v>Avoiding underground HDPE tees to feed water tanks</v>
      </c>
      <c r="K2273" s="25"/>
      <c r="L2273" s="19"/>
      <c r="M2273" s="20"/>
      <c r="N2273" s="21" t="s">
        <v>7058</v>
      </c>
    </row>
    <row r="2274" spans="1:14">
      <c r="A2274" s="12" t="s">
        <v>718</v>
      </c>
      <c r="B2274" s="13" t="s">
        <v>5455</v>
      </c>
      <c r="C2274" s="14" t="s">
        <v>7059</v>
      </c>
      <c r="D2274" s="15">
        <v>41779.635925925926</v>
      </c>
      <c r="E2274" s="16" t="s">
        <v>16</v>
      </c>
      <c r="F2274" s="16" t="s">
        <v>18</v>
      </c>
      <c r="G2274" s="17" t="s">
        <v>885</v>
      </c>
      <c r="H2274" s="17" t="s">
        <v>1489</v>
      </c>
      <c r="I2274" s="13" t="s">
        <v>7060</v>
      </c>
      <c r="J2274" s="23" t="str">
        <f>HYPERLINK("CorLog\ZMB\Kabompo RTO\20140520RDC ZMB Kabompo RTO Proposal to use 2 x 2 48m water tanks (RDC-to-ZMB).msg", "Proposal to use 2 x 2 48m water tanks")</f>
        <v>Proposal to use 2 x 2 48m water tanks</v>
      </c>
      <c r="K2274" s="25" t="s">
        <v>1274</v>
      </c>
      <c r="L2274" s="19"/>
      <c r="M2274" s="20"/>
      <c r="N2274" s="21" t="s">
        <v>7061</v>
      </c>
    </row>
    <row r="2275" spans="1:14">
      <c r="A2275" s="12" t="s">
        <v>718</v>
      </c>
      <c r="B2275" s="13" t="s">
        <v>842</v>
      </c>
      <c r="C2275" s="14" t="s">
        <v>7062</v>
      </c>
      <c r="D2275" s="15">
        <v>41779.618437500001</v>
      </c>
      <c r="E2275" s="16" t="s">
        <v>16</v>
      </c>
      <c r="F2275" s="16" t="s">
        <v>21</v>
      </c>
      <c r="G2275" s="17" t="s">
        <v>857</v>
      </c>
      <c r="H2275" s="17" t="s">
        <v>803</v>
      </c>
      <c r="I2275" s="13" t="s">
        <v>7063</v>
      </c>
      <c r="J2275" s="23" t="str">
        <f>HYPERLINK("CorLog\GHA\Kikam RTO\20140520RDC GHA Kikam RTO Draft Filing Drawings for Building Permit (RDC-to-GHA).msg", "Draft Filing Drawings for Building Permit")</f>
        <v>Draft Filing Drawings for Building Permit</v>
      </c>
      <c r="K2275" s="25" t="s">
        <v>1211</v>
      </c>
      <c r="L2275" s="19"/>
      <c r="M2275" s="20"/>
      <c r="N2275" s="21" t="s">
        <v>7064</v>
      </c>
    </row>
    <row r="2276" spans="1:14">
      <c r="A2276" s="12" t="s">
        <v>718</v>
      </c>
      <c r="B2276" s="13" t="s">
        <v>4950</v>
      </c>
      <c r="C2276" s="14" t="s">
        <v>7059</v>
      </c>
      <c r="D2276" s="15">
        <v>41779.568101851852</v>
      </c>
      <c r="E2276" s="16" t="s">
        <v>16</v>
      </c>
      <c r="F2276" s="16" t="s">
        <v>18</v>
      </c>
      <c r="G2276" s="17" t="s">
        <v>885</v>
      </c>
      <c r="H2276" s="17" t="s">
        <v>3275</v>
      </c>
      <c r="I2276" s="13" t="s">
        <v>7065</v>
      </c>
      <c r="J2276" s="23" t="str">
        <f>HYPERLINK("CorLog\ZMB\Kabompo RTO\20140520 RDC ZMB Kabompo RTO Proposal to use 2 x 2 48m water tanks (RDC-to-ZMB).msg", "Proposal to use 2 x 2 48m water tanks")</f>
        <v>Proposal to use 2 x 2 48m water tanks</v>
      </c>
      <c r="K2276" s="25" t="s">
        <v>1270</v>
      </c>
      <c r="L2276" s="19"/>
      <c r="M2276" s="20"/>
      <c r="N2276" s="21" t="s">
        <v>7066</v>
      </c>
    </row>
    <row r="2277" spans="1:14">
      <c r="A2277" s="12" t="s">
        <v>718</v>
      </c>
      <c r="B2277" s="13" t="s">
        <v>842</v>
      </c>
      <c r="C2277" s="14" t="s">
        <v>7067</v>
      </c>
      <c r="D2277" s="15">
        <v>41779.544571759259</v>
      </c>
      <c r="E2277" s="16" t="s">
        <v>16</v>
      </c>
      <c r="F2277" s="16" t="s">
        <v>21</v>
      </c>
      <c r="G2277" s="17" t="s">
        <v>857</v>
      </c>
      <c r="H2277" s="17" t="s">
        <v>5938</v>
      </c>
      <c r="I2277" s="13" t="s">
        <v>7068</v>
      </c>
      <c r="J2277" s="23" t="str">
        <f>HYPERLINK("CorLog\GHA\Kikam RTO\20140520 RDC GHA Kikam RTO Proposed location of septic system &amp; borehole (OK) (RDC-to-GHA).msg", "Proposed location of septic system &amp; borehole (OK)")</f>
        <v>Proposed location of septic system &amp; borehole (OK)</v>
      </c>
      <c r="K2277" s="25"/>
      <c r="L2277" s="19" t="s">
        <v>7069</v>
      </c>
      <c r="M2277" s="20"/>
      <c r="N2277" s="21" t="s">
        <v>7070</v>
      </c>
    </row>
    <row r="2278" spans="1:14">
      <c r="A2278" s="12" t="s">
        <v>718</v>
      </c>
      <c r="B2278" s="13" t="s">
        <v>5413</v>
      </c>
      <c r="C2278" s="14" t="s">
        <v>7071</v>
      </c>
      <c r="D2278" s="15">
        <v>41779.498819444445</v>
      </c>
      <c r="E2278" s="16" t="s">
        <v>16</v>
      </c>
      <c r="F2278" s="16" t="s">
        <v>21</v>
      </c>
      <c r="G2278" s="17" t="s">
        <v>790</v>
      </c>
      <c r="H2278" s="17" t="s">
        <v>3330</v>
      </c>
      <c r="I2278" s="13" t="s">
        <v>7072</v>
      </c>
      <c r="J2278" s="23" t="str">
        <f>HYPERLINK("CorLog\GHA\BEX\20140520 RDC GHA BEX SDMO witness test photo report (RDC-to-GHA).msg", "SDMO witness test photo report")</f>
        <v>SDMO witness test photo report</v>
      </c>
      <c r="K2278" s="25" t="s">
        <v>1211</v>
      </c>
      <c r="L2278" s="19"/>
      <c r="M2278" s="20"/>
      <c r="N2278" s="21" t="s">
        <v>7073</v>
      </c>
    </row>
    <row r="2279" spans="1:14">
      <c r="A2279" s="12" t="s">
        <v>998</v>
      </c>
      <c r="B2279" s="13" t="s">
        <v>718</v>
      </c>
      <c r="C2279" s="14" t="s">
        <v>750</v>
      </c>
      <c r="D2279" s="15">
        <v>41779.481064814812</v>
      </c>
      <c r="E2279" s="16" t="s">
        <v>17</v>
      </c>
      <c r="F2279" s="16" t="s">
        <v>16</v>
      </c>
      <c r="G2279" s="17" t="s">
        <v>730</v>
      </c>
      <c r="H2279" s="17" t="s">
        <v>1000</v>
      </c>
      <c r="I2279" s="13" t="s">
        <v>7074</v>
      </c>
      <c r="J2279" s="23" t="str">
        <f>HYPERLINK("CorLog\GHA\Baatsona SKE\20140520 GHA Baatsona SKE Additional Building Option for Review (-to-RDC).msg", "Additional Building Option for Review")</f>
        <v>Additional Building Option for Review</v>
      </c>
      <c r="K2279" s="25"/>
      <c r="L2279" s="19" t="s">
        <v>7075</v>
      </c>
      <c r="M2279" s="20"/>
      <c r="N2279" s="21" t="s">
        <v>7076</v>
      </c>
    </row>
    <row r="2280" spans="1:14">
      <c r="A2280" s="12" t="s">
        <v>972</v>
      </c>
      <c r="B2280" s="13" t="s">
        <v>718</v>
      </c>
      <c r="C2280" s="14" t="s">
        <v>724</v>
      </c>
      <c r="D2280" s="15">
        <v>41779.439027777778</v>
      </c>
      <c r="E2280" s="16" t="s">
        <v>18</v>
      </c>
      <c r="F2280" s="16" t="s">
        <v>16</v>
      </c>
      <c r="G2280" s="17" t="s">
        <v>1112</v>
      </c>
      <c r="H2280" s="17" t="s">
        <v>3009</v>
      </c>
      <c r="I2280" s="13" t="s">
        <v>7077</v>
      </c>
      <c r="J2280" s="23" t="str">
        <f>HYPERLINK("CorLog\ZMB\BEX\20140520 ZMB ZMB BEX Electrical AVR-Generator-Minisub Commissioning (ZMB-to-RDC).msg", "Electrical AVR-Generator-Minisub Commissioning")</f>
        <v>Electrical AVR-Generator-Minisub Commissioning</v>
      </c>
      <c r="K2280" s="25" t="s">
        <v>1211</v>
      </c>
      <c r="L2280" s="19" t="s">
        <v>7078</v>
      </c>
      <c r="M2280" s="20"/>
      <c r="N2280" s="21" t="s">
        <v>7079</v>
      </c>
    </row>
    <row r="2281" spans="1:14">
      <c r="A2281" s="12" t="s">
        <v>2016</v>
      </c>
      <c r="B2281" s="13" t="s">
        <v>1761</v>
      </c>
      <c r="C2281" s="14" t="s">
        <v>7080</v>
      </c>
      <c r="D2281" s="15">
        <v>41779.326365740744</v>
      </c>
      <c r="E2281" s="16" t="s">
        <v>16</v>
      </c>
      <c r="F2281" s="16" t="s">
        <v>16</v>
      </c>
      <c r="G2281" s="17" t="s">
        <v>2627</v>
      </c>
      <c r="H2281" s="17" t="s">
        <v>2242</v>
      </c>
      <c r="I2281" s="13" t="s">
        <v>7081</v>
      </c>
      <c r="J2281" s="23" t="str">
        <f>HYPERLINK("CorLog\COD\Kamina RTO\20140520 RDC COD Kamina RTO The glorious road to KAMINA (RDC-to-RDC).msg", "The glorious road to KAMINA")</f>
        <v>The glorious road to KAMINA</v>
      </c>
      <c r="K2281" s="25" t="s">
        <v>1211</v>
      </c>
      <c r="L2281" s="19"/>
      <c r="M2281" s="20"/>
      <c r="N2281" s="21" t="s">
        <v>7082</v>
      </c>
    </row>
    <row r="2282" spans="1:14">
      <c r="A2282" s="12" t="s">
        <v>874</v>
      </c>
      <c r="B2282" s="13"/>
      <c r="C2282" s="14"/>
      <c r="D2282" s="15">
        <v>41779</v>
      </c>
      <c r="E2282" s="16" t="s">
        <v>25</v>
      </c>
      <c r="F2282" s="16" t="s">
        <v>21</v>
      </c>
      <c r="G2282" s="17" t="s">
        <v>730</v>
      </c>
      <c r="H2282" s="17" t="s">
        <v>5392</v>
      </c>
      <c r="I2282" s="13" t="s">
        <v>7083</v>
      </c>
      <c r="J2282" s="23" t="str">
        <f>HYPERLINK("CorLog\GHA\Baatsona SKE\20140520 GHA Baatsona SKE Building Addition and Renovation for the Baatsona School for Kingdom Evangelizers (WHQ-to-GHA).doc", "Building Addition and Renovation for the Baatsona School for Kingdom Evangelizers")</f>
        <v>Building Addition and Renovation for the Baatsona School for Kingdom Evangelizers</v>
      </c>
      <c r="K2282" s="25" t="str">
        <f>HYPERLINK("CorLog\GHA\Baatsona SKE\20140520 GHA Baatsona SKE Building Addition and Renovation for the Baatsona School for Kingdom Evangelizers (WHQ-to-GHA).zip", "Zipped")</f>
        <v>Zipped</v>
      </c>
      <c r="L2282" s="19" t="s">
        <v>7084</v>
      </c>
      <c r="M2282" s="20"/>
      <c r="N2282" s="21" t="s">
        <v>7085</v>
      </c>
    </row>
    <row r="2283" spans="1:14">
      <c r="A2283" s="12" t="s">
        <v>1818</v>
      </c>
      <c r="B2283" s="13" t="s">
        <v>718</v>
      </c>
      <c r="C2283" s="14"/>
      <c r="D2283" s="15">
        <v>41778.631261574075</v>
      </c>
      <c r="E2283" s="16" t="s">
        <v>16</v>
      </c>
      <c r="F2283" s="16" t="s">
        <v>16</v>
      </c>
      <c r="G2283" s="17" t="s">
        <v>857</v>
      </c>
      <c r="H2283" s="17" t="s">
        <v>5938</v>
      </c>
      <c r="I2283" s="13" t="s">
        <v>7086</v>
      </c>
      <c r="J2283" s="23" t="str">
        <f>HYPERLINK("CorLog\GHA\Kikam RTO\20140519 RDC GHA Kikam RTO Proposed location of septic system &amp; borehole (RDC-to-RDC).msg", "Proposed location of septic system &amp; borehole")</f>
        <v>Proposed location of septic system &amp; borehole</v>
      </c>
      <c r="K2283" s="25"/>
      <c r="L2283" s="19" t="s">
        <v>7087</v>
      </c>
      <c r="M2283" s="20"/>
      <c r="N2283" s="21" t="s">
        <v>7088</v>
      </c>
    </row>
    <row r="2284" spans="1:14">
      <c r="A2284" s="12" t="s">
        <v>750</v>
      </c>
      <c r="B2284" s="13" t="s">
        <v>4950</v>
      </c>
      <c r="C2284" s="14" t="s">
        <v>6897</v>
      </c>
      <c r="D2284" s="15">
        <v>41778.417685185188</v>
      </c>
      <c r="E2284" s="16" t="s">
        <v>16</v>
      </c>
      <c r="F2284" s="16" t="s">
        <v>18</v>
      </c>
      <c r="G2284" s="17" t="s">
        <v>885</v>
      </c>
      <c r="H2284" s="17" t="s">
        <v>851</v>
      </c>
      <c r="I2284" s="13" t="s">
        <v>7089</v>
      </c>
      <c r="J2284" s="23" t="str">
        <f>HYPERLINK("CorLog\ZMB\Kabompo RTO\20140519RDC ZMB Kabompo RTO Office DCP Results Approved by MAllan (RDC-to-ZMB).msg", "Office DCP Results Approved by MAllan")</f>
        <v>Office DCP Results Approved by MAllan</v>
      </c>
      <c r="K2284" s="25"/>
      <c r="L2284" s="19" t="s">
        <v>7090</v>
      </c>
      <c r="M2284" s="20"/>
      <c r="N2284" s="21" t="s">
        <v>7091</v>
      </c>
    </row>
    <row r="2285" spans="1:14">
      <c r="A2285" s="12" t="s">
        <v>4950</v>
      </c>
      <c r="B2285" s="13" t="s">
        <v>718</v>
      </c>
      <c r="C2285" s="14" t="s">
        <v>6897</v>
      </c>
      <c r="D2285" s="15">
        <v>41778.406921296293</v>
      </c>
      <c r="E2285" s="16" t="s">
        <v>18</v>
      </c>
      <c r="F2285" s="16" t="s">
        <v>16</v>
      </c>
      <c r="G2285" s="17" t="s">
        <v>885</v>
      </c>
      <c r="H2285" s="17" t="s">
        <v>851</v>
      </c>
      <c r="I2285" s="13" t="s">
        <v>7092</v>
      </c>
      <c r="J2285" s="23" t="str">
        <f>HYPERLINK("CorLog\ZMB\Kabompo RTO\20140519ZMB ZMB Kabompo RTO Office DCP Results 2 (ZMB-to-RDC).msg", "Office DCP Results 2")</f>
        <v>Office DCP Results 2</v>
      </c>
      <c r="K2285" s="25" t="s">
        <v>1211</v>
      </c>
      <c r="L2285" s="19"/>
      <c r="M2285" s="20"/>
      <c r="N2285" s="21" t="s">
        <v>7093</v>
      </c>
    </row>
    <row r="2286" spans="1:14">
      <c r="A2286" s="12" t="s">
        <v>2195</v>
      </c>
      <c r="B2286" s="13" t="s">
        <v>718</v>
      </c>
      <c r="C2286" s="14" t="s">
        <v>7094</v>
      </c>
      <c r="D2286" s="15">
        <v>41775.700243055559</v>
      </c>
      <c r="E2286" s="16" t="s">
        <v>935</v>
      </c>
      <c r="F2286" s="16" t="s">
        <v>16</v>
      </c>
      <c r="G2286" s="17" t="s">
        <v>857</v>
      </c>
      <c r="H2286" s="17" t="s">
        <v>871</v>
      </c>
      <c r="I2286" s="13" t="s">
        <v>7095</v>
      </c>
      <c r="J2286" s="23" t="str">
        <f>HYPERLINK("CorLog\GHA\Kikam RTO\20140516GPD GHA Kikam RTO Draft procurement plan approved (GPD-to-RDC).msg", "Draft procurement plan approved")</f>
        <v>Draft procurement plan approved</v>
      </c>
      <c r="K2286" s="25"/>
      <c r="L2286" s="19"/>
      <c r="M2286" s="20" t="s">
        <v>5621</v>
      </c>
      <c r="N2286" s="21" t="s">
        <v>7096</v>
      </c>
    </row>
    <row r="2287" spans="1:14">
      <c r="A2287" s="12" t="s">
        <v>718</v>
      </c>
      <c r="B2287" s="13" t="s">
        <v>5413</v>
      </c>
      <c r="C2287" s="14" t="s">
        <v>7097</v>
      </c>
      <c r="D2287" s="15">
        <v>41775.621574074074</v>
      </c>
      <c r="E2287" s="16" t="s">
        <v>16</v>
      </c>
      <c r="F2287" s="16" t="s">
        <v>21</v>
      </c>
      <c r="G2287" s="17" t="s">
        <v>790</v>
      </c>
      <c r="H2287" s="17" t="s">
        <v>1489</v>
      </c>
      <c r="I2287" s="13" t="s">
        <v>7098</v>
      </c>
      <c r="J2287" s="23" t="str">
        <f>HYPERLINK("CorLog\GHA\BEX\20140516 GHA BEX Existing water treatment, cut existing pipe (P-602) [YES] (RDC-to-GHA).msg", "Existing water treatment, cut existing pipe (P-602) [YES]")</f>
        <v>Existing water treatment, cut existing pipe (P-602) [YES]</v>
      </c>
      <c r="K2287" s="25" t="s">
        <v>1243</v>
      </c>
      <c r="L2287" s="19"/>
      <c r="M2287" s="20"/>
      <c r="N2287" s="21" t="s">
        <v>7099</v>
      </c>
    </row>
    <row r="2288" spans="1:14">
      <c r="A2288" s="12" t="s">
        <v>718</v>
      </c>
      <c r="B2288" s="13" t="s">
        <v>5413</v>
      </c>
      <c r="C2288" s="14" t="s">
        <v>750</v>
      </c>
      <c r="D2288" s="15">
        <v>41775.577118055553</v>
      </c>
      <c r="E2288" s="16" t="s">
        <v>16</v>
      </c>
      <c r="F2288" s="16" t="s">
        <v>21</v>
      </c>
      <c r="G2288" s="17" t="s">
        <v>790</v>
      </c>
      <c r="H2288" s="17" t="s">
        <v>3581</v>
      </c>
      <c r="I2288" s="13" t="s">
        <v>7100</v>
      </c>
      <c r="J2288" s="23" t="str">
        <f>HYPERLINK("CorLog\GHA\BEX\20140516 GHA BEX Concrete Recipes 25MPa (7-d results May 7th) (RDC-to-GHA).msg", "Concrete Recipes 25MPa (7-d results May 7th)")</f>
        <v>Concrete Recipes 25MPa (7-d results May 7th)</v>
      </c>
      <c r="K2288" s="25" t="s">
        <v>1243</v>
      </c>
      <c r="L2288" s="19" t="s">
        <v>7101</v>
      </c>
      <c r="M2288" s="20"/>
      <c r="N2288" s="21" t="s">
        <v>7102</v>
      </c>
    </row>
    <row r="2289" spans="1:14">
      <c r="A2289" s="12" t="s">
        <v>718</v>
      </c>
      <c r="B2289" s="13" t="s">
        <v>5413</v>
      </c>
      <c r="C2289" s="14" t="s">
        <v>795</v>
      </c>
      <c r="D2289" s="15">
        <v>41775.574236111112</v>
      </c>
      <c r="E2289" s="16" t="s">
        <v>16</v>
      </c>
      <c r="F2289" s="16" t="s">
        <v>21</v>
      </c>
      <c r="G2289" s="17" t="s">
        <v>790</v>
      </c>
      <c r="H2289" s="17" t="s">
        <v>1489</v>
      </c>
      <c r="I2289" s="13" t="s">
        <v>7103</v>
      </c>
      <c r="J2289" s="23" t="str">
        <f>HYPERLINK("CorLog\GHA\BEX\20140516 GHA BEX Existing water treatment level switch; why need new one also [YES] (RDC-to-GHA).msg", "Existing water treatment level switch; why need new one also [YES]")</f>
        <v>Existing water treatment level switch; why need new one also [YES]</v>
      </c>
      <c r="K2289" s="25" t="s">
        <v>1211</v>
      </c>
      <c r="L2289" s="19"/>
      <c r="M2289" s="20"/>
      <c r="N2289" s="21" t="s">
        <v>7104</v>
      </c>
    </row>
    <row r="2290" spans="1:14">
      <c r="A2290" s="12" t="s">
        <v>718</v>
      </c>
      <c r="B2290" s="13" t="s">
        <v>5413</v>
      </c>
      <c r="C2290" s="14" t="s">
        <v>3841</v>
      </c>
      <c r="D2290" s="15">
        <v>41775.571493055555</v>
      </c>
      <c r="E2290" s="16" t="s">
        <v>16</v>
      </c>
      <c r="F2290" s="16" t="s">
        <v>21</v>
      </c>
      <c r="G2290" s="17" t="s">
        <v>790</v>
      </c>
      <c r="H2290" s="17" t="s">
        <v>854</v>
      </c>
      <c r="I2290" s="13" t="s">
        <v>7105</v>
      </c>
      <c r="J2290" s="23" t="str">
        <f>HYPERLINK("CorLog\GHA\BEX\20140516 GHA BEX Utility building, Hilti HY-150 vs HY-200 [OKAY] (RDC-to-GHA).msg", "Utility building, Hilti HY-150 vs HY-200 [OKAY]")</f>
        <v>Utility building, Hilti HY-150 vs HY-200 [OKAY]</v>
      </c>
      <c r="K2290" s="25" t="s">
        <v>1211</v>
      </c>
      <c r="L2290" s="19"/>
      <c r="M2290" s="20"/>
      <c r="N2290" s="21" t="s">
        <v>7106</v>
      </c>
    </row>
    <row r="2291" spans="1:14">
      <c r="A2291" s="12" t="s">
        <v>718</v>
      </c>
      <c r="B2291" s="13" t="s">
        <v>5413</v>
      </c>
      <c r="C2291" s="14" t="s">
        <v>4065</v>
      </c>
      <c r="D2291" s="15">
        <v>41775.562337962961</v>
      </c>
      <c r="E2291" s="16" t="s">
        <v>16</v>
      </c>
      <c r="F2291" s="16" t="s">
        <v>21</v>
      </c>
      <c r="G2291" s="17" t="s">
        <v>790</v>
      </c>
      <c r="H2291" s="17" t="s">
        <v>947</v>
      </c>
      <c r="I2291" s="13" t="s">
        <v>7107</v>
      </c>
      <c r="J2291" s="23" t="str">
        <f>HYPERLINK("CorLog\GHA\BEX\20140516 GHA BEX Question regarding Civil Rev 2, move bridge, EP 4 5 (RDC-to-GHA).msg", "Question regarding Civil Rev 2, move bridge, EP 4 5")</f>
        <v>Question regarding Civil Rev 2, move bridge, EP 4 5</v>
      </c>
      <c r="K2291" s="25" t="s">
        <v>1274</v>
      </c>
      <c r="L2291" s="19"/>
      <c r="M2291" s="20"/>
      <c r="N2291" s="21" t="s">
        <v>7108</v>
      </c>
    </row>
    <row r="2292" spans="1:14">
      <c r="A2292" s="12" t="s">
        <v>750</v>
      </c>
      <c r="B2292" s="13" t="s">
        <v>724</v>
      </c>
      <c r="C2292" s="14" t="s">
        <v>7109</v>
      </c>
      <c r="D2292" s="15">
        <v>41775.490254629629</v>
      </c>
      <c r="E2292" s="16" t="s">
        <v>16</v>
      </c>
      <c r="F2292" s="16" t="s">
        <v>16</v>
      </c>
      <c r="G2292" s="17" t="s">
        <v>30</v>
      </c>
      <c r="H2292" s="17" t="s">
        <v>2421</v>
      </c>
      <c r="I2292" s="13" t="s">
        <v>7110</v>
      </c>
      <c r="J2292" s="23" t="str">
        <f>HYPERLINK("CorLog\ALL\20140516 ALL REVISED Safety Outlines 2014-05 (RDC-to-RDC).msg", "REVISED Safety Outlines 2014-05")</f>
        <v>REVISED Safety Outlines 2014-05</v>
      </c>
      <c r="K2292" s="25"/>
      <c r="L2292" s="19"/>
      <c r="M2292" s="20"/>
      <c r="N2292" s="21" t="s">
        <v>7111</v>
      </c>
    </row>
    <row r="2293" spans="1:14">
      <c r="A2293" s="12" t="s">
        <v>718</v>
      </c>
      <c r="B2293" s="13" t="s">
        <v>1418</v>
      </c>
      <c r="C2293" s="14" t="s">
        <v>724</v>
      </c>
      <c r="D2293" s="15">
        <v>41774.666134259256</v>
      </c>
      <c r="E2293" s="16" t="s">
        <v>16</v>
      </c>
      <c r="F2293" s="16" t="s">
        <v>16</v>
      </c>
      <c r="G2293" s="17" t="s">
        <v>1112</v>
      </c>
      <c r="H2293" s="17" t="s">
        <v>886</v>
      </c>
      <c r="I2293" s="13" t="s">
        <v>7077</v>
      </c>
      <c r="J2293" s="23" t="str">
        <f>HYPERLINK("CorLog\ZMB\BEX\20140515 RDC ZMB BEX Electrical AVR-Generator-Minisub Commissioning (RDC-to-RDC).msg", "Electrical AVR-Generator-Minisub Commissioning")</f>
        <v>Electrical AVR-Generator-Minisub Commissioning</v>
      </c>
      <c r="K2293" s="25"/>
      <c r="L2293" s="19" t="s">
        <v>7112</v>
      </c>
      <c r="M2293" s="20"/>
      <c r="N2293" s="21" t="s">
        <v>7113</v>
      </c>
    </row>
    <row r="2294" spans="1:14">
      <c r="A2294" s="12" t="s">
        <v>718</v>
      </c>
      <c r="B2294" s="13" t="s">
        <v>1529</v>
      </c>
      <c r="C2294" s="14" t="s">
        <v>7051</v>
      </c>
      <c r="D2294" s="15">
        <v>41774.621435185189</v>
      </c>
      <c r="E2294" s="16" t="s">
        <v>16</v>
      </c>
      <c r="F2294" s="16" t="s">
        <v>18</v>
      </c>
      <c r="G2294" s="17" t="s">
        <v>946</v>
      </c>
      <c r="H2294" s="17" t="s">
        <v>6114</v>
      </c>
      <c r="I2294" s="13" t="s">
        <v>7114</v>
      </c>
      <c r="J2294" s="23" t="str">
        <f>HYPERLINK("CorLog\ZMB\Mongu RTO\20140515 ZMB Mongu RTO Can we remove some manholes (RDC-to-ZMB).msg", "Can we remove some manholes")</f>
        <v>Can we remove some manholes</v>
      </c>
      <c r="K2294" s="25"/>
      <c r="L2294" s="19"/>
      <c r="M2294" s="20"/>
      <c r="N2294" s="21" t="s">
        <v>7115</v>
      </c>
    </row>
    <row r="2295" spans="1:14">
      <c r="A2295" s="12" t="s">
        <v>842</v>
      </c>
      <c r="B2295" s="13" t="s">
        <v>718</v>
      </c>
      <c r="C2295" s="14"/>
      <c r="D2295" s="15">
        <v>41774.581331018519</v>
      </c>
      <c r="E2295" s="16" t="s">
        <v>21</v>
      </c>
      <c r="F2295" s="16" t="s">
        <v>16</v>
      </c>
      <c r="G2295" s="17" t="s">
        <v>758</v>
      </c>
      <c r="H2295" s="17" t="s">
        <v>1477</v>
      </c>
      <c r="I2295" s="13" t="s">
        <v>7116</v>
      </c>
      <c r="J2295" s="23" t="str">
        <f>HYPERLINK("CorLog\GHA\Viepe RTO\20140515 GHA GHA Viepe RTO Photos of water connection to site (GHA-to-RDC).msg", "Photos of water connection to site")</f>
        <v>Photos of water connection to site</v>
      </c>
      <c r="K2295" s="25" t="s">
        <v>1211</v>
      </c>
      <c r="L2295" s="19"/>
      <c r="M2295" s="20"/>
      <c r="N2295" s="21" t="s">
        <v>7117</v>
      </c>
    </row>
    <row r="2296" spans="1:14">
      <c r="A2296" s="12" t="s">
        <v>6995</v>
      </c>
      <c r="B2296" s="13" t="s">
        <v>718</v>
      </c>
      <c r="C2296" s="14" t="s">
        <v>1425</v>
      </c>
      <c r="D2296" s="15">
        <v>41774.579444444447</v>
      </c>
      <c r="E2296" s="16" t="s">
        <v>26</v>
      </c>
      <c r="F2296" s="16" t="s">
        <v>16</v>
      </c>
      <c r="G2296" s="17" t="s">
        <v>790</v>
      </c>
      <c r="H2296" s="17" t="s">
        <v>1426</v>
      </c>
      <c r="I2296" s="13" t="s">
        <v>7118</v>
      </c>
      <c r="J2296" s="23" t="str">
        <f>HYPERLINK("CorLog\GHA\BEX\20140515 GHA BEX RFQ for SALTO Access Control and Panic Hardware (GBR-to-RDC).msg", "RFQ for SALTO Access Control and Panic Hardware")</f>
        <v>RFQ for SALTO Access Control and Panic Hardware</v>
      </c>
      <c r="K2296" s="25" t="s">
        <v>1274</v>
      </c>
      <c r="L2296" s="19" t="s">
        <v>7119</v>
      </c>
      <c r="M2296" s="20"/>
      <c r="N2296" s="21" t="s">
        <v>7120</v>
      </c>
    </row>
    <row r="2297" spans="1:14">
      <c r="A2297" s="12" t="s">
        <v>718</v>
      </c>
      <c r="B2297" s="13" t="s">
        <v>1258</v>
      </c>
      <c r="C2297" s="14"/>
      <c r="D2297" s="15">
        <v>41774.553032407406</v>
      </c>
      <c r="E2297" s="16" t="s">
        <v>16</v>
      </c>
      <c r="F2297" s="16" t="s">
        <v>16</v>
      </c>
      <c r="G2297" s="17" t="s">
        <v>790</v>
      </c>
      <c r="H2297" s="17" t="s">
        <v>5758</v>
      </c>
      <c r="I2297" s="13" t="s">
        <v>7121</v>
      </c>
      <c r="J2297" s="23" t="str">
        <f>HYPERLINK("CorLog\GHA\BEX\20140515 GHA BEX As-built information on Existing Plans (RDC-to-RDC).msg", "As-built information on Existing Plans")</f>
        <v>As-built information on Existing Plans</v>
      </c>
      <c r="K2297" s="25" t="s">
        <v>1270</v>
      </c>
      <c r="L2297" s="19"/>
      <c r="M2297" s="20"/>
      <c r="N2297" s="21" t="s">
        <v>7122</v>
      </c>
    </row>
    <row r="2298" spans="1:14">
      <c r="A2298" s="12" t="s">
        <v>5413</v>
      </c>
      <c r="B2298" s="13" t="s">
        <v>718</v>
      </c>
      <c r="C2298" s="14" t="s">
        <v>827</v>
      </c>
      <c r="D2298" s="15">
        <v>41774.545891203707</v>
      </c>
      <c r="E2298" s="16" t="s">
        <v>21</v>
      </c>
      <c r="F2298" s="16" t="s">
        <v>16</v>
      </c>
      <c r="G2298" s="17" t="s">
        <v>738</v>
      </c>
      <c r="H2298" s="17" t="s">
        <v>4855</v>
      </c>
      <c r="I2298" s="13" t="s">
        <v>7121</v>
      </c>
      <c r="J2298" s="23" t="str">
        <f>HYPERLINK("CorLog\GHA\BEX 2\20140515 GHA GHA BEX 2 As-built information on Existing Plans (GHA-to-RDC).msg", "As-built information on Existing Plans")</f>
        <v>As-built information on Existing Plans</v>
      </c>
      <c r="K2298" s="25" t="s">
        <v>1270</v>
      </c>
      <c r="L2298" s="19"/>
      <c r="M2298" s="20"/>
      <c r="N2298" s="21" t="s">
        <v>7123</v>
      </c>
    </row>
    <row r="2299" spans="1:14">
      <c r="A2299" s="12" t="s">
        <v>718</v>
      </c>
      <c r="B2299" s="13" t="s">
        <v>972</v>
      </c>
      <c r="C2299" s="14" t="s">
        <v>7124</v>
      </c>
      <c r="D2299" s="15">
        <v>41774.493506944447</v>
      </c>
      <c r="E2299" s="16" t="s">
        <v>16</v>
      </c>
      <c r="F2299" s="16" t="s">
        <v>18</v>
      </c>
      <c r="G2299" s="17" t="s">
        <v>1112</v>
      </c>
      <c r="H2299" s="17" t="s">
        <v>886</v>
      </c>
      <c r="I2299" s="13" t="s">
        <v>7125</v>
      </c>
      <c r="J2299" s="23" t="str">
        <f>HYPERLINK("CorLog\ZMB\BEX\20140515 ZMB BEX AVR installation clarifying cable diameters (RDC-to-ZMB).msg", "AVR installation clarifying cable diameters")</f>
        <v>AVR installation clarifying cable diameters</v>
      </c>
      <c r="K2299" s="25" t="s">
        <v>1211</v>
      </c>
      <c r="L2299" s="19"/>
      <c r="M2299" s="20"/>
      <c r="N2299" s="21" t="s">
        <v>7126</v>
      </c>
    </row>
    <row r="2300" spans="1:14">
      <c r="A2300" s="12" t="s">
        <v>750</v>
      </c>
      <c r="B2300" s="13" t="s">
        <v>1181</v>
      </c>
      <c r="C2300" s="14" t="s">
        <v>7127</v>
      </c>
      <c r="D2300" s="15">
        <v>41774.334699074076</v>
      </c>
      <c r="E2300" s="16" t="s">
        <v>16</v>
      </c>
      <c r="F2300" s="16" t="s">
        <v>16</v>
      </c>
      <c r="G2300" s="17" t="s">
        <v>30</v>
      </c>
      <c r="H2300" s="17" t="s">
        <v>1565</v>
      </c>
      <c r="I2300" s="13" t="s">
        <v>7128</v>
      </c>
      <c r="J2300" s="23" t="str">
        <f>HYPERLINK("CorLog\ALL\20140515 RDC ALL MiTek Coordinator = EM; Job description (RDC-to-RDC).msg", "MiTek Coordinator = EM; Job description")</f>
        <v>MiTek Coordinator = EM; Job description</v>
      </c>
      <c r="K2300" s="25" t="s">
        <v>1211</v>
      </c>
      <c r="L2300" s="19"/>
      <c r="M2300" s="20"/>
      <c r="N2300" s="21" t="s">
        <v>7129</v>
      </c>
    </row>
    <row r="2301" spans="1:14">
      <c r="A2301" s="12" t="s">
        <v>4950</v>
      </c>
      <c r="B2301" s="13" t="s">
        <v>750</v>
      </c>
      <c r="C2301" s="14" t="s">
        <v>7130</v>
      </c>
      <c r="D2301" s="15">
        <v>41774.285451388889</v>
      </c>
      <c r="E2301" s="16" t="s">
        <v>18</v>
      </c>
      <c r="F2301" s="16" t="s">
        <v>16</v>
      </c>
      <c r="G2301" s="17" t="s">
        <v>885</v>
      </c>
      <c r="H2301" s="17" t="s">
        <v>851</v>
      </c>
      <c r="I2301" s="13" t="s">
        <v>7131</v>
      </c>
      <c r="J2301" s="23" t="str">
        <f>HYPERLINK("CorLog\ZMB\Kabompo RTO\20140515 ZMB Kabompo RTO Office DCP Results (WET-WACK-RAKE-PLATE) (ZMB-to-RDC).msg", "Office DCP Results (WET-WACK-RAKE-PLATE)")</f>
        <v>Office DCP Results (WET-WACK-RAKE-PLATE)</v>
      </c>
      <c r="K2301" s="25"/>
      <c r="L2301" s="19" t="s">
        <v>7132</v>
      </c>
      <c r="M2301" s="20"/>
      <c r="N2301" s="21" t="s">
        <v>7133</v>
      </c>
    </row>
    <row r="2302" spans="1:14">
      <c r="A2302" s="12" t="s">
        <v>7134</v>
      </c>
      <c r="B2302" s="13"/>
      <c r="C2302" s="14"/>
      <c r="D2302" s="15">
        <v>41774</v>
      </c>
      <c r="E2302" s="16" t="s">
        <v>15</v>
      </c>
      <c r="F2302" s="16" t="s">
        <v>22</v>
      </c>
      <c r="G2302" s="17" t="s">
        <v>785</v>
      </c>
      <c r="H2302" s="17" t="s">
        <v>5862</v>
      </c>
      <c r="I2302" s="13" t="s">
        <v>7135</v>
      </c>
      <c r="J2302" s="23" t="str">
        <f>HYPERLINK("CorLog\COD\Lubumbashi RTO\20140515 COD Lubumbashi RTO AO-6 No.1 (ZAF-to-COD).docx", "AO-6 No.1")</f>
        <v>AO-6 No.1</v>
      </c>
      <c r="K2302" s="25" t="str">
        <f>HYPERLINK("H:\RDC\Engineering\Projects\Congo\COD 18 - Lubumbashi RTO\EPC\CorLog\20140515 COD Lubumbashi RTO AO-6 No.1 (ZAF-to-COD).zip", "Zipped")</f>
        <v>Zipped</v>
      </c>
      <c r="L2302" s="19"/>
      <c r="M2302" s="20"/>
      <c r="N2302" s="21" t="s">
        <v>7136</v>
      </c>
    </row>
    <row r="2303" spans="1:14">
      <c r="A2303" s="12" t="s">
        <v>4621</v>
      </c>
      <c r="B2303" s="13"/>
      <c r="C2303" s="14"/>
      <c r="D2303" s="15">
        <v>41774</v>
      </c>
      <c r="E2303" s="16" t="s">
        <v>25</v>
      </c>
      <c r="F2303" s="16" t="s">
        <v>30</v>
      </c>
      <c r="G2303" s="17" t="s">
        <v>30</v>
      </c>
      <c r="H2303" s="17" t="s">
        <v>2022</v>
      </c>
      <c r="I2303" s="13" t="s">
        <v>7137</v>
      </c>
      <c r="J2303" s="23" t="str">
        <f>HYPERLINK("CorLog\ALL\20140515 ALL Assembly Hall Dedications When a Governing Body Member is the Speaker (WHQ-to-ALL).doc", "Assembly Hall Dedications When a Governing Body Member is the Speaker")</f>
        <v>Assembly Hall Dedications When a Governing Body Member is the Speaker</v>
      </c>
      <c r="K2303" s="25"/>
      <c r="L2303" s="19"/>
      <c r="M2303" s="20"/>
      <c r="N2303" s="21" t="s">
        <v>7138</v>
      </c>
    </row>
    <row r="2304" spans="1:14">
      <c r="A2304" s="12" t="s">
        <v>718</v>
      </c>
      <c r="B2304" s="13" t="s">
        <v>771</v>
      </c>
      <c r="C2304" s="14" t="s">
        <v>1181</v>
      </c>
      <c r="D2304" s="15">
        <v>41773.681446759256</v>
      </c>
      <c r="E2304" s="16" t="s">
        <v>16</v>
      </c>
      <c r="F2304" s="16" t="s">
        <v>17</v>
      </c>
      <c r="G2304" s="17" t="s">
        <v>4606</v>
      </c>
      <c r="H2304" s="17" t="s">
        <v>1707</v>
      </c>
      <c r="I2304" s="13" t="s">
        <v>7139</v>
      </c>
      <c r="J2304" s="23" t="str">
        <f>HYPERLINK("CorLog\COD\BEX\20140514 RDC COD BEX Choral Studio - Minutes on conceptual design proposal review (RDC-to-WDC).msg", "Choral Studio - Minutes on conceptual design proposal review")</f>
        <v>Choral Studio - Minutes on conceptual design proposal review</v>
      </c>
      <c r="K2304" s="25" t="str">
        <f>HYPERLINK("H:\RDC\Engineering\Projects\Congo\COD 12 - Branch Expansion II\S3\EPC\CorLog\20140514 RDC COD BEX Choral Studio - Minutes on conceptual design proposal review (RDC-to-WDC)", "Folder (1)")</f>
        <v>Folder (1)</v>
      </c>
      <c r="L2304" s="19" t="s">
        <v>7140</v>
      </c>
      <c r="M2304" s="20"/>
      <c r="N2304" s="21" t="s">
        <v>7141</v>
      </c>
    </row>
    <row r="2305" spans="1:14">
      <c r="A2305" s="12" t="s">
        <v>4950</v>
      </c>
      <c r="B2305" s="13" t="s">
        <v>718</v>
      </c>
      <c r="C2305" s="14" t="s">
        <v>7142</v>
      </c>
      <c r="D2305" s="15">
        <v>41773.665706018517</v>
      </c>
      <c r="E2305" s="16" t="s">
        <v>18</v>
      </c>
      <c r="F2305" s="16" t="s">
        <v>16</v>
      </c>
      <c r="G2305" s="17" t="s">
        <v>885</v>
      </c>
      <c r="H2305" s="17" t="s">
        <v>851</v>
      </c>
      <c r="I2305" s="13" t="s">
        <v>7143</v>
      </c>
      <c r="J2305" s="23" t="str">
        <f>HYPERLINK("CorLog\ZMB\Kabompo RTO\20140514 ZMB Kabompo RTO Utilities DCP Results (ZMB-to-RDC).msg", "Utilities DCP Results")</f>
        <v>Utilities DCP Results</v>
      </c>
      <c r="K2305" s="25" t="s">
        <v>1270</v>
      </c>
      <c r="L2305" s="19" t="s">
        <v>7132</v>
      </c>
      <c r="M2305" s="20"/>
      <c r="N2305" s="21" t="s">
        <v>7144</v>
      </c>
    </row>
    <row r="2306" spans="1:14">
      <c r="A2306" s="12" t="s">
        <v>4950</v>
      </c>
      <c r="B2306" s="13" t="s">
        <v>718</v>
      </c>
      <c r="C2306" s="14" t="s">
        <v>7145</v>
      </c>
      <c r="D2306" s="15">
        <v>41773.660081018519</v>
      </c>
      <c r="E2306" s="16" t="s">
        <v>18</v>
      </c>
      <c r="F2306" s="16" t="s">
        <v>16</v>
      </c>
      <c r="G2306" s="17" t="s">
        <v>885</v>
      </c>
      <c r="H2306" s="17" t="s">
        <v>851</v>
      </c>
      <c r="I2306" s="13" t="s">
        <v>7146</v>
      </c>
      <c r="J2306" s="23" t="str">
        <f>HYPERLINK("CorLog\ZMB\Kabompo RTO\20140514 ZMB Kabompo RTO Office DCP Results (ZMB-to-RDC).msg", "Office DCP Results")</f>
        <v>Office DCP Results</v>
      </c>
      <c r="K2306" s="25" t="s">
        <v>1211</v>
      </c>
      <c r="L2306" s="19" t="s">
        <v>7132</v>
      </c>
      <c r="M2306" s="20"/>
      <c r="N2306" s="21" t="s">
        <v>7147</v>
      </c>
    </row>
    <row r="2307" spans="1:14">
      <c r="A2307" s="12" t="s">
        <v>1418</v>
      </c>
      <c r="B2307" s="13" t="s">
        <v>718</v>
      </c>
      <c r="C2307" s="14" t="s">
        <v>7148</v>
      </c>
      <c r="D2307" s="15">
        <v>41773.55673611111</v>
      </c>
      <c r="E2307" s="16" t="s">
        <v>16</v>
      </c>
      <c r="F2307" s="16" t="s">
        <v>16</v>
      </c>
      <c r="G2307" s="17" t="s">
        <v>1070</v>
      </c>
      <c r="H2307" s="17" t="s">
        <v>886</v>
      </c>
      <c r="I2307" s="13" t="s">
        <v>7149</v>
      </c>
      <c r="J2307" s="23" t="str">
        <f>HYPERLINK("CorLog\ZMB\Katete RTO\20140514 ZMB Katete RTO Electrical supply, to supply to the Katete RTO 1 generator only (J130K) (RDC-to-RDC).msg", "Electrical supply, to supply to the Katete RTO 1 generator only (J130K)")</f>
        <v>Electrical supply, to supply to the Katete RTO 1 generator only (J130K)</v>
      </c>
      <c r="K2307" s="25"/>
      <c r="L2307" s="19"/>
      <c r="M2307" s="20"/>
      <c r="N2307" s="21" t="s">
        <v>7150</v>
      </c>
    </row>
    <row r="2308" spans="1:14">
      <c r="A2308" s="12" t="s">
        <v>718</v>
      </c>
      <c r="B2308" s="13" t="s">
        <v>5455</v>
      </c>
      <c r="C2308" s="14" t="s">
        <v>7151</v>
      </c>
      <c r="D2308" s="15">
        <v>41773.429224537038</v>
      </c>
      <c r="E2308" s="16" t="s">
        <v>16</v>
      </c>
      <c r="F2308" s="16" t="s">
        <v>18</v>
      </c>
      <c r="G2308" s="17" t="s">
        <v>885</v>
      </c>
      <c r="H2308" s="17" t="s">
        <v>4815</v>
      </c>
      <c r="I2308" s="13" t="s">
        <v>7152</v>
      </c>
      <c r="J2308" s="23" t="str">
        <f>HYPERLINK("CorLog\ZMB\Kabompo RTO\20140514 ZMB Kabompo RTO Field Sketch, KJ-S-302-S1 Add bars added due to Utilities passing through slab (RDC-to-ZMB).msg", "Field Sketch, KJ-S-302-S1 Add bars added due to Utilities passing through slab")</f>
        <v>Field Sketch, KJ-S-302-S1 Add bars added due to Utilities passing through slab</v>
      </c>
      <c r="K2308" s="25" t="s">
        <v>1243</v>
      </c>
      <c r="L2308" s="19"/>
      <c r="M2308" s="20"/>
      <c r="N2308" s="21" t="s">
        <v>7153</v>
      </c>
    </row>
    <row r="2309" spans="1:14">
      <c r="A2309" s="12" t="s">
        <v>718</v>
      </c>
      <c r="B2309" s="13" t="s">
        <v>5455</v>
      </c>
      <c r="C2309" s="14" t="s">
        <v>6940</v>
      </c>
      <c r="D2309" s="15">
        <v>41772.647916666669</v>
      </c>
      <c r="E2309" s="16" t="s">
        <v>16</v>
      </c>
      <c r="F2309" s="16" t="s">
        <v>18</v>
      </c>
      <c r="G2309" s="17" t="s">
        <v>885</v>
      </c>
      <c r="H2309" s="17" t="s">
        <v>854</v>
      </c>
      <c r="I2309" s="13" t="s">
        <v>7154</v>
      </c>
      <c r="J2309" s="23" t="str">
        <f>HYPERLINK("CorLog\ZMB\Kabompo RTO\20140513 ZMB Kabompo RTO Stub walls tie in; location of saw-cuts [REPLY] (RDC-to-ZMB).msg", "Stub walls tie in; location of saw-cuts [REPLY]")</f>
        <v>Stub walls tie in; location of saw-cuts [REPLY]</v>
      </c>
      <c r="K2309" s="25" t="s">
        <v>1211</v>
      </c>
      <c r="L2309" s="19"/>
      <c r="M2309" s="20"/>
      <c r="N2309" s="21" t="s">
        <v>7155</v>
      </c>
    </row>
    <row r="2310" spans="1:14">
      <c r="A2310" s="12" t="s">
        <v>718</v>
      </c>
      <c r="B2310" s="13" t="s">
        <v>5413</v>
      </c>
      <c r="C2310" s="14" t="s">
        <v>7156</v>
      </c>
      <c r="D2310" s="15">
        <v>41772.645324074074</v>
      </c>
      <c r="E2310" s="16" t="s">
        <v>16</v>
      </c>
      <c r="F2310" s="16" t="s">
        <v>21</v>
      </c>
      <c r="G2310" s="17" t="s">
        <v>790</v>
      </c>
      <c r="H2310" s="17" t="s">
        <v>4815</v>
      </c>
      <c r="I2310" s="13" t="s">
        <v>7157</v>
      </c>
      <c r="J2310" s="23" t="str">
        <f>HYPERLINK("CorLog\GHA\BEX\20140513 GHA BEX Res foundation rebar, Y10 or 16, cut 12m length (RDC-to-GHA).msg", "Res foundation rebar, Y10 or 16, cut 12m length")</f>
        <v>Res foundation rebar, Y10 or 16, cut 12m length</v>
      </c>
      <c r="K2310" s="25" t="s">
        <v>1211</v>
      </c>
      <c r="L2310" s="19" t="s">
        <v>7158</v>
      </c>
      <c r="M2310" s="20"/>
      <c r="N2310" s="21" t="s">
        <v>7159</v>
      </c>
    </row>
    <row r="2311" spans="1:14">
      <c r="A2311" s="12" t="s">
        <v>7160</v>
      </c>
      <c r="B2311" s="13" t="s">
        <v>718</v>
      </c>
      <c r="C2311" s="14" t="s">
        <v>7161</v>
      </c>
      <c r="D2311" s="15">
        <v>41772.637650462966</v>
      </c>
      <c r="E2311" s="16" t="s">
        <v>45</v>
      </c>
      <c r="F2311" s="16" t="s">
        <v>16</v>
      </c>
      <c r="G2311" s="17" t="s">
        <v>7162</v>
      </c>
      <c r="H2311" s="17" t="s">
        <v>1426</v>
      </c>
      <c r="I2311" s="13" t="s">
        <v>7163</v>
      </c>
      <c r="J2311" s="23" t="str">
        <f>HYPERLINK("CorLog\BDI\Branch\20140513 BDI Branch BDI Branch Cisa keys situation (BDI-to-RDC).msg", "BDI Branch Cisa keys situation")</f>
        <v>BDI Branch Cisa keys situation</v>
      </c>
      <c r="K2311" s="25"/>
      <c r="L2311" s="19" t="s">
        <v>7164</v>
      </c>
      <c r="M2311" s="20"/>
      <c r="N2311" s="21" t="s">
        <v>7165</v>
      </c>
    </row>
    <row r="2312" spans="1:14">
      <c r="A2312" s="12" t="s">
        <v>718</v>
      </c>
      <c r="B2312" s="13" t="s">
        <v>1529</v>
      </c>
      <c r="C2312" s="14" t="s">
        <v>7166</v>
      </c>
      <c r="D2312" s="15">
        <v>41772.625023148146</v>
      </c>
      <c r="E2312" s="16" t="s">
        <v>16</v>
      </c>
      <c r="F2312" s="16" t="s">
        <v>18</v>
      </c>
      <c r="G2312" s="17" t="s">
        <v>946</v>
      </c>
      <c r="H2312" s="17" t="s">
        <v>6114</v>
      </c>
      <c r="I2312" s="13" t="s">
        <v>7167</v>
      </c>
      <c r="J2312" s="23" t="str">
        <f>HYPERLINK("CorLog\ZMB\Mongu RTO\20140513 ZMB Mongu RTO Can we remove some manholes (RDC-to-ZMB).msg", "Can we remove some manholes")</f>
        <v>Can we remove some manholes</v>
      </c>
      <c r="K2312" s="25" t="s">
        <v>1211</v>
      </c>
      <c r="L2312" s="19" t="s">
        <v>7168</v>
      </c>
      <c r="M2312" s="20"/>
      <c r="N2312" s="21" t="s">
        <v>7169</v>
      </c>
    </row>
    <row r="2313" spans="1:14">
      <c r="A2313" s="12" t="s">
        <v>4950</v>
      </c>
      <c r="B2313" s="13" t="s">
        <v>718</v>
      </c>
      <c r="C2313" s="14" t="s">
        <v>7170</v>
      </c>
      <c r="D2313" s="15">
        <v>41772.543541666666</v>
      </c>
      <c r="E2313" s="16" t="s">
        <v>18</v>
      </c>
      <c r="F2313" s="16" t="s">
        <v>16</v>
      </c>
      <c r="G2313" s="17" t="s">
        <v>885</v>
      </c>
      <c r="H2313" s="17" t="s">
        <v>947</v>
      </c>
      <c r="I2313" s="13" t="s">
        <v>7171</v>
      </c>
      <c r="J2313" s="23" t="str">
        <f>HYPERLINK("CorLog\ZMB\Kabompo RTO\20140513 ZMB Kabompo RTO Leach Field sizing--match Mongu (ZMB-to-RDC).msg", "Leach Field sizing--match Mongu")</f>
        <v>Leach Field sizing--match Mongu</v>
      </c>
      <c r="K2313" s="25"/>
      <c r="L2313" s="19"/>
      <c r="M2313" s="20"/>
      <c r="N2313" s="21" t="s">
        <v>7172</v>
      </c>
    </row>
    <row r="2314" spans="1:14">
      <c r="A2314" s="12" t="s">
        <v>718</v>
      </c>
      <c r="B2314" s="13" t="s">
        <v>1529</v>
      </c>
      <c r="C2314" s="14" t="s">
        <v>6920</v>
      </c>
      <c r="D2314" s="15">
        <v>41772.489641203705</v>
      </c>
      <c r="E2314" s="16" t="s">
        <v>16</v>
      </c>
      <c r="F2314" s="16" t="s">
        <v>18</v>
      </c>
      <c r="G2314" s="17" t="s">
        <v>946</v>
      </c>
      <c r="H2314" s="17" t="s">
        <v>7173</v>
      </c>
      <c r="I2314" s="13" t="s">
        <v>7174</v>
      </c>
      <c r="J2314" s="23" t="str">
        <f>HYPERLINK("CorLog\ZMB\Mongu RTO\20140513 ZMB Mongu RTO Mapei Waterproofing, new products approved (RDC-to-ZMB).msg", "Mapei Waterproofing, new products approved")</f>
        <v>Mapei Waterproofing, new products approved</v>
      </c>
      <c r="K2314" s="25" t="s">
        <v>1274</v>
      </c>
      <c r="L2314" s="19"/>
      <c r="M2314" s="20"/>
      <c r="N2314" s="21" t="s">
        <v>7175</v>
      </c>
    </row>
    <row r="2315" spans="1:14">
      <c r="A2315" s="12" t="s">
        <v>1181</v>
      </c>
      <c r="B2315" s="13" t="s">
        <v>718</v>
      </c>
      <c r="C2315" s="14"/>
      <c r="D2315" s="15">
        <v>41772.368900462963</v>
      </c>
      <c r="E2315" s="16" t="s">
        <v>16</v>
      </c>
      <c r="F2315" s="16" t="s">
        <v>16</v>
      </c>
      <c r="G2315" s="17" t="s">
        <v>946</v>
      </c>
      <c r="H2315" s="17" t="s">
        <v>5574</v>
      </c>
      <c r="I2315" s="13" t="s">
        <v>7176</v>
      </c>
      <c r="J2315" s="23" t="str">
        <f>HYPERLINK("CorLog\ZMB\Mongu RTO\20140513 ZMB Mongu RTO Branch Order 5869 Door hardware and sizes (RDC-to-RDC).msg", "Branch Order 5869 Door hardware and sizes")</f>
        <v>Branch Order 5869 Door hardware and sizes</v>
      </c>
      <c r="K2315" s="25"/>
      <c r="L2315" s="19" t="s">
        <v>7177</v>
      </c>
      <c r="M2315" s="20"/>
      <c r="N2315" s="21" t="s">
        <v>7178</v>
      </c>
    </row>
    <row r="2316" spans="1:14">
      <c r="A2316" s="12" t="s">
        <v>718</v>
      </c>
      <c r="B2316" s="13" t="s">
        <v>7160</v>
      </c>
      <c r="C2316" s="14" t="s">
        <v>4310</v>
      </c>
      <c r="D2316" s="15">
        <v>41772.356342592589</v>
      </c>
      <c r="E2316" s="16" t="s">
        <v>16</v>
      </c>
      <c r="F2316" s="16" t="s">
        <v>45</v>
      </c>
      <c r="G2316" s="17" t="s">
        <v>7162</v>
      </c>
      <c r="H2316" s="17" t="s">
        <v>1426</v>
      </c>
      <c r="I2316" s="13" t="s">
        <v>7179</v>
      </c>
      <c r="J2316" s="23" t="str">
        <f>HYPERLINK("CorLog\BDI\Branch\20140513 RDC BDI Branch BDI Branch; Cisa keys situation (RDC-to-BDI).msg", "BDI Branch; Cisa keys situation")</f>
        <v>BDI Branch; Cisa keys situation</v>
      </c>
      <c r="K2316" s="25" t="s">
        <v>1243</v>
      </c>
      <c r="L2316" s="19"/>
      <c r="M2316" s="20"/>
      <c r="N2316" s="21" t="s">
        <v>7180</v>
      </c>
    </row>
    <row r="2317" spans="1:14">
      <c r="A2317" s="12" t="s">
        <v>5413</v>
      </c>
      <c r="B2317" s="13" t="s">
        <v>718</v>
      </c>
      <c r="C2317" s="14" t="s">
        <v>827</v>
      </c>
      <c r="D2317" s="15">
        <v>41771.631550925929</v>
      </c>
      <c r="E2317" s="16" t="s">
        <v>21</v>
      </c>
      <c r="F2317" s="16" t="s">
        <v>16</v>
      </c>
      <c r="G2317" s="17" t="s">
        <v>790</v>
      </c>
      <c r="H2317" s="17" t="s">
        <v>5938</v>
      </c>
      <c r="I2317" s="13" t="s">
        <v>7181</v>
      </c>
      <c r="J2317" s="23" t="str">
        <f>HYPERLINK("CorLog\GHA\BEX\20140512 GHA BEX Creek Topograpy and photos (GHA-to-RDC).msg", "Creek Topograpy and photos")</f>
        <v>Creek Topograpy and photos</v>
      </c>
      <c r="K2317" s="25" t="s">
        <v>1626</v>
      </c>
      <c r="L2317" s="19"/>
      <c r="M2317" s="20"/>
      <c r="N2317" s="21" t="s">
        <v>7182</v>
      </c>
    </row>
    <row r="2318" spans="1:14">
      <c r="A2318" s="12" t="s">
        <v>972</v>
      </c>
      <c r="B2318" s="13" t="s">
        <v>718</v>
      </c>
      <c r="C2318" s="14" t="s">
        <v>7183</v>
      </c>
      <c r="D2318" s="15">
        <v>41771.498715277776</v>
      </c>
      <c r="E2318" s="16" t="s">
        <v>18</v>
      </c>
      <c r="F2318" s="16" t="s">
        <v>16</v>
      </c>
      <c r="G2318" s="17" t="s">
        <v>1112</v>
      </c>
      <c r="H2318" s="17" t="s">
        <v>3009</v>
      </c>
      <c r="I2318" s="13" t="s">
        <v>7184</v>
      </c>
      <c r="J2318" s="23" t="str">
        <f>HYPERLINK("CorLog\ZMB\BEX\20140512 ZMB BEX AVR and Generator installation photos (ZMB-to-RDC).msg", "AVR and Generator installation photos")</f>
        <v>AVR and Generator installation photos</v>
      </c>
      <c r="K2318" s="25" t="s">
        <v>1482</v>
      </c>
      <c r="L2318" s="19"/>
      <c r="M2318" s="20"/>
      <c r="N2318" s="21" t="s">
        <v>7185</v>
      </c>
    </row>
    <row r="2319" spans="1:14">
      <c r="A2319" s="12" t="s">
        <v>718</v>
      </c>
      <c r="B2319" s="13" t="s">
        <v>1529</v>
      </c>
      <c r="C2319" s="14" t="s">
        <v>7186</v>
      </c>
      <c r="D2319" s="15">
        <v>41771.478472222225</v>
      </c>
      <c r="E2319" s="16" t="s">
        <v>16</v>
      </c>
      <c r="F2319" s="16" t="s">
        <v>18</v>
      </c>
      <c r="G2319" s="17" t="s">
        <v>946</v>
      </c>
      <c r="H2319" s="17" t="s">
        <v>1040</v>
      </c>
      <c r="I2319" s="13" t="s">
        <v>7187</v>
      </c>
      <c r="J2319" s="23" t="str">
        <f>HYPERLINK("CorLog\ZMB\Mongu RTO\20140512 ZMB Mongu RTO Field Sketch, LL-S-102-S2 Internal Loadbearing footings revised to form inverted T-Beam (RDC-to-ZMB).msg", "Field Sketch, LL-S-102-S2 Internal Loadbearing footings revised to form inverted T-Beam")</f>
        <v>Field Sketch, LL-S-102-S2 Internal Loadbearing footings revised to form inverted T-Beam</v>
      </c>
      <c r="K2319" s="25" t="s">
        <v>1211</v>
      </c>
      <c r="L2319" s="19"/>
      <c r="M2319" s="20"/>
      <c r="N2319" s="21" t="s">
        <v>7188</v>
      </c>
    </row>
    <row r="2320" spans="1:14">
      <c r="A2320" s="12" t="s">
        <v>718</v>
      </c>
      <c r="B2320" s="13" t="s">
        <v>1818</v>
      </c>
      <c r="C2320" s="14" t="s">
        <v>750</v>
      </c>
      <c r="D2320" s="15">
        <v>41771.451921296299</v>
      </c>
      <c r="E2320" s="16" t="s">
        <v>16</v>
      </c>
      <c r="F2320" s="16" t="s">
        <v>16</v>
      </c>
      <c r="G2320" s="17" t="s">
        <v>838</v>
      </c>
      <c r="H2320" s="17" t="s">
        <v>921</v>
      </c>
      <c r="I2320" s="13" t="s">
        <v>7189</v>
      </c>
      <c r="J2320" s="23" t="str">
        <f>HYPERLINK("CorLog\ZMB\Choma RTO\20140512 ZMB Choma RTO Site survey and soils information for review, additional (RDC-to-RDC).msg", "Site survey and soils information for review, additional")</f>
        <v>Site survey and soils information for review, additional</v>
      </c>
      <c r="K2320" s="25" t="s">
        <v>1211</v>
      </c>
      <c r="L2320" s="19" t="s">
        <v>7190</v>
      </c>
      <c r="M2320" s="20"/>
      <c r="N2320" s="21" t="s">
        <v>7191</v>
      </c>
    </row>
    <row r="2321" spans="1:14">
      <c r="A2321" s="12" t="s">
        <v>972</v>
      </c>
      <c r="B2321" s="13" t="s">
        <v>718</v>
      </c>
      <c r="C2321" s="14" t="s">
        <v>4286</v>
      </c>
      <c r="D2321" s="15">
        <v>41771.451053240744</v>
      </c>
      <c r="E2321" s="16" t="s">
        <v>18</v>
      </c>
      <c r="F2321" s="16" t="s">
        <v>16</v>
      </c>
      <c r="G2321" s="17" t="s">
        <v>838</v>
      </c>
      <c r="H2321" s="17" t="s">
        <v>961</v>
      </c>
      <c r="I2321" s="13" t="s">
        <v>7192</v>
      </c>
      <c r="J2321" s="23" t="str">
        <f>HYPERLINK("CorLog\ZMB\Choma RTO\20140512 ZMB Choma RTO Site survey, additional benchmarks (ZMB-to-RDC).msg", "Site survey, additional benchmarks")</f>
        <v>Site survey, additional benchmarks</v>
      </c>
      <c r="K2321" s="25" t="s">
        <v>1211</v>
      </c>
      <c r="L2321" s="19"/>
      <c r="M2321" s="20"/>
      <c r="N2321" s="21" t="s">
        <v>7193</v>
      </c>
    </row>
    <row r="2322" spans="1:14">
      <c r="A2322" s="12" t="s">
        <v>718</v>
      </c>
      <c r="B2322" s="13" t="s">
        <v>842</v>
      </c>
      <c r="C2322" s="14" t="s">
        <v>7194</v>
      </c>
      <c r="D2322" s="15">
        <v>41771.320972222224</v>
      </c>
      <c r="E2322" s="16" t="s">
        <v>16</v>
      </c>
      <c r="F2322" s="16" t="s">
        <v>21</v>
      </c>
      <c r="G2322" s="17" t="s">
        <v>758</v>
      </c>
      <c r="H2322" s="17" t="s">
        <v>839</v>
      </c>
      <c r="I2322" s="13" t="s">
        <v>7195</v>
      </c>
      <c r="J2322" s="23" t="str">
        <f>HYPERLINK("CorLog\GHA\Viepe RTO\20140512 GHA Viepe RTO Backfill SOILS TEST - Laterite from AKATSI [ASSESSMENT] (RDC-to-GHA).msg", "Backfill SOILS TEST - Laterite from AKATSI [ASSESSMENT]")</f>
        <v>Backfill SOILS TEST - Laterite from AKATSI [ASSESSMENT]</v>
      </c>
      <c r="K2322" s="25" t="s">
        <v>1211</v>
      </c>
      <c r="L2322" s="19"/>
      <c r="M2322" s="20"/>
      <c r="N2322" s="21" t="s">
        <v>7196</v>
      </c>
    </row>
    <row r="2323" spans="1:14">
      <c r="A2323" s="12" t="s">
        <v>718</v>
      </c>
      <c r="B2323" s="13" t="s">
        <v>3067</v>
      </c>
      <c r="C2323" s="14" t="s">
        <v>7197</v>
      </c>
      <c r="D2323" s="15">
        <v>41768.695231481484</v>
      </c>
      <c r="E2323" s="16" t="s">
        <v>16</v>
      </c>
      <c r="F2323" s="16" t="s">
        <v>18</v>
      </c>
      <c r="G2323" s="17" t="s">
        <v>946</v>
      </c>
      <c r="H2323" s="17" t="s">
        <v>1489</v>
      </c>
      <c r="I2323" s="13" t="s">
        <v>7198</v>
      </c>
      <c r="J2323" s="23" t="str">
        <f>HYPERLINK("CorLog\ZMB\Mongu RTO\20140509 ZMB Mongu RTO Size of HDPE Water supply to BLDGS [REPLY] (RDC-to-ZMB).msg", "Size of HDPE Water supply to BLDGS [REPLY]")</f>
        <v>Size of HDPE Water supply to BLDGS [REPLY]</v>
      </c>
      <c r="K2323" s="25" t="s">
        <v>1243</v>
      </c>
      <c r="L2323" s="19"/>
      <c r="M2323" s="20"/>
      <c r="N2323" s="21" t="s">
        <v>7199</v>
      </c>
    </row>
    <row r="2324" spans="1:14">
      <c r="A2324" s="12" t="s">
        <v>718</v>
      </c>
      <c r="B2324" s="13" t="s">
        <v>6912</v>
      </c>
      <c r="C2324" s="14" t="s">
        <v>6913</v>
      </c>
      <c r="D2324" s="15">
        <v>41768.604016203702</v>
      </c>
      <c r="E2324" s="16" t="s">
        <v>16</v>
      </c>
      <c r="F2324" s="16" t="s">
        <v>952</v>
      </c>
      <c r="G2324" s="17" t="s">
        <v>785</v>
      </c>
      <c r="H2324" s="17" t="s">
        <v>2192</v>
      </c>
      <c r="I2324" s="13" t="s">
        <v>6914</v>
      </c>
      <c r="J2324" s="23" t="str">
        <f>HYPERLINK("CorLog\COD\Lubumbashi RTO\20140509 COD Lubumbashi RTO RFQ for Civil Design Package (RDC-to-WSP).msg", "RFQ for Civil Design Package")</f>
        <v>RFQ for Civil Design Package</v>
      </c>
      <c r="K2324" s="25" t="s">
        <v>1211</v>
      </c>
      <c r="L2324" s="19"/>
      <c r="M2324" s="20"/>
      <c r="N2324" s="21" t="s">
        <v>7200</v>
      </c>
    </row>
    <row r="2325" spans="1:14">
      <c r="A2325" s="12" t="s">
        <v>750</v>
      </c>
      <c r="B2325" s="13" t="s">
        <v>1095</v>
      </c>
      <c r="C2325" s="14" t="s">
        <v>7201</v>
      </c>
      <c r="D2325" s="15">
        <v>41768.600347222222</v>
      </c>
      <c r="E2325" s="16" t="s">
        <v>16</v>
      </c>
      <c r="F2325" s="16" t="s">
        <v>952</v>
      </c>
      <c r="G2325" s="17" t="s">
        <v>885</v>
      </c>
      <c r="H2325" s="17" t="s">
        <v>3159</v>
      </c>
      <c r="I2325" s="13" t="s">
        <v>7202</v>
      </c>
      <c r="J2325" s="23" t="str">
        <f>HYPERLINK("CorLog\ZMB\Kabompo RTO\20140509 ZMB Kabompo RTO Int Wall Footings (MHUGHES COMPACTION COMMENTS Mongu too ) (RDC-to-WSP).msg", "Int Wall Footings (MHUGHES COMPACTION COMMENTS Mongu too )")</f>
        <v>Int Wall Footings (MHUGHES COMPACTION COMMENTS Mongu too )</v>
      </c>
      <c r="K2325" s="25"/>
      <c r="L2325" s="19" t="s">
        <v>7203</v>
      </c>
      <c r="M2325" s="20"/>
      <c r="N2325" s="21" t="s">
        <v>7204</v>
      </c>
    </row>
    <row r="2326" spans="1:14">
      <c r="A2326" s="12" t="s">
        <v>718</v>
      </c>
      <c r="B2326" s="13" t="s">
        <v>5455</v>
      </c>
      <c r="C2326" s="14" t="s">
        <v>7205</v>
      </c>
      <c r="D2326" s="15">
        <v>41768.578321759262</v>
      </c>
      <c r="E2326" s="16" t="s">
        <v>16</v>
      </c>
      <c r="F2326" s="16" t="s">
        <v>18</v>
      </c>
      <c r="G2326" s="17" t="s">
        <v>885</v>
      </c>
      <c r="H2326" s="17" t="s">
        <v>1040</v>
      </c>
      <c r="I2326" s="13" t="s">
        <v>7206</v>
      </c>
      <c r="J2326" s="23" t="str">
        <f>HYPERLINK("CorLog\ZMB\Kabompo RTO\20140509 ZMB Kabompo RTO KJ-S-102 S2 Internal Footing Revision due to poor DCP results (RDC-to-ZMB).msg", "KJ-S-102 S2 Internal Footing Revision due to poor DCP results")</f>
        <v>KJ-S-102 S2 Internal Footing Revision due to poor DCP results</v>
      </c>
      <c r="K2326" s="25" t="s">
        <v>1211</v>
      </c>
      <c r="L2326" s="19"/>
      <c r="M2326" s="20"/>
      <c r="N2326" s="21" t="s">
        <v>7207</v>
      </c>
    </row>
    <row r="2327" spans="1:14">
      <c r="A2327" s="12" t="s">
        <v>750</v>
      </c>
      <c r="B2327" s="13" t="s">
        <v>972</v>
      </c>
      <c r="C2327" s="14" t="s">
        <v>1985</v>
      </c>
      <c r="D2327" s="15">
        <v>41768.488865740743</v>
      </c>
      <c r="E2327" s="16" t="s">
        <v>16</v>
      </c>
      <c r="F2327" s="16" t="s">
        <v>18</v>
      </c>
      <c r="G2327" s="17" t="s">
        <v>1112</v>
      </c>
      <c r="H2327" s="17" t="s">
        <v>2713</v>
      </c>
      <c r="I2327" s="13" t="s">
        <v>7208</v>
      </c>
      <c r="J2327" s="23" t="str">
        <f>HYPERLINK("CorLog\ZMB\BEX\20140509 ZMB BEX Bond Breaker - Casting Slab for Blocks MAPEI PLASTIMUL (RDC-to-ZMB).msg", "Bond Breaker - Casting Slab for Blocks MAPEI PLASTIMUL")</f>
        <v>Bond Breaker - Casting Slab for Blocks MAPEI PLASTIMUL</v>
      </c>
      <c r="K2327" s="25" t="s">
        <v>1243</v>
      </c>
      <c r="L2327" s="19" t="s">
        <v>7209</v>
      </c>
      <c r="M2327" s="20"/>
      <c r="N2327" s="21" t="s">
        <v>7210</v>
      </c>
    </row>
    <row r="2328" spans="1:14">
      <c r="A2328" s="12" t="s">
        <v>750</v>
      </c>
      <c r="B2328" s="13" t="s">
        <v>972</v>
      </c>
      <c r="C2328" s="14" t="s">
        <v>723</v>
      </c>
      <c r="D2328" s="15">
        <v>41768.488576388889</v>
      </c>
      <c r="E2328" s="16" t="s">
        <v>16</v>
      </c>
      <c r="F2328" s="16" t="s">
        <v>18</v>
      </c>
      <c r="G2328" s="17" t="s">
        <v>1112</v>
      </c>
      <c r="H2328" s="17" t="s">
        <v>2713</v>
      </c>
      <c r="I2328" s="13" t="s">
        <v>7211</v>
      </c>
      <c r="J2328" s="23" t="str">
        <f>HYPERLINK("CorLog\ZMB\BEX\20140509 ZMB BEX Bond Breaker for CMUs (RDC-to-ZMB).msg", "Bond Breaker for CMUs")</f>
        <v>Bond Breaker for CMUs</v>
      </c>
      <c r="K2328" s="25"/>
      <c r="L2328" s="19" t="s">
        <v>7212</v>
      </c>
      <c r="M2328" s="20"/>
      <c r="N2328" s="21" t="s">
        <v>7213</v>
      </c>
    </row>
    <row r="2329" spans="1:14">
      <c r="A2329" s="12" t="s">
        <v>750</v>
      </c>
      <c r="B2329" s="13" t="s">
        <v>4950</v>
      </c>
      <c r="C2329" s="14" t="s">
        <v>7214</v>
      </c>
      <c r="D2329" s="15">
        <v>41768.484826388885</v>
      </c>
      <c r="E2329" s="16" t="s">
        <v>16</v>
      </c>
      <c r="F2329" s="16" t="s">
        <v>18</v>
      </c>
      <c r="G2329" s="17" t="s">
        <v>885</v>
      </c>
      <c r="H2329" s="17" t="s">
        <v>3159</v>
      </c>
      <c r="I2329" s="13" t="s">
        <v>7215</v>
      </c>
      <c r="J2329" s="23" t="str">
        <f>HYPERLINK("CorLog\ZMB\Kabompo RTO\20140509 ZMB Kabompo RTO Int Wall Footings, draft comments from MA (RDC-to-ZMB).msg", "Int Wall Footings, draft comments from MA")</f>
        <v>Int Wall Footings, draft comments from MA</v>
      </c>
      <c r="K2329" s="25" t="s">
        <v>1211</v>
      </c>
      <c r="L2329" s="19"/>
      <c r="M2329" s="20"/>
      <c r="N2329" s="21" t="s">
        <v>7216</v>
      </c>
    </row>
    <row r="2330" spans="1:14">
      <c r="A2330" s="12" t="s">
        <v>750</v>
      </c>
      <c r="B2330" s="13" t="s">
        <v>724</v>
      </c>
      <c r="C2330" s="14" t="s">
        <v>7217</v>
      </c>
      <c r="D2330" s="15">
        <v>41768.477430555555</v>
      </c>
      <c r="E2330" s="16" t="s">
        <v>16</v>
      </c>
      <c r="F2330" s="16" t="s">
        <v>16</v>
      </c>
      <c r="G2330" s="17" t="s">
        <v>979</v>
      </c>
      <c r="H2330" s="17" t="s">
        <v>2895</v>
      </c>
      <c r="I2330" s="13" t="s">
        <v>7218</v>
      </c>
      <c r="J2330" s="23" t="str">
        <f>HYPERLINK("CorLog\RTO\Projects\20140509 RTO Projects MOZ Dondo Feedback - Plastering Ext Walls vs Spatter-dash (RDC-to-RDC).msg", "MOZ Dondo Feedback - Plastering Ext Walls vs Spatter-dash")</f>
        <v>MOZ Dondo Feedback - Plastering Ext Walls vs Spatter-dash</v>
      </c>
      <c r="K2330" s="25"/>
      <c r="L2330" s="19"/>
      <c r="M2330" s="20"/>
      <c r="N2330" s="21" t="s">
        <v>7219</v>
      </c>
    </row>
    <row r="2331" spans="1:14">
      <c r="A2331" s="12" t="s">
        <v>1866</v>
      </c>
      <c r="B2331" s="13" t="s">
        <v>718</v>
      </c>
      <c r="C2331" s="14"/>
      <c r="D2331" s="15">
        <v>41767.64135416667</v>
      </c>
      <c r="E2331" s="16" t="s">
        <v>16</v>
      </c>
      <c r="F2331" s="16" t="s">
        <v>16</v>
      </c>
      <c r="G2331" s="17" t="s">
        <v>790</v>
      </c>
      <c r="H2331" s="17" t="s">
        <v>2412</v>
      </c>
      <c r="I2331" s="13" t="s">
        <v>7220</v>
      </c>
      <c r="J2331" s="23" t="str">
        <f>HYPERLINK("CorLog\GHA\BEX\20140508 GHA BEX New dishwasher specs WTM180ERB from Arthur (RDC-to-RDC).msg", "New dishwasher specs WTM180ERB from Arthur")</f>
        <v>New dishwasher specs WTM180ERB from Arthur</v>
      </c>
      <c r="K2331" s="25" t="s">
        <v>1369</v>
      </c>
      <c r="L2331" s="19" t="s">
        <v>7221</v>
      </c>
      <c r="M2331" s="20"/>
      <c r="N2331" s="21" t="s">
        <v>7222</v>
      </c>
    </row>
    <row r="2332" spans="1:14">
      <c r="A2332" s="12" t="s">
        <v>737</v>
      </c>
      <c r="B2332" s="13" t="s">
        <v>3854</v>
      </c>
      <c r="C2332" s="14" t="s">
        <v>7223</v>
      </c>
      <c r="D2332" s="15">
        <v>41767.63484953704</v>
      </c>
      <c r="E2332" s="16" t="s">
        <v>21</v>
      </c>
      <c r="F2332" s="16" t="s">
        <v>26</v>
      </c>
      <c r="G2332" s="17" t="s">
        <v>807</v>
      </c>
      <c r="H2332" s="17" t="s">
        <v>7224</v>
      </c>
      <c r="I2332" s="13" t="s">
        <v>7225</v>
      </c>
      <c r="J2332" s="23" t="str">
        <f>HYPERLINK("CorLog\GHA\Branch\20140508 GHA Branch Ronis-Dom Electronic locking system (GHA-to-GBR).msg", "Ronis-Dom Electronic locking system")</f>
        <v>Ronis-Dom Electronic locking system</v>
      </c>
      <c r="K2332" s="25" t="s">
        <v>1274</v>
      </c>
      <c r="L2332" s="19"/>
      <c r="M2332" s="20"/>
      <c r="N2332" s="21" t="s">
        <v>7226</v>
      </c>
    </row>
    <row r="2333" spans="1:14">
      <c r="A2333" s="12" t="s">
        <v>718</v>
      </c>
      <c r="B2333" s="13" t="s">
        <v>842</v>
      </c>
      <c r="C2333" s="14" t="s">
        <v>7227</v>
      </c>
      <c r="D2333" s="15">
        <v>41767.441388888888</v>
      </c>
      <c r="E2333" s="16" t="s">
        <v>16</v>
      </c>
      <c r="F2333" s="16" t="s">
        <v>21</v>
      </c>
      <c r="G2333" s="17" t="s">
        <v>758</v>
      </c>
      <c r="H2333" s="17" t="s">
        <v>4521</v>
      </c>
      <c r="I2333" s="13" t="s">
        <v>7228</v>
      </c>
      <c r="J2333" s="23" t="str">
        <f>HYPERLINK("CorLog\GHA\Viepe RTO\20140508 RDC GHA Viepe RTO Electrical connection sizing and cost (RDC-to-GHA).msg", "Electrical connection sizing and cost")</f>
        <v>Electrical connection sizing and cost</v>
      </c>
      <c r="K2333" s="25"/>
      <c r="L2333" s="19" t="s">
        <v>7229</v>
      </c>
      <c r="M2333" s="20"/>
      <c r="N2333" s="21" t="s">
        <v>7230</v>
      </c>
    </row>
    <row r="2334" spans="1:14">
      <c r="A2334" s="12" t="s">
        <v>718</v>
      </c>
      <c r="B2334" s="13" t="s">
        <v>5455</v>
      </c>
      <c r="C2334" s="14" t="s">
        <v>7231</v>
      </c>
      <c r="D2334" s="15">
        <v>41767.391516203701</v>
      </c>
      <c r="E2334" s="16" t="s">
        <v>16</v>
      </c>
      <c r="F2334" s="16" t="s">
        <v>18</v>
      </c>
      <c r="G2334" s="17" t="s">
        <v>885</v>
      </c>
      <c r="H2334" s="17" t="s">
        <v>803</v>
      </c>
      <c r="I2334" s="13" t="s">
        <v>7232</v>
      </c>
      <c r="J2334" s="23" t="str">
        <f>HYPERLINK("CorLog\ZMB\Kabompo RTO\20140508 ZMB Kabompo RTO KJ-A-601 S1 Field Sketch--Updated hardware groups (RDC-to-ZMB).msg", "KJ-A-601 S1 Field Sketch--Updated hardware groups")</f>
        <v>KJ-A-601 S1 Field Sketch--Updated hardware groups</v>
      </c>
      <c r="K2334" s="25" t="s">
        <v>1211</v>
      </c>
      <c r="L2334" s="19"/>
      <c r="M2334" s="20"/>
      <c r="N2334" s="21" t="s">
        <v>7233</v>
      </c>
    </row>
    <row r="2335" spans="1:14">
      <c r="A2335" s="12" t="s">
        <v>718</v>
      </c>
      <c r="B2335" s="13" t="s">
        <v>1529</v>
      </c>
      <c r="C2335" s="14" t="s">
        <v>7231</v>
      </c>
      <c r="D2335" s="15">
        <v>41767.391435185185</v>
      </c>
      <c r="E2335" s="16" t="s">
        <v>16</v>
      </c>
      <c r="F2335" s="16" t="s">
        <v>18</v>
      </c>
      <c r="G2335" s="17" t="s">
        <v>946</v>
      </c>
      <c r="H2335" s="17" t="s">
        <v>803</v>
      </c>
      <c r="I2335" s="13" t="s">
        <v>7234</v>
      </c>
      <c r="J2335" s="23" t="str">
        <f>HYPERLINK("CorLog\ZMB\Mongu RTO\20140508 ZMB Mongu RTO LL-A-601 S1 Field Sketch--Updated hardware groups (RDC-to-ZMB).msg", "LL-A-601 S1 Field Sketch--Updated hardware groups")</f>
        <v>LL-A-601 S1 Field Sketch--Updated hardware groups</v>
      </c>
      <c r="K2335" s="25" t="s">
        <v>1211</v>
      </c>
      <c r="L2335" s="19"/>
      <c r="M2335" s="20"/>
      <c r="N2335" s="21" t="s">
        <v>7235</v>
      </c>
    </row>
    <row r="2336" spans="1:14">
      <c r="A2336" s="12" t="s">
        <v>718</v>
      </c>
      <c r="B2336" s="13" t="s">
        <v>842</v>
      </c>
      <c r="C2336" s="14" t="s">
        <v>7236</v>
      </c>
      <c r="D2336" s="15">
        <v>41767.364618055559</v>
      </c>
      <c r="E2336" s="16" t="s">
        <v>16</v>
      </c>
      <c r="F2336" s="16" t="s">
        <v>21</v>
      </c>
      <c r="G2336" s="17" t="s">
        <v>758</v>
      </c>
      <c r="H2336" s="17" t="s">
        <v>4521</v>
      </c>
      <c r="I2336" s="13" t="s">
        <v>7228</v>
      </c>
      <c r="J2336" s="23" t="str">
        <f>HYPERLINK("CorLog\GHA\Viepe RTO\20140508 GHA Viepe RTO Electrical connection sizing and cost (RDC-to-GHA).msg", "Electrical connection sizing and cost")</f>
        <v>Electrical connection sizing and cost</v>
      </c>
      <c r="K2336" s="25"/>
      <c r="L2336" s="19" t="s">
        <v>7237</v>
      </c>
      <c r="M2336" s="20"/>
      <c r="N2336" s="21" t="s">
        <v>7238</v>
      </c>
    </row>
    <row r="2337" spans="1:14">
      <c r="A2337" s="12" t="s">
        <v>2016</v>
      </c>
      <c r="B2337" s="13" t="s">
        <v>1969</v>
      </c>
      <c r="C2337" s="14" t="s">
        <v>7239</v>
      </c>
      <c r="D2337" s="15">
        <v>41767.336423611108</v>
      </c>
      <c r="E2337" s="16" t="s">
        <v>16</v>
      </c>
      <c r="F2337" s="16" t="s">
        <v>22</v>
      </c>
      <c r="G2337" s="17" t="s">
        <v>2627</v>
      </c>
      <c r="H2337" s="17" t="s">
        <v>3964</v>
      </c>
      <c r="I2337" s="13" t="s">
        <v>6978</v>
      </c>
      <c r="J2337" s="23" t="str">
        <f>HYPERLINK("CorLog\COD\Kamina RTO\20140508 RDC COD Kamina RTO 2nd submersible pump, place NLBR (RDC-to-COD).msg", "2nd submersible pump, place NLBR")</f>
        <v>2nd submersible pump, place NLBR</v>
      </c>
      <c r="K2337" s="25" t="s">
        <v>1274</v>
      </c>
      <c r="L2337" s="19" t="s">
        <v>7240</v>
      </c>
      <c r="M2337" s="20"/>
      <c r="N2337" s="21" t="s">
        <v>7241</v>
      </c>
    </row>
    <row r="2338" spans="1:14">
      <c r="A2338" s="12" t="s">
        <v>718</v>
      </c>
      <c r="B2338" s="13" t="s">
        <v>5413</v>
      </c>
      <c r="C2338" s="14" t="s">
        <v>7242</v>
      </c>
      <c r="D2338" s="15">
        <v>41767.321250000001</v>
      </c>
      <c r="E2338" s="16" t="s">
        <v>16</v>
      </c>
      <c r="F2338" s="16" t="s">
        <v>21</v>
      </c>
      <c r="G2338" s="17" t="s">
        <v>790</v>
      </c>
      <c r="H2338" s="17" t="s">
        <v>4792</v>
      </c>
      <c r="I2338" s="13" t="s">
        <v>7243</v>
      </c>
      <c r="J2338" s="23" t="str">
        <f>HYPERLINK("CorLog\GHA\BEX\20140508 GHA BEX Conduits through foundations of Existing Generator house [OKAY] (RDC-to-GHA).msg", "Conduits through foundations of Existing Generator house [OKAY]")</f>
        <v>Conduits through foundations of Existing Generator house [OKAY]</v>
      </c>
      <c r="K2338" s="25" t="s">
        <v>3257</v>
      </c>
      <c r="L2338" s="19"/>
      <c r="M2338" s="20"/>
      <c r="N2338" s="21" t="s">
        <v>7244</v>
      </c>
    </row>
    <row r="2339" spans="1:14">
      <c r="A2339" s="12" t="s">
        <v>724</v>
      </c>
      <c r="B2339" s="13" t="s">
        <v>795</v>
      </c>
      <c r="C2339" s="14"/>
      <c r="D2339" s="15">
        <v>41766.587106481478</v>
      </c>
      <c r="E2339" s="16" t="s">
        <v>16</v>
      </c>
      <c r="F2339" s="16" t="s">
        <v>16</v>
      </c>
      <c r="G2339" s="17" t="s">
        <v>7031</v>
      </c>
      <c r="H2339" s="17" t="s">
        <v>1728</v>
      </c>
      <c r="I2339" s="13" t="s">
        <v>7245</v>
      </c>
      <c r="J2339" s="23" t="str">
        <f>HYPERLINK("CorLog\20140507 EPC File Project &amp; FEV Reports within one week (RDC-to-RDC).msg", "File Project &amp; FEV Reports within one week")</f>
        <v>File Project &amp; FEV Reports within one week</v>
      </c>
      <c r="K2339" s="25"/>
      <c r="L2339" s="19"/>
      <c r="M2339" s="20"/>
      <c r="N2339" s="21" t="s">
        <v>7246</v>
      </c>
    </row>
    <row r="2340" spans="1:14">
      <c r="A2340" s="12" t="s">
        <v>718</v>
      </c>
      <c r="B2340" s="13" t="s">
        <v>5413</v>
      </c>
      <c r="C2340" s="14" t="s">
        <v>7247</v>
      </c>
      <c r="D2340" s="15">
        <v>41766.550000000003</v>
      </c>
      <c r="E2340" s="16" t="s">
        <v>16</v>
      </c>
      <c r="F2340" s="16" t="s">
        <v>21</v>
      </c>
      <c r="G2340" s="17" t="s">
        <v>790</v>
      </c>
      <c r="H2340" s="17" t="s">
        <v>5938</v>
      </c>
      <c r="I2340" s="13" t="s">
        <v>7248</v>
      </c>
      <c r="J2340" s="23" t="str">
        <f>HYPERLINK("CorLog\GHA\BEX\20140507 GHA BEX Coordinates of lift stations nr Res 3 (RDC-to-GHA).msg", "Coordinates of lift stations nr Res 3")</f>
        <v>Coordinates of lift stations nr Res 3</v>
      </c>
      <c r="K2340" s="25"/>
      <c r="L2340" s="19"/>
      <c r="M2340" s="20"/>
      <c r="N2340" s="21" t="s">
        <v>7249</v>
      </c>
    </row>
    <row r="2341" spans="1:14">
      <c r="A2341" s="12" t="s">
        <v>718</v>
      </c>
      <c r="B2341" s="13" t="s">
        <v>3067</v>
      </c>
      <c r="C2341" s="14" t="s">
        <v>7250</v>
      </c>
      <c r="D2341" s="15">
        <v>41766.437222222223</v>
      </c>
      <c r="E2341" s="16" t="s">
        <v>16</v>
      </c>
      <c r="F2341" s="16" t="s">
        <v>18</v>
      </c>
      <c r="G2341" s="17" t="s">
        <v>946</v>
      </c>
      <c r="H2341" s="17" t="s">
        <v>1489</v>
      </c>
      <c r="I2341" s="13" t="s">
        <v>7251</v>
      </c>
      <c r="J2341" s="23" t="str">
        <f>HYPERLINK("CorLog\ZMB\Mongu RTO\20140507 ZMB Mongu RTO Is there a urinal in the Office BLDG Mens Room [NO] (RDC-to-ZMB).msg", "Is there a urinal in the Office BLDG Mens Room [NO]")</f>
        <v>Is there a urinal in the Office BLDG Mens Room [NO]</v>
      </c>
      <c r="K2341" s="25"/>
      <c r="L2341" s="19"/>
      <c r="M2341" s="20"/>
      <c r="N2341" s="21" t="s">
        <v>7252</v>
      </c>
    </row>
    <row r="2342" spans="1:14">
      <c r="A2342" s="12" t="s">
        <v>4950</v>
      </c>
      <c r="B2342" s="13" t="s">
        <v>724</v>
      </c>
      <c r="C2342" s="14" t="s">
        <v>7253</v>
      </c>
      <c r="D2342" s="15">
        <v>41766.366238425922</v>
      </c>
      <c r="E2342" s="16" t="s">
        <v>18</v>
      </c>
      <c r="F2342" s="16" t="s">
        <v>16</v>
      </c>
      <c r="G2342" s="17" t="s">
        <v>885</v>
      </c>
      <c r="H2342" s="17" t="s">
        <v>1426</v>
      </c>
      <c r="I2342" s="13" t="s">
        <v>7254</v>
      </c>
      <c r="J2342" s="23" t="str">
        <f>HYPERLINK("CorLog\ZMB\Kabompo RTO\20140507 ZMB ZMB Kabompo RTO Extra Cylinders approved by PO (ZMB-to-RDC).msg", "Extra Cylinders approved by PO")</f>
        <v>Extra Cylinders approved by PO</v>
      </c>
      <c r="K2342" s="25"/>
      <c r="L2342" s="19"/>
      <c r="M2342" s="20"/>
      <c r="N2342" s="21" t="s">
        <v>7255</v>
      </c>
    </row>
    <row r="2343" spans="1:14">
      <c r="A2343" s="12" t="s">
        <v>718</v>
      </c>
      <c r="B2343" s="13" t="s">
        <v>1969</v>
      </c>
      <c r="C2343" s="14" t="s">
        <v>2016</v>
      </c>
      <c r="D2343" s="15">
        <v>41766.334432870368</v>
      </c>
      <c r="E2343" s="16" t="s">
        <v>16</v>
      </c>
      <c r="F2343" s="16" t="s">
        <v>22</v>
      </c>
      <c r="G2343" s="17" t="s">
        <v>2627</v>
      </c>
      <c r="H2343" s="17" t="s">
        <v>3780</v>
      </c>
      <c r="I2343" s="13" t="s">
        <v>7256</v>
      </c>
      <c r="J2343" s="23" t="str">
        <f>HYPERLINK("CorLog\COD\Kamina RTO\20140507 COD Kamina RTO 2nd submersible pump, can place NLBR (RDC-to-COD).msg", "2nd submersible pump, can place NLBR")</f>
        <v>2nd submersible pump, can place NLBR</v>
      </c>
      <c r="K2343" s="25" t="s">
        <v>1274</v>
      </c>
      <c r="L2343" s="19" t="s">
        <v>7257</v>
      </c>
      <c r="M2343" s="20"/>
      <c r="N2343" s="21" t="s">
        <v>7258</v>
      </c>
    </row>
    <row r="2344" spans="1:14">
      <c r="A2344" s="12" t="s">
        <v>4950</v>
      </c>
      <c r="B2344" s="13" t="s">
        <v>750</v>
      </c>
      <c r="C2344" s="14" t="s">
        <v>1985</v>
      </c>
      <c r="D2344" s="15">
        <v>41765.691562499997</v>
      </c>
      <c r="E2344" s="16" t="s">
        <v>18</v>
      </c>
      <c r="F2344" s="16" t="s">
        <v>16</v>
      </c>
      <c r="G2344" s="17" t="s">
        <v>885</v>
      </c>
      <c r="H2344" s="17" t="s">
        <v>851</v>
      </c>
      <c r="I2344" s="13" t="s">
        <v>7259</v>
      </c>
      <c r="J2344" s="23" t="str">
        <f>HYPERLINK("CorLog\ZMB\Kabompo RTO\20140506 ZMB Kabompo RTO Office DCP 3 (ZMB-to-RDC).msg", "Office DCP 3")</f>
        <v>Office DCP 3</v>
      </c>
      <c r="K2344" s="25" t="s">
        <v>1243</v>
      </c>
      <c r="L2344" s="19"/>
      <c r="M2344" s="20"/>
      <c r="N2344" s="21" t="s">
        <v>7260</v>
      </c>
    </row>
    <row r="2345" spans="1:14">
      <c r="A2345" s="12" t="s">
        <v>718</v>
      </c>
      <c r="B2345" s="13" t="s">
        <v>7261</v>
      </c>
      <c r="C2345" s="14" t="s">
        <v>7262</v>
      </c>
      <c r="D2345" s="15">
        <v>41765.690011574072</v>
      </c>
      <c r="E2345" s="16" t="s">
        <v>16</v>
      </c>
      <c r="F2345" s="16" t="s">
        <v>37</v>
      </c>
      <c r="G2345" s="17" t="s">
        <v>7263</v>
      </c>
      <c r="H2345" s="17" t="s">
        <v>1562</v>
      </c>
      <c r="I2345" s="13" t="s">
        <v>7264</v>
      </c>
      <c r="J2345" s="23" t="str">
        <f>HYPERLINK("CorLog\MUS\Branch\20140506 MUS Branch Expansion joint repair (Sikaflex Pro 3) (RDC-to-MUS).msg", "Expansion joint repair (Sikaflex Pro 3)")</f>
        <v>Expansion joint repair (Sikaflex Pro 3)</v>
      </c>
      <c r="K2345" s="25" t="s">
        <v>1482</v>
      </c>
      <c r="L2345" s="19" t="s">
        <v>7265</v>
      </c>
      <c r="M2345" s="20"/>
      <c r="N2345" s="21" t="s">
        <v>7266</v>
      </c>
    </row>
    <row r="2346" spans="1:14">
      <c r="A2346" s="12" t="s">
        <v>718</v>
      </c>
      <c r="B2346" s="13" t="s">
        <v>5413</v>
      </c>
      <c r="C2346" s="14" t="s">
        <v>7267</v>
      </c>
      <c r="D2346" s="15">
        <v>41765.492384259262</v>
      </c>
      <c r="E2346" s="16" t="s">
        <v>16</v>
      </c>
      <c r="F2346" s="16" t="s">
        <v>21</v>
      </c>
      <c r="G2346" s="17" t="s">
        <v>790</v>
      </c>
      <c r="H2346" s="17" t="s">
        <v>854</v>
      </c>
      <c r="I2346" s="13" t="s">
        <v>7268</v>
      </c>
      <c r="J2346" s="23" t="str">
        <f>HYPERLINK("CorLog\GHA\BEX\20140506 GHA BEX Dry pack under Steel Baseplates (RDC-to-GHA).msg", "Dry pack under Steel Baseplates")</f>
        <v>Dry pack under Steel Baseplates</v>
      </c>
      <c r="K2346" s="25" t="s">
        <v>1211</v>
      </c>
      <c r="L2346" s="19" t="s">
        <v>7269</v>
      </c>
      <c r="M2346" s="20"/>
      <c r="N2346" s="21" t="s">
        <v>7270</v>
      </c>
    </row>
    <row r="2347" spans="1:14">
      <c r="A2347" s="12" t="s">
        <v>718</v>
      </c>
      <c r="B2347" s="13" t="s">
        <v>5413</v>
      </c>
      <c r="C2347" s="14" t="s">
        <v>7271</v>
      </c>
      <c r="D2347" s="15">
        <v>41765.476319444446</v>
      </c>
      <c r="E2347" s="16" t="s">
        <v>16</v>
      </c>
      <c r="F2347" s="16" t="s">
        <v>21</v>
      </c>
      <c r="G2347" s="17" t="s">
        <v>790</v>
      </c>
      <c r="H2347" s="17" t="s">
        <v>854</v>
      </c>
      <c r="I2347" s="13" t="s">
        <v>7272</v>
      </c>
      <c r="J2347" s="23" t="str">
        <f>HYPERLINK("CorLog\GHA\BEX\20140506 GHA BEX Field Sketch KM-S-503-S2 Generator Slab Manhole revision (RDC-to-GHA).msg", "Field Sketch KM-S-503-S2 Generator Slab Manhole revision")</f>
        <v>Field Sketch KM-S-503-S2 Generator Slab Manhole revision</v>
      </c>
      <c r="K2347" s="25" t="s">
        <v>1243</v>
      </c>
      <c r="L2347" s="19"/>
      <c r="M2347" s="20"/>
      <c r="N2347" s="21" t="s">
        <v>7273</v>
      </c>
    </row>
    <row r="2348" spans="1:14">
      <c r="A2348" s="12" t="s">
        <v>718</v>
      </c>
      <c r="B2348" s="13" t="s">
        <v>5413</v>
      </c>
      <c r="C2348" s="14" t="s">
        <v>7267</v>
      </c>
      <c r="D2348" s="15">
        <v>41765.330659722225</v>
      </c>
      <c r="E2348" s="16" t="s">
        <v>16</v>
      </c>
      <c r="F2348" s="16" t="s">
        <v>21</v>
      </c>
      <c r="G2348" s="17" t="s">
        <v>790</v>
      </c>
      <c r="H2348" s="17" t="s">
        <v>854</v>
      </c>
      <c r="I2348" s="13" t="s">
        <v>7274</v>
      </c>
      <c r="J2348" s="23" t="str">
        <f>HYPERLINK("CorLog\GHA\BEX\20140506 GHA BEX Cut steel angle crossing saw cut in Generator Building (RDC-to-GHA).msg", "Cut steel angle crossing saw cut in Generator Building")</f>
        <v>Cut steel angle crossing saw cut in Generator Building</v>
      </c>
      <c r="K2348" s="25" t="s">
        <v>1211</v>
      </c>
      <c r="L2348" s="19"/>
      <c r="M2348" s="20"/>
      <c r="N2348" s="21" t="s">
        <v>7275</v>
      </c>
    </row>
    <row r="2349" spans="1:14">
      <c r="A2349" s="12" t="s">
        <v>7261</v>
      </c>
      <c r="B2349" s="13" t="s">
        <v>718</v>
      </c>
      <c r="C2349" s="14" t="s">
        <v>7276</v>
      </c>
      <c r="D2349" s="15">
        <v>41765.255833333336</v>
      </c>
      <c r="E2349" s="16" t="s">
        <v>37</v>
      </c>
      <c r="F2349" s="16" t="s">
        <v>16</v>
      </c>
      <c r="G2349" s="17" t="s">
        <v>7263</v>
      </c>
      <c r="H2349" s="17" t="s">
        <v>7277</v>
      </c>
      <c r="I2349" s="13" t="s">
        <v>7278</v>
      </c>
      <c r="J2349" s="23" t="str">
        <f>HYPERLINK("CorLog\MUS\Branch\Bitumen Roofing Repair20140506 MUS Branch Products for bitumen roof and expansion joint repair (MUS-to-RDC).msg", "Products for bitumen roof and expansion joint repair")</f>
        <v>Products for bitumen roof and expansion joint repair</v>
      </c>
      <c r="K2349" s="25" t="s">
        <v>1369</v>
      </c>
      <c r="L2349" s="19"/>
      <c r="M2349" s="20"/>
      <c r="N2349" s="21" t="s">
        <v>7279</v>
      </c>
    </row>
    <row r="2350" spans="1:14">
      <c r="A2350" s="12" t="s">
        <v>5970</v>
      </c>
      <c r="B2350" s="13" t="s">
        <v>3296</v>
      </c>
      <c r="C2350" s="14"/>
      <c r="D2350" s="15">
        <v>41764.659768518519</v>
      </c>
      <c r="E2350" s="16" t="s">
        <v>16</v>
      </c>
      <c r="F2350" s="16" t="s">
        <v>15</v>
      </c>
      <c r="G2350" s="17" t="s">
        <v>30</v>
      </c>
      <c r="H2350" s="17" t="s">
        <v>1426</v>
      </c>
      <c r="I2350" s="13" t="s">
        <v>7280</v>
      </c>
      <c r="J2350" s="23" t="str">
        <f>HYPERLINK("CorLog\ALL\20140505 ALL Access Control Meeting minutes (RDC-to-ZAF).msg", "Access Control Meeting minutes")</f>
        <v>Access Control Meeting minutes</v>
      </c>
      <c r="K2350" s="25"/>
      <c r="L2350" s="19" t="s">
        <v>7281</v>
      </c>
      <c r="M2350" s="20"/>
      <c r="N2350" s="21" t="s">
        <v>7282</v>
      </c>
    </row>
    <row r="2351" spans="1:14">
      <c r="A2351" s="12" t="s">
        <v>737</v>
      </c>
      <c r="B2351" s="13" t="s">
        <v>718</v>
      </c>
      <c r="C2351" s="14" t="s">
        <v>7283</v>
      </c>
      <c r="D2351" s="15">
        <v>41764.481979166667</v>
      </c>
      <c r="E2351" s="16" t="s">
        <v>21</v>
      </c>
      <c r="F2351" s="16" t="s">
        <v>16</v>
      </c>
      <c r="G2351" s="17" t="s">
        <v>790</v>
      </c>
      <c r="H2351" s="17" t="s">
        <v>1426</v>
      </c>
      <c r="I2351" s="13" t="s">
        <v>7225</v>
      </c>
      <c r="J2351" s="23" t="str">
        <f>HYPERLINK("CorLog\GHA\BEX\20140505 GHA BEX Ronis-Dom Electronic locking system (GHA-to-RDC).msg", "Ronis-Dom Electronic locking system")</f>
        <v>Ronis-Dom Electronic locking system</v>
      </c>
      <c r="K2351" s="25" t="s">
        <v>1274</v>
      </c>
      <c r="L2351" s="19"/>
      <c r="M2351" s="20"/>
      <c r="N2351" s="21" t="s">
        <v>7284</v>
      </c>
    </row>
    <row r="2352" spans="1:14">
      <c r="A2352" s="12" t="s">
        <v>2016</v>
      </c>
      <c r="B2352" s="13" t="s">
        <v>1258</v>
      </c>
      <c r="C2352" s="14"/>
      <c r="D2352" s="15">
        <v>41764.443240740744</v>
      </c>
      <c r="E2352" s="16" t="s">
        <v>16</v>
      </c>
      <c r="F2352" s="16" t="s">
        <v>16</v>
      </c>
      <c r="G2352" s="17" t="s">
        <v>979</v>
      </c>
      <c r="H2352" s="17" t="s">
        <v>759</v>
      </c>
      <c r="I2352" s="13" t="s">
        <v>7285</v>
      </c>
      <c r="J2352" s="23" t="str">
        <f>HYPERLINK("CorLog\RTO\Projects\20140505 RTO Projects Double Storey RTO Plan from NGA (RDC-to-RDC).msg", "Double Storey RTO Plan from NGA")</f>
        <v>Double Storey RTO Plan from NGA</v>
      </c>
      <c r="K2352" s="25" t="s">
        <v>1211</v>
      </c>
      <c r="L2352" s="19" t="s">
        <v>7286</v>
      </c>
      <c r="M2352" s="20"/>
      <c r="N2352" s="21" t="s">
        <v>7287</v>
      </c>
    </row>
    <row r="2353" spans="1:14">
      <c r="A2353" s="12" t="s">
        <v>718</v>
      </c>
      <c r="B2353" s="13" t="s">
        <v>5413</v>
      </c>
      <c r="C2353" s="14" t="s">
        <v>7288</v>
      </c>
      <c r="D2353" s="15">
        <v>41764.365636574075</v>
      </c>
      <c r="E2353" s="16" t="s">
        <v>16</v>
      </c>
      <c r="F2353" s="16" t="s">
        <v>21</v>
      </c>
      <c r="G2353" s="17" t="s">
        <v>790</v>
      </c>
      <c r="H2353" s="17" t="s">
        <v>886</v>
      </c>
      <c r="I2353" s="13" t="s">
        <v>7289</v>
      </c>
      <c r="J2353" s="23" t="str">
        <f>HYPERLINK("CorLog\GHA\BEX\20140505 GHA BEX Routing of Res 4 telephone cable, C-104 2 (RDC-to-GHA).msg", "Routing of Res 4 telephone cable, C-104 2")</f>
        <v>Routing of Res 4 telephone cable, C-104 2</v>
      </c>
      <c r="K2353" s="25"/>
      <c r="L2353" s="19"/>
      <c r="M2353" s="20"/>
      <c r="N2353" s="21" t="s">
        <v>7290</v>
      </c>
    </row>
    <row r="2354" spans="1:14">
      <c r="A2354" s="12" t="s">
        <v>750</v>
      </c>
      <c r="B2354" s="13" t="s">
        <v>6912</v>
      </c>
      <c r="C2354" s="14" t="s">
        <v>5337</v>
      </c>
      <c r="D2354" s="15">
        <v>41763.683275462965</v>
      </c>
      <c r="E2354" s="16" t="s">
        <v>16</v>
      </c>
      <c r="F2354" s="16" t="s">
        <v>952</v>
      </c>
      <c r="G2354" s="17" t="s">
        <v>885</v>
      </c>
      <c r="H2354" s="17" t="s">
        <v>851</v>
      </c>
      <c r="I2354" s="13" t="s">
        <v>7291</v>
      </c>
      <c r="J2354" s="23" t="str">
        <f>HYPERLINK("CorLog\ZMB\Kabompo RTO\20140504 ZMB Kabompo RTO Initial DCP Test for Residence bldg (RDC-to-WSP).msg", "Initial DCP Test for Residence bldg")</f>
        <v>Initial DCP Test for Residence bldg</v>
      </c>
      <c r="K2354" s="25" t="s">
        <v>1499</v>
      </c>
      <c r="L2354" s="19"/>
      <c r="M2354" s="20"/>
      <c r="N2354" s="21" t="s">
        <v>7292</v>
      </c>
    </row>
    <row r="2355" spans="1:14">
      <c r="A2355" s="12" t="s">
        <v>724</v>
      </c>
      <c r="B2355" s="13" t="s">
        <v>2184</v>
      </c>
      <c r="C2355" s="14" t="s">
        <v>7293</v>
      </c>
      <c r="D2355" s="15">
        <v>41762.683437500003</v>
      </c>
      <c r="E2355" s="16" t="s">
        <v>16</v>
      </c>
      <c r="F2355" s="16" t="s">
        <v>17</v>
      </c>
      <c r="G2355" s="17" t="s">
        <v>30</v>
      </c>
      <c r="H2355" s="17" t="s">
        <v>1000</v>
      </c>
      <c r="I2355" s="13" t="s">
        <v>7294</v>
      </c>
      <c r="J2355" s="23" t="str">
        <f>HYPERLINK("CorLog\ALL\20140503 RDC ALL WDC RTO Survey Completed (RDC-to-).msg", "WDC RTO Survey Completed")</f>
        <v>WDC RTO Survey Completed</v>
      </c>
      <c r="K2355" s="25" t="s">
        <v>1243</v>
      </c>
      <c r="L2355" s="19" t="s">
        <v>7295</v>
      </c>
      <c r="M2355" s="20"/>
      <c r="N2355" s="21" t="s">
        <v>7296</v>
      </c>
    </row>
    <row r="2356" spans="1:14">
      <c r="A2356" s="12" t="s">
        <v>718</v>
      </c>
      <c r="B2356" s="13" t="s">
        <v>750</v>
      </c>
      <c r="C2356" s="14" t="s">
        <v>7297</v>
      </c>
      <c r="D2356" s="15">
        <v>41761.697916666664</v>
      </c>
      <c r="E2356" s="16" t="s">
        <v>16</v>
      </c>
      <c r="F2356" s="16" t="s">
        <v>16</v>
      </c>
      <c r="G2356" s="17" t="s">
        <v>738</v>
      </c>
      <c r="H2356" s="17" t="s">
        <v>1000</v>
      </c>
      <c r="I2356" s="13" t="s">
        <v>7298</v>
      </c>
      <c r="J2356" s="23" t="str">
        <f>HYPERLINK("CorLog\GHA\BEX 2\20140502 GHA BEX 2 Meeting Minutes--Natural ventilation options; cost comparisons betw single &amp; double loaded designs (RDC-to-RDC).msg", "Meeting Minutes--Natural ventilation options; cost comparisons betw single &amp; double loaded designs")</f>
        <v>Meeting Minutes--Natural ventilation options; cost comparisons betw single &amp; double loaded designs</v>
      </c>
      <c r="K2356" s="25" t="s">
        <v>1211</v>
      </c>
      <c r="L2356" s="19"/>
      <c r="M2356" s="20"/>
      <c r="N2356" s="21" t="s">
        <v>7299</v>
      </c>
    </row>
    <row r="2357" spans="1:14">
      <c r="A2357" s="12" t="s">
        <v>4950</v>
      </c>
      <c r="B2357" s="13" t="s">
        <v>750</v>
      </c>
      <c r="C2357" s="14" t="s">
        <v>723</v>
      </c>
      <c r="D2357" s="15">
        <v>41761.438252314816</v>
      </c>
      <c r="E2357" s="16" t="s">
        <v>18</v>
      </c>
      <c r="F2357" s="16" t="s">
        <v>16</v>
      </c>
      <c r="G2357" s="17" t="s">
        <v>885</v>
      </c>
      <c r="H2357" s="17" t="s">
        <v>851</v>
      </c>
      <c r="I2357" s="13" t="s">
        <v>7291</v>
      </c>
      <c r="J2357" s="23" t="str">
        <f>HYPERLINK("CorLog\ZMB\Kabompo RTO\20140502 ZMB ZMB Kabompo RTO Initial DCP Test for Residence bldg (ZMB-to-RDC).msg", "Initial DCP Test for Residence bldg")</f>
        <v>Initial DCP Test for Residence bldg</v>
      </c>
      <c r="K2357" s="25" t="s">
        <v>1274</v>
      </c>
      <c r="L2357" s="19"/>
      <c r="M2357" s="20"/>
      <c r="N2357" s="21" t="s">
        <v>7300</v>
      </c>
    </row>
    <row r="2358" spans="1:14">
      <c r="A2358" s="12" t="s">
        <v>1181</v>
      </c>
      <c r="B2358" s="13" t="s">
        <v>6323</v>
      </c>
      <c r="C2358" s="14" t="s">
        <v>7301</v>
      </c>
      <c r="D2358" s="15">
        <v>41761.403379629628</v>
      </c>
      <c r="E2358" s="16" t="s">
        <v>16</v>
      </c>
      <c r="F2358" s="16" t="s">
        <v>15</v>
      </c>
      <c r="G2358" s="17" t="s">
        <v>946</v>
      </c>
      <c r="H2358" s="17" t="s">
        <v>5574</v>
      </c>
      <c r="I2358" s="13" t="s">
        <v>7176</v>
      </c>
      <c r="J2358" s="23" t="str">
        <f>HYPERLINK("CorLog\ZMB\Mongu RTO\20140502 ZMB Mongu RTO Branch Order 5869 Door hardware and sizes (RDC-to-ZAF).msg", "Branch Order 5869 Door hardware and sizes")</f>
        <v>Branch Order 5869 Door hardware and sizes</v>
      </c>
      <c r="K2358" s="25"/>
      <c r="L2358" s="19"/>
      <c r="M2358" s="20"/>
      <c r="N2358" s="21" t="s">
        <v>7302</v>
      </c>
    </row>
    <row r="2359" spans="1:14">
      <c r="A2359" s="12" t="s">
        <v>723</v>
      </c>
      <c r="B2359" s="13" t="s">
        <v>718</v>
      </c>
      <c r="C2359" s="14"/>
      <c r="D2359" s="15">
        <v>41761.366469907407</v>
      </c>
      <c r="E2359" s="16" t="s">
        <v>16</v>
      </c>
      <c r="F2359" s="16" t="s">
        <v>16</v>
      </c>
      <c r="G2359" s="17" t="s">
        <v>857</v>
      </c>
      <c r="H2359" s="17" t="s">
        <v>871</v>
      </c>
      <c r="I2359" s="13" t="s">
        <v>7303</v>
      </c>
      <c r="J2359" s="23" t="str">
        <f>HYPERLINK("CorLog\GHA\Kikam RTO\20140502 RDC GHA Kikam RTO Draft Procurement Plan (RDC-to-RDC).msg", "Draft Procurement Plan")</f>
        <v>Draft Procurement Plan</v>
      </c>
      <c r="K2359" s="25" t="s">
        <v>1211</v>
      </c>
      <c r="L2359" s="19" t="s">
        <v>7304</v>
      </c>
      <c r="M2359" s="20"/>
      <c r="N2359" s="21" t="s">
        <v>7305</v>
      </c>
    </row>
    <row r="2360" spans="1:14">
      <c r="A2360" s="12" t="s">
        <v>7306</v>
      </c>
      <c r="B2360" s="13" t="s">
        <v>718</v>
      </c>
      <c r="C2360" s="14" t="s">
        <v>7307</v>
      </c>
      <c r="D2360" s="15">
        <v>41760.782685185186</v>
      </c>
      <c r="E2360" s="16" t="s">
        <v>21</v>
      </c>
      <c r="F2360" s="16" t="s">
        <v>16</v>
      </c>
      <c r="G2360" s="17" t="s">
        <v>738</v>
      </c>
      <c r="H2360" s="17" t="s">
        <v>2412</v>
      </c>
      <c r="I2360" s="13" t="s">
        <v>7308</v>
      </c>
      <c r="J2360" s="23" t="str">
        <f>HYPERLINK("CorLog\GHA\BEX 2\20140501 GHA BEX 2 New Electrolux Dishwasher spec agreed by GHA (-to-RDC).msg", "New Electrolux Dishwasher spec agreed by GHA")</f>
        <v>New Electrolux Dishwasher spec agreed by GHA</v>
      </c>
      <c r="K2360" s="25" t="s">
        <v>1211</v>
      </c>
      <c r="L2360" s="19"/>
      <c r="M2360" s="20"/>
      <c r="N2360" s="21" t="s">
        <v>7309</v>
      </c>
    </row>
    <row r="2361" spans="1:14">
      <c r="A2361" s="12" t="s">
        <v>1160</v>
      </c>
      <c r="B2361" s="13" t="s">
        <v>718</v>
      </c>
      <c r="C2361" s="14"/>
      <c r="D2361" s="15">
        <v>41760.655833333331</v>
      </c>
      <c r="E2361" s="16" t="s">
        <v>20</v>
      </c>
      <c r="F2361" s="16" t="s">
        <v>16</v>
      </c>
      <c r="G2361" s="17" t="s">
        <v>7310</v>
      </c>
      <c r="H2361" s="17" t="s">
        <v>7311</v>
      </c>
      <c r="I2361" s="13" t="s">
        <v>7312</v>
      </c>
      <c r="J2361" s="23" t="str">
        <f>HYPERLINK("CorLog\MOZ\Branch\20140501 MOZ Branch New Languages in Moz (MOZ-to-RDC).msg", "New Languages in Moz")</f>
        <v>New Languages in Moz</v>
      </c>
      <c r="K2361" s="25"/>
      <c r="L2361" s="19"/>
      <c r="M2361" s="20"/>
      <c r="N2361" s="21" t="s">
        <v>7313</v>
      </c>
    </row>
    <row r="2362" spans="1:14">
      <c r="A2362" s="12" t="s">
        <v>4950</v>
      </c>
      <c r="B2362" s="13" t="s">
        <v>718</v>
      </c>
      <c r="C2362" s="14" t="s">
        <v>7314</v>
      </c>
      <c r="D2362" s="15">
        <v>41760.647511574076</v>
      </c>
      <c r="E2362" s="16" t="s">
        <v>18</v>
      </c>
      <c r="F2362" s="16" t="s">
        <v>16</v>
      </c>
      <c r="G2362" s="17" t="s">
        <v>885</v>
      </c>
      <c r="H2362" s="17" t="s">
        <v>851</v>
      </c>
      <c r="I2362" s="13" t="s">
        <v>7315</v>
      </c>
      <c r="J2362" s="23" t="str">
        <f>HYPERLINK("CorLog\ZMB\Kabompo RTO\20140501 ZMB Kabompo RTO Initial DCP Test (ZMB-to-RDC).msg", "Initial DCP Test")</f>
        <v>Initial DCP Test</v>
      </c>
      <c r="K2362" s="25" t="s">
        <v>1270</v>
      </c>
      <c r="L2362" s="19"/>
      <c r="M2362" s="20"/>
      <c r="N2362" s="21" t="s">
        <v>7316</v>
      </c>
    </row>
    <row r="2363" spans="1:14">
      <c r="A2363" s="12" t="s">
        <v>718</v>
      </c>
      <c r="B2363" s="13" t="s">
        <v>5455</v>
      </c>
      <c r="C2363" s="14" t="s">
        <v>6940</v>
      </c>
      <c r="D2363" s="15">
        <v>41760.566655092596</v>
      </c>
      <c r="E2363" s="16" t="s">
        <v>16</v>
      </c>
      <c r="F2363" s="16" t="s">
        <v>18</v>
      </c>
      <c r="G2363" s="17" t="s">
        <v>885</v>
      </c>
      <c r="H2363" s="17" t="s">
        <v>2223</v>
      </c>
      <c r="I2363" s="13" t="s">
        <v>7317</v>
      </c>
      <c r="J2363" s="23" t="str">
        <f>HYPERLINK("CorLog\ZMB\Kabompo RTO\20140501 ZMB Kabompo RTO Ring Beam 6 bars in corner YES (RDC-to-ZMB).msg", "Ring Beam 6 bars in corner YES")</f>
        <v>Ring Beam 6 bars in corner YES</v>
      </c>
      <c r="K2363" s="25" t="s">
        <v>1243</v>
      </c>
      <c r="L2363" s="19"/>
      <c r="M2363" s="20"/>
      <c r="N2363" s="21" t="s">
        <v>7318</v>
      </c>
    </row>
    <row r="2364" spans="1:14">
      <c r="A2364" s="12" t="s">
        <v>718</v>
      </c>
      <c r="B2364" s="13" t="s">
        <v>972</v>
      </c>
      <c r="C2364" s="14" t="s">
        <v>4286</v>
      </c>
      <c r="D2364" s="15">
        <v>41760.563090277778</v>
      </c>
      <c r="E2364" s="16" t="s">
        <v>16</v>
      </c>
      <c r="F2364" s="16" t="s">
        <v>18</v>
      </c>
      <c r="G2364" s="17" t="s">
        <v>1070</v>
      </c>
      <c r="H2364" s="17" t="s">
        <v>7319</v>
      </c>
      <c r="I2364" s="13" t="s">
        <v>7320</v>
      </c>
      <c r="J2364" s="23" t="str">
        <f>HYPERLINK("CorLog\ZMB\Katete RTO\20140501 ZMB Katete RTO Site plan needed for possible contract of wall fence (RDC-to-ZMB).msg", "Site plan needed for possible contract of wall fence")</f>
        <v>Site plan needed for possible contract of wall fence</v>
      </c>
      <c r="K2364" s="25" t="s">
        <v>1211</v>
      </c>
      <c r="L2364" s="19"/>
      <c r="M2364" s="20"/>
      <c r="N2364" s="21" t="s">
        <v>7321</v>
      </c>
    </row>
    <row r="2365" spans="1:14">
      <c r="A2365" s="12" t="s">
        <v>718</v>
      </c>
      <c r="B2365" s="13" t="s">
        <v>5413</v>
      </c>
      <c r="C2365" s="14" t="s">
        <v>7322</v>
      </c>
      <c r="D2365" s="15">
        <v>41760.32335648148</v>
      </c>
      <c r="E2365" s="16" t="s">
        <v>16</v>
      </c>
      <c r="F2365" s="16" t="s">
        <v>21</v>
      </c>
      <c r="G2365" s="17" t="s">
        <v>790</v>
      </c>
      <c r="H2365" s="17" t="s">
        <v>6782</v>
      </c>
      <c r="I2365" s="13" t="s">
        <v>7323</v>
      </c>
      <c r="J2365" s="23" t="str">
        <f>HYPERLINK("CorLog\GHA\BEX\20140501 GHA BEX Burglar Bars for Residence windows type A, B and C (RDC-to-GHA).msg", "Burglar Bars for Residence windows type A, B and C")</f>
        <v>Burglar Bars for Residence windows type A, B and C</v>
      </c>
      <c r="K2365" s="25" t="s">
        <v>1243</v>
      </c>
      <c r="L2365" s="19" t="s">
        <v>7324</v>
      </c>
      <c r="M2365" s="20"/>
      <c r="N2365" s="21" t="s">
        <v>7325</v>
      </c>
    </row>
    <row r="2366" spans="1:14">
      <c r="A2366" s="12" t="s">
        <v>7326</v>
      </c>
      <c r="B2366" s="13"/>
      <c r="C2366" s="14"/>
      <c r="D2366" s="15">
        <v>41760</v>
      </c>
      <c r="E2366" s="16" t="s">
        <v>17</v>
      </c>
      <c r="F2366" s="16" t="s">
        <v>15</v>
      </c>
      <c r="G2366" s="17" t="s">
        <v>30</v>
      </c>
      <c r="H2366" s="17" t="s">
        <v>1728</v>
      </c>
      <c r="I2366" s="13" t="s">
        <v>6086</v>
      </c>
      <c r="J2366" s="23" t="str">
        <f>HYPERLINK("CorLog\ALL\20140501 ALL Design of Rural Assembly Halls (WDC-to-ZAF).docx", "Design of Rural Assembly Halls")</f>
        <v>Design of Rural Assembly Halls</v>
      </c>
      <c r="K2366" s="25"/>
      <c r="L2366" s="19"/>
      <c r="M2366" s="20"/>
      <c r="N2366" s="21" t="s">
        <v>7327</v>
      </c>
    </row>
    <row r="2367" spans="1:14">
      <c r="A2367" s="12" t="s">
        <v>718</v>
      </c>
      <c r="B2367" s="13" t="s">
        <v>4950</v>
      </c>
      <c r="C2367" s="14" t="s">
        <v>7328</v>
      </c>
      <c r="D2367" s="15">
        <v>41759.698622685188</v>
      </c>
      <c r="E2367" s="16" t="s">
        <v>16</v>
      </c>
      <c r="F2367" s="16" t="s">
        <v>18</v>
      </c>
      <c r="G2367" s="17" t="s">
        <v>885</v>
      </c>
      <c r="H2367" s="17" t="s">
        <v>947</v>
      </c>
      <c r="I2367" s="13" t="s">
        <v>7329</v>
      </c>
      <c r="J2367" s="23" t="str">
        <f>HYPERLINK("CorLog\ZMB\Kabompo RTO\20140430 ZMB Kabompo RTO Location of relief line in Leech Field (RDC-to-ZMB).msg", "Location of relief line in Leech Field")</f>
        <v>Location of relief line in Leech Field</v>
      </c>
      <c r="K2367" s="25" t="s">
        <v>1270</v>
      </c>
      <c r="L2367" s="19"/>
      <c r="M2367" s="20"/>
      <c r="N2367" s="21" t="s">
        <v>7330</v>
      </c>
    </row>
    <row r="2368" spans="1:14">
      <c r="A2368" s="12" t="s">
        <v>750</v>
      </c>
      <c r="B2368" s="13" t="s">
        <v>821</v>
      </c>
      <c r="C2368" s="14" t="s">
        <v>7331</v>
      </c>
      <c r="D2368" s="15">
        <v>41759.557858796295</v>
      </c>
      <c r="E2368" s="16" t="s">
        <v>16</v>
      </c>
      <c r="F2368" s="16" t="s">
        <v>21</v>
      </c>
      <c r="G2368" s="17" t="s">
        <v>738</v>
      </c>
      <c r="H2368" s="17" t="s">
        <v>7332</v>
      </c>
      <c r="I2368" s="13" t="s">
        <v>7333</v>
      </c>
      <c r="J2368" s="23" t="str">
        <f>HYPERLINK("CorLog\GHA\BEX 2\20140430 GHA BEX 2 RDC Design Construction Schedule (RDC-to-).msg", "RDC Design Construction Schedule")</f>
        <v>RDC Design Construction Schedule</v>
      </c>
      <c r="K2368" s="25"/>
      <c r="L2368" s="19" t="s">
        <v>7334</v>
      </c>
      <c r="M2368" s="20"/>
      <c r="N2368" s="21" t="s">
        <v>7335</v>
      </c>
    </row>
    <row r="2369" spans="1:14">
      <c r="A2369" s="12" t="s">
        <v>718</v>
      </c>
      <c r="B2369" s="13" t="s">
        <v>1784</v>
      </c>
      <c r="C2369" s="14"/>
      <c r="D2369" s="15">
        <v>41759.498182870368</v>
      </c>
      <c r="E2369" s="16" t="s">
        <v>16</v>
      </c>
      <c r="F2369" s="16" t="s">
        <v>16</v>
      </c>
      <c r="G2369" s="17" t="s">
        <v>758</v>
      </c>
      <c r="H2369" s="17" t="s">
        <v>7336</v>
      </c>
      <c r="I2369" s="13" t="s">
        <v>7337</v>
      </c>
      <c r="J2369" s="23" t="str">
        <f>HYPERLINK("CorLog\GHA\Viepe RTO\20140430 GHA Viepe RTO Job Meeting 3 -- Minutes (RDC-to-RDC).msg", "Job Meeting 3 -- Minutes")</f>
        <v>Job Meeting 3 -- Minutes</v>
      </c>
      <c r="K2369" s="25" t="s">
        <v>1211</v>
      </c>
      <c r="L2369" s="19"/>
      <c r="M2369" s="20"/>
      <c r="N2369" s="21" t="s">
        <v>7338</v>
      </c>
    </row>
    <row r="2370" spans="1:14">
      <c r="A2370" s="12" t="s">
        <v>718</v>
      </c>
      <c r="B2370" s="13" t="s">
        <v>794</v>
      </c>
      <c r="C2370" s="14" t="s">
        <v>795</v>
      </c>
      <c r="D2370" s="15">
        <v>41759.341608796298</v>
      </c>
      <c r="E2370" s="16" t="s">
        <v>16</v>
      </c>
      <c r="F2370" s="16" t="s">
        <v>15</v>
      </c>
      <c r="G2370" s="17" t="s">
        <v>6141</v>
      </c>
      <c r="H2370" s="17" t="s">
        <v>1489</v>
      </c>
      <c r="I2370" s="13" t="s">
        <v>7339</v>
      </c>
      <c r="J2370" s="23" t="str">
        <f>HYPERLINK("CorLog\MDG\BEX\20140430 MDG BEX Photos Booster pump LOWARA (RDC-to-ZAF).msg", "Photos Booster pump LOWARA")</f>
        <v>Photos Booster pump LOWARA</v>
      </c>
      <c r="K2370" s="25" t="s">
        <v>1482</v>
      </c>
      <c r="L2370" s="19"/>
      <c r="M2370" s="20"/>
      <c r="N2370" s="21" t="s">
        <v>7340</v>
      </c>
    </row>
    <row r="2371" spans="1:14">
      <c r="A2371" s="12" t="s">
        <v>6623</v>
      </c>
      <c r="B2371" s="13" t="s">
        <v>718</v>
      </c>
      <c r="C2371" s="14"/>
      <c r="D2371" s="15">
        <v>41759.328483796293</v>
      </c>
      <c r="E2371" s="16" t="s">
        <v>14</v>
      </c>
      <c r="F2371" s="16" t="s">
        <v>16</v>
      </c>
      <c r="G2371" s="17" t="s">
        <v>6141</v>
      </c>
      <c r="H2371" s="17" t="s">
        <v>1489</v>
      </c>
      <c r="I2371" s="13" t="s">
        <v>7339</v>
      </c>
      <c r="J2371" s="23" t="str">
        <f>HYPERLINK("CorLog\MDG\BEX\20140430 MDG BEX Photos Booster pump LOWARA (MDG-to-RDC).msg", "Photos Booster pump LOWARA")</f>
        <v>Photos Booster pump LOWARA</v>
      </c>
      <c r="K2371" s="25" t="s">
        <v>1482</v>
      </c>
      <c r="L2371" s="19"/>
      <c r="M2371" s="20"/>
      <c r="N2371" s="21" t="s">
        <v>7341</v>
      </c>
    </row>
    <row r="2372" spans="1:14">
      <c r="A2372" s="12" t="s">
        <v>750</v>
      </c>
      <c r="B2372" s="13" t="s">
        <v>718</v>
      </c>
      <c r="C2372" s="14"/>
      <c r="D2372" s="15">
        <v>41758.779814814814</v>
      </c>
      <c r="E2372" s="16" t="s">
        <v>16</v>
      </c>
      <c r="F2372" s="16" t="s">
        <v>16</v>
      </c>
      <c r="G2372" s="17" t="s">
        <v>790</v>
      </c>
      <c r="H2372" s="17" t="s">
        <v>7342</v>
      </c>
      <c r="I2372" s="13" t="s">
        <v>7343</v>
      </c>
      <c r="J2372" s="23" t="str">
        <f>HYPERLINK("CorLog\GHA\BEX\20140429 GHA BEX FRENCH DRAIN along back of Football Field (RDC-to-RDC).msg", "FRENCH DRAIN along back of Football Field")</f>
        <v>FRENCH DRAIN along back of Football Field</v>
      </c>
      <c r="K2372" s="25"/>
      <c r="L2372" s="19" t="s">
        <v>7344</v>
      </c>
      <c r="M2372" s="20"/>
      <c r="N2372" s="21" t="s">
        <v>7345</v>
      </c>
    </row>
    <row r="2373" spans="1:14">
      <c r="A2373" s="12" t="s">
        <v>842</v>
      </c>
      <c r="B2373" s="13" t="s">
        <v>718</v>
      </c>
      <c r="C2373" s="14" t="s">
        <v>7346</v>
      </c>
      <c r="D2373" s="15">
        <v>41758.775231481479</v>
      </c>
      <c r="E2373" s="16" t="s">
        <v>21</v>
      </c>
      <c r="F2373" s="16" t="s">
        <v>16</v>
      </c>
      <c r="G2373" s="17" t="s">
        <v>857</v>
      </c>
      <c r="H2373" s="17" t="s">
        <v>7347</v>
      </c>
      <c r="I2373" s="13" t="s">
        <v>7348</v>
      </c>
      <c r="J2373" s="23" t="str">
        <f>HYPERLINK("CorLog\GHA\Kikam RTO\20140429 GHA Kikam RTO CONTACT INFORMATION Ghana Kikam Remote Translation Office (Nzema) Project (GHA0014) (GHA-to-RDC).msg", "CONTACT INFORMATION Ghana Kikam Remote Translation Office (Nzema) Project (GHA0014)")</f>
        <v>CONTACT INFORMATION Ghana Kikam Remote Translation Office (Nzema) Project (GHA0014)</v>
      </c>
      <c r="K2373" s="25"/>
      <c r="L2373" s="19"/>
      <c r="M2373" s="20"/>
      <c r="N2373" s="21" t="s">
        <v>7349</v>
      </c>
    </row>
    <row r="2374" spans="1:14">
      <c r="A2374" s="12" t="s">
        <v>718</v>
      </c>
      <c r="B2374" s="13" t="s">
        <v>5413</v>
      </c>
      <c r="C2374" s="14" t="s">
        <v>7350</v>
      </c>
      <c r="D2374" s="15">
        <v>41758.748773148145</v>
      </c>
      <c r="E2374" s="16" t="s">
        <v>16</v>
      </c>
      <c r="F2374" s="16" t="s">
        <v>21</v>
      </c>
      <c r="G2374" s="17" t="s">
        <v>790</v>
      </c>
      <c r="H2374" s="17" t="s">
        <v>7351</v>
      </c>
      <c r="I2374" s="13" t="s">
        <v>7352</v>
      </c>
      <c r="J2374" s="23" t="str">
        <f>HYPERLINK("CorLog\GHA\BEX\20140429 GHA BEX Revised civil drawing KM-C-105-Rev1 (RDC-to-GHA).msg", "Revised civil drawing KM-C-105-Rev1")</f>
        <v>Revised civil drawing KM-C-105-Rev1</v>
      </c>
      <c r="K2374" s="25" t="s">
        <v>1211</v>
      </c>
      <c r="L2374" s="19"/>
      <c r="M2374" s="20"/>
      <c r="N2374" s="21" t="s">
        <v>7353</v>
      </c>
    </row>
    <row r="2375" spans="1:14">
      <c r="A2375" s="12" t="s">
        <v>771</v>
      </c>
      <c r="B2375" s="13" t="s">
        <v>750</v>
      </c>
      <c r="C2375" s="14" t="s">
        <v>7354</v>
      </c>
      <c r="D2375" s="15">
        <v>41758.612025462964</v>
      </c>
      <c r="E2375" s="16" t="s">
        <v>17</v>
      </c>
      <c r="F2375" s="16" t="s">
        <v>16</v>
      </c>
      <c r="G2375" s="17" t="s">
        <v>738</v>
      </c>
      <c r="H2375" s="17" t="s">
        <v>1000</v>
      </c>
      <c r="I2375" s="13" t="s">
        <v>7355</v>
      </c>
      <c r="J2375" s="23" t="str">
        <f>HYPERLINK("CorLog\GHA\BEX 2\20140429 GHA BEX 2 Engineering Construction Schedule (WDC-to-RDC).msg", "Engineering Construction Schedule")</f>
        <v>Engineering Construction Schedule</v>
      </c>
      <c r="K2375" s="25" t="s">
        <v>1211</v>
      </c>
      <c r="L2375" s="19" t="s">
        <v>7356</v>
      </c>
      <c r="M2375" s="20"/>
      <c r="N2375" s="21" t="s">
        <v>7357</v>
      </c>
    </row>
    <row r="2376" spans="1:14">
      <c r="A2376" s="12" t="s">
        <v>750</v>
      </c>
      <c r="B2376" s="13" t="s">
        <v>718</v>
      </c>
      <c r="C2376" s="14" t="s">
        <v>7358</v>
      </c>
      <c r="D2376" s="15">
        <v>41758.384363425925</v>
      </c>
      <c r="E2376" s="16" t="s">
        <v>16</v>
      </c>
      <c r="F2376" s="16" t="s">
        <v>16</v>
      </c>
      <c r="G2376" s="17" t="s">
        <v>790</v>
      </c>
      <c r="H2376" s="17" t="s">
        <v>7359</v>
      </c>
      <c r="I2376" s="13" t="s">
        <v>7360</v>
      </c>
      <c r="J2376" s="23" t="str">
        <f>HYPERLINK("CorLog\GHA\BEX\20140429 RDC GHA BEX FEV Report Apr 2014 (RDC-to-RDC).msg", "FEV Report Apr 2014")</f>
        <v>FEV Report Apr 2014</v>
      </c>
      <c r="K2376" s="25"/>
      <c r="L2376" s="19" t="s">
        <v>7361</v>
      </c>
      <c r="M2376" s="20"/>
      <c r="N2376" s="21" t="s">
        <v>7362</v>
      </c>
    </row>
    <row r="2377" spans="1:14">
      <c r="A2377" s="12" t="s">
        <v>750</v>
      </c>
      <c r="B2377" s="13" t="s">
        <v>718</v>
      </c>
      <c r="C2377" s="14" t="s">
        <v>7363</v>
      </c>
      <c r="D2377" s="15">
        <v>41758.373159722221</v>
      </c>
      <c r="E2377" s="16" t="s">
        <v>16</v>
      </c>
      <c r="F2377" s="16" t="s">
        <v>16</v>
      </c>
      <c r="G2377" s="17" t="s">
        <v>738</v>
      </c>
      <c r="H2377" s="17" t="s">
        <v>3679</v>
      </c>
      <c r="I2377" s="13" t="s">
        <v>7364</v>
      </c>
      <c r="J2377" s="23" t="str">
        <f>HYPERLINK("CorLog\GHA\BEX 2\20140429 GHA BEX 2 Natural Ventilation Convection as complement to AC (RDC-to-RDC).msg", "Natural Ventilation Convection as complement to AC")</f>
        <v>Natural Ventilation Convection as complement to AC</v>
      </c>
      <c r="K2377" s="25" t="s">
        <v>1243</v>
      </c>
      <c r="L2377" s="19" t="s">
        <v>7365</v>
      </c>
      <c r="M2377" s="20"/>
      <c r="N2377" s="21" t="s">
        <v>7366</v>
      </c>
    </row>
    <row r="2378" spans="1:14">
      <c r="A2378" s="12" t="s">
        <v>750</v>
      </c>
      <c r="B2378" s="13" t="s">
        <v>718</v>
      </c>
      <c r="C2378" s="14" t="s">
        <v>5804</v>
      </c>
      <c r="D2378" s="15">
        <v>41758.369131944448</v>
      </c>
      <c r="E2378" s="16" t="s">
        <v>16</v>
      </c>
      <c r="F2378" s="16" t="s">
        <v>16</v>
      </c>
      <c r="G2378" s="17" t="s">
        <v>738</v>
      </c>
      <c r="H2378" s="17" t="s">
        <v>1005</v>
      </c>
      <c r="I2378" s="13" t="s">
        <v>7367</v>
      </c>
      <c r="J2378" s="23" t="str">
        <f>HYPERLINK("CorLog\GHA\BEX 2\20140429 GHA BEX 2 Costing Comparison of Building Styles (RDC-to-RDC).msg", "Costing Comparison of Building Styles")</f>
        <v>Costing Comparison of Building Styles</v>
      </c>
      <c r="K2378" s="25" t="s">
        <v>1211</v>
      </c>
      <c r="L2378" s="19" t="s">
        <v>7368</v>
      </c>
      <c r="M2378" s="20"/>
      <c r="N2378" s="21" t="s">
        <v>7369</v>
      </c>
    </row>
    <row r="2379" spans="1:14">
      <c r="A2379" s="12" t="s">
        <v>1258</v>
      </c>
      <c r="B2379" s="13" t="s">
        <v>7370</v>
      </c>
      <c r="C2379" s="14" t="s">
        <v>7371</v>
      </c>
      <c r="D2379" s="15">
        <v>41757.448506944442</v>
      </c>
      <c r="E2379" s="16" t="s">
        <v>16</v>
      </c>
      <c r="F2379" s="16" t="s">
        <v>15</v>
      </c>
      <c r="G2379" s="17" t="s">
        <v>30</v>
      </c>
      <c r="H2379" s="17" t="s">
        <v>5903</v>
      </c>
      <c r="I2379" s="13" t="s">
        <v>7174</v>
      </c>
      <c r="J2379" s="23" t="str">
        <f>HYPERLINK("CorLog\ALL\20140428 ALL Mapei Waterproofing, new products approved (RDC-to-ZAF).msg", "Mapei Waterproofing, new products approved")</f>
        <v>Mapei Waterproofing, new products approved</v>
      </c>
      <c r="K2379" s="25" t="s">
        <v>1274</v>
      </c>
      <c r="L2379" s="19"/>
      <c r="M2379" s="20"/>
      <c r="N2379" s="21" t="s">
        <v>7372</v>
      </c>
    </row>
    <row r="2380" spans="1:14">
      <c r="A2380" s="12" t="s">
        <v>795</v>
      </c>
      <c r="B2380" s="13" t="s">
        <v>718</v>
      </c>
      <c r="C2380" s="14"/>
      <c r="D2380" s="15">
        <v>41757.423831018517</v>
      </c>
      <c r="E2380" s="16" t="s">
        <v>16</v>
      </c>
      <c r="F2380" s="16" t="s">
        <v>16</v>
      </c>
      <c r="G2380" s="17" t="s">
        <v>6141</v>
      </c>
      <c r="H2380" s="17" t="s">
        <v>1489</v>
      </c>
      <c r="I2380" s="13" t="s">
        <v>7373</v>
      </c>
      <c r="J2380" s="23" t="str">
        <f>HYPERLINK("CorLog\MDG\BEX\20140428 MDG BEX Booster pump LOWARA (RDC-to-RDC).msg", "Booster pump LOWARA")</f>
        <v>Booster pump LOWARA</v>
      </c>
      <c r="K2380" s="25" t="s">
        <v>1270</v>
      </c>
      <c r="L2380" s="19" t="s">
        <v>7374</v>
      </c>
      <c r="M2380" s="20"/>
      <c r="N2380" s="21" t="s">
        <v>7375</v>
      </c>
    </row>
    <row r="2381" spans="1:14">
      <c r="A2381" s="12" t="s">
        <v>718</v>
      </c>
      <c r="B2381" s="13" t="s">
        <v>1052</v>
      </c>
      <c r="C2381" s="14" t="s">
        <v>7376</v>
      </c>
      <c r="D2381" s="15">
        <v>41754.656273148146</v>
      </c>
      <c r="E2381" s="16" t="s">
        <v>16</v>
      </c>
      <c r="F2381" s="16" t="s">
        <v>17</v>
      </c>
      <c r="G2381" s="17" t="s">
        <v>730</v>
      </c>
      <c r="H2381" s="17" t="s">
        <v>5392</v>
      </c>
      <c r="I2381" s="13" t="s">
        <v>7377</v>
      </c>
      <c r="J2381" s="23" t="str">
        <f>HYPERLINK("CorLog\GHA\Baatsona SKE\20140425 GHA Baatsona SKE Additional Building Option for Review, CPP, Risk Assessment (RDC-to-WDC).msg", "Additional Building Option for Review, CPP, Risk Assessment")</f>
        <v>Additional Building Option for Review, CPP, Risk Assessment</v>
      </c>
      <c r="K2381" s="25" t="s">
        <v>1499</v>
      </c>
      <c r="L2381" s="19" t="s">
        <v>7378</v>
      </c>
      <c r="M2381" s="20"/>
      <c r="N2381" s="21" t="s">
        <v>7379</v>
      </c>
    </row>
    <row r="2382" spans="1:14">
      <c r="A2382" s="12" t="s">
        <v>718</v>
      </c>
      <c r="B2382" s="13" t="s">
        <v>5413</v>
      </c>
      <c r="C2382" s="14" t="s">
        <v>7380</v>
      </c>
      <c r="D2382" s="15">
        <v>41754.586030092592</v>
      </c>
      <c r="E2382" s="16" t="s">
        <v>16</v>
      </c>
      <c r="F2382" s="16" t="s">
        <v>21</v>
      </c>
      <c r="G2382" s="17" t="s">
        <v>790</v>
      </c>
      <c r="H2382" s="17" t="s">
        <v>7381</v>
      </c>
      <c r="I2382" s="13" t="s">
        <v>7382</v>
      </c>
      <c r="J2382" s="23" t="str">
        <f>HYPERLINK("CorLog\GHA\BEX\20140425 GHA BEX AFC Field sketch S-503-S1--Manhole cover for minisub (RDC-to-GHA).msg", "AFC Field sketch S-503-S1--Manhole cover for minisub")</f>
        <v>AFC Field sketch S-503-S1--Manhole cover for minisub</v>
      </c>
      <c r="K2382" s="25" t="s">
        <v>1243</v>
      </c>
      <c r="L2382" s="19"/>
      <c r="M2382" s="20"/>
      <c r="N2382" s="21" t="s">
        <v>7383</v>
      </c>
    </row>
    <row r="2383" spans="1:14">
      <c r="A2383" s="12" t="s">
        <v>718</v>
      </c>
      <c r="B2383" s="13" t="s">
        <v>771</v>
      </c>
      <c r="C2383" s="14" t="s">
        <v>750</v>
      </c>
      <c r="D2383" s="15">
        <v>41754.582372685189</v>
      </c>
      <c r="E2383" s="16" t="s">
        <v>16</v>
      </c>
      <c r="F2383" s="16" t="s">
        <v>17</v>
      </c>
      <c r="G2383" s="17" t="s">
        <v>738</v>
      </c>
      <c r="H2383" s="17" t="s">
        <v>1000</v>
      </c>
      <c r="I2383" s="13" t="s">
        <v>7384</v>
      </c>
      <c r="J2383" s="23" t="str">
        <f>HYPERLINK("CorLog\GHA\BEX 2\20140425 GHA BEX 2 Long-term design time project schedule (RDC-to-WDC).msg", "Long-term design time project schedule")</f>
        <v>Long-term design time project schedule</v>
      </c>
      <c r="K2383" s="25" t="s">
        <v>1243</v>
      </c>
      <c r="L2383" s="19" t="s">
        <v>7385</v>
      </c>
      <c r="M2383" s="20"/>
      <c r="N2383" s="21" t="s">
        <v>7386</v>
      </c>
    </row>
    <row r="2384" spans="1:14">
      <c r="A2384" s="12" t="s">
        <v>2872</v>
      </c>
      <c r="B2384" s="13" t="s">
        <v>718</v>
      </c>
      <c r="C2384" s="14" t="s">
        <v>7387</v>
      </c>
      <c r="D2384" s="15">
        <v>41754.566770833335</v>
      </c>
      <c r="E2384" s="16" t="s">
        <v>17</v>
      </c>
      <c r="F2384" s="16" t="s">
        <v>16</v>
      </c>
      <c r="G2384" s="17" t="s">
        <v>738</v>
      </c>
      <c r="H2384" s="17" t="s">
        <v>3538</v>
      </c>
      <c r="I2384" s="13" t="s">
        <v>7388</v>
      </c>
      <c r="J2384" s="23" t="str">
        <f>HYPERLINK("CorLog\GHA\BEX 2\20140425 GHA BEX 2 S Spanner comments; Applying new design principles to GHA Long-term project (WDC-to-RDC).msg", "S Spanner comments; Applying new design principles to GHA Long-term project")</f>
        <v>S Spanner comments; Applying new design principles to GHA Long-term project</v>
      </c>
      <c r="K2384" s="25" t="s">
        <v>1211</v>
      </c>
      <c r="L2384" s="19"/>
      <c r="M2384" s="20"/>
      <c r="N2384" s="21" t="s">
        <v>7389</v>
      </c>
    </row>
    <row r="2385" spans="1:14">
      <c r="A2385" s="12" t="s">
        <v>718</v>
      </c>
      <c r="B2385" s="13" t="s">
        <v>1818</v>
      </c>
      <c r="C2385" s="14"/>
      <c r="D2385" s="15">
        <v>41754.367627314816</v>
      </c>
      <c r="E2385" s="16" t="s">
        <v>16</v>
      </c>
      <c r="F2385" s="16" t="s">
        <v>16</v>
      </c>
      <c r="G2385" s="17" t="s">
        <v>790</v>
      </c>
      <c r="H2385" s="17" t="s">
        <v>7390</v>
      </c>
      <c r="I2385" s="13" t="s">
        <v>7391</v>
      </c>
      <c r="J2385" s="23" t="str">
        <f>HYPERLINK("CorLog\GHA\BEX\20140425 RDC GHA BEX Question regarding Civil Rev 2 (RDC-to-RDC).msg", "Question regarding Civil Rev 2")</f>
        <v>Question regarding Civil Rev 2</v>
      </c>
      <c r="K2385" s="25" t="s">
        <v>1270</v>
      </c>
      <c r="L2385" s="19"/>
      <c r="M2385" s="20"/>
      <c r="N2385" s="21" t="s">
        <v>7392</v>
      </c>
    </row>
    <row r="2386" spans="1:14">
      <c r="A2386" s="12" t="s">
        <v>718</v>
      </c>
      <c r="B2386" s="13" t="s">
        <v>4310</v>
      </c>
      <c r="C2386" s="14" t="s">
        <v>750</v>
      </c>
      <c r="D2386" s="15">
        <v>41753.624189814815</v>
      </c>
      <c r="E2386" s="16" t="s">
        <v>16</v>
      </c>
      <c r="F2386" s="16" t="s">
        <v>15</v>
      </c>
      <c r="G2386" s="17" t="s">
        <v>7162</v>
      </c>
      <c r="H2386" s="17" t="s">
        <v>1426</v>
      </c>
      <c r="I2386" s="13" t="s">
        <v>7393</v>
      </c>
      <c r="J2386" s="23" t="str">
        <f>HYPERLINK("CorLog\BDI\Branch\20140424 BDI Branch Cisa keys situation (RDC-to-ZAF).msg", "Cisa keys situation")</f>
        <v>Cisa keys situation</v>
      </c>
      <c r="K2386" s="25" t="s">
        <v>1243</v>
      </c>
      <c r="L2386" s="19" t="s">
        <v>7394</v>
      </c>
      <c r="M2386" s="20"/>
      <c r="N2386" s="21" t="s">
        <v>7395</v>
      </c>
    </row>
    <row r="2387" spans="1:14">
      <c r="A2387" s="12" t="s">
        <v>718</v>
      </c>
      <c r="B2387" s="13" t="s">
        <v>5413</v>
      </c>
      <c r="C2387" s="14" t="s">
        <v>7396</v>
      </c>
      <c r="D2387" s="15">
        <v>41753.417222222219</v>
      </c>
      <c r="E2387" s="16" t="s">
        <v>16</v>
      </c>
      <c r="F2387" s="16" t="s">
        <v>21</v>
      </c>
      <c r="G2387" s="17" t="s">
        <v>790</v>
      </c>
      <c r="H2387" s="17" t="s">
        <v>7351</v>
      </c>
      <c r="I2387" s="13" t="s">
        <v>7397</v>
      </c>
      <c r="J2387" s="23" t="str">
        <f>HYPERLINK("CorLog\GHA\BEX\20140424 GHA BEX Revised civil drawings around Res 3 &amp; 4 (RDC-to-GHA).msg", "Revised civil drawings around Res 3 &amp; 4")</f>
        <v>Revised civil drawings around Res 3 &amp; 4</v>
      </c>
      <c r="K2387" s="25" t="s">
        <v>1274</v>
      </c>
      <c r="L2387" s="19" t="s">
        <v>7398</v>
      </c>
      <c r="M2387" s="20"/>
      <c r="N2387" s="21" t="s">
        <v>7399</v>
      </c>
    </row>
    <row r="2388" spans="1:14">
      <c r="A2388" s="12" t="s">
        <v>1095</v>
      </c>
      <c r="B2388" s="13" t="s">
        <v>718</v>
      </c>
      <c r="C2388" s="14" t="s">
        <v>750</v>
      </c>
      <c r="D2388" s="15">
        <v>41752.889745370368</v>
      </c>
      <c r="E2388" s="16" t="s">
        <v>952</v>
      </c>
      <c r="F2388" s="16" t="s">
        <v>16</v>
      </c>
      <c r="G2388" s="17" t="s">
        <v>790</v>
      </c>
      <c r="H2388" s="17" t="s">
        <v>7351</v>
      </c>
      <c r="I2388" s="13" t="s">
        <v>7400</v>
      </c>
      <c r="J2388" s="23" t="str">
        <f>HYPERLINK("CorLog\GHA\BEX\20140423 GHA BEX revised civil drawings; swales; high water table (WSP-to-RDC).msg", "revised civil drawings; swales; high water table")</f>
        <v>revised civil drawings; swales; high water table</v>
      </c>
      <c r="K2388" s="25" t="s">
        <v>1211</v>
      </c>
      <c r="L2388" s="19" t="s">
        <v>7401</v>
      </c>
      <c r="M2388" s="20"/>
      <c r="N2388" s="21" t="s">
        <v>7402</v>
      </c>
    </row>
    <row r="2389" spans="1:14">
      <c r="A2389" s="12"/>
      <c r="B2389" s="13"/>
      <c r="C2389" s="14"/>
      <c r="D2389" s="15">
        <v>41752.477766203701</v>
      </c>
      <c r="E2389" s="16" t="s">
        <v>25</v>
      </c>
      <c r="F2389" s="16" t="s">
        <v>15</v>
      </c>
      <c r="G2389" s="17" t="s">
        <v>30</v>
      </c>
      <c r="H2389" s="17" t="s">
        <v>2022</v>
      </c>
      <c r="I2389" s="13" t="s">
        <v>7403</v>
      </c>
      <c r="J2389" s="23" t="str">
        <f>HYPERLINK("CorLog\ALL\20140423 ALL Bethel Enrolements--Updated (WHQ-to-ZAF).docx", "Bethel Enrolements--Updated")</f>
        <v>Bethel Enrolements--Updated</v>
      </c>
      <c r="K2389" s="25" t="str">
        <f>HYPERLINK("CorLog\ALL\20140423 ALL Bethel Enrolements--Updated (WHQ-to-ZAF).zip", "Zipped")</f>
        <v>Zipped</v>
      </c>
      <c r="L2389" s="19"/>
      <c r="M2389" s="20"/>
      <c r="N2389" s="21"/>
    </row>
    <row r="2390" spans="1:14">
      <c r="A2390" s="12" t="s">
        <v>737</v>
      </c>
      <c r="B2390" s="13" t="s">
        <v>723</v>
      </c>
      <c r="C2390" s="14" t="s">
        <v>4096</v>
      </c>
      <c r="D2390" s="15">
        <v>41751.717534722222</v>
      </c>
      <c r="E2390" s="16" t="s">
        <v>21</v>
      </c>
      <c r="F2390" s="16" t="s">
        <v>16</v>
      </c>
      <c r="G2390" s="17" t="s">
        <v>738</v>
      </c>
      <c r="H2390" s="17" t="s">
        <v>854</v>
      </c>
      <c r="I2390" s="13" t="s">
        <v>7404</v>
      </c>
      <c r="J2390" s="23" t="str">
        <f>HYPERLINK("CorLog\GHA\BEX 2\20140422 GHA BEX 2 Cracks in Office 2 around base of building (GHA-to-RDC).msg", "Cracks in Office 2 around base of building")</f>
        <v>Cracks in Office 2 around base of building</v>
      </c>
      <c r="K2390" s="25" t="s">
        <v>2665</v>
      </c>
      <c r="L2390" s="19"/>
      <c r="M2390" s="20"/>
      <c r="N2390" s="21" t="s">
        <v>7405</v>
      </c>
    </row>
    <row r="2391" spans="1:14">
      <c r="A2391" s="12" t="s">
        <v>4950</v>
      </c>
      <c r="B2391" s="13" t="s">
        <v>718</v>
      </c>
      <c r="C2391" s="14" t="s">
        <v>7406</v>
      </c>
      <c r="D2391" s="15">
        <v>41751.713333333333</v>
      </c>
      <c r="E2391" s="16" t="s">
        <v>18</v>
      </c>
      <c r="F2391" s="16" t="s">
        <v>16</v>
      </c>
      <c r="G2391" s="17" t="s">
        <v>885</v>
      </c>
      <c r="H2391" s="17" t="s">
        <v>803</v>
      </c>
      <c r="I2391" s="13" t="s">
        <v>7407</v>
      </c>
      <c r="J2391" s="23" t="str">
        <f>HYPERLINK("CorLog\ZMB\Kabompo RTO\20140422 ZMB Kabompo RTO Utility Building Orientation (ZMB-to-RDC).msg", "Utility Building Orientation")</f>
        <v>Utility Building Orientation</v>
      </c>
      <c r="K2391" s="25" t="s">
        <v>1243</v>
      </c>
      <c r="L2391" s="19"/>
      <c r="M2391" s="20"/>
      <c r="N2391" s="21" t="s">
        <v>7408</v>
      </c>
    </row>
    <row r="2392" spans="1:14">
      <c r="A2392" s="12" t="s">
        <v>718</v>
      </c>
      <c r="B2392" s="13" t="s">
        <v>5413</v>
      </c>
      <c r="C2392" s="14" t="s">
        <v>795</v>
      </c>
      <c r="D2392" s="15">
        <v>41751.667083333334</v>
      </c>
      <c r="E2392" s="16" t="s">
        <v>16</v>
      </c>
      <c r="F2392" s="16" t="s">
        <v>21</v>
      </c>
      <c r="G2392" s="17" t="s">
        <v>790</v>
      </c>
      <c r="H2392" s="17" t="s">
        <v>1489</v>
      </c>
      <c r="I2392" s="13" t="s">
        <v>7409</v>
      </c>
      <c r="J2392" s="23" t="str">
        <f>HYPERLINK("CorLog\GHA\BEX\20140422 GHA BEX Derwent termination points connections, water treatment (RDC-to-GHA).msg", "Derwent termination points connections, water treatment")</f>
        <v>Derwent termination points connections, water treatment</v>
      </c>
      <c r="K2392" s="25" t="s">
        <v>1211</v>
      </c>
      <c r="L2392" s="19"/>
      <c r="M2392" s="20"/>
      <c r="N2392" s="21" t="s">
        <v>7410</v>
      </c>
    </row>
    <row r="2393" spans="1:14">
      <c r="A2393" s="12" t="s">
        <v>718</v>
      </c>
      <c r="B2393" s="13" t="s">
        <v>5413</v>
      </c>
      <c r="C2393" s="14" t="s">
        <v>795</v>
      </c>
      <c r="D2393" s="15">
        <v>41751.667048611111</v>
      </c>
      <c r="E2393" s="16" t="s">
        <v>16</v>
      </c>
      <c r="F2393" s="16" t="s">
        <v>21</v>
      </c>
      <c r="G2393" s="17" t="s">
        <v>790</v>
      </c>
      <c r="H2393" s="17" t="s">
        <v>1489</v>
      </c>
      <c r="I2393" s="13" t="s">
        <v>7411</v>
      </c>
      <c r="J2393" s="23" t="str">
        <f>HYPERLINK("CorLog\GHA\BEX\20140422 GHA BEX Non specified termination point on dwg P-101, water treatment (RDC-to-GHA).msg", "Non specified termination point on dwg P-101, water treatment")</f>
        <v>Non specified termination point on dwg P-101, water treatment</v>
      </c>
      <c r="K2393" s="25" t="s">
        <v>1211</v>
      </c>
      <c r="L2393" s="19"/>
      <c r="M2393" s="20"/>
      <c r="N2393" s="21" t="s">
        <v>7412</v>
      </c>
    </row>
    <row r="2394" spans="1:14">
      <c r="A2394" s="12" t="s">
        <v>718</v>
      </c>
      <c r="B2394" s="13" t="s">
        <v>5455</v>
      </c>
      <c r="C2394" s="14" t="s">
        <v>7406</v>
      </c>
      <c r="D2394" s="15">
        <v>41751.624143518522</v>
      </c>
      <c r="E2394" s="16" t="s">
        <v>16</v>
      </c>
      <c r="F2394" s="16" t="s">
        <v>18</v>
      </c>
      <c r="G2394" s="17" t="s">
        <v>885</v>
      </c>
      <c r="H2394" s="17" t="s">
        <v>803</v>
      </c>
      <c r="I2394" s="13" t="s">
        <v>7407</v>
      </c>
      <c r="J2394" s="23" t="str">
        <f>HYPERLINK("CorLog\ZMB\Kabompo RTO\20140422 ZMB Kabompo RTO Utility Building Orientation (RDC-to-ZMB).msg", "Utility Building Orientation")</f>
        <v>Utility Building Orientation</v>
      </c>
      <c r="K2394" s="25" t="s">
        <v>1243</v>
      </c>
      <c r="L2394" s="19"/>
      <c r="M2394" s="20"/>
      <c r="N2394" s="21" t="s">
        <v>7413</v>
      </c>
    </row>
    <row r="2395" spans="1:14">
      <c r="A2395" s="12" t="s">
        <v>718</v>
      </c>
      <c r="B2395" s="13" t="s">
        <v>5413</v>
      </c>
      <c r="C2395" s="14" t="s">
        <v>7071</v>
      </c>
      <c r="D2395" s="15">
        <v>41751.42696759259</v>
      </c>
      <c r="E2395" s="16" t="s">
        <v>16</v>
      </c>
      <c r="F2395" s="16" t="s">
        <v>21</v>
      </c>
      <c r="G2395" s="17" t="s">
        <v>790</v>
      </c>
      <c r="H2395" s="17" t="s">
        <v>7414</v>
      </c>
      <c r="I2395" s="13" t="s">
        <v>7415</v>
      </c>
      <c r="J2395" s="23" t="str">
        <f>HYPERLINK("CorLog\GHA\BEX\20140422 GHA BEX Manhole EP 12--still needed (RDC-to-GHA).msg", "Manhole EP 12--still needed")</f>
        <v>Manhole EP 12--still needed</v>
      </c>
      <c r="K2395" s="25"/>
      <c r="L2395" s="19"/>
      <c r="M2395" s="20"/>
      <c r="N2395" s="21" t="s">
        <v>7416</v>
      </c>
    </row>
    <row r="2396" spans="1:14">
      <c r="A2396" s="12" t="s">
        <v>718</v>
      </c>
      <c r="B2396" s="13" t="s">
        <v>1866</v>
      </c>
      <c r="C2396" s="14"/>
      <c r="D2396" s="15">
        <v>41751.365219907406</v>
      </c>
      <c r="E2396" s="16" t="s">
        <v>16</v>
      </c>
      <c r="F2396" s="16" t="s">
        <v>16</v>
      </c>
      <c r="G2396" s="17" t="s">
        <v>4606</v>
      </c>
      <c r="H2396" s="17" t="s">
        <v>7417</v>
      </c>
      <c r="I2396" s="13" t="s">
        <v>7418</v>
      </c>
      <c r="J2396" s="23" t="str">
        <f>HYPERLINK("CorLog\COD\BEX\20140422 COD BEX Choral studio project survey package; 2 options (RDC-to-RDC).msg", "Choral studio project survey package; 2 options")</f>
        <v>Choral studio project survey package; 2 options</v>
      </c>
      <c r="K2396" s="25" t="s">
        <v>1482</v>
      </c>
      <c r="L2396" s="19"/>
      <c r="M2396" s="20"/>
      <c r="N2396" s="21" t="s">
        <v>7419</v>
      </c>
    </row>
    <row r="2397" spans="1:14">
      <c r="A2397" s="12" t="s">
        <v>7420</v>
      </c>
      <c r="B2397" s="13"/>
      <c r="C2397" s="14"/>
      <c r="D2397" s="15">
        <v>41751</v>
      </c>
      <c r="E2397" s="16" t="s">
        <v>25</v>
      </c>
      <c r="F2397" s="16" t="s">
        <v>30</v>
      </c>
      <c r="G2397" s="17" t="s">
        <v>30</v>
      </c>
      <c r="H2397" s="17" t="s">
        <v>781</v>
      </c>
      <c r="I2397" s="13" t="s">
        <v>7421</v>
      </c>
      <c r="J2397" s="23" t="str">
        <f>HYPERLINK("CorLog\ALL\20140422 ALL Personnel enrollments for those who work on theocratic construction projects (WHQ-to-ALL).doc", "Personnel enrollments for those who work on theocratic construction projects")</f>
        <v>Personnel enrollments for those who work on theocratic construction projects</v>
      </c>
      <c r="K2397" s="25"/>
      <c r="L2397" s="19"/>
      <c r="M2397" s="20"/>
      <c r="N2397" s="21" t="s">
        <v>7422</v>
      </c>
    </row>
    <row r="2398" spans="1:14">
      <c r="A2398" s="12" t="s">
        <v>718</v>
      </c>
      <c r="B2398" s="13" t="s">
        <v>5413</v>
      </c>
      <c r="C2398" s="14" t="s">
        <v>6796</v>
      </c>
      <c r="D2398" s="15">
        <v>41750.562847222223</v>
      </c>
      <c r="E2398" s="16" t="s">
        <v>16</v>
      </c>
      <c r="F2398" s="16" t="s">
        <v>21</v>
      </c>
      <c r="G2398" s="17" t="s">
        <v>790</v>
      </c>
      <c r="H2398" s="17" t="s">
        <v>7414</v>
      </c>
      <c r="I2398" s="13" t="s">
        <v>7423</v>
      </c>
      <c r="J2398" s="23" t="str">
        <f>HYPERLINK("CorLog\GHA\BEX\20140421 GHA BEX move EP 2 and EP 11 [OKAY] (RDC-to-GHA).msg", "move EP 2 and EP 11 [OKAY]")</f>
        <v>move EP 2 and EP 11 [OKAY]</v>
      </c>
      <c r="K2398" s="25" t="s">
        <v>1211</v>
      </c>
      <c r="L2398" s="19"/>
      <c r="M2398" s="20"/>
      <c r="N2398" s="21" t="s">
        <v>7424</v>
      </c>
    </row>
    <row r="2399" spans="1:14">
      <c r="A2399" s="12" t="s">
        <v>718</v>
      </c>
      <c r="B2399" s="13" t="s">
        <v>5413</v>
      </c>
      <c r="C2399" s="14" t="s">
        <v>7425</v>
      </c>
      <c r="D2399" s="15">
        <v>41750.370810185188</v>
      </c>
      <c r="E2399" s="16" t="s">
        <v>16</v>
      </c>
      <c r="F2399" s="16" t="s">
        <v>21</v>
      </c>
      <c r="G2399" s="17" t="s">
        <v>790</v>
      </c>
      <c r="H2399" s="17" t="s">
        <v>7426</v>
      </c>
      <c r="I2399" s="13" t="s">
        <v>7427</v>
      </c>
      <c r="J2399" s="23" t="str">
        <f>HYPERLINK("CorLog\GHA\BEX\20140421 GHA BEX Residence footings, high water table swale solution [APPROVED] (RDC-to-GHA).msg", "Residence footings, high water table swale solution [APPROVED]")</f>
        <v>Residence footings, high water table swale solution [APPROVED]</v>
      </c>
      <c r="K2399" s="25"/>
      <c r="L2399" s="19" t="s">
        <v>7428</v>
      </c>
      <c r="M2399" s="20"/>
      <c r="N2399" s="21" t="s">
        <v>7429</v>
      </c>
    </row>
    <row r="2400" spans="1:14">
      <c r="A2400" s="12" t="s">
        <v>718</v>
      </c>
      <c r="B2400" s="13" t="s">
        <v>5413</v>
      </c>
      <c r="C2400" s="14" t="s">
        <v>7430</v>
      </c>
      <c r="D2400" s="15">
        <v>41750.357835648145</v>
      </c>
      <c r="E2400" s="16" t="s">
        <v>16</v>
      </c>
      <c r="F2400" s="16" t="s">
        <v>21</v>
      </c>
      <c r="G2400" s="17" t="s">
        <v>790</v>
      </c>
      <c r="H2400" s="17" t="s">
        <v>7426</v>
      </c>
      <c r="I2400" s="13" t="s">
        <v>7431</v>
      </c>
      <c r="J2400" s="23" t="str">
        <f>HYPERLINK("CorLog\GHA\BEX\20140421 GHA BEX Manhole covers for minisub--size (RDC-to-GHA).msg", "Manhole covers for minisub--size")</f>
        <v>Manhole covers for minisub--size</v>
      </c>
      <c r="K2400" s="25"/>
      <c r="L2400" s="19"/>
      <c r="M2400" s="20"/>
      <c r="N2400" s="21" t="s">
        <v>7432</v>
      </c>
    </row>
    <row r="2401" spans="1:14">
      <c r="A2401" s="12" t="s">
        <v>718</v>
      </c>
      <c r="B2401" s="13" t="s">
        <v>737</v>
      </c>
      <c r="C2401" s="14" t="s">
        <v>7433</v>
      </c>
      <c r="D2401" s="15">
        <v>41750.351851851854</v>
      </c>
      <c r="E2401" s="16" t="s">
        <v>16</v>
      </c>
      <c r="F2401" s="16" t="s">
        <v>21</v>
      </c>
      <c r="G2401" s="17" t="s">
        <v>738</v>
      </c>
      <c r="H2401" s="17" t="s">
        <v>1000</v>
      </c>
      <c r="I2401" s="13" t="s">
        <v>7434</v>
      </c>
      <c r="J2401" s="23" t="str">
        <f>HYPERLINK("CorLog\GHA\BEX 2\20140421 GHA BEX 2 Long-term--Paint for facia boards (RDC-to-).msg", "Long-term--Paint for facia boards")</f>
        <v>Long-term--Paint for facia boards</v>
      </c>
      <c r="K2401" s="25"/>
      <c r="L2401" s="19"/>
      <c r="M2401" s="20"/>
      <c r="N2401" s="21" t="s">
        <v>7435</v>
      </c>
    </row>
    <row r="2402" spans="1:14">
      <c r="A2402" s="12" t="s">
        <v>718</v>
      </c>
      <c r="B2402" s="13" t="s">
        <v>750</v>
      </c>
      <c r="C2402" s="14" t="s">
        <v>724</v>
      </c>
      <c r="D2402" s="15">
        <v>41747.685717592591</v>
      </c>
      <c r="E2402" s="16" t="s">
        <v>16</v>
      </c>
      <c r="F2402" s="16" t="s">
        <v>16</v>
      </c>
      <c r="G2402" s="17" t="s">
        <v>738</v>
      </c>
      <c r="H2402" s="17" t="s">
        <v>1000</v>
      </c>
      <c r="I2402" s="13" t="s">
        <v>7436</v>
      </c>
      <c r="J2402" s="23" t="str">
        <f>HYPERLINK("CorLog\GHA\BEX 2\20140418 GHA BEX 2 Allowance for larger apartments, design consultants, way forward (RDC-to-RDC).msg", "Allowance for larger apartments, design consultants, way forward")</f>
        <v>Allowance for larger apartments, design consultants, way forward</v>
      </c>
      <c r="K2402" s="25" t="s">
        <v>1211</v>
      </c>
      <c r="L2402" s="19"/>
      <c r="M2402" s="20"/>
      <c r="N2402" s="21" t="s">
        <v>7437</v>
      </c>
    </row>
    <row r="2403" spans="1:14">
      <c r="A2403" s="12" t="s">
        <v>795</v>
      </c>
      <c r="B2403" s="13" t="s">
        <v>1969</v>
      </c>
      <c r="C2403" s="14" t="s">
        <v>7438</v>
      </c>
      <c r="D2403" s="15">
        <v>41747.355752314812</v>
      </c>
      <c r="E2403" s="16" t="s">
        <v>16</v>
      </c>
      <c r="F2403" s="16" t="s">
        <v>22</v>
      </c>
      <c r="G2403" s="17" t="s">
        <v>2627</v>
      </c>
      <c r="H2403" s="17" t="s">
        <v>1489</v>
      </c>
      <c r="I2403" s="13" t="s">
        <v>7439</v>
      </c>
      <c r="J2403" s="23" t="str">
        <f>HYPERLINK("CorLog\COD\Kamina RTO\20140418 COD Kamina RTO Borehole pump Branch Order 367436 - revised (RDC-to-COD).msg", "Borehole pump Branch Order 367436 - revised")</f>
        <v>Borehole pump Branch Order 367436 - revised</v>
      </c>
      <c r="K2403" s="25" t="s">
        <v>1243</v>
      </c>
      <c r="L2403" s="19" t="s">
        <v>7440</v>
      </c>
      <c r="M2403" s="20"/>
      <c r="N2403" s="21" t="s">
        <v>7441</v>
      </c>
    </row>
    <row r="2404" spans="1:14">
      <c r="A2404" s="12" t="s">
        <v>718</v>
      </c>
      <c r="B2404" s="13" t="s">
        <v>5413</v>
      </c>
      <c r="C2404" s="14" t="s">
        <v>7288</v>
      </c>
      <c r="D2404" s="15">
        <v>41747.33425925926</v>
      </c>
      <c r="E2404" s="16" t="s">
        <v>16</v>
      </c>
      <c r="F2404" s="16" t="s">
        <v>21</v>
      </c>
      <c r="G2404" s="17" t="s">
        <v>790</v>
      </c>
      <c r="H2404" s="17" t="s">
        <v>7426</v>
      </c>
      <c r="I2404" s="13" t="s">
        <v>7442</v>
      </c>
      <c r="J2404" s="23" t="str">
        <f>HYPERLINK("CorLog\GHA\BEX\20140418 GHA BEX Electrical Manhole Size [DOS] (RDC-to-GHA).msg", "Electrical Manhole Size [DOS]")</f>
        <v>Electrical Manhole Size [DOS]</v>
      </c>
      <c r="K2404" s="25" t="s">
        <v>1270</v>
      </c>
      <c r="L2404" s="19"/>
      <c r="M2404" s="20"/>
      <c r="N2404" s="21" t="s">
        <v>7443</v>
      </c>
    </row>
    <row r="2405" spans="1:14">
      <c r="A2405" s="12" t="s">
        <v>3171</v>
      </c>
      <c r="B2405" s="13"/>
      <c r="C2405" s="14"/>
      <c r="D2405" s="15">
        <v>41747</v>
      </c>
      <c r="E2405" s="16" t="s">
        <v>25</v>
      </c>
      <c r="F2405" s="16" t="s">
        <v>30</v>
      </c>
      <c r="G2405" s="17" t="s">
        <v>30</v>
      </c>
      <c r="H2405" s="17" t="s">
        <v>2460</v>
      </c>
      <c r="I2405" s="13" t="s">
        <v>7444</v>
      </c>
      <c r="J2405" s="23" t="str">
        <f>HYPERLINK("CorLog\ALL\20140418 ALL Updated Guidelines on Number of Translation Project Teams (WHQ-to-ALL).doc", "Updated Guidelines on Number of Translation Project Teams")</f>
        <v>Updated Guidelines on Number of Translation Project Teams</v>
      </c>
      <c r="K2405" s="25"/>
      <c r="L2405" s="19" t="s">
        <v>7445</v>
      </c>
      <c r="M2405" s="20"/>
      <c r="N2405" s="21" t="s">
        <v>7446</v>
      </c>
    </row>
    <row r="2406" spans="1:14">
      <c r="A2406" s="12" t="s">
        <v>718</v>
      </c>
      <c r="B2406" s="13" t="s">
        <v>1529</v>
      </c>
      <c r="C2406" s="14" t="s">
        <v>7328</v>
      </c>
      <c r="D2406" s="15">
        <v>41746.705462962964</v>
      </c>
      <c r="E2406" s="16" t="s">
        <v>16</v>
      </c>
      <c r="F2406" s="16" t="s">
        <v>18</v>
      </c>
      <c r="G2406" s="17" t="s">
        <v>946</v>
      </c>
      <c r="H2406" s="17" t="s">
        <v>7447</v>
      </c>
      <c r="I2406" s="13" t="s">
        <v>7448</v>
      </c>
      <c r="J2406" s="23" t="str">
        <f>HYPERLINK("CorLog\ZMB\Mongu RTO\20140417 ZMB Mongu RTO Office building plumbing chase wall width (RDC-to-ZMB).msg", "Office building plumbing chase wall width")</f>
        <v>Office building plumbing chase wall width</v>
      </c>
      <c r="K2406" s="25" t="s">
        <v>1274</v>
      </c>
      <c r="L2406" s="19"/>
      <c r="M2406" s="20"/>
      <c r="N2406" s="21" t="s">
        <v>7449</v>
      </c>
    </row>
    <row r="2407" spans="1:14">
      <c r="A2407" s="12" t="s">
        <v>718</v>
      </c>
      <c r="B2407" s="13" t="s">
        <v>5413</v>
      </c>
      <c r="C2407" s="14" t="s">
        <v>795</v>
      </c>
      <c r="D2407" s="15">
        <v>41746.704085648147</v>
      </c>
      <c r="E2407" s="16" t="s">
        <v>16</v>
      </c>
      <c r="F2407" s="16" t="s">
        <v>21</v>
      </c>
      <c r="G2407" s="17" t="s">
        <v>790</v>
      </c>
      <c r="H2407" s="17" t="s">
        <v>1489</v>
      </c>
      <c r="I2407" s="13" t="s">
        <v>7450</v>
      </c>
      <c r="J2407" s="23" t="str">
        <f>HYPERLINK("CorLog\GHA\BEX\20140417 GHA BEX HDPE gas pipe req NLBR 4159 (RDC-to-GHA).msg", "HDPE gas pipe req NLBR 4159")</f>
        <v>HDPE gas pipe req NLBR 4159</v>
      </c>
      <c r="K2407" s="25"/>
      <c r="L2407" s="19"/>
      <c r="M2407" s="20"/>
      <c r="N2407" s="21" t="s">
        <v>7451</v>
      </c>
    </row>
    <row r="2408" spans="1:14">
      <c r="A2408" s="12" t="s">
        <v>718</v>
      </c>
      <c r="B2408" s="13" t="s">
        <v>771</v>
      </c>
      <c r="C2408" s="14" t="s">
        <v>7452</v>
      </c>
      <c r="D2408" s="15">
        <v>41746.64738425926</v>
      </c>
      <c r="E2408" s="16" t="s">
        <v>16</v>
      </c>
      <c r="F2408" s="16" t="s">
        <v>17</v>
      </c>
      <c r="G2408" s="17" t="s">
        <v>738</v>
      </c>
      <c r="H2408" s="17" t="s">
        <v>1000</v>
      </c>
      <c r="I2408" s="13" t="s">
        <v>7453</v>
      </c>
      <c r="J2408" s="23" t="str">
        <f>HYPERLINK("CorLog\GHA\BEX 2\20140417 GHA BEX 2 Long-term design refinements, way forward (RDC-to-WDC).msg", "Long-term design refinements, way forward")</f>
        <v>Long-term design refinements, way forward</v>
      </c>
      <c r="K2408" s="25"/>
      <c r="L2408" s="19"/>
      <c r="M2408" s="20"/>
      <c r="N2408" s="21" t="s">
        <v>7454</v>
      </c>
    </row>
    <row r="2409" spans="1:14">
      <c r="A2409" s="12" t="s">
        <v>795</v>
      </c>
      <c r="B2409" s="13" t="s">
        <v>3854</v>
      </c>
      <c r="C2409" s="14" t="s">
        <v>7455</v>
      </c>
      <c r="D2409" s="15">
        <v>41746.492951388886</v>
      </c>
      <c r="E2409" s="16" t="s">
        <v>16</v>
      </c>
      <c r="F2409" s="16" t="s">
        <v>26</v>
      </c>
      <c r="G2409" s="17" t="s">
        <v>790</v>
      </c>
      <c r="H2409" s="17" t="s">
        <v>1489</v>
      </c>
      <c r="I2409" s="13" t="s">
        <v>7456</v>
      </c>
      <c r="J2409" s="23" t="str">
        <f>HYPERLINK("CorLog\GHA\BEX\20140417 GHA BEX Water Treatment_Ref 412_Approval Drawings_Drewent_Rev 10 (RDC-to-GBR).msg", "Water Treatment_Ref 412_Approval Drawings_Drewent_Rev 10")</f>
        <v>Water Treatment_Ref 412_Approval Drawings_Drewent_Rev 10</v>
      </c>
      <c r="K2409" s="25" t="s">
        <v>1211</v>
      </c>
      <c r="L2409" s="19" t="s">
        <v>7457</v>
      </c>
      <c r="M2409" s="20"/>
      <c r="N2409" s="21" t="s">
        <v>7458</v>
      </c>
    </row>
    <row r="2410" spans="1:14">
      <c r="A2410" s="12" t="s">
        <v>718</v>
      </c>
      <c r="B2410" s="13" t="s">
        <v>5413</v>
      </c>
      <c r="C2410" s="14" t="s">
        <v>7459</v>
      </c>
      <c r="D2410" s="15">
        <v>41746.415798611109</v>
      </c>
      <c r="E2410" s="16" t="s">
        <v>16</v>
      </c>
      <c r="F2410" s="16" t="s">
        <v>21</v>
      </c>
      <c r="G2410" s="17" t="s">
        <v>790</v>
      </c>
      <c r="H2410" s="17" t="s">
        <v>1489</v>
      </c>
      <c r="I2410" s="13" t="s">
        <v>7460</v>
      </c>
      <c r="J2410" s="23" t="str">
        <f>HYPERLINK("CorLog\GHA\BEX\20140417 GHA BEX HDPE Underground diesel pipe nr genrator house (RDC-to-GHA).msg", "HDPE Underground diesel pipe nr genrator house")</f>
        <v>HDPE Underground diesel pipe nr genrator house</v>
      </c>
      <c r="K2410" s="25"/>
      <c r="L2410" s="19" t="s">
        <v>7461</v>
      </c>
      <c r="M2410" s="20"/>
      <c r="N2410" s="21" t="s">
        <v>7462</v>
      </c>
    </row>
    <row r="2411" spans="1:14">
      <c r="A2411" s="12" t="s">
        <v>4950</v>
      </c>
      <c r="B2411" s="13" t="s">
        <v>972</v>
      </c>
      <c r="C2411" s="14" t="s">
        <v>7463</v>
      </c>
      <c r="D2411" s="15">
        <v>41746.350706018522</v>
      </c>
      <c r="E2411" s="16" t="s">
        <v>18</v>
      </c>
      <c r="F2411" s="16" t="s">
        <v>18</v>
      </c>
      <c r="G2411" s="17" t="s">
        <v>1065</v>
      </c>
      <c r="H2411" s="17" t="s">
        <v>1678</v>
      </c>
      <c r="I2411" s="13" t="s">
        <v>7464</v>
      </c>
      <c r="J2411" s="23" t="str">
        <f>HYPERLINK("CorLog\ZMB\RTO Projects\20140417 ZMB RTO Projects Crush tester (ZMB-to-ZMB).msg", "Crush tester")</f>
        <v>Crush tester</v>
      </c>
      <c r="K2411" s="25" t="s">
        <v>1211</v>
      </c>
      <c r="L2411" s="19"/>
      <c r="M2411" s="20"/>
      <c r="N2411" s="21" t="s">
        <v>7465</v>
      </c>
    </row>
    <row r="2412" spans="1:14">
      <c r="A2412" s="12" t="s">
        <v>718</v>
      </c>
      <c r="B2412" s="13" t="s">
        <v>750</v>
      </c>
      <c r="C2412" s="14"/>
      <c r="D2412" s="15">
        <v>41745.757939814815</v>
      </c>
      <c r="E2412" s="16" t="s">
        <v>16</v>
      </c>
      <c r="F2412" s="16" t="s">
        <v>16</v>
      </c>
      <c r="G2412" s="17" t="s">
        <v>738</v>
      </c>
      <c r="H2412" s="17" t="s">
        <v>3538</v>
      </c>
      <c r="I2412" s="13" t="s">
        <v>7466</v>
      </c>
      <c r="J2412" s="23" t="str">
        <f>HYPERLINK("CorLog\GHA\BEX 2\20140416 GHA BEX 2 'the way forward' (CDP etc) UPDATE (RDC-to-RDC).msg", "'the way forward' (CDP etc) UPDATE")</f>
        <v>'the way forward' (CDP etc) UPDATE</v>
      </c>
      <c r="K2412" s="25"/>
      <c r="L2412" s="19"/>
      <c r="M2412" s="20"/>
      <c r="N2412" s="21" t="s">
        <v>7467</v>
      </c>
    </row>
    <row r="2413" spans="1:14">
      <c r="A2413" s="12" t="s">
        <v>750</v>
      </c>
      <c r="B2413" s="13" t="s">
        <v>5804</v>
      </c>
      <c r="C2413" s="14" t="s">
        <v>718</v>
      </c>
      <c r="D2413" s="15">
        <v>41745.723726851851</v>
      </c>
      <c r="E2413" s="16" t="s">
        <v>16</v>
      </c>
      <c r="F2413" s="16" t="s">
        <v>16</v>
      </c>
      <c r="G2413" s="17" t="s">
        <v>738</v>
      </c>
      <c r="H2413" s="17" t="s">
        <v>3538</v>
      </c>
      <c r="I2413" s="13" t="s">
        <v>7468</v>
      </c>
      <c r="J2413" s="23" t="str">
        <f>HYPERLINK("CorLog\GHA\BEX 2\20140416 GHA BEX 2 Outsource design of just new buildings (ZsJ) (RDC-to-RDC).msg", "Outsource design of just new buildings (ZsJ)")</f>
        <v>Outsource design of just new buildings (ZsJ)</v>
      </c>
      <c r="K2413" s="25"/>
      <c r="L2413" s="19"/>
      <c r="M2413" s="20"/>
      <c r="N2413" s="21" t="s">
        <v>7469</v>
      </c>
    </row>
    <row r="2414" spans="1:14">
      <c r="A2414" s="12" t="s">
        <v>4310</v>
      </c>
      <c r="B2414" s="13" t="s">
        <v>718</v>
      </c>
      <c r="C2414" s="14"/>
      <c r="D2414" s="15">
        <v>41745.617719907408</v>
      </c>
      <c r="E2414" s="16" t="s">
        <v>15</v>
      </c>
      <c r="F2414" s="16" t="s">
        <v>16</v>
      </c>
      <c r="G2414" s="17" t="s">
        <v>30</v>
      </c>
      <c r="H2414" s="17" t="s">
        <v>1426</v>
      </c>
      <c r="I2414" s="13" t="s">
        <v>7470</v>
      </c>
      <c r="J2414" s="23" t="str">
        <f>HYPERLINK("CorLog\ALL\20140416 ALL CE door cylinders (ZAF-to-RDC).msg", "CE door cylinders")</f>
        <v>CE door cylinders</v>
      </c>
      <c r="K2414" s="25"/>
      <c r="L2414" s="19" t="s">
        <v>7471</v>
      </c>
      <c r="M2414" s="20"/>
      <c r="N2414" s="21" t="s">
        <v>7472</v>
      </c>
    </row>
    <row r="2415" spans="1:14">
      <c r="A2415" s="12" t="s">
        <v>718</v>
      </c>
      <c r="B2415" s="13" t="s">
        <v>750</v>
      </c>
      <c r="C2415" s="14"/>
      <c r="D2415" s="15">
        <v>41745.546759259261</v>
      </c>
      <c r="E2415" s="16" t="s">
        <v>16</v>
      </c>
      <c r="F2415" s="16" t="s">
        <v>16</v>
      </c>
      <c r="G2415" s="17" t="s">
        <v>790</v>
      </c>
      <c r="H2415" s="17" t="s">
        <v>7342</v>
      </c>
      <c r="I2415" s="13" t="s">
        <v>7473</v>
      </c>
      <c r="J2415" s="23" t="str">
        <f>HYPERLINK("CorLog\GHA\BEX\20140416 GHA BEX Test pits near football field (RDC-to-RDC).msg", "Test pits near football field")</f>
        <v>Test pits near football field</v>
      </c>
      <c r="K2415" s="25" t="s">
        <v>1626</v>
      </c>
      <c r="L2415" s="19"/>
      <c r="M2415" s="20"/>
      <c r="N2415" s="21" t="s">
        <v>7474</v>
      </c>
    </row>
    <row r="2416" spans="1:14">
      <c r="A2416" s="12" t="s">
        <v>718</v>
      </c>
      <c r="B2416" s="13" t="s">
        <v>1181</v>
      </c>
      <c r="C2416" s="14" t="s">
        <v>723</v>
      </c>
      <c r="D2416" s="15">
        <v>41745.480254629627</v>
      </c>
      <c r="E2416" s="16" t="s">
        <v>16</v>
      </c>
      <c r="F2416" s="16" t="s">
        <v>16</v>
      </c>
      <c r="G2416" s="17" t="s">
        <v>758</v>
      </c>
      <c r="H2416" s="17" t="s">
        <v>1477</v>
      </c>
      <c r="I2416" s="13" t="s">
        <v>7475</v>
      </c>
      <c r="J2416" s="23" t="str">
        <f>HYPERLINK("CorLog\GHA\Viepe RTO\20140416 GHA Viepe RTO amount of water storage [4 x 5000L] (RDC-to-RDC).msg", "amount of water storage [4 x 5000L]")</f>
        <v>amount of water storage [4 x 5000L]</v>
      </c>
      <c r="K2416" s="25"/>
      <c r="L2416" s="19" t="s">
        <v>7476</v>
      </c>
      <c r="M2416" s="20"/>
      <c r="N2416" s="21" t="s">
        <v>7477</v>
      </c>
    </row>
    <row r="2417" spans="1:14">
      <c r="A2417" s="12" t="s">
        <v>972</v>
      </c>
      <c r="B2417" s="13" t="s">
        <v>7478</v>
      </c>
      <c r="C2417" s="14" t="s">
        <v>7479</v>
      </c>
      <c r="D2417" s="15">
        <v>41745.401226851849</v>
      </c>
      <c r="E2417" s="16" t="s">
        <v>18</v>
      </c>
      <c r="F2417" s="16" t="s">
        <v>18</v>
      </c>
      <c r="G2417" s="17" t="s">
        <v>1065</v>
      </c>
      <c r="H2417" s="17" t="s">
        <v>781</v>
      </c>
      <c r="I2417" s="13" t="s">
        <v>7480</v>
      </c>
      <c r="J2417" s="23" t="str">
        <f>HYPERLINK("CorLog\ZMB\RTO Projects\20140416 ZMB RTO Projects Zambia assignment for RTOs (ZMB-to-).msg", "Zambia assignment for RTOs")</f>
        <v>Zambia assignment for RTOs</v>
      </c>
      <c r="K2417" s="25"/>
      <c r="L2417" s="19"/>
      <c r="M2417" s="20"/>
      <c r="N2417" s="21" t="s">
        <v>7481</v>
      </c>
    </row>
    <row r="2418" spans="1:14">
      <c r="A2418" s="12" t="s">
        <v>4950</v>
      </c>
      <c r="B2418" s="13" t="s">
        <v>718</v>
      </c>
      <c r="C2418" s="14" t="s">
        <v>7482</v>
      </c>
      <c r="D2418" s="15">
        <v>41744.690717592595</v>
      </c>
      <c r="E2418" s="16" t="s">
        <v>18</v>
      </c>
      <c r="F2418" s="16" t="s">
        <v>16</v>
      </c>
      <c r="G2418" s="17" t="s">
        <v>885</v>
      </c>
      <c r="H2418" s="17" t="s">
        <v>961</v>
      </c>
      <c r="I2418" s="13" t="s">
        <v>7483</v>
      </c>
      <c r="J2418" s="23" t="str">
        <f>HYPERLINK("CorLog\ZMB\Kabompo RTO\20140415 ZMB Kabompo RTO Surveying elevation discrepency of 81m (ZMB-to-RDC).msg", "Surveying elevation discrepency of 81m")</f>
        <v>Surveying elevation discrepency of 81m</v>
      </c>
      <c r="K2418" s="25"/>
      <c r="L2418" s="19" t="s">
        <v>7484</v>
      </c>
      <c r="M2418" s="20"/>
      <c r="N2418" s="21" t="s">
        <v>7485</v>
      </c>
    </row>
    <row r="2419" spans="1:14">
      <c r="A2419" s="12" t="s">
        <v>4950</v>
      </c>
      <c r="B2419" s="13" t="s">
        <v>718</v>
      </c>
      <c r="C2419" s="14" t="s">
        <v>7486</v>
      </c>
      <c r="D2419" s="15">
        <v>41744.689988425926</v>
      </c>
      <c r="E2419" s="16" t="s">
        <v>18</v>
      </c>
      <c r="F2419" s="16" t="s">
        <v>16</v>
      </c>
      <c r="G2419" s="17" t="s">
        <v>885</v>
      </c>
      <c r="H2419" s="17" t="s">
        <v>2895</v>
      </c>
      <c r="I2419" s="13" t="s">
        <v>7487</v>
      </c>
      <c r="J2419" s="23" t="str">
        <f>HYPERLINK("CorLog\ZMB\Kabompo RTO\20140415 ZMB Kabompo RTO Boundary Wall around trees, let CC decide (ZMB-to-RDC).msg", "Boundary Wall around trees, let CC decide")</f>
        <v>Boundary Wall around trees, let CC decide</v>
      </c>
      <c r="K2419" s="25"/>
      <c r="L2419" s="19"/>
      <c r="M2419" s="20"/>
      <c r="N2419" s="21" t="s">
        <v>7488</v>
      </c>
    </row>
    <row r="2420" spans="1:14">
      <c r="A2420" s="12" t="s">
        <v>4310</v>
      </c>
      <c r="B2420" s="13" t="s">
        <v>718</v>
      </c>
      <c r="C2420" s="14"/>
      <c r="D2420" s="15">
        <v>41744.677210648151</v>
      </c>
      <c r="E2420" s="16" t="s">
        <v>15</v>
      </c>
      <c r="F2420" s="16" t="s">
        <v>16</v>
      </c>
      <c r="G2420" s="17" t="s">
        <v>30</v>
      </c>
      <c r="H2420" s="17" t="s">
        <v>1426</v>
      </c>
      <c r="I2420" s="13" t="s">
        <v>7489</v>
      </c>
      <c r="J2420" s="23" t="str">
        <f>HYPERLINK("CorLog\ALL\20140415 ALL Access control Sensable Sensor contact; DorTag VI (ZAF-to-RDC).msg", "Access control Sensable Sensor contact; DorTag VI")</f>
        <v>Access control Sensable Sensor contact; DorTag VI</v>
      </c>
      <c r="K2420" s="25" t="s">
        <v>1243</v>
      </c>
      <c r="L2420" s="19"/>
      <c r="M2420" s="20"/>
      <c r="N2420" s="21" t="s">
        <v>7490</v>
      </c>
    </row>
    <row r="2421" spans="1:14">
      <c r="A2421" s="12" t="s">
        <v>972</v>
      </c>
      <c r="B2421" s="13" t="s">
        <v>1529</v>
      </c>
      <c r="C2421" s="14" t="s">
        <v>7006</v>
      </c>
      <c r="D2421" s="15">
        <v>41744.545439814814</v>
      </c>
      <c r="E2421" s="16" t="s">
        <v>18</v>
      </c>
      <c r="F2421" s="16" t="s">
        <v>18</v>
      </c>
      <c r="G2421" s="17" t="s">
        <v>885</v>
      </c>
      <c r="H2421" s="17" t="s">
        <v>781</v>
      </c>
      <c r="I2421" s="13" t="s">
        <v>7491</v>
      </c>
      <c r="J2421" s="23" t="str">
        <f>HYPERLINK("CorLog\ZMB\Kabompo RTO\20140415 ZMB ZMB Kabompo RTO Jared's recommendations for preparing new CS (ZMB-to-ZMB).msg", "Jared's recommendations for preparing new CS")</f>
        <v>Jared's recommendations for preparing new CS</v>
      </c>
      <c r="K2421" s="25"/>
      <c r="L2421" s="19"/>
      <c r="M2421" s="20"/>
      <c r="N2421" s="21" t="s">
        <v>7492</v>
      </c>
    </row>
    <row r="2422" spans="1:14">
      <c r="A2422" s="12" t="s">
        <v>2016</v>
      </c>
      <c r="B2422" s="13" t="s">
        <v>718</v>
      </c>
      <c r="C2422" s="14" t="s">
        <v>6487</v>
      </c>
      <c r="D2422" s="15">
        <v>41743.660532407404</v>
      </c>
      <c r="E2422" s="16" t="s">
        <v>16</v>
      </c>
      <c r="F2422" s="16" t="s">
        <v>16</v>
      </c>
      <c r="G2422" s="17" t="s">
        <v>785</v>
      </c>
      <c r="H2422" s="17" t="s">
        <v>2175</v>
      </c>
      <c r="I2422" s="13" t="s">
        <v>7493</v>
      </c>
      <c r="J2422" s="23" t="str">
        <f>HYPERLINK("CorLog\COD\Lubumbashi RTO\20140414 COD Lubumbashi RTO Existing Furniture List (RDC-to-RDC).msg", "Existing Furniture List")</f>
        <v>Existing Furniture List</v>
      </c>
      <c r="K2422" s="25" t="s">
        <v>1243</v>
      </c>
      <c r="L2422" s="19" t="s">
        <v>7494</v>
      </c>
      <c r="M2422" s="20"/>
      <c r="N2422" s="21" t="s">
        <v>7495</v>
      </c>
    </row>
    <row r="2423" spans="1:14">
      <c r="A2423" s="12" t="s">
        <v>750</v>
      </c>
      <c r="B2423" s="13" t="s">
        <v>1761</v>
      </c>
      <c r="C2423" s="14"/>
      <c r="D2423" s="15">
        <v>41743.41134259259</v>
      </c>
      <c r="E2423" s="16" t="s">
        <v>16</v>
      </c>
      <c r="F2423" s="16" t="s">
        <v>16</v>
      </c>
      <c r="G2423" s="17" t="s">
        <v>979</v>
      </c>
      <c r="H2423" s="17" t="s">
        <v>803</v>
      </c>
      <c r="I2423" s="13" t="s">
        <v>7496</v>
      </c>
      <c r="J2423" s="23" t="str">
        <f>HYPERLINK("CorLog\RTO\Projects\20140414 RTO Projects Dwgs for Construction Teams - 'For Estimating' (RDC-to-).msg", "Dwgs for Construction Teams - 'For Estimating'")</f>
        <v>Dwgs for Construction Teams - 'For Estimating'</v>
      </c>
      <c r="K2423" s="25"/>
      <c r="L2423" s="19" t="s">
        <v>7497</v>
      </c>
      <c r="M2423" s="20"/>
      <c r="N2423" s="21" t="s">
        <v>7498</v>
      </c>
    </row>
    <row r="2424" spans="1:14">
      <c r="A2424" s="12" t="s">
        <v>795</v>
      </c>
      <c r="B2424" s="13" t="s">
        <v>718</v>
      </c>
      <c r="C2424" s="14" t="s">
        <v>7499</v>
      </c>
      <c r="D2424" s="15">
        <v>41740.687685185185</v>
      </c>
      <c r="E2424" s="16" t="s">
        <v>16</v>
      </c>
      <c r="F2424" s="16" t="s">
        <v>16</v>
      </c>
      <c r="G2424" s="17" t="s">
        <v>738</v>
      </c>
      <c r="H2424" s="17" t="s">
        <v>7500</v>
      </c>
      <c r="I2424" s="13" t="s">
        <v>7501</v>
      </c>
      <c r="J2424" s="23" t="str">
        <f>HYPERLINK("CorLog\GHA\BEX 2\20140411 GHA BEX 2 How to deal with mold growth in existing rooms [Meeting Minutes] (RDC-to-RDC).msg", "How to deal with mold growth in existing rooms [Meeting Minutes]")</f>
        <v>How to deal with mold growth in existing rooms [Meeting Minutes]</v>
      </c>
      <c r="K2424" s="25" t="s">
        <v>1243</v>
      </c>
      <c r="L2424" s="19" t="s">
        <v>7502</v>
      </c>
      <c r="M2424" s="20"/>
      <c r="N2424" s="21" t="s">
        <v>7503</v>
      </c>
    </row>
    <row r="2425" spans="1:14">
      <c r="A2425" s="12" t="s">
        <v>4950</v>
      </c>
      <c r="B2425" s="13" t="s">
        <v>724</v>
      </c>
      <c r="C2425" s="14" t="s">
        <v>7504</v>
      </c>
      <c r="D2425" s="15">
        <v>41740.648414351854</v>
      </c>
      <c r="E2425" s="16" t="s">
        <v>18</v>
      </c>
      <c r="F2425" s="16" t="s">
        <v>16</v>
      </c>
      <c r="G2425" s="17" t="s">
        <v>885</v>
      </c>
      <c r="H2425" s="17" t="s">
        <v>961</v>
      </c>
      <c r="I2425" s="13" t="s">
        <v>7505</v>
      </c>
      <c r="J2425" s="23" t="str">
        <f>HYPERLINK("CorLog\ZMB\Kabompo RTO\20140411 ZMB Kabompo RTO Surveying elevation off by 80m (ZMB-to-RDC).msg", "Surveying elevation off by 80m")</f>
        <v>Surveying elevation off by 80m</v>
      </c>
      <c r="K2425" s="25" t="s">
        <v>1243</v>
      </c>
      <c r="L2425" s="19"/>
      <c r="M2425" s="20"/>
      <c r="N2425" s="21" t="s">
        <v>7506</v>
      </c>
    </row>
    <row r="2426" spans="1:14">
      <c r="A2426" s="12" t="s">
        <v>718</v>
      </c>
      <c r="B2426" s="13" t="s">
        <v>1529</v>
      </c>
      <c r="C2426" s="14" t="s">
        <v>4286</v>
      </c>
      <c r="D2426" s="15">
        <v>41740.593657407408</v>
      </c>
      <c r="E2426" s="16" t="s">
        <v>16</v>
      </c>
      <c r="F2426" s="16" t="s">
        <v>18</v>
      </c>
      <c r="G2426" s="17" t="s">
        <v>946</v>
      </c>
      <c r="H2426" s="17" t="s">
        <v>1562</v>
      </c>
      <c r="I2426" s="13" t="s">
        <v>7507</v>
      </c>
      <c r="J2426" s="23" t="str">
        <f>HYPERLINK("CorLog\ZMB\Mongu RTO\20140411 ZMB Mongu RTO How to order Mitek Roof Trusses [ANSWER] (RDC-to-ZMB).msg", "How to order Mitek Roof Trusses [ANSWER]")</f>
        <v>How to order Mitek Roof Trusses [ANSWER]</v>
      </c>
      <c r="K2426" s="25"/>
      <c r="L2426" s="19"/>
      <c r="M2426" s="20"/>
      <c r="N2426" s="21" t="s">
        <v>7508</v>
      </c>
    </row>
    <row r="2427" spans="1:14">
      <c r="A2427" s="12" t="s">
        <v>718</v>
      </c>
      <c r="B2427" s="13" t="s">
        <v>1866</v>
      </c>
      <c r="C2427" s="14"/>
      <c r="D2427" s="15">
        <v>41740.470960648148</v>
      </c>
      <c r="E2427" s="16" t="s">
        <v>16</v>
      </c>
      <c r="F2427" s="16" t="s">
        <v>16</v>
      </c>
      <c r="G2427" s="17" t="s">
        <v>790</v>
      </c>
      <c r="H2427" s="17" t="s">
        <v>914</v>
      </c>
      <c r="I2427" s="13" t="s">
        <v>7509</v>
      </c>
      <c r="J2427" s="23" t="str">
        <f>HYPERLINK("CorLog\GHA\BEX\20140411 GHA BEX GHA General Fire Precaution Regulations (RDC-to-RDC).msg", "GHA General Fire Precaution Regulations")</f>
        <v>GHA General Fire Precaution Regulations</v>
      </c>
      <c r="K2427" s="25" t="s">
        <v>2796</v>
      </c>
      <c r="L2427" s="19"/>
      <c r="M2427" s="20"/>
      <c r="N2427" s="21" t="s">
        <v>7510</v>
      </c>
    </row>
    <row r="2428" spans="1:14">
      <c r="A2428" s="12" t="s">
        <v>972</v>
      </c>
      <c r="B2428" s="13" t="s">
        <v>718</v>
      </c>
      <c r="C2428" s="14" t="s">
        <v>4286</v>
      </c>
      <c r="D2428" s="15">
        <v>41740.459965277776</v>
      </c>
      <c r="E2428" s="16" t="s">
        <v>18</v>
      </c>
      <c r="F2428" s="16" t="s">
        <v>16</v>
      </c>
      <c r="G2428" s="17" t="s">
        <v>1065</v>
      </c>
      <c r="H2428" s="17" t="s">
        <v>7311</v>
      </c>
      <c r="I2428" s="13" t="s">
        <v>7511</v>
      </c>
      <c r="J2428" s="23" t="str">
        <f>HYPERLINK("CorLog\ZMB\RTO Projects\20140411 ZMB RTO Projects Publisher Statistics (ZMB-to-RDC).msg", "Publisher Statistics")</f>
        <v>Publisher Statistics</v>
      </c>
      <c r="K2428" s="25" t="s">
        <v>1211</v>
      </c>
      <c r="L2428" s="19"/>
      <c r="M2428" s="20"/>
      <c r="N2428" s="21" t="s">
        <v>7512</v>
      </c>
    </row>
    <row r="2429" spans="1:14">
      <c r="A2429" s="12" t="s">
        <v>1818</v>
      </c>
      <c r="B2429" s="13" t="s">
        <v>718</v>
      </c>
      <c r="C2429" s="14"/>
      <c r="D2429" s="15">
        <v>41740.451331018521</v>
      </c>
      <c r="E2429" s="16" t="s">
        <v>16</v>
      </c>
      <c r="F2429" s="16" t="s">
        <v>16</v>
      </c>
      <c r="G2429" s="17" t="s">
        <v>790</v>
      </c>
      <c r="H2429" s="17" t="s">
        <v>947</v>
      </c>
      <c r="I2429" s="13" t="s">
        <v>7513</v>
      </c>
      <c r="J2429" s="23" t="str">
        <f>HYPERLINK("CorLog\GHA\BEX\20140411 GHA BEX revised water table drainage and civil plans (RDC-to-RDC).msg", "revised water table drainage and civil plans")</f>
        <v>revised water table drainage and civil plans</v>
      </c>
      <c r="K2429" s="25" t="s">
        <v>1274</v>
      </c>
      <c r="L2429" s="19"/>
      <c r="M2429" s="20"/>
      <c r="N2429" s="21" t="s">
        <v>7514</v>
      </c>
    </row>
    <row r="2430" spans="1:14">
      <c r="A2430" s="12" t="s">
        <v>718</v>
      </c>
      <c r="B2430" s="13" t="s">
        <v>5413</v>
      </c>
      <c r="C2430" s="14" t="s">
        <v>7156</v>
      </c>
      <c r="D2430" s="15">
        <v>41740.356076388889</v>
      </c>
      <c r="E2430" s="16" t="s">
        <v>16</v>
      </c>
      <c r="F2430" s="16" t="s">
        <v>21</v>
      </c>
      <c r="G2430" s="17" t="s">
        <v>790</v>
      </c>
      <c r="H2430" s="17" t="s">
        <v>839</v>
      </c>
      <c r="I2430" s="13" t="s">
        <v>7515</v>
      </c>
      <c r="J2430" s="23" t="str">
        <f>HYPERLINK("CorLog\GHA\BEX\20140411 GHA BEX New slopes at Building Platforms Res 3 4 (RDC-to-GHA).msg", "New slopes at Building Platforms Res 3 4")</f>
        <v>New slopes at Building Platforms Res 3 4</v>
      </c>
      <c r="K2430" s="25" t="s">
        <v>1211</v>
      </c>
      <c r="L2430" s="19"/>
      <c r="M2430" s="20"/>
      <c r="N2430" s="21" t="s">
        <v>7516</v>
      </c>
    </row>
    <row r="2431" spans="1:14">
      <c r="A2431" s="12" t="s">
        <v>771</v>
      </c>
      <c r="B2431" s="13" t="s">
        <v>750</v>
      </c>
      <c r="C2431" s="14" t="s">
        <v>7517</v>
      </c>
      <c r="D2431" s="15">
        <v>41740.124918981484</v>
      </c>
      <c r="E2431" s="16" t="s">
        <v>17</v>
      </c>
      <c r="F2431" s="16" t="s">
        <v>16</v>
      </c>
      <c r="G2431" s="17" t="s">
        <v>738</v>
      </c>
      <c r="H2431" s="17" t="s">
        <v>3538</v>
      </c>
      <c r="I2431" s="13" t="s">
        <v>7518</v>
      </c>
      <c r="J2431" s="23" t="str">
        <f>HYPERLINK("CorLog\GHA\BEX 2\20140411 GHA BEX 2 Mtg Minutes; Applying new design principles to GHA Long-term project (WDC-to-RDC).msg", "Mtg Minutes; Applying new design principles to GHA Long-term project")</f>
        <v>Mtg Minutes; Applying new design principles to GHA Long-term project</v>
      </c>
      <c r="K2431" s="25"/>
      <c r="L2431" s="19"/>
      <c r="M2431" s="20"/>
      <c r="N2431" s="21" t="s">
        <v>7519</v>
      </c>
    </row>
    <row r="2432" spans="1:14">
      <c r="A2432" s="12" t="s">
        <v>718</v>
      </c>
      <c r="B2432" s="13" t="s">
        <v>2872</v>
      </c>
      <c r="C2432" s="14" t="s">
        <v>724</v>
      </c>
      <c r="D2432" s="15">
        <v>41739.705868055556</v>
      </c>
      <c r="E2432" s="16" t="s">
        <v>16</v>
      </c>
      <c r="F2432" s="16" t="s">
        <v>17</v>
      </c>
      <c r="G2432" s="17" t="s">
        <v>738</v>
      </c>
      <c r="H2432" s="17" t="s">
        <v>1000</v>
      </c>
      <c r="I2432" s="13" t="s">
        <v>7520</v>
      </c>
      <c r="J2432" s="23" t="str">
        <f>HYPERLINK("CorLog\GHA\BEX 2\20140410 GHA BEX 2 Mtg Minutes Applying new design principles to GHA Long-term project (RDC-to-WDC).msg", "Mtg Minutes Applying new design principles to GHA Long-term project")</f>
        <v>Mtg Minutes Applying new design principles to GHA Long-term project</v>
      </c>
      <c r="K2432" s="25"/>
      <c r="L2432" s="19" t="s">
        <v>6908</v>
      </c>
      <c r="M2432" s="20"/>
      <c r="N2432" s="21" t="s">
        <v>7521</v>
      </c>
    </row>
    <row r="2433" spans="1:14">
      <c r="A2433" s="12" t="s">
        <v>750</v>
      </c>
      <c r="B2433" s="13" t="s">
        <v>1529</v>
      </c>
      <c r="C2433" s="14" t="s">
        <v>7522</v>
      </c>
      <c r="D2433" s="15">
        <v>41739.547071759262</v>
      </c>
      <c r="E2433" s="16" t="s">
        <v>16</v>
      </c>
      <c r="F2433" s="16" t="s">
        <v>18</v>
      </c>
      <c r="G2433" s="17" t="s">
        <v>946</v>
      </c>
      <c r="H2433" s="17" t="s">
        <v>1678</v>
      </c>
      <c r="I2433" s="13" t="s">
        <v>7523</v>
      </c>
      <c r="J2433" s="23" t="str">
        <f>HYPERLINK("CorLog\ZMB\Mongu RTO\20140410 ZMB Mongu RTO Concrete Aggregate SDC13563 - Black white Granite (RDC-to-ZMB).msg", "Concrete Aggregate SDC13563 - Black white Granite")</f>
        <v>Concrete Aggregate SDC13563 - Black white Granite</v>
      </c>
      <c r="K2433" s="25" t="s">
        <v>1211</v>
      </c>
      <c r="L2433" s="19" t="s">
        <v>1895</v>
      </c>
      <c r="M2433" s="20"/>
      <c r="N2433" s="21" t="s">
        <v>7524</v>
      </c>
    </row>
    <row r="2434" spans="1:14">
      <c r="A2434" s="12" t="s">
        <v>842</v>
      </c>
      <c r="B2434" s="13" t="s">
        <v>718</v>
      </c>
      <c r="C2434" s="14" t="s">
        <v>7525</v>
      </c>
      <c r="D2434" s="15">
        <v>41739.43340277778</v>
      </c>
      <c r="E2434" s="16" t="s">
        <v>21</v>
      </c>
      <c r="F2434" s="16" t="s">
        <v>16</v>
      </c>
      <c r="G2434" s="17" t="s">
        <v>758</v>
      </c>
      <c r="H2434" s="17" t="s">
        <v>803</v>
      </c>
      <c r="I2434" s="13" t="s">
        <v>7526</v>
      </c>
      <c r="J2434" s="23" t="str">
        <f>HYPERLINK("CorLog\GHA\Viepe RTO\20140410 GHA Viepe RTO Propoerty owner for drawing title (GHA-to-RDC).msg", "Propoerty owner for drawing title")</f>
        <v>Propoerty owner for drawing title</v>
      </c>
      <c r="K2434" s="25"/>
      <c r="L2434" s="19"/>
      <c r="M2434" s="20"/>
      <c r="N2434" s="21" t="s">
        <v>7527</v>
      </c>
    </row>
    <row r="2435" spans="1:14">
      <c r="A2435" s="12" t="s">
        <v>718</v>
      </c>
      <c r="B2435" s="13" t="s">
        <v>5413</v>
      </c>
      <c r="C2435" s="14" t="s">
        <v>3841</v>
      </c>
      <c r="D2435" s="15">
        <v>41739.331018518518</v>
      </c>
      <c r="E2435" s="16" t="s">
        <v>16</v>
      </c>
      <c r="F2435" s="16" t="s">
        <v>21</v>
      </c>
      <c r="G2435" s="17" t="s">
        <v>790</v>
      </c>
      <c r="H2435" s="17" t="s">
        <v>947</v>
      </c>
      <c r="I2435" s="13" t="s">
        <v>7528</v>
      </c>
      <c r="J2435" s="23" t="str">
        <f>HYPERLINK("CorLog\GHA\BEX\20140410 GHA BEX Pipes for dewatering rainwater [400mm CONCRETE] (RDC-to-GHA).msg", "Pipes for dewatering rainwater [400mm CONCRETE]")</f>
        <v>Pipes for dewatering rainwater [400mm CONCRETE]</v>
      </c>
      <c r="K2435" s="25" t="s">
        <v>1211</v>
      </c>
      <c r="L2435" s="19"/>
      <c r="M2435" s="20"/>
      <c r="N2435" s="21" t="s">
        <v>7529</v>
      </c>
    </row>
    <row r="2436" spans="1:14">
      <c r="A2436" s="12" t="s">
        <v>718</v>
      </c>
      <c r="B2436" s="13" t="s">
        <v>5413</v>
      </c>
      <c r="C2436" s="14" t="s">
        <v>3841</v>
      </c>
      <c r="D2436" s="15">
        <v>41739.330081018517</v>
      </c>
      <c r="E2436" s="16" t="s">
        <v>16</v>
      </c>
      <c r="F2436" s="16" t="s">
        <v>21</v>
      </c>
      <c r="G2436" s="17" t="s">
        <v>790</v>
      </c>
      <c r="H2436" s="17" t="s">
        <v>839</v>
      </c>
      <c r="I2436" s="13" t="s">
        <v>7530</v>
      </c>
      <c r="J2436" s="23" t="str">
        <f>HYPERLINK("CorLog\GHA\BEX\20140410 GHA BEX New slopes at Building Platforms Res 3 &amp; 4 [APPROVED] (RDC-to-GHA).msg", "New slopes at Building Platforms Res 3 &amp; 4 [APPROVED]")</f>
        <v>New slopes at Building Platforms Res 3 &amp; 4 [APPROVED]</v>
      </c>
      <c r="K2436" s="25"/>
      <c r="L2436" s="19"/>
      <c r="M2436" s="20"/>
      <c r="N2436" s="21" t="s">
        <v>7531</v>
      </c>
    </row>
    <row r="2437" spans="1:14">
      <c r="A2437" s="12" t="s">
        <v>4310</v>
      </c>
      <c r="B2437" s="13" t="s">
        <v>5970</v>
      </c>
      <c r="C2437" s="14"/>
      <c r="D2437" s="15">
        <v>41738.664317129631</v>
      </c>
      <c r="E2437" s="16" t="s">
        <v>15</v>
      </c>
      <c r="F2437" s="16" t="s">
        <v>16</v>
      </c>
      <c r="G2437" s="17" t="s">
        <v>30</v>
      </c>
      <c r="H2437" s="17" t="s">
        <v>1426</v>
      </c>
      <c r="I2437" s="13" t="s">
        <v>7532</v>
      </c>
      <c r="J2437" s="23" t="str">
        <f>HYPERLINK("Research\Master Key Systems\Access Control Systems20140409 ALL Centurion Access Control Options (ZAF-to-RDC).msg", "Centurion Access Control Options")</f>
        <v>Centurion Access Control Options</v>
      </c>
      <c r="K2437" s="25" t="s">
        <v>5137</v>
      </c>
      <c r="L2437" s="19"/>
      <c r="M2437" s="20"/>
      <c r="N2437" s="21" t="s">
        <v>7533</v>
      </c>
    </row>
    <row r="2438" spans="1:14">
      <c r="A2438" s="12" t="s">
        <v>718</v>
      </c>
      <c r="B2438" s="13" t="s">
        <v>750</v>
      </c>
      <c r="C2438" s="14" t="s">
        <v>4286</v>
      </c>
      <c r="D2438" s="15">
        <v>41738.641122685185</v>
      </c>
      <c r="E2438" s="16" t="s">
        <v>16</v>
      </c>
      <c r="F2438" s="16" t="s">
        <v>16</v>
      </c>
      <c r="G2438" s="17" t="s">
        <v>730</v>
      </c>
      <c r="H2438" s="17" t="s">
        <v>774</v>
      </c>
      <c r="I2438" s="13" t="s">
        <v>7534</v>
      </c>
      <c r="J2438" s="23" t="str">
        <f>HYPERLINK("CorLog\GHA\Baatsona SKE\20140409 GHA Baatsona SKE draft conceptual review memo ZAF442122 (RDC-to-RDC).msg", "draft conceptual review memo ZAF442122")</f>
        <v>draft conceptual review memo ZAF442122</v>
      </c>
      <c r="K2438" s="25" t="s">
        <v>1274</v>
      </c>
      <c r="L2438" s="19"/>
      <c r="M2438" s="20"/>
      <c r="N2438" s="21" t="s">
        <v>7535</v>
      </c>
    </row>
    <row r="2439" spans="1:14">
      <c r="A2439" s="12" t="s">
        <v>827</v>
      </c>
      <c r="B2439" s="13" t="s">
        <v>718</v>
      </c>
      <c r="C2439" s="14" t="s">
        <v>5413</v>
      </c>
      <c r="D2439" s="15">
        <v>41738.56627314815</v>
      </c>
      <c r="E2439" s="16" t="s">
        <v>21</v>
      </c>
      <c r="F2439" s="16" t="s">
        <v>16</v>
      </c>
      <c r="G2439" s="17" t="s">
        <v>790</v>
      </c>
      <c r="H2439" s="17" t="s">
        <v>6782</v>
      </c>
      <c r="I2439" s="13" t="s">
        <v>7536</v>
      </c>
      <c r="J2439" s="23" t="str">
        <f>HYPERLINK("CorLog\GHA\BEX\20140409 GHA BEX Burglar Bars for windows type A, B and C (GHA-to-RDC).msg", "Burglar Bars for windows type A, B and C")</f>
        <v>Burglar Bars for windows type A, B and C</v>
      </c>
      <c r="K2439" s="25" t="s">
        <v>1211</v>
      </c>
      <c r="L2439" s="19" t="s">
        <v>7537</v>
      </c>
      <c r="M2439" s="20"/>
      <c r="N2439" s="21" t="s">
        <v>7538</v>
      </c>
    </row>
    <row r="2440" spans="1:14">
      <c r="A2440" s="12" t="s">
        <v>718</v>
      </c>
      <c r="B2440" s="13" t="s">
        <v>1529</v>
      </c>
      <c r="C2440" s="14" t="s">
        <v>7539</v>
      </c>
      <c r="D2440" s="15">
        <v>41738.491099537037</v>
      </c>
      <c r="E2440" s="16" t="s">
        <v>16</v>
      </c>
      <c r="F2440" s="16" t="s">
        <v>18</v>
      </c>
      <c r="G2440" s="17" t="s">
        <v>946</v>
      </c>
      <c r="H2440" s="17" t="s">
        <v>1489</v>
      </c>
      <c r="I2440" s="13" t="s">
        <v>7540</v>
      </c>
      <c r="J2440" s="23" t="str">
        <f>HYPERLINK("CorLog\ZMB\Mongu RTO\20140409 ZMB Mongu RTO location of Bore Hole (RDC-to-ZMB).msg", "location of Bore Hole")</f>
        <v>location of Bore Hole</v>
      </c>
      <c r="K2440" s="25" t="s">
        <v>1211</v>
      </c>
      <c r="L2440" s="19"/>
      <c r="M2440" s="20"/>
      <c r="N2440" s="21" t="s">
        <v>7541</v>
      </c>
    </row>
    <row r="2441" spans="1:14">
      <c r="A2441" s="12" t="s">
        <v>718</v>
      </c>
      <c r="B2441" s="13" t="s">
        <v>5413</v>
      </c>
      <c r="C2441" s="14" t="s">
        <v>795</v>
      </c>
      <c r="D2441" s="15">
        <v>41738.338935185187</v>
      </c>
      <c r="E2441" s="16" t="s">
        <v>16</v>
      </c>
      <c r="F2441" s="16" t="s">
        <v>21</v>
      </c>
      <c r="G2441" s="17" t="s">
        <v>790</v>
      </c>
      <c r="H2441" s="17" t="s">
        <v>7542</v>
      </c>
      <c r="I2441" s="13" t="s">
        <v>7543</v>
      </c>
      <c r="J2441" s="23" t="str">
        <f>HYPERLINK("CorLog\GHA\BEX\20140409 GHA BEX HDPE Gas line minimum depth [Norm = 1m] (RDC-to-GHA).msg", "HDPE Gas line minimum depth [Norm = 1m]")</f>
        <v>HDPE Gas line minimum depth [Norm = 1m]</v>
      </c>
      <c r="K2441" s="25" t="s">
        <v>1211</v>
      </c>
      <c r="L2441" s="19"/>
      <c r="M2441" s="20"/>
      <c r="N2441" s="21" t="s">
        <v>7544</v>
      </c>
    </row>
    <row r="2442" spans="1:14">
      <c r="A2442" s="12" t="s">
        <v>6487</v>
      </c>
      <c r="B2442" s="13" t="s">
        <v>718</v>
      </c>
      <c r="C2442" s="14"/>
      <c r="D2442" s="15">
        <v>41737.834143518521</v>
      </c>
      <c r="E2442" s="16" t="s">
        <v>22</v>
      </c>
      <c r="F2442" s="16" t="s">
        <v>16</v>
      </c>
      <c r="G2442" s="17" t="s">
        <v>785</v>
      </c>
      <c r="H2442" s="17" t="s">
        <v>839</v>
      </c>
      <c r="I2442" s="13" t="s">
        <v>7545</v>
      </c>
      <c r="J2442" s="23" t="str">
        <f>HYPERLINK("CorLog\COD\Lubumbashi RTO\20140408 COD Lubumbashi RTO Trial Pit Tests (COD-to-RDC).msg", "Trial Pit Tests")</f>
        <v>Trial Pit Tests</v>
      </c>
      <c r="K2442" s="25" t="s">
        <v>1270</v>
      </c>
      <c r="L2442" s="19"/>
      <c r="M2442" s="20"/>
      <c r="N2442" s="21" t="s">
        <v>7546</v>
      </c>
    </row>
    <row r="2443" spans="1:14">
      <c r="A2443" s="12" t="s">
        <v>723</v>
      </c>
      <c r="B2443" s="13" t="s">
        <v>718</v>
      </c>
      <c r="C2443" s="14" t="s">
        <v>5072</v>
      </c>
      <c r="D2443" s="15">
        <v>41737.740798611114</v>
      </c>
      <c r="E2443" s="16" t="s">
        <v>16</v>
      </c>
      <c r="F2443" s="16" t="s">
        <v>16</v>
      </c>
      <c r="G2443" s="17" t="s">
        <v>790</v>
      </c>
      <c r="H2443" s="17" t="s">
        <v>2460</v>
      </c>
      <c r="I2443" s="13" t="s">
        <v>7547</v>
      </c>
      <c r="J2443" s="23" t="str">
        <f>HYPERLINK("CorLog\GHA\BEX\20140408 GHA BEX Long-term overview and scope (RDC-to-RDC).msg", "Long-term overview and scope")</f>
        <v>Long-term overview and scope</v>
      </c>
      <c r="K2443" s="25"/>
      <c r="L2443" s="19" t="s">
        <v>7548</v>
      </c>
      <c r="M2443" s="20"/>
      <c r="N2443" s="21" t="s">
        <v>7549</v>
      </c>
    </row>
    <row r="2444" spans="1:14">
      <c r="A2444" s="12" t="s">
        <v>718</v>
      </c>
      <c r="B2444" s="13" t="s">
        <v>771</v>
      </c>
      <c r="C2444" s="14" t="s">
        <v>3841</v>
      </c>
      <c r="D2444" s="15">
        <v>41737.706631944442</v>
      </c>
      <c r="E2444" s="16" t="s">
        <v>16</v>
      </c>
      <c r="F2444" s="16" t="s">
        <v>17</v>
      </c>
      <c r="G2444" s="17" t="s">
        <v>738</v>
      </c>
      <c r="H2444" s="17" t="s">
        <v>1000</v>
      </c>
      <c r="I2444" s="13" t="s">
        <v>7547</v>
      </c>
      <c r="J2444" s="23" t="str">
        <f>HYPERLINK("CorLog\GHA\BEX 2\20140408 GHA BEX 2 Long-term overview and scope (RDC-to-WDC).msg", "Long-term overview and scope")</f>
        <v>Long-term overview and scope</v>
      </c>
      <c r="K2444" s="25"/>
      <c r="L2444" s="19"/>
      <c r="M2444" s="20"/>
      <c r="N2444" s="21" t="s">
        <v>7550</v>
      </c>
    </row>
    <row r="2445" spans="1:14">
      <c r="A2445" s="12" t="s">
        <v>750</v>
      </c>
      <c r="B2445" s="13" t="s">
        <v>4950</v>
      </c>
      <c r="C2445" s="14" t="s">
        <v>7551</v>
      </c>
      <c r="D2445" s="15">
        <v>41737.628877314812</v>
      </c>
      <c r="E2445" s="16" t="s">
        <v>16</v>
      </c>
      <c r="F2445" s="16" t="s">
        <v>18</v>
      </c>
      <c r="G2445" s="17" t="s">
        <v>885</v>
      </c>
      <c r="H2445" s="17" t="s">
        <v>839</v>
      </c>
      <c r="I2445" s="13" t="s">
        <v>7552</v>
      </c>
      <c r="J2445" s="23" t="str">
        <f>HYPERLINK("CorLog\ZMB\Kabompo RTO\20140408 ZMB Kabompo RTO Tree holes BACKFILL (RDC-to-ZMB).msg", "Tree holes BACKFILL")</f>
        <v>Tree holes BACKFILL</v>
      </c>
      <c r="K2445" s="25" t="s">
        <v>1243</v>
      </c>
      <c r="L2445" s="19"/>
      <c r="M2445" s="20"/>
      <c r="N2445" s="21" t="s">
        <v>7553</v>
      </c>
    </row>
    <row r="2446" spans="1:14">
      <c r="A2446" s="12" t="s">
        <v>718</v>
      </c>
      <c r="B2446" s="13" t="s">
        <v>771</v>
      </c>
      <c r="C2446" s="14" t="s">
        <v>3841</v>
      </c>
      <c r="D2446" s="15">
        <v>41737.592581018522</v>
      </c>
      <c r="E2446" s="16" t="s">
        <v>16</v>
      </c>
      <c r="F2446" s="16" t="s">
        <v>17</v>
      </c>
      <c r="G2446" s="17" t="s">
        <v>738</v>
      </c>
      <c r="H2446" s="17" t="s">
        <v>1000</v>
      </c>
      <c r="I2446" s="13" t="s">
        <v>7547</v>
      </c>
      <c r="J2446" s="23" t="str">
        <f>HYPERLINK("CorLog\GHA\BEX 2\20140408 GHA BEX 2 Long-term overview and scope (RDC-to-WDC).msg", "Long-term overview and scope")</f>
        <v>Long-term overview and scope</v>
      </c>
      <c r="K2446" s="25" t="s">
        <v>1211</v>
      </c>
      <c r="L2446" s="19"/>
      <c r="M2446" s="20"/>
      <c r="N2446" s="21" t="s">
        <v>7554</v>
      </c>
    </row>
    <row r="2447" spans="1:14">
      <c r="A2447" s="12" t="s">
        <v>718</v>
      </c>
      <c r="B2447" s="13" t="s">
        <v>5413</v>
      </c>
      <c r="C2447" s="14" t="s">
        <v>3841</v>
      </c>
      <c r="D2447" s="15">
        <v>41736.712604166663</v>
      </c>
      <c r="E2447" s="16" t="s">
        <v>16</v>
      </c>
      <c r="F2447" s="16" t="s">
        <v>21</v>
      </c>
      <c r="G2447" s="17" t="s">
        <v>790</v>
      </c>
      <c r="H2447" s="17" t="s">
        <v>7342</v>
      </c>
      <c r="I2447" s="13" t="s">
        <v>7555</v>
      </c>
      <c r="J2447" s="23" t="str">
        <f>HYPERLINK("CorLog\GHA\BEX\20140407 GHA BEX DCP Results From The New Water Treatment House [SOLUTION] (RDC-to-GHA).msg", "DCP Results From The New Water Treatment House [SOLUTION]")</f>
        <v>DCP Results From The New Water Treatment House [SOLUTION]</v>
      </c>
      <c r="K2447" s="25" t="s">
        <v>1211</v>
      </c>
      <c r="L2447" s="19"/>
      <c r="M2447" s="20"/>
      <c r="N2447" s="21" t="s">
        <v>7556</v>
      </c>
    </row>
    <row r="2448" spans="1:14">
      <c r="A2448" s="12" t="s">
        <v>718</v>
      </c>
      <c r="B2448" s="13" t="s">
        <v>1529</v>
      </c>
      <c r="C2448" s="14" t="s">
        <v>7557</v>
      </c>
      <c r="D2448" s="15">
        <v>41736.564456018517</v>
      </c>
      <c r="E2448" s="16" t="s">
        <v>16</v>
      </c>
      <c r="F2448" s="16" t="s">
        <v>18</v>
      </c>
      <c r="G2448" s="17" t="s">
        <v>946</v>
      </c>
      <c r="H2448" s="17" t="s">
        <v>2223</v>
      </c>
      <c r="I2448" s="13" t="s">
        <v>7558</v>
      </c>
      <c r="J2448" s="23" t="str">
        <f>HYPERLINK("CorLog\ZMB\Mongu RTO\20140407 ZMB Mongu RTO S-101 Y10 bar count [6 pcs] (RDC-to-ZMB).msg", "S-101 Y10 bar count [6 pcs]")</f>
        <v>S-101 Y10 bar count [6 pcs]</v>
      </c>
      <c r="K2448" s="25" t="s">
        <v>1211</v>
      </c>
      <c r="L2448" s="19"/>
      <c r="M2448" s="20"/>
      <c r="N2448" s="21" t="s">
        <v>7559</v>
      </c>
    </row>
    <row r="2449" spans="1:14">
      <c r="A2449" s="12" t="s">
        <v>750</v>
      </c>
      <c r="B2449" s="13" t="s">
        <v>718</v>
      </c>
      <c r="C2449" s="14"/>
      <c r="D2449" s="15">
        <v>41733.563101851854</v>
      </c>
      <c r="E2449" s="16" t="s">
        <v>16</v>
      </c>
      <c r="F2449" s="16" t="s">
        <v>16</v>
      </c>
      <c r="G2449" s="17" t="s">
        <v>790</v>
      </c>
      <c r="H2449" s="17" t="s">
        <v>803</v>
      </c>
      <c r="I2449" s="13" t="s">
        <v>7560</v>
      </c>
      <c r="J2449" s="23" t="str">
        <f>HYPERLINK("CorLog\GHA\BEX\20140404 GHA BEX Orientation of Generators in Utility building (RDC-to-RDC).msg", "Orientation of Generators in Utility building")</f>
        <v>Orientation of Generators in Utility building</v>
      </c>
      <c r="K2449" s="25" t="s">
        <v>1243</v>
      </c>
      <c r="L2449" s="19"/>
      <c r="M2449" s="20"/>
      <c r="N2449" s="21" t="s">
        <v>7561</v>
      </c>
    </row>
    <row r="2450" spans="1:14">
      <c r="A2450" s="12" t="s">
        <v>724</v>
      </c>
      <c r="B2450" s="13" t="s">
        <v>1529</v>
      </c>
      <c r="C2450" s="14" t="s">
        <v>7562</v>
      </c>
      <c r="D2450" s="15">
        <v>41733.474236111113</v>
      </c>
      <c r="E2450" s="16" t="s">
        <v>16</v>
      </c>
      <c r="F2450" s="16" t="s">
        <v>18</v>
      </c>
      <c r="G2450" s="17" t="s">
        <v>946</v>
      </c>
      <c r="H2450" s="17" t="s">
        <v>867</v>
      </c>
      <c r="I2450" s="13" t="s">
        <v>7563</v>
      </c>
      <c r="J2450" s="23" t="str">
        <f>HYPERLINK("CorLog\ZMB\Mongu RTO\20140404 ZMB Mongu RTO Retining Wall - Additonal Costs no AO-7 needed (RDC-to-ZMB).msg", "Retining Wall - Additonal Costs no AO-7 needed")</f>
        <v>Retining Wall - Additonal Costs no AO-7 needed</v>
      </c>
      <c r="K2450" s="25"/>
      <c r="L2450" s="19"/>
      <c r="M2450" s="20"/>
      <c r="N2450" s="21" t="s">
        <v>7564</v>
      </c>
    </row>
    <row r="2451" spans="1:14">
      <c r="A2451" s="12" t="s">
        <v>5713</v>
      </c>
      <c r="B2451" s="13" t="s">
        <v>827</v>
      </c>
      <c r="C2451" s="14" t="s">
        <v>7565</v>
      </c>
      <c r="D2451" s="15">
        <v>41733.363159722219</v>
      </c>
      <c r="E2451" s="16" t="s">
        <v>15</v>
      </c>
      <c r="F2451" s="16" t="s">
        <v>21</v>
      </c>
      <c r="G2451" s="17" t="s">
        <v>790</v>
      </c>
      <c r="H2451" s="17" t="s">
        <v>871</v>
      </c>
      <c r="I2451" s="13" t="s">
        <v>7566</v>
      </c>
      <c r="J2451" s="23" t="str">
        <f>HYPERLINK("CorLog\GHA\BEX\20140404 GHA BEX Request for Quote - Metal Structures for Utility Bldg (ZAF-to-GHA).msg", "Request for Quote - Metal Structures for Utility Bldg")</f>
        <v>Request for Quote - Metal Structures for Utility Bldg</v>
      </c>
      <c r="K2451" s="25"/>
      <c r="L2451" s="19"/>
      <c r="M2451" s="20"/>
      <c r="N2451" s="21" t="s">
        <v>7567</v>
      </c>
    </row>
    <row r="2452" spans="1:14">
      <c r="A2452" s="12" t="s">
        <v>718</v>
      </c>
      <c r="B2452" s="13" t="s">
        <v>5413</v>
      </c>
      <c r="C2452" s="14" t="s">
        <v>7156</v>
      </c>
      <c r="D2452" s="15">
        <v>41733.351539351854</v>
      </c>
      <c r="E2452" s="16" t="s">
        <v>16</v>
      </c>
      <c r="F2452" s="16" t="s">
        <v>21</v>
      </c>
      <c r="G2452" s="17" t="s">
        <v>790</v>
      </c>
      <c r="H2452" s="17" t="s">
        <v>854</v>
      </c>
      <c r="I2452" s="13" t="s">
        <v>7568</v>
      </c>
      <c r="J2452" s="23" t="str">
        <f>HYPERLINK("CorLog\GHA\BEX\20140404 GHA BEX Rebar for brickforce OKAY (RDC-to-GHA).msg", "Rebar for brickforce OKAY")</f>
        <v>Rebar for brickforce OKAY</v>
      </c>
      <c r="K2452" s="25" t="s">
        <v>1243</v>
      </c>
      <c r="L2452" s="19"/>
      <c r="M2452" s="20"/>
      <c r="N2452" s="21" t="s">
        <v>7569</v>
      </c>
    </row>
    <row r="2453" spans="1:14">
      <c r="A2453" s="12" t="s">
        <v>718</v>
      </c>
      <c r="B2453" s="13" t="s">
        <v>972</v>
      </c>
      <c r="C2453" s="14" t="s">
        <v>7570</v>
      </c>
      <c r="D2453" s="15">
        <v>41732.685277777775</v>
      </c>
      <c r="E2453" s="16" t="s">
        <v>16</v>
      </c>
      <c r="F2453" s="16" t="s">
        <v>18</v>
      </c>
      <c r="G2453" s="17" t="s">
        <v>885</v>
      </c>
      <c r="H2453" s="17" t="s">
        <v>803</v>
      </c>
      <c r="I2453" s="13" t="s">
        <v>7571</v>
      </c>
      <c r="J2453" s="23" t="str">
        <f>HYPERLINK("CorLog\ZMB\Kabompo RTO\20140403 ZMB Kabompo RTO filing drawings for Kabompo and Mongu (RDC-to-ZMB).msg", "filing drawings for Kabompo and Mongu")</f>
        <v>filing drawings for Kabompo and Mongu</v>
      </c>
      <c r="K2453" s="25" t="s">
        <v>1243</v>
      </c>
      <c r="L2453" s="19"/>
      <c r="M2453" s="20"/>
      <c r="N2453" s="21" t="s">
        <v>7572</v>
      </c>
    </row>
    <row r="2454" spans="1:14">
      <c r="A2454" s="12" t="s">
        <v>718</v>
      </c>
      <c r="B2454" s="13" t="s">
        <v>750</v>
      </c>
      <c r="C2454" s="14" t="s">
        <v>7573</v>
      </c>
      <c r="D2454" s="15">
        <v>41732.636828703704</v>
      </c>
      <c r="E2454" s="16" t="s">
        <v>16</v>
      </c>
      <c r="F2454" s="16" t="s">
        <v>16</v>
      </c>
      <c r="G2454" s="17" t="s">
        <v>738</v>
      </c>
      <c r="H2454" s="17" t="s">
        <v>1000</v>
      </c>
      <c r="I2454" s="13" t="s">
        <v>7574</v>
      </c>
      <c r="J2454" s="23" t="str">
        <f>HYPERLINK("CorLog\GHA\BEX 2\20140403 GHA BEX 2 MTG Minutes Ideas from John Dovey about GHA Long-term plans (RDC-to-RDC).msg", "MTG Minutes Ideas from John Dovey about GHA Long-term plans")</f>
        <v>MTG Minutes Ideas from John Dovey about GHA Long-term plans</v>
      </c>
      <c r="K2454" s="25"/>
      <c r="L2454" s="19" t="s">
        <v>7575</v>
      </c>
      <c r="M2454" s="20"/>
      <c r="N2454" s="21" t="s">
        <v>7576</v>
      </c>
    </row>
    <row r="2455" spans="1:14">
      <c r="A2455" s="12" t="s">
        <v>1052</v>
      </c>
      <c r="B2455" s="13" t="s">
        <v>750</v>
      </c>
      <c r="C2455" s="14"/>
      <c r="D2455" s="15">
        <v>41731.828553240739</v>
      </c>
      <c r="E2455" s="16" t="s">
        <v>17</v>
      </c>
      <c r="F2455" s="16" t="s">
        <v>16</v>
      </c>
      <c r="G2455" s="17" t="s">
        <v>738</v>
      </c>
      <c r="H2455" s="17" t="s">
        <v>1000</v>
      </c>
      <c r="I2455" s="13" t="s">
        <v>7577</v>
      </c>
      <c r="J2455" s="23" t="str">
        <f>HYPERLINK("CorLog\GHA\BEX 2\20140402 GHA BEX 2 Ghana Project Work Group Meeting Minutes (WDC-to-RDC).msg", "Ghana Project Work Group Meeting Minutes")</f>
        <v>Ghana Project Work Group Meeting Minutes</v>
      </c>
      <c r="K2455" s="25" t="s">
        <v>1211</v>
      </c>
      <c r="L2455" s="19" t="s">
        <v>7575</v>
      </c>
      <c r="M2455" s="20"/>
      <c r="N2455" s="21" t="s">
        <v>7578</v>
      </c>
    </row>
    <row r="2456" spans="1:14">
      <c r="A2456" s="12" t="s">
        <v>718</v>
      </c>
      <c r="B2456" s="13" t="s">
        <v>4367</v>
      </c>
      <c r="C2456" s="14" t="s">
        <v>7579</v>
      </c>
      <c r="D2456" s="15">
        <v>41731.68109953704</v>
      </c>
      <c r="E2456" s="16" t="s">
        <v>16</v>
      </c>
      <c r="F2456" s="16" t="s">
        <v>22</v>
      </c>
      <c r="G2456" s="17" t="s">
        <v>4606</v>
      </c>
      <c r="H2456" s="17" t="s">
        <v>1707</v>
      </c>
      <c r="I2456" s="13" t="s">
        <v>7580</v>
      </c>
      <c r="J2456" s="23" t="str">
        <f>HYPERLINK("CorLog\COD\BEX\20140402 COD BEX Choral Studio preliminary spatial layout proposals (RDC-to-).msg", "Choral Studio preliminary spatial layout proposals")</f>
        <v>Choral Studio preliminary spatial layout proposals</v>
      </c>
      <c r="K2456" s="25" t="s">
        <v>1243</v>
      </c>
      <c r="L2456" s="19" t="s">
        <v>7581</v>
      </c>
      <c r="M2456" s="20"/>
      <c r="N2456" s="21" t="s">
        <v>7582</v>
      </c>
    </row>
    <row r="2457" spans="1:14">
      <c r="A2457" s="12" t="s">
        <v>718</v>
      </c>
      <c r="B2457" s="13" t="s">
        <v>5413</v>
      </c>
      <c r="C2457" s="14" t="s">
        <v>795</v>
      </c>
      <c r="D2457" s="15">
        <v>41731.618287037039</v>
      </c>
      <c r="E2457" s="16" t="s">
        <v>16</v>
      </c>
      <c r="F2457" s="16" t="s">
        <v>21</v>
      </c>
      <c r="G2457" s="17" t="s">
        <v>790</v>
      </c>
      <c r="H2457" s="17" t="s">
        <v>1489</v>
      </c>
      <c r="I2457" s="13" t="s">
        <v>7583</v>
      </c>
      <c r="J2457" s="23" t="str">
        <f>HYPERLINK("CorLog\GHA\BEX\20140402 GHA BEX C-106 2 questions answered (RDC-to-GHA).msg", "C-106 2 questions answered")</f>
        <v>C-106 2 questions answered</v>
      </c>
      <c r="K2457" s="25"/>
      <c r="L2457" s="19"/>
      <c r="M2457" s="20"/>
      <c r="N2457" s="21" t="s">
        <v>7584</v>
      </c>
    </row>
    <row r="2458" spans="1:14">
      <c r="A2458" s="12" t="s">
        <v>718</v>
      </c>
      <c r="B2458" s="13" t="s">
        <v>5413</v>
      </c>
      <c r="C2458" s="14" t="s">
        <v>7156</v>
      </c>
      <c r="D2458" s="15">
        <v>41731.616585648146</v>
      </c>
      <c r="E2458" s="16" t="s">
        <v>16</v>
      </c>
      <c r="F2458" s="16" t="s">
        <v>21</v>
      </c>
      <c r="G2458" s="17" t="s">
        <v>790</v>
      </c>
      <c r="H2458" s="17" t="s">
        <v>7342</v>
      </c>
      <c r="I2458" s="13" t="s">
        <v>7427</v>
      </c>
      <c r="J2458" s="23" t="str">
        <f>HYPERLINK("CorLog\GHA\BEX\20140402 GHA BEX Residence footings, high water table swale solution [APPROVED] (RDC-to-GHA).msg", "Residence footings, high water table swale solution [APPROVED]")</f>
        <v>Residence footings, high water table swale solution [APPROVED]</v>
      </c>
      <c r="K2458" s="25" t="s">
        <v>1211</v>
      </c>
      <c r="L2458" s="19" t="s">
        <v>7585</v>
      </c>
      <c r="M2458" s="20"/>
      <c r="N2458" s="21" t="s">
        <v>7586</v>
      </c>
    </row>
    <row r="2459" spans="1:14">
      <c r="A2459" s="12" t="s">
        <v>718</v>
      </c>
      <c r="B2459" s="13" t="s">
        <v>5413</v>
      </c>
      <c r="C2459" s="14" t="s">
        <v>750</v>
      </c>
      <c r="D2459" s="15">
        <v>41731.591469907406</v>
      </c>
      <c r="E2459" s="16" t="s">
        <v>16</v>
      </c>
      <c r="F2459" s="16" t="s">
        <v>21</v>
      </c>
      <c r="G2459" s="17" t="s">
        <v>790</v>
      </c>
      <c r="H2459" s="17" t="s">
        <v>851</v>
      </c>
      <c r="I2459" s="13" t="s">
        <v>7587</v>
      </c>
      <c r="J2459" s="23" t="str">
        <f>HYPERLINK("CorLog\GHA\BEX\20140402 GHA BEX DCP test for transformer slab area (RDC-to-GHA).msg", "DCP test for transformer slab area")</f>
        <v>DCP test for transformer slab area</v>
      </c>
      <c r="K2459" s="25" t="s">
        <v>1211</v>
      </c>
      <c r="L2459" s="19" t="s">
        <v>7588</v>
      </c>
      <c r="M2459" s="20"/>
      <c r="N2459" s="21" t="s">
        <v>7589</v>
      </c>
    </row>
    <row r="2460" spans="1:14">
      <c r="A2460" s="12" t="s">
        <v>718</v>
      </c>
      <c r="B2460" s="13" t="s">
        <v>5413</v>
      </c>
      <c r="C2460" s="14" t="s">
        <v>750</v>
      </c>
      <c r="D2460" s="15">
        <v>41731.393738425926</v>
      </c>
      <c r="E2460" s="16" t="s">
        <v>16</v>
      </c>
      <c r="F2460" s="16" t="s">
        <v>21</v>
      </c>
      <c r="G2460" s="17" t="s">
        <v>790</v>
      </c>
      <c r="H2460" s="17" t="s">
        <v>7342</v>
      </c>
      <c r="I2460" s="13" t="s">
        <v>7590</v>
      </c>
      <c r="J2460" s="23" t="str">
        <f>HYPERLINK("CorLog\GHA\BEX\20140402 GHA BEX Swale Elevations and Info (RDC-to-GHA).msg", "Swale Elevations and Info")</f>
        <v>Swale Elevations and Info</v>
      </c>
      <c r="K2460" s="25" t="s">
        <v>1211</v>
      </c>
      <c r="L2460" s="19"/>
      <c r="M2460" s="20"/>
      <c r="N2460" s="21" t="s">
        <v>7591</v>
      </c>
    </row>
    <row r="2461" spans="1:14">
      <c r="A2461" s="12" t="s">
        <v>718</v>
      </c>
      <c r="B2461" s="13" t="s">
        <v>5413</v>
      </c>
      <c r="C2461" s="14" t="s">
        <v>7459</v>
      </c>
      <c r="D2461" s="15">
        <v>41731.38622685185</v>
      </c>
      <c r="E2461" s="16" t="s">
        <v>16</v>
      </c>
      <c r="F2461" s="16" t="s">
        <v>21</v>
      </c>
      <c r="G2461" s="17" t="s">
        <v>790</v>
      </c>
      <c r="H2461" s="17" t="s">
        <v>1489</v>
      </c>
      <c r="I2461" s="13" t="s">
        <v>7592</v>
      </c>
      <c r="J2461" s="23" t="str">
        <f>HYPERLINK("CorLog\GHA\BEX\20140402 GHA BEX P-602 valve questions (RDC-to-GHA).msg", "P-602 valve questions")</f>
        <v>P-602 valve questions</v>
      </c>
      <c r="K2461" s="25" t="s">
        <v>1211</v>
      </c>
      <c r="L2461" s="19"/>
      <c r="M2461" s="20"/>
      <c r="N2461" s="21" t="s">
        <v>7593</v>
      </c>
    </row>
    <row r="2462" spans="1:14">
      <c r="A2462" s="12" t="s">
        <v>5413</v>
      </c>
      <c r="B2462" s="13" t="s">
        <v>718</v>
      </c>
      <c r="C2462" s="14" t="s">
        <v>827</v>
      </c>
      <c r="D2462" s="15">
        <v>41730.721319444441</v>
      </c>
      <c r="E2462" s="16" t="s">
        <v>21</v>
      </c>
      <c r="F2462" s="16" t="s">
        <v>16</v>
      </c>
      <c r="G2462" s="17" t="s">
        <v>790</v>
      </c>
      <c r="H2462" s="17" t="s">
        <v>7390</v>
      </c>
      <c r="I2462" s="13" t="s">
        <v>7590</v>
      </c>
      <c r="J2462" s="23" t="str">
        <f>HYPERLINK("CorLog\GHA\BEX\20140401 GHA GHA BEX Swale Elevations and Info (GHA-to-RDC).msg", "Swale Elevations and Info")</f>
        <v>Swale Elevations and Info</v>
      </c>
      <c r="K2462" s="25" t="s">
        <v>1211</v>
      </c>
      <c r="L2462" s="19"/>
      <c r="M2462" s="20"/>
      <c r="N2462" s="21" t="s">
        <v>7594</v>
      </c>
    </row>
    <row r="2463" spans="1:14">
      <c r="A2463" s="12" t="s">
        <v>718</v>
      </c>
      <c r="B2463" s="13" t="s">
        <v>1529</v>
      </c>
      <c r="C2463" s="14" t="s">
        <v>750</v>
      </c>
      <c r="D2463" s="15">
        <v>41730.701666666668</v>
      </c>
      <c r="E2463" s="16" t="s">
        <v>16</v>
      </c>
      <c r="F2463" s="16" t="s">
        <v>18</v>
      </c>
      <c r="G2463" s="17" t="s">
        <v>946</v>
      </c>
      <c r="H2463" s="17" t="s">
        <v>854</v>
      </c>
      <c r="I2463" s="13" t="s">
        <v>7595</v>
      </c>
      <c r="J2463" s="23" t="str">
        <f>HYPERLINK("CorLog\ZMB\Mongu RTO\20140401 ZMB Mongu RTO Retaining Wall Detail J on S-501 (RDC-to-ZMB).msg", "Retaining Wall Detail J on S-501")</f>
        <v>Retaining Wall Detail J on S-501</v>
      </c>
      <c r="K2463" s="25" t="s">
        <v>1243</v>
      </c>
      <c r="L2463" s="19"/>
      <c r="M2463" s="20"/>
      <c r="N2463" s="21" t="s">
        <v>7596</v>
      </c>
    </row>
    <row r="2464" spans="1:14">
      <c r="A2464" s="12" t="s">
        <v>4310</v>
      </c>
      <c r="B2464" s="13" t="s">
        <v>1258</v>
      </c>
      <c r="C2464" s="14" t="s">
        <v>718</v>
      </c>
      <c r="D2464" s="15">
        <v>41730.631747685184</v>
      </c>
      <c r="E2464" s="16" t="s">
        <v>15</v>
      </c>
      <c r="F2464" s="16" t="s">
        <v>16</v>
      </c>
      <c r="G2464" s="17" t="s">
        <v>30</v>
      </c>
      <c r="H2464" s="17" t="s">
        <v>1426</v>
      </c>
      <c r="I2464" s="13" t="s">
        <v>7597</v>
      </c>
      <c r="J2464" s="23" t="str">
        <f>HYPERLINK("CorLog\ALL\20140401 ALL CISA ELECTRIC STRIKE INFO (ZAF-to-).msg", "CISA ELECTRIC STRIKE INFO")</f>
        <v>CISA ELECTRIC STRIKE INFO</v>
      </c>
      <c r="K2464" s="25" t="s">
        <v>1211</v>
      </c>
      <c r="L2464" s="19"/>
      <c r="M2464" s="20"/>
      <c r="N2464" s="21" t="s">
        <v>7598</v>
      </c>
    </row>
    <row r="2465" spans="1:14">
      <c r="A2465" s="12" t="s">
        <v>750</v>
      </c>
      <c r="B2465" s="13" t="s">
        <v>718</v>
      </c>
      <c r="C2465" s="14" t="s">
        <v>771</v>
      </c>
      <c r="D2465" s="15">
        <v>41730.405474537038</v>
      </c>
      <c r="E2465" s="16" t="s">
        <v>16</v>
      </c>
      <c r="F2465" s="16" t="s">
        <v>16</v>
      </c>
      <c r="G2465" s="17" t="s">
        <v>738</v>
      </c>
      <c r="H2465" s="17" t="s">
        <v>1000</v>
      </c>
      <c r="I2465" s="13" t="s">
        <v>7599</v>
      </c>
      <c r="J2465" s="23" t="str">
        <f>HYPERLINK("CorLog\GHA\BEX 2\20140401 GHA BEX 2 'the way forward' (CDP etc) (RDC-to-RDC).msg", "'the way forward' (CDP etc)")</f>
        <v>'the way forward' (CDP etc)</v>
      </c>
      <c r="K2465" s="25"/>
      <c r="L2465" s="19" t="s">
        <v>7600</v>
      </c>
      <c r="M2465" s="20"/>
      <c r="N2465" s="21" t="s">
        <v>7601</v>
      </c>
    </row>
    <row r="2466" spans="1:14">
      <c r="A2466" s="12" t="s">
        <v>724</v>
      </c>
      <c r="B2466" s="13" t="s">
        <v>718</v>
      </c>
      <c r="C2466" s="14"/>
      <c r="D2466" s="15">
        <v>41729.717546296299</v>
      </c>
      <c r="E2466" s="16" t="s">
        <v>16</v>
      </c>
      <c r="F2466" s="16" t="s">
        <v>16</v>
      </c>
      <c r="G2466" s="17" t="s">
        <v>1112</v>
      </c>
      <c r="H2466" s="17" t="s">
        <v>867</v>
      </c>
      <c r="I2466" s="13" t="s">
        <v>7602</v>
      </c>
      <c r="J2466" s="23" t="str">
        <f>HYPERLINK("CorLog\ZMB\BEX\20140331 ZMB BEX SKE ZMB0018 AO-7 2 POWER BACK UP (RDC-to-RDC).msg", "SKE ZMB0018 AO-7 2 POWER BACK UP")</f>
        <v>SKE ZMB0018 AO-7 2 POWER BACK UP</v>
      </c>
      <c r="K2466" s="25" t="s">
        <v>1243</v>
      </c>
      <c r="L2466" s="19" t="s">
        <v>7603</v>
      </c>
      <c r="M2466" s="20" t="s">
        <v>5621</v>
      </c>
      <c r="N2466" s="21" t="s">
        <v>7604</v>
      </c>
    </row>
    <row r="2467" spans="1:14">
      <c r="A2467" s="12" t="s">
        <v>718</v>
      </c>
      <c r="B2467" s="13" t="s">
        <v>750</v>
      </c>
      <c r="C2467" s="14"/>
      <c r="D2467" s="15">
        <v>41729.704328703701</v>
      </c>
      <c r="E2467" s="16" t="s">
        <v>16</v>
      </c>
      <c r="F2467" s="16" t="s">
        <v>16</v>
      </c>
      <c r="G2467" s="17" t="s">
        <v>738</v>
      </c>
      <c r="H2467" s="17" t="s">
        <v>1000</v>
      </c>
      <c r="I2467" s="13" t="s">
        <v>7605</v>
      </c>
      <c r="J2467" s="23" t="str">
        <f>HYPERLINK("CorLog\GHA\BEX 2\20140331 GHA BEX 2 Long-term concept review with BC WDC [Minutes from SB] (RDC-to-RDC).msg", "Long-term concept review with BC WDC [Minutes from SB]")</f>
        <v>Long-term concept review with BC WDC [Minutes from SB]</v>
      </c>
      <c r="K2467" s="25"/>
      <c r="L2467" s="19" t="s">
        <v>6908</v>
      </c>
      <c r="M2467" s="20"/>
      <c r="N2467" s="21" t="s">
        <v>7606</v>
      </c>
    </row>
    <row r="2468" spans="1:14">
      <c r="A2468" s="12" t="s">
        <v>750</v>
      </c>
      <c r="B2468" s="13" t="s">
        <v>718</v>
      </c>
      <c r="C2468" s="14"/>
      <c r="D2468" s="15">
        <v>41729.677615740744</v>
      </c>
      <c r="E2468" s="16" t="s">
        <v>16</v>
      </c>
      <c r="F2468" s="16" t="s">
        <v>16</v>
      </c>
      <c r="G2468" s="17" t="s">
        <v>30</v>
      </c>
      <c r="H2468" s="17" t="s">
        <v>759</v>
      </c>
      <c r="I2468" s="13" t="s">
        <v>7607</v>
      </c>
      <c r="J2468" s="23" t="str">
        <f>HYPERLINK("CorLog\ALL\20140331 ALL SAF SWR DWG DESIGN REVIEWS (RDC-to-RDC).msg", "SAF SWR DWG DESIGN REVIEWS")</f>
        <v>SAF SWR DWG DESIGN REVIEWS</v>
      </c>
      <c r="K2468" s="25"/>
      <c r="L2468" s="19" t="s">
        <v>7608</v>
      </c>
      <c r="M2468" s="20"/>
      <c r="N2468" s="21" t="s">
        <v>7609</v>
      </c>
    </row>
    <row r="2469" spans="1:14">
      <c r="A2469" s="12" t="s">
        <v>972</v>
      </c>
      <c r="B2469" s="13" t="s">
        <v>750</v>
      </c>
      <c r="C2469" s="14" t="s">
        <v>7610</v>
      </c>
      <c r="D2469" s="15">
        <v>41729.625069444446</v>
      </c>
      <c r="E2469" s="16" t="s">
        <v>18</v>
      </c>
      <c r="F2469" s="16" t="s">
        <v>16</v>
      </c>
      <c r="G2469" s="17" t="s">
        <v>1112</v>
      </c>
      <c r="H2469" s="17" t="s">
        <v>2713</v>
      </c>
      <c r="I2469" s="13" t="s">
        <v>7611</v>
      </c>
      <c r="J2469" s="23" t="str">
        <f>HYPERLINK("CorLog\ZMB\BEX\20140331 ZMB BEX Crush Results March 19, 2014 (ZMB-to-RDC).msg", "Crush Results March 19, 2014")</f>
        <v>Crush Results March 19, 2014</v>
      </c>
      <c r="K2469" s="25" t="s">
        <v>1211</v>
      </c>
      <c r="L2469" s="19"/>
      <c r="M2469" s="20"/>
      <c r="N2469" s="21" t="s">
        <v>7612</v>
      </c>
    </row>
    <row r="2470" spans="1:14">
      <c r="A2470" s="12" t="s">
        <v>972</v>
      </c>
      <c r="B2470" s="13" t="s">
        <v>750</v>
      </c>
      <c r="C2470" s="14" t="s">
        <v>7610</v>
      </c>
      <c r="D2470" s="15">
        <v>41729.625069444446</v>
      </c>
      <c r="E2470" s="16" t="s">
        <v>18</v>
      </c>
      <c r="F2470" s="16" t="s">
        <v>16</v>
      </c>
      <c r="G2470" s="17" t="s">
        <v>1112</v>
      </c>
      <c r="H2470" s="17" t="s">
        <v>2713</v>
      </c>
      <c r="I2470" s="13" t="s">
        <v>7611</v>
      </c>
      <c r="J2470" s="23" t="str">
        <f>HYPERLINK("CorLog\ZMB\BEX\20140331 ZMB BEX Crush Results March 19, 2014 (ZMB-to-RDC).msg", "Crush Results March 19, 2014")</f>
        <v>Crush Results March 19, 2014</v>
      </c>
      <c r="K2470" s="25" t="s">
        <v>1211</v>
      </c>
      <c r="L2470" s="19"/>
      <c r="M2470" s="20"/>
      <c r="N2470" s="21" t="s">
        <v>7612</v>
      </c>
    </row>
    <row r="2471" spans="1:14">
      <c r="A2471" s="12" t="s">
        <v>718</v>
      </c>
      <c r="B2471" s="13" t="s">
        <v>5954</v>
      </c>
      <c r="C2471" s="14" t="s">
        <v>7613</v>
      </c>
      <c r="D2471" s="15">
        <v>41729.598113425927</v>
      </c>
      <c r="E2471" s="16" t="s">
        <v>16</v>
      </c>
      <c r="F2471" s="16" t="s">
        <v>22</v>
      </c>
      <c r="G2471" s="17" t="s">
        <v>1169</v>
      </c>
      <c r="H2471" s="17" t="s">
        <v>839</v>
      </c>
      <c r="I2471" s="13" t="s">
        <v>7614</v>
      </c>
      <c r="J2471" s="23" t="str">
        <f>HYPERLINK("CorLog\COD\Kikwit RTO\20140331 COD Kikwit RTO COD RTOs Additional soil tests needed (RDC-to-COD).msg", "COD RTOs Additional soil tests needed")</f>
        <v>COD RTOs Additional soil tests needed</v>
      </c>
      <c r="K2471" s="25" t="s">
        <v>1211</v>
      </c>
      <c r="L2471" s="19"/>
      <c r="M2471" s="20"/>
      <c r="N2471" s="21" t="s">
        <v>7615</v>
      </c>
    </row>
    <row r="2472" spans="1:14">
      <c r="A2472" s="12" t="s">
        <v>842</v>
      </c>
      <c r="B2472" s="13" t="s">
        <v>5413</v>
      </c>
      <c r="C2472" s="14" t="s">
        <v>5337</v>
      </c>
      <c r="D2472" s="15">
        <v>41729.497199074074</v>
      </c>
      <c r="E2472" s="16" t="s">
        <v>21</v>
      </c>
      <c r="F2472" s="16" t="s">
        <v>21</v>
      </c>
      <c r="G2472" s="17" t="s">
        <v>857</v>
      </c>
      <c r="H2472" s="17" t="s">
        <v>7347</v>
      </c>
      <c r="I2472" s="13" t="s">
        <v>7348</v>
      </c>
      <c r="J2472" s="23" t="str">
        <f>HYPERLINK("CorLog\GHA\Kikam RTO\20140331 GHA Kikam RTO CONTACT INFORMATION Ghana Kikam Remote Translation Office (Nzema) Project (GHA0014) (GHA-to-GHA).msg", "CONTACT INFORMATION Ghana Kikam Remote Translation Office (Nzema) Project (GHA0014)")</f>
        <v>CONTACT INFORMATION Ghana Kikam Remote Translation Office (Nzema) Project (GHA0014)</v>
      </c>
      <c r="K2472" s="25"/>
      <c r="L2472" s="19"/>
      <c r="M2472" s="20"/>
      <c r="N2472" s="21" t="s">
        <v>7616</v>
      </c>
    </row>
    <row r="2473" spans="1:14">
      <c r="A2473" s="12" t="s">
        <v>718</v>
      </c>
      <c r="B2473" s="13" t="s">
        <v>5413</v>
      </c>
      <c r="C2473" s="14" t="s">
        <v>7617</v>
      </c>
      <c r="D2473" s="15">
        <v>41729.44258101852</v>
      </c>
      <c r="E2473" s="16" t="s">
        <v>16</v>
      </c>
      <c r="F2473" s="16" t="s">
        <v>21</v>
      </c>
      <c r="G2473" s="17" t="s">
        <v>790</v>
      </c>
      <c r="H2473" s="17" t="s">
        <v>886</v>
      </c>
      <c r="I2473" s="13" t="s">
        <v>7618</v>
      </c>
      <c r="J2473" s="23" t="str">
        <f>HYPERLINK("CorLog\GHA\BEX\20140331 GHA BEX Mini Sub Station manholes [REPLIES] (RDC-to-GHA).msg", "Mini Sub Station manholes [REPLIES]")</f>
        <v>Mini Sub Station manholes [REPLIES]</v>
      </c>
      <c r="K2473" s="25" t="s">
        <v>3933</v>
      </c>
      <c r="L2473" s="19"/>
      <c r="M2473" s="20"/>
      <c r="N2473" s="21" t="s">
        <v>7619</v>
      </c>
    </row>
    <row r="2474" spans="1:14">
      <c r="A2474" s="12" t="s">
        <v>827</v>
      </c>
      <c r="B2474" s="13" t="s">
        <v>5713</v>
      </c>
      <c r="C2474" s="14" t="s">
        <v>7565</v>
      </c>
      <c r="D2474" s="15">
        <v>41726.79346064815</v>
      </c>
      <c r="E2474" s="16" t="s">
        <v>21</v>
      </c>
      <c r="F2474" s="16" t="s">
        <v>15</v>
      </c>
      <c r="G2474" s="17" t="s">
        <v>790</v>
      </c>
      <c r="H2474" s="17" t="s">
        <v>3303</v>
      </c>
      <c r="I2474" s="13" t="s">
        <v>7620</v>
      </c>
      <c r="J2474" s="23" t="str">
        <f>HYPERLINK("CorLog\GHA\BEX\20140328 GHA BEX Utility structure steel, request for Quote (GHA-to-ZAF).msg", "Utility structure steel, request for Quote")</f>
        <v>Utility structure steel, request for Quote</v>
      </c>
      <c r="K2474" s="25" t="s">
        <v>1274</v>
      </c>
      <c r="L2474" s="19"/>
      <c r="M2474" s="20"/>
      <c r="N2474" s="21" t="s">
        <v>7621</v>
      </c>
    </row>
    <row r="2475" spans="1:14">
      <c r="A2475" s="12" t="s">
        <v>718</v>
      </c>
      <c r="B2475" s="13" t="s">
        <v>750</v>
      </c>
      <c r="C2475" s="14"/>
      <c r="D2475" s="15">
        <v>41726.624837962961</v>
      </c>
      <c r="E2475" s="16" t="s">
        <v>16</v>
      </c>
      <c r="F2475" s="16" t="s">
        <v>16</v>
      </c>
      <c r="G2475" s="17" t="s">
        <v>758</v>
      </c>
      <c r="H2475" s="17" t="s">
        <v>839</v>
      </c>
      <c r="I2475" s="13" t="s">
        <v>7622</v>
      </c>
      <c r="J2475" s="23" t="str">
        <f>HYPERLINK("CorLog\GHA\Viepe RTO\20140328 GHA Viepe RTO Need to review major compaction of foundation soil (RDC-to-RDC).msg", "Need to review major compaction of foundation soil")</f>
        <v>Need to review major compaction of foundation soil</v>
      </c>
      <c r="K2475" s="25" t="s">
        <v>1211</v>
      </c>
      <c r="L2475" s="19"/>
      <c r="M2475" s="20"/>
      <c r="N2475" s="21" t="s">
        <v>7623</v>
      </c>
    </row>
    <row r="2476" spans="1:14">
      <c r="A2476" s="12" t="s">
        <v>750</v>
      </c>
      <c r="B2476" s="13" t="s">
        <v>718</v>
      </c>
      <c r="C2476" s="14"/>
      <c r="D2476" s="15">
        <v>41726.623738425929</v>
      </c>
      <c r="E2476" s="16" t="s">
        <v>16</v>
      </c>
      <c r="F2476" s="16" t="s">
        <v>16</v>
      </c>
      <c r="G2476" s="17" t="s">
        <v>758</v>
      </c>
      <c r="H2476" s="17" t="s">
        <v>854</v>
      </c>
      <c r="I2476" s="13" t="s">
        <v>7624</v>
      </c>
      <c r="J2476" s="23" t="str">
        <f>HYPERLINK("CorLog\GHA\Viepe RTO\20140328 GHA Viepe RTO Use our ‘standard’ inverted T-beam footing now (RDC-to-RDC).msg", "Use our ‘standard’ inverted T-beam footing now")</f>
        <v>Use our ‘standard’ inverted T-beam footing now</v>
      </c>
      <c r="K2476" s="25" t="s">
        <v>1211</v>
      </c>
      <c r="L2476" s="19"/>
      <c r="M2476" s="20"/>
      <c r="N2476" s="21" t="s">
        <v>7625</v>
      </c>
    </row>
    <row r="2477" spans="1:14">
      <c r="A2477" s="12" t="s">
        <v>718</v>
      </c>
      <c r="B2477" s="13" t="s">
        <v>5413</v>
      </c>
      <c r="C2477" s="14" t="s">
        <v>7156</v>
      </c>
      <c r="D2477" s="15">
        <v>41726.438900462963</v>
      </c>
      <c r="E2477" s="16" t="s">
        <v>16</v>
      </c>
      <c r="F2477" s="16" t="s">
        <v>21</v>
      </c>
      <c r="G2477" s="17" t="s">
        <v>790</v>
      </c>
      <c r="H2477" s="17" t="s">
        <v>2223</v>
      </c>
      <c r="I2477" s="13" t="s">
        <v>7626</v>
      </c>
      <c r="J2477" s="23" t="str">
        <f>HYPERLINK("CorLog\GHA\BEX\20140328 GHA BEX Rebar lab tests Approved (RDC-to-GHA).msg", "Rebar lab tests Approved")</f>
        <v>Rebar lab tests Approved</v>
      </c>
      <c r="K2477" s="25"/>
      <c r="L2477" s="19"/>
      <c r="M2477" s="20"/>
      <c r="N2477" s="21" t="s">
        <v>7627</v>
      </c>
    </row>
    <row r="2478" spans="1:14">
      <c r="A2478" s="12" t="s">
        <v>7160</v>
      </c>
      <c r="B2478" s="13" t="s">
        <v>718</v>
      </c>
      <c r="C2478" s="14"/>
      <c r="D2478" s="15">
        <v>41726.419363425928</v>
      </c>
      <c r="E2478" s="16" t="s">
        <v>45</v>
      </c>
      <c r="F2478" s="16" t="s">
        <v>16</v>
      </c>
      <c r="G2478" s="17" t="s">
        <v>7162</v>
      </c>
      <c r="H2478" s="17" t="s">
        <v>1426</v>
      </c>
      <c r="I2478" s="13" t="s">
        <v>7393</v>
      </c>
      <c r="J2478" s="23" t="str">
        <f>HYPERLINK("CorLog\BDI\Branch\20140328 BDI Branch Cisa keys situation (BDI-to-RDC).msg", "Cisa keys situation")</f>
        <v>Cisa keys situation</v>
      </c>
      <c r="K2478" s="25" t="s">
        <v>1243</v>
      </c>
      <c r="L2478" s="19"/>
      <c r="M2478" s="20"/>
      <c r="N2478" s="21" t="s">
        <v>7628</v>
      </c>
    </row>
    <row r="2479" spans="1:14">
      <c r="A2479" s="12" t="s">
        <v>718</v>
      </c>
      <c r="B2479" s="13" t="s">
        <v>827</v>
      </c>
      <c r="C2479" s="14" t="s">
        <v>5413</v>
      </c>
      <c r="D2479" s="15">
        <v>41725.681388888886</v>
      </c>
      <c r="E2479" s="16" t="s">
        <v>16</v>
      </c>
      <c r="F2479" s="16" t="s">
        <v>21</v>
      </c>
      <c r="G2479" s="17" t="s">
        <v>790</v>
      </c>
      <c r="H2479" s="17" t="s">
        <v>803</v>
      </c>
      <c r="I2479" s="13" t="s">
        <v>7629</v>
      </c>
      <c r="J2479" s="23" t="str">
        <f>HYPERLINK("CorLog\GHA\BEX\20140327 GHA BEX Various Drawing Queries (RDC-to-GHA).msg", "Various Drawing Queries")</f>
        <v>Various Drawing Queries</v>
      </c>
      <c r="K2479" s="25" t="s">
        <v>1211</v>
      </c>
      <c r="L2479" s="19"/>
      <c r="M2479" s="20"/>
      <c r="N2479" s="21" t="s">
        <v>7630</v>
      </c>
    </row>
    <row r="2480" spans="1:14">
      <c r="A2480" s="12" t="s">
        <v>718</v>
      </c>
      <c r="B2480" s="13" t="s">
        <v>5413</v>
      </c>
      <c r="C2480" s="14" t="s">
        <v>7631</v>
      </c>
      <c r="D2480" s="15">
        <v>41725.658425925925</v>
      </c>
      <c r="E2480" s="16" t="s">
        <v>16</v>
      </c>
      <c r="F2480" s="16" t="s">
        <v>21</v>
      </c>
      <c r="G2480" s="17" t="s">
        <v>790</v>
      </c>
      <c r="H2480" s="17" t="s">
        <v>886</v>
      </c>
      <c r="I2480" s="13" t="s">
        <v>7632</v>
      </c>
      <c r="J2480" s="23" t="str">
        <f>HYPERLINK("CorLog\GHA\BEX\20140327 GHA BEX 11kV cable termination kit, info for NLBR (RDC-to-GHA).msg", "11kV cable termination kit, info for NLBR")</f>
        <v>11kV cable termination kit, info for NLBR</v>
      </c>
      <c r="K2480" s="25" t="s">
        <v>4757</v>
      </c>
      <c r="L2480" s="19"/>
      <c r="M2480" s="20"/>
      <c r="N2480" s="21" t="s">
        <v>7633</v>
      </c>
    </row>
    <row r="2481" spans="1:14">
      <c r="A2481" s="12" t="s">
        <v>2195</v>
      </c>
      <c r="B2481" s="13" t="s">
        <v>718</v>
      </c>
      <c r="C2481" s="14" t="s">
        <v>7634</v>
      </c>
      <c r="D2481" s="15">
        <v>41724.932199074072</v>
      </c>
      <c r="E2481" s="16" t="s">
        <v>935</v>
      </c>
      <c r="F2481" s="16" t="s">
        <v>16</v>
      </c>
      <c r="G2481" s="17" t="s">
        <v>785</v>
      </c>
      <c r="H2481" s="17" t="s">
        <v>871</v>
      </c>
      <c r="I2481" s="13" t="s">
        <v>7635</v>
      </c>
      <c r="J2481" s="23" t="str">
        <f>HYPERLINK("CorLog\COD\Lubumbashi RTO\20140326 COD Lubumbashi RTO Draft Procurement Plan approved (GPD-to-RDC).msg", "Draft Procurement Plan approved")</f>
        <v>Draft Procurement Plan approved</v>
      </c>
      <c r="K2481" s="25"/>
      <c r="L2481" s="19"/>
      <c r="M2481" s="20"/>
      <c r="N2481" s="21" t="s">
        <v>7636</v>
      </c>
    </row>
    <row r="2482" spans="1:14">
      <c r="A2482" s="12" t="s">
        <v>827</v>
      </c>
      <c r="B2482" s="13" t="s">
        <v>718</v>
      </c>
      <c r="C2482" s="14" t="s">
        <v>5413</v>
      </c>
      <c r="D2482" s="15">
        <v>41724.756655092591</v>
      </c>
      <c r="E2482" s="16" t="s">
        <v>21</v>
      </c>
      <c r="F2482" s="16" t="s">
        <v>16</v>
      </c>
      <c r="G2482" s="17" t="s">
        <v>790</v>
      </c>
      <c r="H2482" s="17" t="s">
        <v>2223</v>
      </c>
      <c r="I2482" s="13" t="s">
        <v>7637</v>
      </c>
      <c r="J2482" s="23" t="str">
        <f>HYPERLINK("CorLog\GHA\BEX\20140326 GHA BEX Rebar lab tests (GHA-to-RDC).msg", "Rebar lab tests")</f>
        <v>Rebar lab tests</v>
      </c>
      <c r="K2482" s="25" t="s">
        <v>1274</v>
      </c>
      <c r="L2482" s="19"/>
      <c r="M2482" s="20"/>
      <c r="N2482" s="21" t="s">
        <v>7638</v>
      </c>
    </row>
    <row r="2483" spans="1:14">
      <c r="A2483" s="12" t="s">
        <v>718</v>
      </c>
      <c r="B2483" s="13" t="s">
        <v>1529</v>
      </c>
      <c r="C2483" s="14" t="s">
        <v>7522</v>
      </c>
      <c r="D2483" s="15">
        <v>41724.623969907407</v>
      </c>
      <c r="E2483" s="16" t="s">
        <v>16</v>
      </c>
      <c r="F2483" s="16" t="s">
        <v>18</v>
      </c>
      <c r="G2483" s="17" t="s">
        <v>946</v>
      </c>
      <c r="H2483" s="17" t="s">
        <v>2895</v>
      </c>
      <c r="I2483" s="13" t="s">
        <v>7639</v>
      </c>
      <c r="J2483" s="23" t="str">
        <f>HYPERLINK("CorLog\ZMB\Mongu RTO\20140326 ZMB Mongu RTO Perimeter Wall - Retaining wall section (RDC-to-ZMB).msg", "Perimeter Wall - Retaining wall section")</f>
        <v>Perimeter Wall - Retaining wall section</v>
      </c>
      <c r="K2483" s="25" t="s">
        <v>1211</v>
      </c>
      <c r="L2483" s="19" t="s">
        <v>7640</v>
      </c>
      <c r="M2483" s="20"/>
      <c r="N2483" s="21" t="s">
        <v>7641</v>
      </c>
    </row>
    <row r="2484" spans="1:14">
      <c r="A2484" s="12" t="s">
        <v>718</v>
      </c>
      <c r="B2484" s="13" t="s">
        <v>4367</v>
      </c>
      <c r="C2484" s="14" t="s">
        <v>7642</v>
      </c>
      <c r="D2484" s="15">
        <v>41724.613692129627</v>
      </c>
      <c r="E2484" s="16" t="s">
        <v>16</v>
      </c>
      <c r="F2484" s="16" t="s">
        <v>22</v>
      </c>
      <c r="G2484" s="17" t="s">
        <v>4606</v>
      </c>
      <c r="H2484" s="17" t="s">
        <v>1707</v>
      </c>
      <c r="I2484" s="13" t="s">
        <v>7580</v>
      </c>
      <c r="J2484" s="23" t="str">
        <f>HYPERLINK("CorLog\COD\BEX\20140326 COD BEX Choral Studio preliminary spatial layout proposals (RDC-to-COD).msg", "Choral Studio preliminary spatial layout proposals")</f>
        <v>Choral Studio preliminary spatial layout proposals</v>
      </c>
      <c r="K2484" s="25" t="s">
        <v>1270</v>
      </c>
      <c r="L2484" s="19"/>
      <c r="M2484" s="20"/>
      <c r="N2484" s="21" t="s">
        <v>7643</v>
      </c>
    </row>
    <row r="2485" spans="1:14">
      <c r="A2485" s="12" t="s">
        <v>750</v>
      </c>
      <c r="B2485" s="13" t="s">
        <v>1529</v>
      </c>
      <c r="C2485" s="14" t="s">
        <v>7644</v>
      </c>
      <c r="D2485" s="15">
        <v>41724.479699074072</v>
      </c>
      <c r="E2485" s="16" t="s">
        <v>16</v>
      </c>
      <c r="F2485" s="16" t="s">
        <v>18</v>
      </c>
      <c r="G2485" s="17" t="s">
        <v>946</v>
      </c>
      <c r="H2485" s="17" t="s">
        <v>2895</v>
      </c>
      <c r="I2485" s="13" t="s">
        <v>7645</v>
      </c>
      <c r="J2485" s="23" t="str">
        <f>HYPERLINK("CorLog\ZMB\Mongu RTO\20140326 ZMB Mongu RTO Type and location of Geotextile for Perimeter Wall (RDC-to-ZMB).msg", "Type and location of Geotextile for Perimeter Wall")</f>
        <v>Type and location of Geotextile for Perimeter Wall</v>
      </c>
      <c r="K2485" s="25"/>
      <c r="L2485" s="19"/>
      <c r="M2485" s="20"/>
      <c r="N2485" s="21" t="s">
        <v>7646</v>
      </c>
    </row>
    <row r="2486" spans="1:14">
      <c r="A2486" s="12" t="s">
        <v>718</v>
      </c>
      <c r="B2486" s="13" t="s">
        <v>5413</v>
      </c>
      <c r="C2486" s="14" t="s">
        <v>3841</v>
      </c>
      <c r="D2486" s="15">
        <v>41724.465914351851</v>
      </c>
      <c r="E2486" s="16" t="s">
        <v>16</v>
      </c>
      <c r="F2486" s="16" t="s">
        <v>21</v>
      </c>
      <c r="G2486" s="17" t="s">
        <v>790</v>
      </c>
      <c r="H2486" s="17" t="s">
        <v>7342</v>
      </c>
      <c r="I2486" s="13" t="s">
        <v>7647</v>
      </c>
      <c r="J2486" s="23" t="str">
        <f>HYPERLINK("CorLog\GHA\BEX\20140326 GHA BEX Residence footings, high water table solution [DRAFT] (RDC-to-GHA).msg", "Residence footings, high water table solution [DRAFT]")</f>
        <v>Residence footings, high water table solution [DRAFT]</v>
      </c>
      <c r="K2486" s="25" t="s">
        <v>1270</v>
      </c>
      <c r="L2486" s="19"/>
      <c r="M2486" s="20"/>
      <c r="N2486" s="21" t="s">
        <v>7648</v>
      </c>
    </row>
    <row r="2487" spans="1:14">
      <c r="A2487" s="12" t="s">
        <v>718</v>
      </c>
      <c r="B2487" s="13" t="s">
        <v>1529</v>
      </c>
      <c r="C2487" s="14" t="s">
        <v>7649</v>
      </c>
      <c r="D2487" s="15">
        <v>41724.436481481483</v>
      </c>
      <c r="E2487" s="16" t="s">
        <v>16</v>
      </c>
      <c r="F2487" s="16" t="s">
        <v>18</v>
      </c>
      <c r="G2487" s="17" t="s">
        <v>946</v>
      </c>
      <c r="H2487" s="17" t="s">
        <v>947</v>
      </c>
      <c r="I2487" s="13" t="s">
        <v>7650</v>
      </c>
      <c r="J2487" s="23" t="str">
        <f>HYPERLINK("CorLog\ZMB\Mongu RTO\20140326 ZMB Mongu RTO Type and location of Geotextile for Soakaway [Bidim A2 Approved] (RDC-to-ZMB).msg", "Type and location of Geotextile for Soakaway [Bidim A2 Approved]")</f>
        <v>Type and location of Geotextile for Soakaway [Bidim A2 Approved]</v>
      </c>
      <c r="K2487" s="25" t="s">
        <v>1270</v>
      </c>
      <c r="L2487" s="19"/>
      <c r="M2487" s="20"/>
      <c r="N2487" s="21" t="s">
        <v>7651</v>
      </c>
    </row>
    <row r="2488" spans="1:14">
      <c r="A2488" s="12" t="s">
        <v>718</v>
      </c>
      <c r="B2488" s="13" t="s">
        <v>1529</v>
      </c>
      <c r="C2488" s="14" t="s">
        <v>7522</v>
      </c>
      <c r="D2488" s="15">
        <v>41724.381689814814</v>
      </c>
      <c r="E2488" s="16" t="s">
        <v>16</v>
      </c>
      <c r="F2488" s="16" t="s">
        <v>18</v>
      </c>
      <c r="G2488" s="17" t="s">
        <v>946</v>
      </c>
      <c r="H2488" s="17" t="s">
        <v>854</v>
      </c>
      <c r="I2488" s="13" t="s">
        <v>7652</v>
      </c>
      <c r="J2488" s="23" t="str">
        <f>HYPERLINK("CorLog\ZMB\Mongu RTO\20140326 ZMB Mongu RTO Demolish and rebuild Zesco Substation Wall (RDC-to-ZMB).msg", "Demolish and rebuild Zesco Substation Wall")</f>
        <v>Demolish and rebuild Zesco Substation Wall</v>
      </c>
      <c r="K2488" s="25"/>
      <c r="L2488" s="19"/>
      <c r="M2488" s="20"/>
      <c r="N2488" s="21" t="s">
        <v>7653</v>
      </c>
    </row>
    <row r="2489" spans="1:14">
      <c r="A2489" s="12" t="s">
        <v>964</v>
      </c>
      <c r="B2489" s="13" t="s">
        <v>6043</v>
      </c>
      <c r="C2489" s="14" t="s">
        <v>718</v>
      </c>
      <c r="D2489" s="15">
        <v>41724.321967592594</v>
      </c>
      <c r="E2489" s="16" t="s">
        <v>16</v>
      </c>
      <c r="F2489" s="16" t="s">
        <v>15</v>
      </c>
      <c r="G2489" s="17" t="s">
        <v>790</v>
      </c>
      <c r="H2489" s="17" t="s">
        <v>886</v>
      </c>
      <c r="I2489" s="13" t="s">
        <v>7654</v>
      </c>
      <c r="J2489" s="23" t="str">
        <f>HYPERLINK("CorLog\GHA\BEX\20140326 GHA BEX 11kV cable termination kit for Ghana (RDC-to-ZAF).msg", "11kV cable termination kit for Ghana")</f>
        <v>11kV cable termination kit for Ghana</v>
      </c>
      <c r="K2489" s="25" t="s">
        <v>1274</v>
      </c>
      <c r="L2489" s="19"/>
      <c r="M2489" s="20"/>
      <c r="N2489" s="21" t="s">
        <v>7655</v>
      </c>
    </row>
    <row r="2490" spans="1:14">
      <c r="A2490" s="12" t="s">
        <v>750</v>
      </c>
      <c r="B2490" s="13" t="s">
        <v>5413</v>
      </c>
      <c r="C2490" s="14" t="s">
        <v>827</v>
      </c>
      <c r="D2490" s="15">
        <v>41723.828379629631</v>
      </c>
      <c r="E2490" s="16" t="s">
        <v>16</v>
      </c>
      <c r="F2490" s="16" t="s">
        <v>21</v>
      </c>
      <c r="G2490" s="17" t="s">
        <v>790</v>
      </c>
      <c r="H2490" s="17" t="s">
        <v>2713</v>
      </c>
      <c r="I2490" s="13" t="s">
        <v>7656</v>
      </c>
      <c r="J2490" s="23" t="str">
        <f>HYPERLINK("CorLog\GHA\BEX\20140325 GHA BEX Brick and CMU Block crush test results CLARIFICATION (RDC-to-GHA).msg", "Brick and CMU Block crush test results CLARIFICATION")</f>
        <v>Brick and CMU Block crush test results CLARIFICATION</v>
      </c>
      <c r="K2490" s="25" t="s">
        <v>1482</v>
      </c>
      <c r="L2490" s="19" t="s">
        <v>7657</v>
      </c>
      <c r="M2490" s="20"/>
      <c r="N2490" s="21" t="s">
        <v>7658</v>
      </c>
    </row>
    <row r="2491" spans="1:14">
      <c r="A2491" s="12" t="s">
        <v>5413</v>
      </c>
      <c r="B2491" s="13" t="s">
        <v>718</v>
      </c>
      <c r="C2491" s="14" t="s">
        <v>6827</v>
      </c>
      <c r="D2491" s="15">
        <v>41723.742280092592</v>
      </c>
      <c r="E2491" s="16" t="s">
        <v>21</v>
      </c>
      <c r="F2491" s="16" t="s">
        <v>16</v>
      </c>
      <c r="G2491" s="17" t="s">
        <v>790</v>
      </c>
      <c r="H2491" s="17" t="s">
        <v>2713</v>
      </c>
      <c r="I2491" s="13" t="s">
        <v>7659</v>
      </c>
      <c r="J2491" s="23" t="str">
        <f>HYPERLINK("CorLog\GHA\BEX\20140325 GHA BEX Brick and CMU Block crush test results (GHA-to-RDC).msg", "Brick and CMU Block crush test results")</f>
        <v>Brick and CMU Block crush test results</v>
      </c>
      <c r="K2491" s="25" t="s">
        <v>1626</v>
      </c>
      <c r="L2491" s="19"/>
      <c r="M2491" s="20"/>
      <c r="N2491" s="21" t="s">
        <v>7660</v>
      </c>
    </row>
    <row r="2492" spans="1:14">
      <c r="A2492" s="12" t="s">
        <v>771</v>
      </c>
      <c r="B2492" s="13" t="s">
        <v>718</v>
      </c>
      <c r="C2492" s="14" t="s">
        <v>7661</v>
      </c>
      <c r="D2492" s="15">
        <v>41723.698148148149</v>
      </c>
      <c r="E2492" s="16" t="s">
        <v>17</v>
      </c>
      <c r="F2492" s="16" t="s">
        <v>16</v>
      </c>
      <c r="G2492" s="17" t="s">
        <v>4606</v>
      </c>
      <c r="H2492" s="17" t="s">
        <v>1707</v>
      </c>
      <c r="I2492" s="13" t="s">
        <v>7662</v>
      </c>
      <c r="J2492" s="23" t="str">
        <f>HYPERLINK("CorLog\COD\BEX\20140325 COD BEX COD Choral Studio - Spatial and ROM Estmate (WDC-to-RDC).msg", "COD Choral Studio - Spatial and ROM Estmate")</f>
        <v>COD Choral Studio - Spatial and ROM Estmate</v>
      </c>
      <c r="K2492" s="25"/>
      <c r="L2492" s="19"/>
      <c r="M2492" s="20"/>
      <c r="N2492" s="21" t="s">
        <v>7663</v>
      </c>
    </row>
    <row r="2493" spans="1:14">
      <c r="A2493" s="12" t="s">
        <v>718</v>
      </c>
      <c r="B2493" s="13" t="s">
        <v>771</v>
      </c>
      <c r="C2493" s="14" t="s">
        <v>7664</v>
      </c>
      <c r="D2493" s="15">
        <v>41723.59615740741</v>
      </c>
      <c r="E2493" s="16" t="s">
        <v>16</v>
      </c>
      <c r="F2493" s="16" t="s">
        <v>17</v>
      </c>
      <c r="G2493" s="17" t="s">
        <v>4606</v>
      </c>
      <c r="H2493" s="17" t="s">
        <v>1707</v>
      </c>
      <c r="I2493" s="13" t="s">
        <v>7665</v>
      </c>
      <c r="J2493" s="23" t="str">
        <f>HYPERLINK("CorLog\COD\BEX\20140325 COD BEX Choral Studio Spatial and ROM Estmate (RDC-to-WDC).msg", "Choral Studio Spatial and ROM Estmate")</f>
        <v>Choral Studio Spatial and ROM Estmate</v>
      </c>
      <c r="K2493" s="25" t="s">
        <v>1243</v>
      </c>
      <c r="L2493" s="19"/>
      <c r="M2493" s="20"/>
      <c r="N2493" s="21" t="s">
        <v>7666</v>
      </c>
    </row>
    <row r="2494" spans="1:14">
      <c r="A2494" s="12" t="s">
        <v>750</v>
      </c>
      <c r="B2494" s="13" t="s">
        <v>718</v>
      </c>
      <c r="C2494" s="14" t="s">
        <v>7667</v>
      </c>
      <c r="D2494" s="15">
        <v>41720.842870370368</v>
      </c>
      <c r="E2494" s="16" t="s">
        <v>16</v>
      </c>
      <c r="F2494" s="16" t="s">
        <v>16</v>
      </c>
      <c r="G2494" s="17" t="s">
        <v>790</v>
      </c>
      <c r="H2494" s="17" t="s">
        <v>2713</v>
      </c>
      <c r="I2494" s="13" t="s">
        <v>7659</v>
      </c>
      <c r="J2494" s="23" t="str">
        <f>HYPERLINK("CorLog\GHA\BEX\20140322 GHA BEX Brick and CMU Block crush test results (RDC-to-RDC).msg", "Brick and CMU Block crush test results")</f>
        <v>Brick and CMU Block crush test results</v>
      </c>
      <c r="K2494" s="25" t="s">
        <v>1274</v>
      </c>
      <c r="L2494" s="19"/>
      <c r="M2494" s="20"/>
      <c r="N2494" s="21" t="s">
        <v>7668</v>
      </c>
    </row>
    <row r="2495" spans="1:14">
      <c r="A2495" s="12" t="s">
        <v>750</v>
      </c>
      <c r="B2495" s="13" t="s">
        <v>842</v>
      </c>
      <c r="C2495" s="14" t="s">
        <v>7669</v>
      </c>
      <c r="D2495" s="15">
        <v>41720.834930555553</v>
      </c>
      <c r="E2495" s="16" t="s">
        <v>16</v>
      </c>
      <c r="F2495" s="16" t="s">
        <v>21</v>
      </c>
      <c r="G2495" s="17" t="s">
        <v>790</v>
      </c>
      <c r="H2495" s="17" t="s">
        <v>2713</v>
      </c>
      <c r="I2495" s="13" t="s">
        <v>7670</v>
      </c>
      <c r="J2495" s="23" t="str">
        <f>HYPERLINK("CorLog\GHA\BEX\20140322 GHA BEX Analysis of CMU (Blocks) Tests EASTERN QUARRIES (RDC-to-GHA).msg", "Analysis of CMU (Blocks) Tests EASTERN QUARRIES")</f>
        <v>Analysis of CMU (Blocks) Tests EASTERN QUARRIES</v>
      </c>
      <c r="K2495" s="25"/>
      <c r="L2495" s="19" t="s">
        <v>7671</v>
      </c>
      <c r="M2495" s="20"/>
      <c r="N2495" s="21" t="s">
        <v>7672</v>
      </c>
    </row>
    <row r="2496" spans="1:14">
      <c r="A2496" s="12" t="s">
        <v>7673</v>
      </c>
      <c r="B2496" s="13" t="s">
        <v>1181</v>
      </c>
      <c r="C2496" s="14" t="s">
        <v>7674</v>
      </c>
      <c r="D2496" s="15">
        <v>41720.205138888887</v>
      </c>
      <c r="E2496" s="16" t="s">
        <v>38</v>
      </c>
      <c r="F2496" s="16" t="s">
        <v>16</v>
      </c>
      <c r="G2496" s="17" t="s">
        <v>2627</v>
      </c>
      <c r="H2496" s="17" t="s">
        <v>5574</v>
      </c>
      <c r="I2496" s="13" t="s">
        <v>7675</v>
      </c>
      <c r="J2496" s="23" t="str">
        <f>HYPERLINK("CorLog\COD\Kamina RTO\20140322 COD Kamina RTO DOORS - Congo NLBR 6375 (HKG-to-RDC).msg", "DOORS - Congo NLBR 6375")</f>
        <v>DOORS - Congo NLBR 6375</v>
      </c>
      <c r="K2496" s="25" t="s">
        <v>1499</v>
      </c>
      <c r="L2496" s="19"/>
      <c r="M2496" s="20"/>
      <c r="N2496" s="21" t="s">
        <v>7676</v>
      </c>
    </row>
    <row r="2497" spans="1:14">
      <c r="A2497" s="12" t="s">
        <v>718</v>
      </c>
      <c r="B2497" s="13" t="s">
        <v>723</v>
      </c>
      <c r="C2497" s="14"/>
      <c r="D2497" s="15">
        <v>41719.658136574071</v>
      </c>
      <c r="E2497" s="16" t="s">
        <v>16</v>
      </c>
      <c r="F2497" s="16" t="s">
        <v>16</v>
      </c>
      <c r="G2497" s="17" t="s">
        <v>738</v>
      </c>
      <c r="H2497" s="17" t="s">
        <v>1000</v>
      </c>
      <c r="I2497" s="13" t="s">
        <v>7677</v>
      </c>
      <c r="J2497" s="23" t="str">
        <f>HYPERLINK("CorLog\GHA\BEX 2\20140321 GHA BEX 2 GHA Longterm Option 3a (RDC-to-RDC).msg", "GHA Longterm Option 3a")</f>
        <v>GHA Longterm Option 3a</v>
      </c>
      <c r="K2497" s="25" t="s">
        <v>1211</v>
      </c>
      <c r="L2497" s="19"/>
      <c r="M2497" s="20"/>
      <c r="N2497" s="21" t="s">
        <v>7678</v>
      </c>
    </row>
    <row r="2498" spans="1:14">
      <c r="A2498" s="12" t="s">
        <v>718</v>
      </c>
      <c r="B2498" s="13" t="s">
        <v>5413</v>
      </c>
      <c r="C2498" s="14" t="s">
        <v>7679</v>
      </c>
      <c r="D2498" s="15">
        <v>41719.361574074072</v>
      </c>
      <c r="E2498" s="16" t="s">
        <v>16</v>
      </c>
      <c r="F2498" s="16" t="s">
        <v>21</v>
      </c>
      <c r="G2498" s="17" t="s">
        <v>790</v>
      </c>
      <c r="H2498" s="17" t="s">
        <v>1489</v>
      </c>
      <c r="I2498" s="13" t="s">
        <v>7680</v>
      </c>
      <c r="J2498" s="23" t="str">
        <f>HYPERLINK("CorLog\GHA\BEX\20140321 GHA BEX P-602 pipe diameters (RDC-to-GHA).msg", "P-602 pipe diameters")</f>
        <v>P-602 pipe diameters</v>
      </c>
      <c r="K2498" s="25"/>
      <c r="L2498" s="19"/>
      <c r="M2498" s="20"/>
      <c r="N2498" s="21" t="s">
        <v>7681</v>
      </c>
    </row>
    <row r="2499" spans="1:14">
      <c r="A2499" s="12" t="s">
        <v>718</v>
      </c>
      <c r="B2499" s="13" t="s">
        <v>5413</v>
      </c>
      <c r="C2499" s="14" t="s">
        <v>7682</v>
      </c>
      <c r="D2499" s="15">
        <v>41719.330729166664</v>
      </c>
      <c r="E2499" s="16" t="s">
        <v>16</v>
      </c>
      <c r="F2499" s="16" t="s">
        <v>21</v>
      </c>
      <c r="G2499" s="17" t="s">
        <v>790</v>
      </c>
      <c r="H2499" s="17" t="s">
        <v>1489</v>
      </c>
      <c r="I2499" s="13" t="s">
        <v>7592</v>
      </c>
      <c r="J2499" s="23" t="str">
        <f>HYPERLINK("CorLog\GHA\BEX\20140321 GHA BEX P-602 valve questions (RDC-to-GHA).msg", "P-602 valve questions")</f>
        <v>P-602 valve questions</v>
      </c>
      <c r="K2499" s="25"/>
      <c r="L2499" s="19"/>
      <c r="M2499" s="20"/>
      <c r="N2499" s="21" t="s">
        <v>7683</v>
      </c>
    </row>
    <row r="2500" spans="1:14">
      <c r="A2500" s="12" t="s">
        <v>718</v>
      </c>
      <c r="B2500" s="13" t="s">
        <v>5413</v>
      </c>
      <c r="C2500" s="14" t="s">
        <v>7684</v>
      </c>
      <c r="D2500" s="15">
        <v>41718.680069444446</v>
      </c>
      <c r="E2500" s="16" t="s">
        <v>16</v>
      </c>
      <c r="F2500" s="16" t="s">
        <v>21</v>
      </c>
      <c r="G2500" s="17" t="s">
        <v>790</v>
      </c>
      <c r="H2500" s="17" t="s">
        <v>803</v>
      </c>
      <c r="I2500" s="13" t="s">
        <v>7685</v>
      </c>
      <c r="J2500" s="23" t="str">
        <f>HYPERLINK("CorLog\GHA\BEX\20140320 GHA BEX C-103 S1 Additional Information for Utility Buildings (RDC-to-GHA).msg", "C-103 S1 Additional Information for Utility Buildings")</f>
        <v>C-103 S1 Additional Information for Utility Buildings</v>
      </c>
      <c r="K2500" s="25" t="s">
        <v>1243</v>
      </c>
      <c r="L2500" s="19"/>
      <c r="M2500" s="20"/>
      <c r="N2500" s="21" t="s">
        <v>7686</v>
      </c>
    </row>
    <row r="2501" spans="1:14">
      <c r="A2501" s="12" t="s">
        <v>750</v>
      </c>
      <c r="B2501" s="13" t="s">
        <v>1818</v>
      </c>
      <c r="C2501" s="14" t="s">
        <v>7687</v>
      </c>
      <c r="D2501" s="15">
        <v>41718.671585648146</v>
      </c>
      <c r="E2501" s="16" t="s">
        <v>16</v>
      </c>
      <c r="F2501" s="16" t="s">
        <v>16</v>
      </c>
      <c r="G2501" s="17" t="s">
        <v>30</v>
      </c>
      <c r="H2501" s="17" t="s">
        <v>947</v>
      </c>
      <c r="I2501" s="13" t="s">
        <v>7688</v>
      </c>
      <c r="J2501" s="23" t="str">
        <f>HYPERLINK("CorLog\ALL\20140320 RDC ALL MOZ Dondo WWT Soakaway High Water Table OZONATION (RDC-to-RDC).msg", "MOZ Dondo WWT Soakaway High Water Table OZONATION")</f>
        <v>MOZ Dondo WWT Soakaway High Water Table OZONATION</v>
      </c>
      <c r="K2501" s="25" t="s">
        <v>1211</v>
      </c>
      <c r="L2501" s="19"/>
      <c r="M2501" s="20"/>
      <c r="N2501" s="21" t="s">
        <v>7689</v>
      </c>
    </row>
    <row r="2502" spans="1:14">
      <c r="A2502" s="12" t="s">
        <v>2016</v>
      </c>
      <c r="B2502" s="13" t="s">
        <v>718</v>
      </c>
      <c r="C2502" s="14" t="s">
        <v>771</v>
      </c>
      <c r="D2502" s="15">
        <v>41718.473807870374</v>
      </c>
      <c r="E2502" s="16" t="s">
        <v>16</v>
      </c>
      <c r="F2502" s="16" t="s">
        <v>16</v>
      </c>
      <c r="G2502" s="17" t="s">
        <v>1169</v>
      </c>
      <c r="H2502" s="17" t="s">
        <v>1000</v>
      </c>
      <c r="I2502" s="13" t="s">
        <v>7690</v>
      </c>
      <c r="J2502" s="23" t="str">
        <f>HYPERLINK("CorLog\COD\Kikwit RTO\20140320 COD Kikwit RTO RTO Meeting Minutes #5 (RDC-to-RDC).msg", "RTO Meeting Minutes #5")</f>
        <v>RTO Meeting Minutes #5</v>
      </c>
      <c r="K2502" s="25" t="s">
        <v>1243</v>
      </c>
      <c r="L2502" s="19"/>
      <c r="M2502" s="20"/>
      <c r="N2502" s="21" t="s">
        <v>7691</v>
      </c>
    </row>
    <row r="2503" spans="1:14">
      <c r="A2503" s="12" t="s">
        <v>874</v>
      </c>
      <c r="B2503" s="13"/>
      <c r="C2503" s="14"/>
      <c r="D2503" s="15">
        <v>41718</v>
      </c>
      <c r="E2503" s="16" t="s">
        <v>25</v>
      </c>
      <c r="F2503" s="16" t="s">
        <v>30</v>
      </c>
      <c r="G2503" s="17" t="s">
        <v>2022</v>
      </c>
      <c r="H2503" s="17" t="s">
        <v>1000</v>
      </c>
      <c r="I2503" s="13" t="s">
        <v>7692</v>
      </c>
      <c r="J2503" s="23" t="str">
        <f>HYPERLINK("CorLog\Directive\20140320 Directive Remote Translation Office Facility Approvals (WHQ-to-ALL).doc", "Remote Translation Office Facility Approvals")</f>
        <v>Remote Translation Office Facility Approvals</v>
      </c>
      <c r="K2503" s="25"/>
      <c r="L2503" s="19"/>
      <c r="M2503" s="20"/>
      <c r="N2503" s="21" t="s">
        <v>7693</v>
      </c>
    </row>
    <row r="2504" spans="1:14">
      <c r="A2504" s="12" t="s">
        <v>750</v>
      </c>
      <c r="B2504" s="13" t="s">
        <v>718</v>
      </c>
      <c r="C2504" s="14" t="s">
        <v>724</v>
      </c>
      <c r="D2504" s="15">
        <v>41717.702430555553</v>
      </c>
      <c r="E2504" s="16" t="s">
        <v>16</v>
      </c>
      <c r="F2504" s="16" t="s">
        <v>16</v>
      </c>
      <c r="G2504" s="17" t="s">
        <v>1112</v>
      </c>
      <c r="H2504" s="17" t="s">
        <v>2713</v>
      </c>
      <c r="I2504" s="13" t="s">
        <v>7611</v>
      </c>
      <c r="J2504" s="23" t="str">
        <f>HYPERLINK("CorLog\ZMB\BEX\20140319 ZMB BEX Crush Results March 19, 2014 (RDC-to-RDC).msg", "Crush Results March 19, 2014")</f>
        <v>Crush Results March 19, 2014</v>
      </c>
      <c r="K2504" s="25" t="s">
        <v>1243</v>
      </c>
      <c r="L2504" s="19"/>
      <c r="M2504" s="20"/>
      <c r="N2504" s="21" t="s">
        <v>7694</v>
      </c>
    </row>
    <row r="2505" spans="1:14">
      <c r="A2505" s="12" t="s">
        <v>1043</v>
      </c>
      <c r="B2505" s="13"/>
      <c r="C2505" s="14"/>
      <c r="D2505" s="15">
        <v>41717</v>
      </c>
      <c r="E2505" s="16" t="s">
        <v>25</v>
      </c>
      <c r="F2505" s="16" t="s">
        <v>21</v>
      </c>
      <c r="G2505" s="17" t="s">
        <v>738</v>
      </c>
      <c r="H2505" s="17" t="s">
        <v>1000</v>
      </c>
      <c r="I2505" s="13" t="s">
        <v>7695</v>
      </c>
      <c r="J2505" s="18" t="str">
        <f>HYPERLINK("CorLog\GHA\BEX 2\20140319 GHA BEX 2 Ghana—Long-Term Needs for Branch Expansion (WHQ-to-GHA).doc", "Ghana—Long-Term Needs for Branch Expansion")</f>
        <v>Ghana—Long-Term Needs for Branch Expansion</v>
      </c>
      <c r="K2505" s="22"/>
      <c r="L2505" s="19" t="s">
        <v>7696</v>
      </c>
      <c r="M2505" s="20"/>
      <c r="N2505" s="21" t="s">
        <v>7697</v>
      </c>
    </row>
    <row r="2506" spans="1:14">
      <c r="A2506" s="12" t="s">
        <v>718</v>
      </c>
      <c r="B2506" s="13" t="s">
        <v>842</v>
      </c>
      <c r="C2506" s="14" t="s">
        <v>7698</v>
      </c>
      <c r="D2506" s="15">
        <v>41715.673078703701</v>
      </c>
      <c r="E2506" s="16" t="s">
        <v>16</v>
      </c>
      <c r="F2506" s="16" t="s">
        <v>21</v>
      </c>
      <c r="G2506" s="17" t="s">
        <v>758</v>
      </c>
      <c r="H2506" s="17" t="s">
        <v>1477</v>
      </c>
      <c r="I2506" s="13" t="s">
        <v>7699</v>
      </c>
      <c r="J2506" s="23" t="str">
        <f>HYPERLINK("CorLog\GHA\Viepe RTO\20140317 GHA Viepe RTO Revised water connection quotation [APPROVED] (RDC-to-GHA).msg", "Revised water connection quotation [APPROVED]")</f>
        <v>Revised water connection quotation [APPROVED]</v>
      </c>
      <c r="K2506" s="25"/>
      <c r="L2506" s="19"/>
      <c r="M2506" s="20"/>
      <c r="N2506" s="21" t="s">
        <v>7700</v>
      </c>
    </row>
    <row r="2507" spans="1:14">
      <c r="A2507" s="12" t="s">
        <v>718</v>
      </c>
      <c r="B2507" s="13" t="s">
        <v>5413</v>
      </c>
      <c r="C2507" s="14" t="s">
        <v>7701</v>
      </c>
      <c r="D2507" s="15">
        <v>41715.590844907405</v>
      </c>
      <c r="E2507" s="16" t="s">
        <v>16</v>
      </c>
      <c r="F2507" s="16" t="s">
        <v>21</v>
      </c>
      <c r="G2507" s="17" t="s">
        <v>790</v>
      </c>
      <c r="H2507" s="17" t="s">
        <v>1562</v>
      </c>
      <c r="I2507" s="13" t="s">
        <v>7702</v>
      </c>
      <c r="J2507" s="23" t="str">
        <f>HYPERLINK("CorLog\GHA\BEX\20140317 GHA BEX Revised roof structure quotation from MiTek (RDC-to-GHA).msg", "Revised roof structure quotation from MiTek")</f>
        <v>Revised roof structure quotation from MiTek</v>
      </c>
      <c r="K2507" s="25" t="s">
        <v>1369</v>
      </c>
      <c r="L2507" s="19"/>
      <c r="M2507" s="20"/>
      <c r="N2507" s="21" t="s">
        <v>7703</v>
      </c>
    </row>
    <row r="2508" spans="1:14">
      <c r="A2508" s="12" t="s">
        <v>718</v>
      </c>
      <c r="B2508" s="13" t="s">
        <v>750</v>
      </c>
      <c r="C2508" s="14" t="s">
        <v>723</v>
      </c>
      <c r="D2508" s="15">
        <v>41715.554560185185</v>
      </c>
      <c r="E2508" s="16" t="s">
        <v>16</v>
      </c>
      <c r="F2508" s="16" t="s">
        <v>16</v>
      </c>
      <c r="G2508" s="17" t="s">
        <v>790</v>
      </c>
      <c r="H2508" s="17" t="s">
        <v>2713</v>
      </c>
      <c r="I2508" s="13" t="s">
        <v>7704</v>
      </c>
      <c r="J2508" s="23" t="str">
        <f>HYPERLINK("CorLog\GHA\BEX\20140317 GHA BEX Brick and CMU Block crush test reusults (RDC-to-RDC).msg", "Brick and CMU Block crush test reusults")</f>
        <v>Brick and CMU Block crush test reusults</v>
      </c>
      <c r="K2508" s="25" t="s">
        <v>1274</v>
      </c>
      <c r="L2508" s="19"/>
      <c r="M2508" s="20"/>
      <c r="N2508" s="21" t="s">
        <v>7705</v>
      </c>
    </row>
    <row r="2509" spans="1:14">
      <c r="A2509" s="12" t="s">
        <v>842</v>
      </c>
      <c r="B2509" s="13" t="s">
        <v>718</v>
      </c>
      <c r="C2509" s="14" t="s">
        <v>6529</v>
      </c>
      <c r="D2509" s="15">
        <v>41715.522372685184</v>
      </c>
      <c r="E2509" s="16" t="s">
        <v>21</v>
      </c>
      <c r="F2509" s="16" t="s">
        <v>16</v>
      </c>
      <c r="G2509" s="17" t="s">
        <v>758</v>
      </c>
      <c r="H2509" s="17" t="s">
        <v>1477</v>
      </c>
      <c r="I2509" s="13" t="s">
        <v>7706</v>
      </c>
      <c r="J2509" s="23" t="str">
        <f>HYPERLINK("CorLog\GHA\Viepe RTO\20140317 GHA Viepe RTO Revised water connection quotation (GHA-to-RDC).msg", "Revised water connection quotation")</f>
        <v>Revised water connection quotation</v>
      </c>
      <c r="K2509" s="25" t="s">
        <v>1274</v>
      </c>
      <c r="L2509" s="19"/>
      <c r="M2509" s="20"/>
      <c r="N2509" s="21" t="s">
        <v>7707</v>
      </c>
    </row>
    <row r="2510" spans="1:14">
      <c r="A2510" s="12" t="s">
        <v>842</v>
      </c>
      <c r="B2510" s="13" t="s">
        <v>718</v>
      </c>
      <c r="C2510" s="14" t="s">
        <v>7708</v>
      </c>
      <c r="D2510" s="15">
        <v>41715.433981481481</v>
      </c>
      <c r="E2510" s="16" t="s">
        <v>21</v>
      </c>
      <c r="F2510" s="16" t="s">
        <v>16</v>
      </c>
      <c r="G2510" s="17" t="s">
        <v>790</v>
      </c>
      <c r="H2510" s="17" t="s">
        <v>2713</v>
      </c>
      <c r="I2510" s="13" t="s">
        <v>7709</v>
      </c>
      <c r="J2510" s="23" t="str">
        <f>HYPERLINK("CorLog\GHA\BEX\20140317 GHA BEX Solid block information (GHA-to-RDC).msg", "Solid block information")</f>
        <v>Solid block information</v>
      </c>
      <c r="K2510" s="25" t="s">
        <v>1211</v>
      </c>
      <c r="L2510" s="19"/>
      <c r="M2510" s="20"/>
      <c r="N2510" s="21" t="s">
        <v>7710</v>
      </c>
    </row>
    <row r="2511" spans="1:14">
      <c r="A2511" s="12" t="s">
        <v>750</v>
      </c>
      <c r="B2511" s="13" t="s">
        <v>5804</v>
      </c>
      <c r="C2511" s="14" t="s">
        <v>718</v>
      </c>
      <c r="D2511" s="15">
        <v>41712.423344907409</v>
      </c>
      <c r="E2511" s="16" t="s">
        <v>16</v>
      </c>
      <c r="F2511" s="16" t="s">
        <v>16</v>
      </c>
      <c r="G2511" s="17" t="s">
        <v>738</v>
      </c>
      <c r="H2511" s="17" t="s">
        <v>867</v>
      </c>
      <c r="I2511" s="13" t="s">
        <v>7711</v>
      </c>
      <c r="J2511" s="23" t="str">
        <f>HYPERLINK("CorLog\GHA\BEX 2\20140314 GHA BEX 2 ROM Long-Term Estimates for Branch Expansion (RDC-to-RDC).msg", "ROM Long-Term Estimates for Branch Expansion")</f>
        <v>ROM Long-Term Estimates for Branch Expansion</v>
      </c>
      <c r="K2511" s="25" t="s">
        <v>1211</v>
      </c>
      <c r="L2511" s="19"/>
      <c r="M2511" s="20"/>
      <c r="N2511" s="21" t="s">
        <v>7712</v>
      </c>
    </row>
    <row r="2512" spans="1:14">
      <c r="A2512" s="12" t="s">
        <v>718</v>
      </c>
      <c r="B2512" s="13" t="s">
        <v>5413</v>
      </c>
      <c r="C2512" s="14" t="s">
        <v>7682</v>
      </c>
      <c r="D2512" s="15">
        <v>41712.404710648145</v>
      </c>
      <c r="E2512" s="16" t="s">
        <v>16</v>
      </c>
      <c r="F2512" s="16" t="s">
        <v>21</v>
      </c>
      <c r="G2512" s="17" t="s">
        <v>790</v>
      </c>
      <c r="H2512" s="17" t="s">
        <v>6782</v>
      </c>
      <c r="I2512" s="13" t="s">
        <v>7713</v>
      </c>
      <c r="J2512" s="23" t="str">
        <f>HYPERLINK("CorLog\GHA\BEX\20140314 GHA BEX Burglar bar options for Residences (RDC-to-GHA).msg", "Burglar bar options for Residences")</f>
        <v>Burglar bar options for Residences</v>
      </c>
      <c r="K2512" s="25" t="s">
        <v>1211</v>
      </c>
      <c r="L2512" s="19"/>
      <c r="M2512" s="20"/>
      <c r="N2512" s="21" t="s">
        <v>7714</v>
      </c>
    </row>
    <row r="2513" spans="1:14">
      <c r="A2513" s="12" t="s">
        <v>718</v>
      </c>
      <c r="B2513" s="13" t="s">
        <v>5413</v>
      </c>
      <c r="C2513" s="14" t="s">
        <v>7715</v>
      </c>
      <c r="D2513" s="15">
        <v>41711.730185185188</v>
      </c>
      <c r="E2513" s="16" t="s">
        <v>16</v>
      </c>
      <c r="F2513" s="16" t="s">
        <v>21</v>
      </c>
      <c r="G2513" s="17" t="s">
        <v>790</v>
      </c>
      <c r="H2513" s="17" t="s">
        <v>1347</v>
      </c>
      <c r="I2513" s="13" t="s">
        <v>7716</v>
      </c>
      <c r="J2513" s="23" t="str">
        <f>HYPERLINK("CorLog\GHA\BEX\20140313 GHA BEX Fibre optic cable, Request 4193 Lines 240-270 (RDC-to-GHA).msg", "Fibre optic cable, Request 4193 Lines 240-270")</f>
        <v>Fibre optic cable, Request 4193 Lines 240-270</v>
      </c>
      <c r="K2513" s="25" t="s">
        <v>1211</v>
      </c>
      <c r="L2513" s="19"/>
      <c r="M2513" s="20"/>
      <c r="N2513" s="21" t="s">
        <v>7717</v>
      </c>
    </row>
    <row r="2514" spans="1:14">
      <c r="A2514" s="12" t="s">
        <v>718</v>
      </c>
      <c r="B2514" s="13" t="s">
        <v>5970</v>
      </c>
      <c r="C2514" s="14" t="s">
        <v>7718</v>
      </c>
      <c r="D2514" s="15">
        <v>41711.724247685182</v>
      </c>
      <c r="E2514" s="16" t="s">
        <v>16</v>
      </c>
      <c r="F2514" s="16" t="s">
        <v>16</v>
      </c>
      <c r="G2514" s="17" t="s">
        <v>30</v>
      </c>
      <c r="H2514" s="17" t="s">
        <v>1426</v>
      </c>
      <c r="I2514" s="13" t="s">
        <v>7719</v>
      </c>
      <c r="J2514" s="23" t="str">
        <f>HYPERLINK("CorLog\ALL\20140313 Electronic Access Control - Product Price Inquiry (RDC-to-).msg", "Electronic Access Control - Product Price Inquiry")</f>
        <v>Electronic Access Control - Product Price Inquiry</v>
      </c>
      <c r="K2514" s="25" t="s">
        <v>1626</v>
      </c>
      <c r="L2514" s="19"/>
      <c r="M2514" s="20"/>
      <c r="N2514" s="21" t="s">
        <v>7720</v>
      </c>
    </row>
    <row r="2515" spans="1:14">
      <c r="A2515" s="12" t="s">
        <v>2195</v>
      </c>
      <c r="B2515" s="13" t="s">
        <v>718</v>
      </c>
      <c r="C2515" s="14" t="s">
        <v>2016</v>
      </c>
      <c r="D2515" s="15">
        <v>41711.666539351849</v>
      </c>
      <c r="E2515" s="16" t="s">
        <v>935</v>
      </c>
      <c r="F2515" s="16" t="s">
        <v>16</v>
      </c>
      <c r="G2515" s="17" t="s">
        <v>1169</v>
      </c>
      <c r="H2515" s="17" t="s">
        <v>871</v>
      </c>
      <c r="I2515" s="13" t="s">
        <v>7635</v>
      </c>
      <c r="J2515" s="23" t="str">
        <f>HYPERLINK("CorLog\COD\Kikwit RTO\20140313 COD Kikwit RTO Draft Procurement Plan approved (GPD-to-RDC).msg", "Draft Procurement Plan approved")</f>
        <v>Draft Procurement Plan approved</v>
      </c>
      <c r="K2515" s="25"/>
      <c r="L2515" s="19"/>
      <c r="M2515" s="20"/>
      <c r="N2515" s="21" t="s">
        <v>7721</v>
      </c>
    </row>
    <row r="2516" spans="1:14">
      <c r="A2516" s="12" t="s">
        <v>2195</v>
      </c>
      <c r="B2516" s="13" t="s">
        <v>718</v>
      </c>
      <c r="C2516" s="14" t="s">
        <v>723</v>
      </c>
      <c r="D2516" s="15">
        <v>41711.664826388886</v>
      </c>
      <c r="E2516" s="16" t="s">
        <v>935</v>
      </c>
      <c r="F2516" s="16" t="s">
        <v>16</v>
      </c>
      <c r="G2516" s="17" t="s">
        <v>758</v>
      </c>
      <c r="H2516" s="17" t="s">
        <v>871</v>
      </c>
      <c r="I2516" s="13" t="s">
        <v>7635</v>
      </c>
      <c r="J2516" s="23" t="str">
        <f>HYPERLINK("CorLog\GHA\Viepe RTO\20140313 GHA Viepe RTO Draft Procurement Plan approved (GPD-to-RDC).msg", "Draft Procurement Plan approved")</f>
        <v>Draft Procurement Plan approved</v>
      </c>
      <c r="K2516" s="25"/>
      <c r="L2516" s="19"/>
      <c r="M2516" s="20"/>
      <c r="N2516" s="21" t="s">
        <v>7722</v>
      </c>
    </row>
    <row r="2517" spans="1:14">
      <c r="A2517" s="12" t="s">
        <v>4310</v>
      </c>
      <c r="B2517" s="13" t="s">
        <v>718</v>
      </c>
      <c r="C2517" s="14"/>
      <c r="D2517" s="15">
        <v>41711.633275462962</v>
      </c>
      <c r="E2517" s="16" t="s">
        <v>15</v>
      </c>
      <c r="F2517" s="16" t="s">
        <v>16</v>
      </c>
      <c r="G2517" s="17" t="s">
        <v>30</v>
      </c>
      <c r="H2517" s="17" t="s">
        <v>1426</v>
      </c>
      <c r="I2517" s="13" t="s">
        <v>7723</v>
      </c>
      <c r="J2517" s="23" t="str">
        <f>HYPERLINK("CorLog\ALL\20140313 ALL Price of DorTag VI Access Controller (ZAF-to-RDC).msg", "Price of DorTag VI Access Controller")</f>
        <v>Price of DorTag VI Access Controller</v>
      </c>
      <c r="K2517" s="25" t="s">
        <v>1243</v>
      </c>
      <c r="L2517" s="19"/>
      <c r="M2517" s="20"/>
      <c r="N2517" s="21" t="s">
        <v>7724</v>
      </c>
    </row>
    <row r="2518" spans="1:14">
      <c r="A2518" s="12" t="s">
        <v>5207</v>
      </c>
      <c r="B2518" s="13" t="s">
        <v>718</v>
      </c>
      <c r="C2518" s="14" t="s">
        <v>7725</v>
      </c>
      <c r="D2518" s="15">
        <v>41711.571574074071</v>
      </c>
      <c r="E2518" s="16" t="s">
        <v>16</v>
      </c>
      <c r="F2518" s="16" t="s">
        <v>16</v>
      </c>
      <c r="G2518" s="17" t="s">
        <v>979</v>
      </c>
      <c r="H2518" s="17" t="s">
        <v>1347</v>
      </c>
      <c r="I2518" s="13" t="s">
        <v>7726</v>
      </c>
      <c r="J2518" s="23" t="str">
        <f>HYPERLINK("CorLog\RTO\Projects\20140313 RTO Projects Installation of network systems in RTO's (RDC-to-RDC).msg", "Installation of network systems in RTO's")</f>
        <v>Installation of network systems in RTO's</v>
      </c>
      <c r="K2518" s="25" t="s">
        <v>1211</v>
      </c>
      <c r="L2518" s="19"/>
      <c r="M2518" s="20"/>
      <c r="N2518" s="21" t="s">
        <v>7727</v>
      </c>
    </row>
    <row r="2519" spans="1:14">
      <c r="A2519" s="12" t="s">
        <v>718</v>
      </c>
      <c r="B2519" s="13" t="s">
        <v>6487</v>
      </c>
      <c r="C2519" s="14" t="s">
        <v>7728</v>
      </c>
      <c r="D2519" s="15">
        <v>41710.708148148151</v>
      </c>
      <c r="E2519" s="16" t="s">
        <v>16</v>
      </c>
      <c r="F2519" s="16" t="s">
        <v>22</v>
      </c>
      <c r="G2519" s="17" t="s">
        <v>2627</v>
      </c>
      <c r="H2519" s="17" t="s">
        <v>829</v>
      </c>
      <c r="I2519" s="13" t="s">
        <v>7729</v>
      </c>
      <c r="J2519" s="23" t="str">
        <f>HYPERLINK("CorLog\COD\Kamina RTO\20140312 COD Kamina RTO Electrolux NLBR approved (RDC-to-COD).msg", "Electrolux NLBR approved")</f>
        <v>Electrolux NLBR approved</v>
      </c>
      <c r="K2519" s="25" t="s">
        <v>1211</v>
      </c>
      <c r="L2519" s="19"/>
      <c r="M2519" s="20"/>
      <c r="N2519" s="21" t="s">
        <v>7730</v>
      </c>
    </row>
    <row r="2520" spans="1:14">
      <c r="A2520" s="12" t="s">
        <v>2202</v>
      </c>
      <c r="B2520" s="13" t="s">
        <v>5860</v>
      </c>
      <c r="C2520" s="14" t="s">
        <v>7731</v>
      </c>
      <c r="D2520" s="15">
        <v>41710.678113425929</v>
      </c>
      <c r="E2520" s="16" t="s">
        <v>7347</v>
      </c>
      <c r="F2520" s="16" t="s">
        <v>16</v>
      </c>
      <c r="G2520" s="17" t="s">
        <v>1070</v>
      </c>
      <c r="H2520" s="17" t="s">
        <v>867</v>
      </c>
      <c r="I2520" s="13" t="s">
        <v>7732</v>
      </c>
      <c r="J2520" s="23" t="str">
        <f>HYPERLINK("CorLog\ZMB\Katete RTO\20140312 ZMB Katete RTO; CHECKED ZMB0021 AO6 1 ZAMBIA KATETE AO-6#1 (CTP-to-RDC).msg", "CHECKED ZMB0021 AO6 1 ZAMBIA KATETE AO-6#1")</f>
        <v>CHECKED ZMB0021 AO6 1 ZAMBIA KATETE AO-6#1</v>
      </c>
      <c r="K2520" s="25" t="s">
        <v>1243</v>
      </c>
      <c r="L2520" s="19"/>
      <c r="M2520" s="20"/>
      <c r="N2520" s="21" t="s">
        <v>7733</v>
      </c>
    </row>
    <row r="2521" spans="1:14">
      <c r="A2521" s="12" t="s">
        <v>750</v>
      </c>
      <c r="B2521" s="13" t="s">
        <v>5567</v>
      </c>
      <c r="C2521" s="14" t="s">
        <v>6186</v>
      </c>
      <c r="D2521" s="15">
        <v>41710.667210648149</v>
      </c>
      <c r="E2521" s="16" t="s">
        <v>16</v>
      </c>
      <c r="F2521" s="16" t="s">
        <v>15</v>
      </c>
      <c r="G2521" s="17" t="s">
        <v>2627</v>
      </c>
      <c r="H2521" s="17" t="s">
        <v>1565</v>
      </c>
      <c r="I2521" s="13" t="s">
        <v>7734</v>
      </c>
      <c r="J2521" s="23" t="str">
        <f>HYPERLINK("CorLog\COD\Kamina RTO\20140312 COD Kamina RTO MITEK Shop drawings OK (RDC-to-ZAF).msg", "MITEK Shop drawings OK")</f>
        <v>MITEK Shop drawings OK</v>
      </c>
      <c r="K2521" s="25"/>
      <c r="L2521" s="19"/>
      <c r="M2521" s="20"/>
      <c r="N2521" s="21" t="s">
        <v>7735</v>
      </c>
    </row>
    <row r="2522" spans="1:14">
      <c r="A2522" s="12" t="s">
        <v>718</v>
      </c>
      <c r="B2522" s="13" t="s">
        <v>5413</v>
      </c>
      <c r="C2522" s="14" t="s">
        <v>7736</v>
      </c>
      <c r="D2522" s="15">
        <v>41710.55809027778</v>
      </c>
      <c r="E2522" s="16" t="s">
        <v>16</v>
      </c>
      <c r="F2522" s="16" t="s">
        <v>21</v>
      </c>
      <c r="G2522" s="17" t="s">
        <v>790</v>
      </c>
      <c r="H2522" s="17" t="s">
        <v>947</v>
      </c>
      <c r="I2522" s="13" t="s">
        <v>7737</v>
      </c>
      <c r="J2522" s="23" t="str">
        <f>HYPERLINK("CorLog\GHA\BEX\20140312 GHA BEX NLBR GHA4160 Line 80 Ribbon marker barrier tape [OPTIONS] (RDC-to-GHA).msg", "NLBR GHA4160 Line 80 Ribbon marker barrier tape [OPTIONS]")</f>
        <v>NLBR GHA4160 Line 80 Ribbon marker barrier tape [OPTIONS]</v>
      </c>
      <c r="K2522" s="25"/>
      <c r="L2522" s="19"/>
      <c r="M2522" s="20"/>
      <c r="N2522" s="21" t="s">
        <v>7738</v>
      </c>
    </row>
    <row r="2523" spans="1:14">
      <c r="A2523" s="12" t="s">
        <v>750</v>
      </c>
      <c r="B2523" s="13" t="s">
        <v>718</v>
      </c>
      <c r="C2523" s="14" t="s">
        <v>724</v>
      </c>
      <c r="D2523" s="15">
        <v>41710.346192129633</v>
      </c>
      <c r="E2523" s="16" t="s">
        <v>16</v>
      </c>
      <c r="F2523" s="16" t="s">
        <v>16</v>
      </c>
      <c r="G2523" s="17" t="s">
        <v>790</v>
      </c>
      <c r="H2523" s="17" t="s">
        <v>7342</v>
      </c>
      <c r="I2523" s="13" t="s">
        <v>7739</v>
      </c>
      <c r="J2523" s="23" t="str">
        <f>HYPERLINK("CorLog\GHA\BEX\20140312 GHA BEX GHA - High Water Table &amp; Geotech Challenges (URGENT) (RDC-to-RDC).msg", "GHA - High Water Table &amp; Geotech Challenges (URGENT)")</f>
        <v>GHA - High Water Table &amp; Geotech Challenges (URGENT)</v>
      </c>
      <c r="K2523" s="25" t="s">
        <v>1270</v>
      </c>
      <c r="L2523" s="19" t="s">
        <v>7740</v>
      </c>
      <c r="M2523" s="20"/>
      <c r="N2523" s="21" t="s">
        <v>7741</v>
      </c>
    </row>
    <row r="2524" spans="1:14">
      <c r="A2524" s="12" t="s">
        <v>2202</v>
      </c>
      <c r="B2524" s="13" t="s">
        <v>5860</v>
      </c>
      <c r="C2524" s="14" t="s">
        <v>7731</v>
      </c>
      <c r="D2524" s="15">
        <v>41709.616157407407</v>
      </c>
      <c r="E2524" s="16" t="s">
        <v>24</v>
      </c>
      <c r="F2524" s="16" t="s">
        <v>16</v>
      </c>
      <c r="G2524" s="17" t="s">
        <v>857</v>
      </c>
      <c r="H2524" s="17" t="s">
        <v>867</v>
      </c>
      <c r="I2524" s="13" t="s">
        <v>7742</v>
      </c>
      <c r="J2524" s="23" t="str">
        <f>HYPERLINK("CorLog\GHA\Kikam RTO\20140311 GHA Kikam RTO CHECKED GHA0014 AO6 1 GHANA KIKAM RTO (USA-to-RDC).msg", "CHECKED GHA0014 AO6 1 GHANA KIKAM RTO")</f>
        <v>CHECKED GHA0014 AO6 1 GHANA KIKAM RTO</v>
      </c>
      <c r="K2524" s="25" t="s">
        <v>1243</v>
      </c>
      <c r="L2524" s="19"/>
      <c r="M2524" s="20"/>
      <c r="N2524" s="21" t="s">
        <v>7743</v>
      </c>
    </row>
    <row r="2525" spans="1:14">
      <c r="A2525" s="12" t="s">
        <v>718</v>
      </c>
      <c r="B2525" s="13" t="s">
        <v>6487</v>
      </c>
      <c r="C2525" s="14" t="s">
        <v>6406</v>
      </c>
      <c r="D2525" s="15">
        <v>41709.473136574074</v>
      </c>
      <c r="E2525" s="16" t="s">
        <v>16</v>
      </c>
      <c r="F2525" s="16" t="s">
        <v>22</v>
      </c>
      <c r="G2525" s="17" t="s">
        <v>2627</v>
      </c>
      <c r="H2525" s="17" t="s">
        <v>6489</v>
      </c>
      <c r="I2525" s="13" t="s">
        <v>7744</v>
      </c>
      <c r="J2525" s="23" t="str">
        <f>HYPERLINK("CorLog\COD\Kamina RTO\20140311 COD Kamina RTO Reinaerdt Sound Door offer -RFQ51868 - COD6371 - ID349 (RDC-to-COD).msg", "Reinaerdt Sound Door offer -RFQ51868 - COD6371 - ID349")</f>
        <v>Reinaerdt Sound Door offer -RFQ51868 - COD6371 - ID349</v>
      </c>
      <c r="K2525" s="25" t="s">
        <v>1274</v>
      </c>
      <c r="L2525" s="19"/>
      <c r="M2525" s="20"/>
      <c r="N2525" s="21" t="s">
        <v>7745</v>
      </c>
    </row>
    <row r="2526" spans="1:14">
      <c r="A2526" s="12" t="s">
        <v>718</v>
      </c>
      <c r="B2526" s="13" t="s">
        <v>4310</v>
      </c>
      <c r="C2526" s="14" t="s">
        <v>4286</v>
      </c>
      <c r="D2526" s="15">
        <v>41709.351388888892</v>
      </c>
      <c r="E2526" s="16" t="s">
        <v>16</v>
      </c>
      <c r="F2526" s="16" t="s">
        <v>15</v>
      </c>
      <c r="G2526" s="17" t="s">
        <v>7162</v>
      </c>
      <c r="H2526" s="17" t="s">
        <v>1426</v>
      </c>
      <c r="I2526" s="13" t="s">
        <v>7746</v>
      </c>
      <c r="J2526" s="23" t="str">
        <f>HYPERLINK("CorLog\BDI\Branch\20140311 BDI Branch Request to replace the complete Branch key system (RDC-to-ZAF).msg", "Request to replace the complete Branch key system")</f>
        <v>Request to replace the complete Branch key system</v>
      </c>
      <c r="K2526" s="25" t="s">
        <v>1211</v>
      </c>
      <c r="L2526" s="19"/>
      <c r="M2526" s="20"/>
      <c r="N2526" s="21" t="s">
        <v>7747</v>
      </c>
    </row>
    <row r="2527" spans="1:14">
      <c r="A2527" s="12" t="s">
        <v>718</v>
      </c>
      <c r="B2527" s="13" t="s">
        <v>750</v>
      </c>
      <c r="C2527" s="14" t="s">
        <v>723</v>
      </c>
      <c r="D2527" s="15">
        <v>41708.587500000001</v>
      </c>
      <c r="E2527" s="16" t="s">
        <v>16</v>
      </c>
      <c r="F2527" s="16" t="s">
        <v>16</v>
      </c>
      <c r="G2527" s="17" t="s">
        <v>758</v>
      </c>
      <c r="H2527" s="17" t="s">
        <v>854</v>
      </c>
      <c r="I2527" s="13" t="s">
        <v>7622</v>
      </c>
      <c r="J2527" s="23" t="str">
        <f>HYPERLINK("CorLog\GHA\Viepe RTO\20140310 GHA Viepe RTO Need to review major compaction of foundation soil (RDC-to-RDC).msg", "Need to review major compaction of foundation soil")</f>
        <v>Need to review major compaction of foundation soil</v>
      </c>
      <c r="K2527" s="25" t="s">
        <v>1211</v>
      </c>
      <c r="L2527" s="19"/>
      <c r="M2527" s="20"/>
      <c r="N2527" s="21" t="s">
        <v>7748</v>
      </c>
    </row>
    <row r="2528" spans="1:14">
      <c r="A2528" s="12" t="s">
        <v>718</v>
      </c>
      <c r="B2528" s="13" t="s">
        <v>5413</v>
      </c>
      <c r="C2528" s="14" t="s">
        <v>7749</v>
      </c>
      <c r="D2528" s="15">
        <v>41708.465624999997</v>
      </c>
      <c r="E2528" s="16" t="s">
        <v>16</v>
      </c>
      <c r="F2528" s="16" t="s">
        <v>21</v>
      </c>
      <c r="G2528" s="17" t="s">
        <v>790</v>
      </c>
      <c r="H2528" s="17" t="s">
        <v>1562</v>
      </c>
      <c r="I2528" s="13" t="s">
        <v>7750</v>
      </c>
      <c r="J2528" s="23" t="str">
        <f>HYPERLINK("CorLog\GHA\BEX\20140310 GHA BEX Roof Structure, Mitek order process, +10% (RDC-to-GHA).msg", "Roof Structure, Mitek order process, +10%")</f>
        <v>Roof Structure, Mitek order process, +10%</v>
      </c>
      <c r="K2528" s="25" t="s">
        <v>1211</v>
      </c>
      <c r="L2528" s="19"/>
      <c r="M2528" s="20"/>
      <c r="N2528" s="21" t="s">
        <v>7751</v>
      </c>
    </row>
    <row r="2529" spans="1:14">
      <c r="A2529" s="12" t="s">
        <v>718</v>
      </c>
      <c r="B2529" s="13" t="s">
        <v>972</v>
      </c>
      <c r="C2529" s="14" t="s">
        <v>1304</v>
      </c>
      <c r="D2529" s="15">
        <v>41708.373680555553</v>
      </c>
      <c r="E2529" s="16" t="s">
        <v>16</v>
      </c>
      <c r="F2529" s="16" t="s">
        <v>18</v>
      </c>
      <c r="G2529" s="17" t="s">
        <v>1112</v>
      </c>
      <c r="H2529" s="17" t="s">
        <v>2713</v>
      </c>
      <c r="I2529" s="13" t="s">
        <v>7752</v>
      </c>
      <c r="J2529" s="23" t="str">
        <f>HYPERLINK("CorLog\ZMB\BEX\20140310 ZMB BEX ZMB RTO Crush test March 6 2014 (RDC-to-ZMB).msg", "ZMB RTO Crush test March 6 2014")</f>
        <v>ZMB RTO Crush test March 6 2014</v>
      </c>
      <c r="K2529" s="25"/>
      <c r="L2529" s="19"/>
      <c r="M2529" s="20"/>
      <c r="N2529" s="21" t="s">
        <v>7753</v>
      </c>
    </row>
    <row r="2530" spans="1:14">
      <c r="A2530" s="12" t="s">
        <v>5567</v>
      </c>
      <c r="B2530" s="13" t="s">
        <v>718</v>
      </c>
      <c r="C2530" s="14"/>
      <c r="D2530" s="15">
        <v>41705.606504629628</v>
      </c>
      <c r="E2530" s="16" t="s">
        <v>15</v>
      </c>
      <c r="F2530" s="16" t="s">
        <v>16</v>
      </c>
      <c r="G2530" s="17" t="s">
        <v>30</v>
      </c>
      <c r="H2530" s="17" t="s">
        <v>1562</v>
      </c>
      <c r="I2530" s="13" t="s">
        <v>7754</v>
      </c>
      <c r="J2530" s="23" t="str">
        <f>HYPERLINK("CorLog\ALL\20140307 ALL Revised quote from Clotan (ZAF-to-RDC).msg", "Revised quote from Clotan")</f>
        <v>Revised quote from Clotan</v>
      </c>
      <c r="K2530" s="25" t="s">
        <v>1482</v>
      </c>
      <c r="L2530" s="19"/>
      <c r="M2530" s="20"/>
      <c r="N2530" s="21" t="s">
        <v>7755</v>
      </c>
    </row>
    <row r="2531" spans="1:14">
      <c r="A2531" s="12" t="s">
        <v>718</v>
      </c>
      <c r="B2531" s="13" t="s">
        <v>2673</v>
      </c>
      <c r="C2531" s="14" t="s">
        <v>1258</v>
      </c>
      <c r="D2531" s="15">
        <v>41705.556064814817</v>
      </c>
      <c r="E2531" s="16" t="s">
        <v>16</v>
      </c>
      <c r="F2531" s="16" t="s">
        <v>16</v>
      </c>
      <c r="G2531" s="17" t="s">
        <v>730</v>
      </c>
      <c r="H2531" s="17" t="s">
        <v>803</v>
      </c>
      <c r="I2531" s="13" t="s">
        <v>7756</v>
      </c>
      <c r="J2531" s="23" t="str">
        <f>HYPERLINK("CorLog\GHA\Baatsona SKE\20140307 GHA Baatsona SKE Q Rafter above wall detail (RDC-to-RDC).msg", "Q Rafter above wall detail")</f>
        <v>Q Rafter above wall detail</v>
      </c>
      <c r="K2531" s="25" t="s">
        <v>1270</v>
      </c>
      <c r="L2531" s="19"/>
      <c r="M2531" s="20"/>
      <c r="N2531" s="21" t="s">
        <v>7757</v>
      </c>
    </row>
    <row r="2532" spans="1:14">
      <c r="A2532" s="12" t="s">
        <v>972</v>
      </c>
      <c r="B2532" s="13" t="s">
        <v>4927</v>
      </c>
      <c r="C2532" s="14" t="s">
        <v>7758</v>
      </c>
      <c r="D2532" s="15">
        <v>41705.317615740743</v>
      </c>
      <c r="E2532" s="16" t="s">
        <v>18</v>
      </c>
      <c r="F2532" s="16" t="s">
        <v>18</v>
      </c>
      <c r="G2532" s="17" t="s">
        <v>1112</v>
      </c>
      <c r="H2532" s="17" t="s">
        <v>2713</v>
      </c>
      <c r="I2532" s="13" t="s">
        <v>7759</v>
      </c>
      <c r="J2532" s="23" t="str">
        <f>HYPERLINK("CorLog\ZMB\BEX\20140307 ZMB BEX Crush test March 6 2014 (ZMB-to-ZMB).msg", "Crush test March 6 2014")</f>
        <v>Crush test March 6 2014</v>
      </c>
      <c r="K2532" s="25" t="s">
        <v>1211</v>
      </c>
      <c r="L2532" s="19"/>
      <c r="M2532" s="20"/>
      <c r="N2532" s="21" t="s">
        <v>7760</v>
      </c>
    </row>
    <row r="2533" spans="1:14">
      <c r="A2533" s="12" t="s">
        <v>4349</v>
      </c>
      <c r="B2533" s="13"/>
      <c r="C2533" s="14"/>
      <c r="D2533" s="15">
        <v>41705</v>
      </c>
      <c r="E2533" s="16" t="s">
        <v>25</v>
      </c>
      <c r="F2533" s="16" t="s">
        <v>22</v>
      </c>
      <c r="G2533" s="17" t="s">
        <v>4606</v>
      </c>
      <c r="H2533" s="17" t="s">
        <v>1867</v>
      </c>
      <c r="I2533" s="13" t="s">
        <v>7761</v>
      </c>
      <c r="J2533" s="23" t="str">
        <f>HYPERLINK("CorLog\COD\BEX\20140307 COD BEX Audio Recording Facilities (WHQ-to-COD).doc", "Audio Recording Facilities")</f>
        <v>Audio Recording Facilities</v>
      </c>
      <c r="K2533" s="25" t="str">
        <f>HYPERLINK("CorLog\COD\BEX\20140307 COD BEX Audio Recording Facilities (WHQ-to-COD).zip", "Zipped")</f>
        <v>Zipped</v>
      </c>
      <c r="L2533" s="19"/>
      <c r="M2533" s="20"/>
      <c r="N2533" s="21" t="s">
        <v>7762</v>
      </c>
    </row>
    <row r="2534" spans="1:14">
      <c r="A2534" s="12" t="s">
        <v>718</v>
      </c>
      <c r="B2534" s="13" t="s">
        <v>5413</v>
      </c>
      <c r="C2534" s="14" t="s">
        <v>723</v>
      </c>
      <c r="D2534" s="15">
        <v>41704.617662037039</v>
      </c>
      <c r="E2534" s="16" t="s">
        <v>16</v>
      </c>
      <c r="F2534" s="16" t="s">
        <v>21</v>
      </c>
      <c r="G2534" s="17" t="s">
        <v>790</v>
      </c>
      <c r="H2534" s="17" t="s">
        <v>803</v>
      </c>
      <c r="I2534" s="13" t="s">
        <v>7763</v>
      </c>
      <c r="J2534" s="23" t="str">
        <f>HYPERLINK("CorLog\GHA\BEX\20140306 GHA BEX Overall site and utility layout plan KM-C-00 [NOT APPROVED FOR CONSTRUCTION] (RDC-to-GHA).msg", "Overall site and utility layout plan KM-C-00 [NOT APPROVED FOR CONSTRUCTION]")</f>
        <v>Overall site and utility layout plan KM-C-00 [NOT APPROVED FOR CONSTRUCTION]</v>
      </c>
      <c r="K2534" s="25" t="s">
        <v>1211</v>
      </c>
      <c r="L2534" s="19"/>
      <c r="M2534" s="20"/>
      <c r="N2534" s="21" t="s">
        <v>7764</v>
      </c>
    </row>
    <row r="2535" spans="1:14">
      <c r="A2535" s="12" t="s">
        <v>750</v>
      </c>
      <c r="B2535" s="13" t="s">
        <v>718</v>
      </c>
      <c r="C2535" s="14" t="s">
        <v>7765</v>
      </c>
      <c r="D2535" s="15">
        <v>41703.881273148145</v>
      </c>
      <c r="E2535" s="16" t="s">
        <v>16</v>
      </c>
      <c r="F2535" s="16" t="s">
        <v>16</v>
      </c>
      <c r="G2535" s="17" t="s">
        <v>790</v>
      </c>
      <c r="H2535" s="17" t="s">
        <v>851</v>
      </c>
      <c r="I2535" s="13" t="s">
        <v>7766</v>
      </c>
      <c r="J2535" s="23" t="str">
        <f>HYPERLINK("CorLog\GHA\BEX\20140305 GHA BEX DCP tests (20140228) - Prelim Analysis (RDC-to-RDC).msg", "DCP tests (20140228) - Prelim Analysis")</f>
        <v>DCP tests (20140228) - Prelim Analysis</v>
      </c>
      <c r="K2535" s="25"/>
      <c r="L2535" s="19"/>
      <c r="M2535" s="20"/>
      <c r="N2535" s="21" t="s">
        <v>7767</v>
      </c>
    </row>
    <row r="2536" spans="1:14">
      <c r="A2536" s="12" t="s">
        <v>718</v>
      </c>
      <c r="B2536" s="13" t="s">
        <v>750</v>
      </c>
      <c r="C2536" s="14"/>
      <c r="D2536" s="15">
        <v>41703.593009259261</v>
      </c>
      <c r="E2536" s="16" t="s">
        <v>16</v>
      </c>
      <c r="F2536" s="16" t="s">
        <v>16</v>
      </c>
      <c r="G2536" s="17" t="s">
        <v>730</v>
      </c>
      <c r="H2536" s="17" t="s">
        <v>854</v>
      </c>
      <c r="I2536" s="13" t="s">
        <v>7768</v>
      </c>
      <c r="J2536" s="23" t="str">
        <f>HYPERLINK("CorLog\GHA\Baatsona SKE\20140305 GHA Baatsona SKE GHA Baatsona SKE Struct Assess (RDC-to-RDC).msg", "GHA Baatsona SKE Struct Assess")</f>
        <v>GHA Baatsona SKE Struct Assess</v>
      </c>
      <c r="K2536" s="25"/>
      <c r="L2536" s="19" t="s">
        <v>7769</v>
      </c>
      <c r="M2536" s="20"/>
      <c r="N2536" s="21" t="s">
        <v>7770</v>
      </c>
    </row>
    <row r="2537" spans="1:14">
      <c r="A2537" s="12" t="s">
        <v>842</v>
      </c>
      <c r="B2537" s="13" t="s">
        <v>718</v>
      </c>
      <c r="C2537" s="14" t="s">
        <v>7771</v>
      </c>
      <c r="D2537" s="15">
        <v>41703.482175925928</v>
      </c>
      <c r="E2537" s="16" t="s">
        <v>21</v>
      </c>
      <c r="F2537" s="16" t="s">
        <v>16</v>
      </c>
      <c r="G2537" s="17" t="s">
        <v>758</v>
      </c>
      <c r="H2537" s="17" t="s">
        <v>1687</v>
      </c>
      <c r="I2537" s="13" t="s">
        <v>7772</v>
      </c>
      <c r="J2537" s="23" t="str">
        <f>HYPERLINK("CorLog\GHA\Viepe RTO\20140305 GHA Viepe RTO Shower curtains may be okay (GHA-to-RDC).msg", "Shower curtains may be okay")</f>
        <v>Shower curtains may be okay</v>
      </c>
      <c r="K2537" s="25"/>
      <c r="L2537" s="19"/>
      <c r="M2537" s="20"/>
      <c r="N2537" s="21" t="s">
        <v>7773</v>
      </c>
    </row>
    <row r="2538" spans="1:14">
      <c r="A2538" s="12" t="s">
        <v>718</v>
      </c>
      <c r="B2538" s="13" t="s">
        <v>724</v>
      </c>
      <c r="C2538" s="14"/>
      <c r="D2538" s="15">
        <v>41703.366805555554</v>
      </c>
      <c r="E2538" s="16" t="s">
        <v>16</v>
      </c>
      <c r="F2538" s="16" t="s">
        <v>16</v>
      </c>
      <c r="G2538" s="17" t="s">
        <v>979</v>
      </c>
      <c r="H2538" s="17" t="s">
        <v>1000</v>
      </c>
      <c r="I2538" s="13" t="s">
        <v>7774</v>
      </c>
      <c r="J2538" s="23" t="str">
        <f>HYPERLINK("CorLog\RTO\Projects\20140305 RTO Projects Thoughts of RTO speeding up RTO workflow (RDC-to-RDC).msg", "Thoughts of RTO speeding up RTO workflow")</f>
        <v>Thoughts of RTO speeding up RTO workflow</v>
      </c>
      <c r="K2538" s="25"/>
      <c r="L2538" s="19"/>
      <c r="M2538" s="20"/>
      <c r="N2538" s="21" t="s">
        <v>7775</v>
      </c>
    </row>
    <row r="2539" spans="1:14">
      <c r="A2539" s="12" t="s">
        <v>842</v>
      </c>
      <c r="B2539" s="13" t="s">
        <v>718</v>
      </c>
      <c r="C2539" s="14" t="s">
        <v>7776</v>
      </c>
      <c r="D2539" s="15">
        <v>41702.761631944442</v>
      </c>
      <c r="E2539" s="16" t="s">
        <v>21</v>
      </c>
      <c r="F2539" s="16" t="s">
        <v>16</v>
      </c>
      <c r="G2539" s="17" t="s">
        <v>730</v>
      </c>
      <c r="H2539" s="17" t="s">
        <v>854</v>
      </c>
      <c r="I2539" s="13" t="s">
        <v>7777</v>
      </c>
      <c r="J2539" s="23" t="str">
        <f>HYPERLINK("CorLog\GHA\Baatsona SKE\20140304 GHA Baatsona SKE Rafter above wall detail (GHA-to-RDC).msg", "Rafter above wall detail")</f>
        <v>Rafter above wall detail</v>
      </c>
      <c r="K2539" s="25" t="s">
        <v>1270</v>
      </c>
      <c r="L2539" s="19"/>
      <c r="M2539" s="20"/>
      <c r="N2539" s="21" t="s">
        <v>7778</v>
      </c>
    </row>
    <row r="2540" spans="1:14">
      <c r="A2540" s="12" t="s">
        <v>3631</v>
      </c>
      <c r="B2540" s="13" t="s">
        <v>718</v>
      </c>
      <c r="C2540" s="14" t="s">
        <v>7779</v>
      </c>
      <c r="D2540" s="15">
        <v>41702.484502314815</v>
      </c>
      <c r="E2540" s="16" t="s">
        <v>18</v>
      </c>
      <c r="F2540" s="16" t="s">
        <v>16</v>
      </c>
      <c r="G2540" s="17" t="s">
        <v>1112</v>
      </c>
      <c r="H2540" s="17" t="s">
        <v>886</v>
      </c>
      <c r="I2540" s="13" t="s">
        <v>7780</v>
      </c>
      <c r="J2540" s="23" t="str">
        <f>HYPERLINK("CorLog\ZMB\BEX\20140304 ZMB BEX SKE Power backup HV option 3 not feasible (ZMB-to-RDC).msg", "SKE Power backup HV option 3 not feasible")</f>
        <v>SKE Power backup HV option 3 not feasible</v>
      </c>
      <c r="K2540" s="25"/>
      <c r="L2540" s="19"/>
      <c r="M2540" s="20"/>
      <c r="N2540" s="21" t="s">
        <v>7781</v>
      </c>
    </row>
    <row r="2541" spans="1:14">
      <c r="A2541" s="12" t="s">
        <v>2016</v>
      </c>
      <c r="B2541" s="13" t="s">
        <v>718</v>
      </c>
      <c r="C2541" s="14"/>
      <c r="D2541" s="15">
        <v>41702.369108796294</v>
      </c>
      <c r="E2541" s="16" t="s">
        <v>16</v>
      </c>
      <c r="F2541" s="16" t="s">
        <v>16</v>
      </c>
      <c r="G2541" s="17" t="s">
        <v>979</v>
      </c>
      <c r="H2541" s="17" t="s">
        <v>871</v>
      </c>
      <c r="I2541" s="13" t="s">
        <v>7782</v>
      </c>
      <c r="J2541" s="23" t="str">
        <f>HYPERLINK("CorLog\RTO\Projects\20140304 RTO Projects Vehicles for RTO's NLBR up front (RDC-to-RDC).msg", "Vehicles for RTO's NLBR up front")</f>
        <v>Vehicles for RTO's NLBR up front</v>
      </c>
      <c r="K2541" s="25"/>
      <c r="L2541" s="19"/>
      <c r="M2541" s="20"/>
      <c r="N2541" s="21" t="s">
        <v>7783</v>
      </c>
    </row>
    <row r="2542" spans="1:14">
      <c r="A2542" s="12" t="s">
        <v>5804</v>
      </c>
      <c r="B2542" s="13" t="s">
        <v>718</v>
      </c>
      <c r="C2542" s="14"/>
      <c r="D2542" s="15">
        <v>41702.368159722224</v>
      </c>
      <c r="E2542" s="16" t="s">
        <v>16</v>
      </c>
      <c r="F2542" s="16" t="s">
        <v>16</v>
      </c>
      <c r="G2542" s="17" t="s">
        <v>1070</v>
      </c>
      <c r="H2542" s="17" t="s">
        <v>867</v>
      </c>
      <c r="I2542" s="13" t="s">
        <v>7784</v>
      </c>
      <c r="J2542" s="23" t="str">
        <f>HYPERLINK("CorLog\ZMB\Katete RTO\20140304 ZMB Katete RTO Risk assessment (RDC-to-RDC).msg", "Risk assessment")</f>
        <v>Risk assessment</v>
      </c>
      <c r="K2542" s="25" t="s">
        <v>1211</v>
      </c>
      <c r="L2542" s="19"/>
      <c r="M2542" s="20"/>
      <c r="N2542" s="21" t="s">
        <v>7785</v>
      </c>
    </row>
    <row r="2543" spans="1:14">
      <c r="A2543" s="12" t="s">
        <v>750</v>
      </c>
      <c r="B2543" s="13" t="s">
        <v>718</v>
      </c>
      <c r="C2543" s="14" t="s">
        <v>1258</v>
      </c>
      <c r="D2543" s="15">
        <v>41701.694421296299</v>
      </c>
      <c r="E2543" s="16" t="s">
        <v>16</v>
      </c>
      <c r="F2543" s="16" t="s">
        <v>16</v>
      </c>
      <c r="G2543" s="17" t="s">
        <v>885</v>
      </c>
      <c r="H2543" s="17" t="s">
        <v>7786</v>
      </c>
      <c r="I2543" s="13" t="s">
        <v>7787</v>
      </c>
      <c r="J2543" s="23" t="str">
        <f>HYPERLINK("CorLog\ZMB\Kabompo RTO\20140303 ZMB Kabompo RTO Towel Rail Substitute (RDC-to-RDC).msg", "Towel Rail Substitute")</f>
        <v>Towel Rail Substitute</v>
      </c>
      <c r="K2543" s="25" t="s">
        <v>1243</v>
      </c>
      <c r="L2543" s="19"/>
      <c r="M2543" s="20"/>
      <c r="N2543" s="21" t="s">
        <v>7788</v>
      </c>
    </row>
    <row r="2544" spans="1:14">
      <c r="A2544" s="12" t="s">
        <v>718</v>
      </c>
      <c r="B2544" s="13" t="s">
        <v>5860</v>
      </c>
      <c r="C2544" s="14" t="s">
        <v>724</v>
      </c>
      <c r="D2544" s="15">
        <v>41701.674699074072</v>
      </c>
      <c r="E2544" s="16" t="s">
        <v>16</v>
      </c>
      <c r="F2544" s="16" t="s">
        <v>16</v>
      </c>
      <c r="G2544" s="17" t="s">
        <v>1070</v>
      </c>
      <c r="H2544" s="17" t="s">
        <v>867</v>
      </c>
      <c r="I2544" s="13" t="s">
        <v>7789</v>
      </c>
      <c r="J2544" s="23" t="str">
        <f>HYPERLINK("CorLog\ZMB\Katete RTO\20140303 ZMB Katete RTO AO-6 1 Questions, 16% vat allowed (RDC-to-RDC).msg", "AO-6 1 Questions, 16% vat allowed")</f>
        <v>AO-6 1 Questions, 16% vat allowed</v>
      </c>
      <c r="K2544" s="25"/>
      <c r="L2544" s="19"/>
      <c r="M2544" s="20"/>
      <c r="N2544" s="21" t="s">
        <v>7790</v>
      </c>
    </row>
    <row r="2545" spans="1:14">
      <c r="A2545" s="12" t="s">
        <v>718</v>
      </c>
      <c r="B2545" s="13" t="s">
        <v>7791</v>
      </c>
      <c r="C2545" s="14" t="s">
        <v>7792</v>
      </c>
      <c r="D2545" s="15">
        <v>41701.562835648147</v>
      </c>
      <c r="E2545" s="16" t="s">
        <v>16</v>
      </c>
      <c r="F2545" s="16" t="s">
        <v>14</v>
      </c>
      <c r="G2545" s="17" t="s">
        <v>6141</v>
      </c>
      <c r="H2545" s="17" t="s">
        <v>1489</v>
      </c>
      <c r="I2545" s="13" t="s">
        <v>7793</v>
      </c>
      <c r="J2545" s="23" t="str">
        <f>HYPERLINK("CorLog\MDG\BEX\20140303 MDG BEX New sub-frames for cooler doors (RDC-to-MDG).msg", "New sub-frames for cooler doors")</f>
        <v>New sub-frames for cooler doors</v>
      </c>
      <c r="K2545" s="25"/>
      <c r="L2545" s="19"/>
      <c r="M2545" s="20"/>
      <c r="N2545" s="21" t="s">
        <v>7794</v>
      </c>
    </row>
    <row r="2546" spans="1:14">
      <c r="A2546" s="12" t="s">
        <v>718</v>
      </c>
      <c r="B2546" s="13" t="s">
        <v>750</v>
      </c>
      <c r="C2546" s="14" t="s">
        <v>723</v>
      </c>
      <c r="D2546" s="15">
        <v>41701.556261574071</v>
      </c>
      <c r="E2546" s="16" t="s">
        <v>16</v>
      </c>
      <c r="F2546" s="16" t="s">
        <v>16</v>
      </c>
      <c r="G2546" s="17" t="s">
        <v>758</v>
      </c>
      <c r="H2546" s="17" t="s">
        <v>839</v>
      </c>
      <c r="I2546" s="13" t="s">
        <v>7795</v>
      </c>
      <c r="J2546" s="23" t="str">
        <f>HYPERLINK("CorLog\GHA\Viepe RTO\20140303 GHA Viepe RTO Backfull SOILS TEST - Laterite from AKATSI (RDC-to-RDC).msg", "Backfull SOILS TEST - Laterite from AKATSI")</f>
        <v>Backfull SOILS TEST - Laterite from AKATSI</v>
      </c>
      <c r="K2546" s="25" t="s">
        <v>1270</v>
      </c>
      <c r="L2546" s="19"/>
      <c r="M2546" s="20"/>
      <c r="N2546" s="21" t="s">
        <v>7796</v>
      </c>
    </row>
    <row r="2547" spans="1:14">
      <c r="A2547" s="12" t="s">
        <v>718</v>
      </c>
      <c r="B2547" s="13" t="s">
        <v>1969</v>
      </c>
      <c r="C2547" s="14" t="s">
        <v>7797</v>
      </c>
      <c r="D2547" s="15">
        <v>41701.358032407406</v>
      </c>
      <c r="E2547" s="16" t="s">
        <v>16</v>
      </c>
      <c r="F2547" s="16" t="s">
        <v>22</v>
      </c>
      <c r="G2547" s="17" t="s">
        <v>2627</v>
      </c>
      <c r="H2547" s="17" t="s">
        <v>803</v>
      </c>
      <c r="I2547" s="13" t="s">
        <v>7798</v>
      </c>
      <c r="J2547" s="23" t="str">
        <f>HYPERLINK("CorLog\COD\Kamina RTO\20140303 COD Kamina RTO Field Sketch CMU Wall tie at Returns &amp; Corners (RDC-to-COD).msg", "Field Sketch CMU Wall tie at Returns &amp; Corners")</f>
        <v>Field Sketch CMU Wall tie at Returns &amp; Corners</v>
      </c>
      <c r="K2547" s="25" t="s">
        <v>1211</v>
      </c>
      <c r="L2547" s="19"/>
      <c r="M2547" s="20"/>
      <c r="N2547" s="21" t="s">
        <v>7799</v>
      </c>
    </row>
    <row r="2548" spans="1:14">
      <c r="A2548" s="12" t="s">
        <v>842</v>
      </c>
      <c r="B2548" s="13" t="s">
        <v>718</v>
      </c>
      <c r="C2548" s="14" t="s">
        <v>7771</v>
      </c>
      <c r="D2548" s="15">
        <v>41698.818020833336</v>
      </c>
      <c r="E2548" s="16" t="s">
        <v>21</v>
      </c>
      <c r="F2548" s="16" t="s">
        <v>16</v>
      </c>
      <c r="G2548" s="17" t="s">
        <v>758</v>
      </c>
      <c r="H2548" s="17" t="s">
        <v>886</v>
      </c>
      <c r="I2548" s="13" t="s">
        <v>7800</v>
      </c>
      <c r="J2548" s="23" t="str">
        <f>HYPERLINK("CorLog\GHA\Viepe RTO\20140228 GHA Viepe RTO NEAREST TRANFORMER (GHA-to-RDC).msg", "NEAREST TRANFORMER")</f>
        <v>NEAREST TRANFORMER</v>
      </c>
      <c r="K2548" s="25" t="s">
        <v>1211</v>
      </c>
      <c r="L2548" s="19"/>
      <c r="M2548" s="20"/>
      <c r="N2548" s="21" t="s">
        <v>7801</v>
      </c>
    </row>
    <row r="2549" spans="1:14">
      <c r="A2549" s="12" t="s">
        <v>750</v>
      </c>
      <c r="B2549" s="13" t="s">
        <v>718</v>
      </c>
      <c r="C2549" s="14" t="s">
        <v>7802</v>
      </c>
      <c r="D2549" s="15">
        <v>41698.794629629629</v>
      </c>
      <c r="E2549" s="16" t="s">
        <v>16</v>
      </c>
      <c r="F2549" s="16" t="s">
        <v>16</v>
      </c>
      <c r="G2549" s="17" t="s">
        <v>1112</v>
      </c>
      <c r="H2549" s="17" t="s">
        <v>2713</v>
      </c>
      <c r="I2549" s="13" t="s">
        <v>7803</v>
      </c>
      <c r="J2549" s="23" t="str">
        <f>HYPERLINK("CorLog\ZMB\BEX\20140228 ZMB BEX CMU Crush results; MA review (RDC-to-RDC).msg", "CMU Crush results; MA review")</f>
        <v>CMU Crush results; MA review</v>
      </c>
      <c r="K2549" s="25" t="s">
        <v>1270</v>
      </c>
      <c r="L2549" s="19"/>
      <c r="M2549" s="20"/>
      <c r="N2549" s="21" t="s">
        <v>7804</v>
      </c>
    </row>
    <row r="2550" spans="1:14">
      <c r="A2550" s="12" t="s">
        <v>750</v>
      </c>
      <c r="B2550" s="13" t="s">
        <v>718</v>
      </c>
      <c r="C2550" s="14" t="s">
        <v>7805</v>
      </c>
      <c r="D2550" s="15">
        <v>41698.362349537034</v>
      </c>
      <c r="E2550" s="16" t="s">
        <v>16</v>
      </c>
      <c r="F2550" s="16" t="s">
        <v>16</v>
      </c>
      <c r="G2550" s="17" t="s">
        <v>790</v>
      </c>
      <c r="H2550" s="17" t="s">
        <v>7342</v>
      </c>
      <c r="I2550" s="13" t="s">
        <v>7806</v>
      </c>
      <c r="J2550" s="23" t="str">
        <f>HYPERLINK("CorLog\GHA\BEX\20140228 GHA BEX Soil condition Res 4 2 - High Water Table (RDC-to-RDC).msg", "Soil condition Res 4 2 - High Water Table")</f>
        <v>Soil condition Res 4 2 - High Water Table</v>
      </c>
      <c r="K2550" s="25" t="s">
        <v>2796</v>
      </c>
      <c r="L2550" s="19" t="s">
        <v>7807</v>
      </c>
      <c r="M2550" s="20"/>
      <c r="N2550" s="21" t="s">
        <v>7808</v>
      </c>
    </row>
    <row r="2551" spans="1:14">
      <c r="A2551" s="12" t="s">
        <v>5413</v>
      </c>
      <c r="B2551" s="13" t="s">
        <v>718</v>
      </c>
      <c r="C2551" s="14" t="s">
        <v>7809</v>
      </c>
      <c r="D2551" s="15">
        <v>41697.674560185187</v>
      </c>
      <c r="E2551" s="16" t="s">
        <v>21</v>
      </c>
      <c r="F2551" s="16" t="s">
        <v>16</v>
      </c>
      <c r="G2551" s="17" t="s">
        <v>790</v>
      </c>
      <c r="H2551" s="17" t="s">
        <v>851</v>
      </c>
      <c r="I2551" s="13" t="s">
        <v>7810</v>
      </c>
      <c r="J2551" s="23" t="str">
        <f>HYPERLINK("CorLog\GHA\BEX\20140227 GHA BEX Residence 3 DCP tests (GHA-to-RDC).msg", "Residence 3 DCP tests")</f>
        <v>Residence 3 DCP tests</v>
      </c>
      <c r="K2551" s="25" t="s">
        <v>1274</v>
      </c>
      <c r="L2551" s="19"/>
      <c r="M2551" s="20"/>
      <c r="N2551" s="21" t="s">
        <v>7811</v>
      </c>
    </row>
    <row r="2552" spans="1:14">
      <c r="A2552" s="12" t="s">
        <v>718</v>
      </c>
      <c r="B2552" s="13" t="s">
        <v>750</v>
      </c>
      <c r="C2552" s="14"/>
      <c r="D2552" s="15">
        <v>41697.648888888885</v>
      </c>
      <c r="E2552" s="16" t="s">
        <v>16</v>
      </c>
      <c r="F2552" s="16" t="s">
        <v>16</v>
      </c>
      <c r="G2552" s="17" t="s">
        <v>790</v>
      </c>
      <c r="H2552" s="17" t="s">
        <v>839</v>
      </c>
      <c r="I2552" s="13" t="s">
        <v>7812</v>
      </c>
      <c r="J2552" s="23" t="str">
        <f>HYPERLINK("CorLog\GHA\BEX\20140227 GHA BEX Soil Investigation Report Scanned (RDC-to-RDC).msg", "Soil Investigation Report Scanned")</f>
        <v>Soil Investigation Report Scanned</v>
      </c>
      <c r="K2552" s="25" t="s">
        <v>1211</v>
      </c>
      <c r="L2552" s="19"/>
      <c r="M2552" s="20"/>
      <c r="N2552" s="21" t="s">
        <v>7813</v>
      </c>
    </row>
    <row r="2553" spans="1:14">
      <c r="A2553" s="12" t="s">
        <v>5413</v>
      </c>
      <c r="B2553" s="13" t="s">
        <v>718</v>
      </c>
      <c r="C2553" s="14" t="s">
        <v>723</v>
      </c>
      <c r="D2553" s="15">
        <v>41697.645613425928</v>
      </c>
      <c r="E2553" s="16" t="s">
        <v>21</v>
      </c>
      <c r="F2553" s="16" t="s">
        <v>16</v>
      </c>
      <c r="G2553" s="17" t="s">
        <v>790</v>
      </c>
      <c r="H2553" s="17" t="s">
        <v>839</v>
      </c>
      <c r="I2553" s="13" t="s">
        <v>7814</v>
      </c>
      <c r="J2553" s="23" t="str">
        <f>HYPERLINK("CorLog\GHA\BEX\20140227 GHA BEX Scanned Report of soil conditions at Res 4 &amp; 4 (GHA-to-RDC).msg", "Scanned Report of soil conditions at Res 4 &amp; 4")</f>
        <v>Scanned Report of soil conditions at Res 4 &amp; 4</v>
      </c>
      <c r="K2553" s="25" t="s">
        <v>1211</v>
      </c>
      <c r="L2553" s="19"/>
      <c r="M2553" s="20"/>
      <c r="N2553" s="21" t="s">
        <v>7815</v>
      </c>
    </row>
    <row r="2554" spans="1:14">
      <c r="A2554" s="12" t="s">
        <v>795</v>
      </c>
      <c r="B2554" s="13" t="s">
        <v>718</v>
      </c>
      <c r="C2554" s="14"/>
      <c r="D2554" s="15">
        <v>41697.629282407404</v>
      </c>
      <c r="E2554" s="16" t="s">
        <v>16</v>
      </c>
      <c r="F2554" s="16" t="s">
        <v>16</v>
      </c>
      <c r="G2554" s="17" t="s">
        <v>738</v>
      </c>
      <c r="H2554" s="17" t="s">
        <v>947</v>
      </c>
      <c r="I2554" s="13" t="s">
        <v>7816</v>
      </c>
      <c r="J2554" s="23" t="str">
        <f>HYPERLINK("CorLog\GHA\BEX 2\20140227 GHA BEX 2 Existing Sewage Treatment (JJR) (RDC-to-RDC).msg", "Existing Sewage Treatment (JJR)")</f>
        <v>Existing Sewage Treatment (JJR)</v>
      </c>
      <c r="K2554" s="25" t="s">
        <v>1243</v>
      </c>
      <c r="L2554" s="19"/>
      <c r="M2554" s="20"/>
      <c r="N2554" s="21" t="s">
        <v>7817</v>
      </c>
    </row>
    <row r="2555" spans="1:14">
      <c r="A2555" s="12" t="s">
        <v>5860</v>
      </c>
      <c r="B2555" s="13" t="s">
        <v>718</v>
      </c>
      <c r="C2555" s="14" t="s">
        <v>7818</v>
      </c>
      <c r="D2555" s="15">
        <v>41697.551446759258</v>
      </c>
      <c r="E2555" s="16" t="s">
        <v>16</v>
      </c>
      <c r="F2555" s="16" t="s">
        <v>16</v>
      </c>
      <c r="G2555" s="17" t="s">
        <v>1070</v>
      </c>
      <c r="H2555" s="17" t="s">
        <v>867</v>
      </c>
      <c r="I2555" s="13" t="s">
        <v>7819</v>
      </c>
      <c r="J2555" s="23" t="str">
        <f>HYPERLINK("CorLog\ZMB\Katete RTO\20140227 ZMB Katete RTO ZAMBIA KATETE RTO CONCEPTUAL ESTIMATE (RDC-to-RDC).msg", "ZAMBIA KATETE RTO CONCEPTUAL ESTIMATE")</f>
        <v>ZAMBIA KATETE RTO CONCEPTUAL ESTIMATE</v>
      </c>
      <c r="K2555" s="25" t="s">
        <v>1211</v>
      </c>
      <c r="L2555" s="19"/>
      <c r="M2555" s="20"/>
      <c r="N2555" s="21" t="s">
        <v>7820</v>
      </c>
    </row>
    <row r="2556" spans="1:14">
      <c r="A2556" s="12" t="s">
        <v>1181</v>
      </c>
      <c r="B2556" s="13" t="s">
        <v>7673</v>
      </c>
      <c r="C2556" s="14" t="s">
        <v>7821</v>
      </c>
      <c r="D2556" s="15">
        <v>41697.465520833335</v>
      </c>
      <c r="E2556" s="16" t="s">
        <v>16</v>
      </c>
      <c r="F2556" s="16" t="s">
        <v>38</v>
      </c>
      <c r="G2556" s="17" t="s">
        <v>2627</v>
      </c>
      <c r="H2556" s="17" t="s">
        <v>5574</v>
      </c>
      <c r="I2556" s="13" t="s">
        <v>7822</v>
      </c>
      <c r="J2556" s="23" t="str">
        <f>HYPERLINK("CorLog\COD\Kamina RTO\20140227 COD Kamina RTO DOORS - Congo NLBR 6375 - RTO Kamina (RDC-to-HKG).msg", "DOORS - Congo NLBR 6375 - RTO Kamina")</f>
        <v>DOORS - Congo NLBR 6375 - RTO Kamina</v>
      </c>
      <c r="K2556" s="25" t="s">
        <v>1482</v>
      </c>
      <c r="L2556" s="19"/>
      <c r="M2556" s="20"/>
      <c r="N2556" s="21" t="s">
        <v>7823</v>
      </c>
    </row>
    <row r="2557" spans="1:14">
      <c r="A2557" s="12" t="s">
        <v>771</v>
      </c>
      <c r="B2557" s="13" t="s">
        <v>750</v>
      </c>
      <c r="C2557" s="14" t="s">
        <v>7824</v>
      </c>
      <c r="D2557" s="15">
        <v>41696.71974537037</v>
      </c>
      <c r="E2557" s="16" t="s">
        <v>17</v>
      </c>
      <c r="F2557" s="16" t="s">
        <v>16</v>
      </c>
      <c r="G2557" s="17" t="s">
        <v>738</v>
      </c>
      <c r="H2557" s="17" t="s">
        <v>1000</v>
      </c>
      <c r="I2557" s="13" t="s">
        <v>7825</v>
      </c>
      <c r="J2557" s="23" t="str">
        <f>HYPERLINK("CorLog\GHA\BEX 2\20140226 GHA BEX 2 GHA LT EXP - ST Utilities OK for 380 People (WDC-to-RDC).msg", "GHA LT EXP - ST Utilities OK for 380 People")</f>
        <v>GHA LT EXP - ST Utilities OK for 380 People</v>
      </c>
      <c r="K2557" s="25"/>
      <c r="L2557" s="19"/>
      <c r="M2557" s="20"/>
      <c r="N2557" s="21" t="s">
        <v>7826</v>
      </c>
    </row>
    <row r="2558" spans="1:14">
      <c r="A2558" s="12" t="s">
        <v>2673</v>
      </c>
      <c r="B2558" s="13" t="s">
        <v>718</v>
      </c>
      <c r="C2558" s="14"/>
      <c r="D2558" s="15">
        <v>41696.490011574075</v>
      </c>
      <c r="E2558" s="16" t="s">
        <v>16</v>
      </c>
      <c r="F2558" s="16" t="s">
        <v>16</v>
      </c>
      <c r="G2558" s="17" t="s">
        <v>857</v>
      </c>
      <c r="H2558" s="17" t="s">
        <v>867</v>
      </c>
      <c r="I2558" s="13" t="s">
        <v>7827</v>
      </c>
      <c r="J2558" s="23" t="str">
        <f>HYPERLINK("CorLog\GHA\Kikam RTO\20140226 GHA Kikam RTO GHA AO-6 #1 Ghana Kikam RTO - RDC Estimate Estimate (2014-02-26 11-41) xls (RDC-to-RDC).msg", "GHA AO-6 #1 Ghana Kikam RTO - RDC Estimate Estimate (2014-02-26 11-41) xls")</f>
        <v>GHA AO-6 #1 Ghana Kikam RTO - RDC Estimate Estimate (2014-02-26 11-41) xls</v>
      </c>
      <c r="K2558" s="25" t="s">
        <v>1243</v>
      </c>
      <c r="L2558" s="19"/>
      <c r="M2558" s="20"/>
      <c r="N2558" s="21" t="s">
        <v>7828</v>
      </c>
    </row>
    <row r="2559" spans="1:14">
      <c r="A2559" s="12" t="s">
        <v>5804</v>
      </c>
      <c r="B2559" s="13" t="s">
        <v>718</v>
      </c>
      <c r="C2559" s="14"/>
      <c r="D2559" s="15">
        <v>41696.486226851855</v>
      </c>
      <c r="E2559" s="16" t="s">
        <v>16</v>
      </c>
      <c r="F2559" s="16" t="s">
        <v>16</v>
      </c>
      <c r="G2559" s="17" t="s">
        <v>758</v>
      </c>
      <c r="H2559" s="17" t="s">
        <v>867</v>
      </c>
      <c r="I2559" s="13" t="s">
        <v>7829</v>
      </c>
      <c r="J2559" s="23" t="str">
        <f>HYPERLINK("CorLog\GHA\Viepe RTO\20140226 GHA Viepe RTO Risk-Draft__RTO-Viepe_Ghana_01_25February2014 xlsx (RDC-to-RDC).msg", "Risk-Draft__RTO-Viepe_Ghana_01_25February2014 xlsx")</f>
        <v>Risk-Draft__RTO-Viepe_Ghana_01_25February2014 xlsx</v>
      </c>
      <c r="K2559" s="25" t="s">
        <v>1211</v>
      </c>
      <c r="L2559" s="19"/>
      <c r="M2559" s="20"/>
      <c r="N2559" s="21" t="s">
        <v>7830</v>
      </c>
    </row>
    <row r="2560" spans="1:14">
      <c r="A2560" s="12" t="s">
        <v>718</v>
      </c>
      <c r="B2560" s="13" t="s">
        <v>5900</v>
      </c>
      <c r="C2560" s="14" t="s">
        <v>7831</v>
      </c>
      <c r="D2560" s="15">
        <v>41696.442314814813</v>
      </c>
      <c r="E2560" s="16" t="s">
        <v>16</v>
      </c>
      <c r="F2560" s="16" t="s">
        <v>42</v>
      </c>
      <c r="G2560" s="17" t="s">
        <v>2627</v>
      </c>
      <c r="H2560" s="17" t="s">
        <v>5574</v>
      </c>
      <c r="I2560" s="13" t="s">
        <v>7744</v>
      </c>
      <c r="J2560" s="23" t="str">
        <f>HYPERLINK("CorLog\COD\Kamina RTO\20140226 COD Kamina RTO Reinaerdt Sound Door offer -RFQ51868 - COD6371 - ID349 (RDC-to-NLD).msg", "Reinaerdt Sound Door offer -RFQ51868 - COD6371 - ID349")</f>
        <v>Reinaerdt Sound Door offer -RFQ51868 - COD6371 - ID349</v>
      </c>
      <c r="K2560" s="25" t="s">
        <v>1274</v>
      </c>
      <c r="L2560" s="19"/>
      <c r="M2560" s="20"/>
      <c r="N2560" s="21" t="s">
        <v>7832</v>
      </c>
    </row>
    <row r="2561" spans="1:14">
      <c r="A2561" s="12" t="s">
        <v>972</v>
      </c>
      <c r="B2561" s="13" t="s">
        <v>724</v>
      </c>
      <c r="C2561" s="14" t="s">
        <v>5036</v>
      </c>
      <c r="D2561" s="15">
        <v>41696.385983796295</v>
      </c>
      <c r="E2561" s="16" t="s">
        <v>18</v>
      </c>
      <c r="F2561" s="16" t="s">
        <v>16</v>
      </c>
      <c r="G2561" s="17" t="s">
        <v>1070</v>
      </c>
      <c r="H2561" s="17" t="s">
        <v>867</v>
      </c>
      <c r="I2561" s="13" t="s">
        <v>7833</v>
      </c>
      <c r="J2561" s="23" t="str">
        <f>HYPERLINK("CorLog\ZMB\Katete RTO\20140226 ZMB Katete RTO AO-6 No.1 review (ZMB-to-RDC).msg", "AO-6 No.1 review")</f>
        <v>AO-6 No.1 review</v>
      </c>
      <c r="K2561" s="25" t="s">
        <v>1211</v>
      </c>
      <c r="L2561" s="19"/>
      <c r="M2561" s="20"/>
      <c r="N2561" s="21" t="s">
        <v>7834</v>
      </c>
    </row>
    <row r="2562" spans="1:14">
      <c r="A2562" s="12" t="s">
        <v>5860</v>
      </c>
      <c r="B2562" s="13" t="s">
        <v>718</v>
      </c>
      <c r="C2562" s="14" t="s">
        <v>724</v>
      </c>
      <c r="D2562" s="15">
        <v>41696.345682870371</v>
      </c>
      <c r="E2562" s="16" t="s">
        <v>16</v>
      </c>
      <c r="F2562" s="16" t="s">
        <v>16</v>
      </c>
      <c r="G2562" s="17" t="s">
        <v>946</v>
      </c>
      <c r="H2562" s="17" t="s">
        <v>867</v>
      </c>
      <c r="I2562" s="13" t="s">
        <v>7835</v>
      </c>
      <c r="J2562" s="23" t="str">
        <f>HYPERLINK("CorLog\ZMB\Mongu RTO\20140226 ZMB Mongu RTO CHECKED ZMB0020 AO6 2 ZAMBIA MONGU RTO AO-6#2 (RDC-to-RDC).msg", "CHECKED ZMB0020 AO6 2 ZAMBIA MONGU RTO AO-6#2")</f>
        <v>CHECKED ZMB0020 AO6 2 ZAMBIA MONGU RTO AO-6#2</v>
      </c>
      <c r="K2562" s="25" t="s">
        <v>1243</v>
      </c>
      <c r="L2562" s="19"/>
      <c r="M2562" s="20"/>
      <c r="N2562" s="21" t="s">
        <v>7836</v>
      </c>
    </row>
    <row r="2563" spans="1:14">
      <c r="A2563" s="12" t="s">
        <v>874</v>
      </c>
      <c r="B2563" s="13"/>
      <c r="C2563" s="14"/>
      <c r="D2563" s="15">
        <v>41696</v>
      </c>
      <c r="E2563" s="16" t="s">
        <v>25</v>
      </c>
      <c r="F2563" s="16" t="s">
        <v>30</v>
      </c>
      <c r="G2563" s="17" t="s">
        <v>30</v>
      </c>
      <c r="H2563" s="17" t="s">
        <v>1728</v>
      </c>
      <c r="I2563" s="13" t="s">
        <v>3035</v>
      </c>
      <c r="J2563" s="23" t="str">
        <f>HYPERLINK("CorLog\ALL\20140226 ALL Use of Congregation-Owned Property (WHQ-to-ALL).doc", "Use of Congregation-Owned Property")</f>
        <v>Use of Congregation-Owned Property</v>
      </c>
      <c r="K2563" s="25"/>
      <c r="L2563" s="19"/>
      <c r="M2563" s="20"/>
      <c r="N2563" s="21" t="s">
        <v>7837</v>
      </c>
    </row>
    <row r="2564" spans="1:14">
      <c r="A2564" s="12" t="s">
        <v>827</v>
      </c>
      <c r="B2564" s="13" t="s">
        <v>718</v>
      </c>
      <c r="C2564" s="14" t="s">
        <v>7838</v>
      </c>
      <c r="D2564" s="15">
        <v>41695.78162037037</v>
      </c>
      <c r="E2564" s="16" t="s">
        <v>21</v>
      </c>
      <c r="F2564" s="16" t="s">
        <v>16</v>
      </c>
      <c r="G2564" s="17" t="s">
        <v>790</v>
      </c>
      <c r="H2564" s="17" t="s">
        <v>947</v>
      </c>
      <c r="I2564" s="13" t="s">
        <v>7839</v>
      </c>
      <c r="J2564" s="23" t="str">
        <f>HYPERLINK("CorLog\GHA\BEX\20140225 GHA BEX Creek Elevations (GHA-to-RDC).msg", "Creek Elevations")</f>
        <v>Creek Elevations</v>
      </c>
      <c r="K2564" s="25" t="s">
        <v>1211</v>
      </c>
      <c r="L2564" s="19"/>
      <c r="M2564" s="20"/>
      <c r="N2564" s="21" t="s">
        <v>7840</v>
      </c>
    </row>
    <row r="2565" spans="1:14">
      <c r="A2565" s="12" t="s">
        <v>718</v>
      </c>
      <c r="B2565" s="13" t="s">
        <v>5860</v>
      </c>
      <c r="C2565" s="14" t="s">
        <v>723</v>
      </c>
      <c r="D2565" s="15">
        <v>41695.609039351853</v>
      </c>
      <c r="E2565" s="16" t="s">
        <v>16</v>
      </c>
      <c r="F2565" s="16" t="s">
        <v>16</v>
      </c>
      <c r="G2565" s="17" t="s">
        <v>790</v>
      </c>
      <c r="H2565" s="17" t="s">
        <v>4364</v>
      </c>
      <c r="I2565" s="13" t="s">
        <v>7841</v>
      </c>
      <c r="J2565" s="23" t="str">
        <f>HYPERLINK("CorLog\GHA\BEX\20140225 GHA BEX Maxidor Quote - Ghana (RDC-to-RDC).msg", "Maxidor Quote - Ghana")</f>
        <v>Maxidor Quote - Ghana</v>
      </c>
      <c r="K2565" s="25"/>
      <c r="L2565" s="19"/>
      <c r="M2565" s="20"/>
      <c r="N2565" s="21" t="s">
        <v>7842</v>
      </c>
    </row>
    <row r="2566" spans="1:14">
      <c r="A2566" s="12" t="s">
        <v>842</v>
      </c>
      <c r="B2566" s="13" t="s">
        <v>718</v>
      </c>
      <c r="C2566" s="14" t="s">
        <v>7843</v>
      </c>
      <c r="D2566" s="15">
        <v>41695.495289351849</v>
      </c>
      <c r="E2566" s="16" t="s">
        <v>21</v>
      </c>
      <c r="F2566" s="16" t="s">
        <v>16</v>
      </c>
      <c r="G2566" s="17" t="s">
        <v>758</v>
      </c>
      <c r="H2566" s="17" t="s">
        <v>886</v>
      </c>
      <c r="I2566" s="13" t="s">
        <v>7844</v>
      </c>
      <c r="J2566" s="23" t="str">
        <f>HYPERLINK("CorLog\GHA\Viepe RTO\20140225 GHA Viepe RTO Current elelctrical connection to site (GHA-to-RDC).msg", "Current elelctrical connection to site")</f>
        <v>Current elelctrical connection to site</v>
      </c>
      <c r="K2566" s="25"/>
      <c r="L2566" s="19"/>
      <c r="M2566" s="20"/>
      <c r="N2566" s="21" t="s">
        <v>7845</v>
      </c>
    </row>
    <row r="2567" spans="1:14">
      <c r="A2567" s="12" t="s">
        <v>718</v>
      </c>
      <c r="B2567" s="13" t="s">
        <v>795</v>
      </c>
      <c r="C2567" s="14" t="s">
        <v>7499</v>
      </c>
      <c r="D2567" s="15">
        <v>41694.48510416667</v>
      </c>
      <c r="E2567" s="16" t="s">
        <v>16</v>
      </c>
      <c r="F2567" s="16" t="s">
        <v>16</v>
      </c>
      <c r="G2567" s="17" t="s">
        <v>790</v>
      </c>
      <c r="H2567" s="17" t="s">
        <v>7500</v>
      </c>
      <c r="I2567" s="13" t="s">
        <v>7501</v>
      </c>
      <c r="J2567" s="23" t="str">
        <f>HYPERLINK("CorLog\GHA\BEX\20140224 GHA BEX How to deal with mold growth in existing rooms [Meeting Minutes] (RDC-to-RDC).msg", "How to deal with mold growth in existing rooms [Meeting Minutes]")</f>
        <v>How to deal with mold growth in existing rooms [Meeting Minutes]</v>
      </c>
      <c r="K2567" s="25" t="s">
        <v>1211</v>
      </c>
      <c r="L2567" s="19" t="s">
        <v>7575</v>
      </c>
      <c r="M2567" s="20"/>
      <c r="N2567" s="21" t="s">
        <v>7846</v>
      </c>
    </row>
    <row r="2568" spans="1:14">
      <c r="A2568" s="12" t="s">
        <v>718</v>
      </c>
      <c r="B2568" s="13" t="s">
        <v>1818</v>
      </c>
      <c r="C2568" s="14"/>
      <c r="D2568" s="15">
        <v>41694.344884259262</v>
      </c>
      <c r="E2568" s="16" t="s">
        <v>16</v>
      </c>
      <c r="F2568" s="16" t="s">
        <v>16</v>
      </c>
      <c r="G2568" s="17" t="s">
        <v>785</v>
      </c>
      <c r="H2568" s="17" t="s">
        <v>961</v>
      </c>
      <c r="I2568" s="13" t="s">
        <v>7847</v>
      </c>
      <c r="J2568" s="23" t="str">
        <f>HYPERLINK("CorLog\COD\Lubumbashi RTO\20140224 COD Lubumbashi RTO Updated survey information (RDC-to-RDC).msg", "Updated survey information")</f>
        <v>Updated survey information</v>
      </c>
      <c r="K2568" s="25" t="s">
        <v>1369</v>
      </c>
      <c r="L2568" s="19"/>
      <c r="M2568" s="20"/>
      <c r="N2568" s="21" t="s">
        <v>7848</v>
      </c>
    </row>
    <row r="2569" spans="1:14">
      <c r="A2569" s="12" t="s">
        <v>795</v>
      </c>
      <c r="B2569" s="13" t="s">
        <v>3067</v>
      </c>
      <c r="C2569" s="14" t="s">
        <v>4139</v>
      </c>
      <c r="D2569" s="15">
        <v>41691.695960648147</v>
      </c>
      <c r="E2569" s="16" t="s">
        <v>16</v>
      </c>
      <c r="F2569" s="16" t="s">
        <v>18</v>
      </c>
      <c r="G2569" s="17" t="s">
        <v>946</v>
      </c>
      <c r="H2569" s="17" t="s">
        <v>1489</v>
      </c>
      <c r="I2569" s="13" t="s">
        <v>7849</v>
      </c>
      <c r="J2569" s="23" t="str">
        <f>HYPERLINK("CorLog\ZMB\Mongu RTO\20140221 ZMB Mongu RTO ZMB10-20 - Booster pumps for Site Set-up (RDC-to-ZMB).msg", "ZMB10-20 - Booster pumps for Site Set-up")</f>
        <v>ZMB10-20 - Booster pumps for Site Set-up</v>
      </c>
      <c r="K2569" s="25" t="s">
        <v>1243</v>
      </c>
      <c r="L2569" s="19"/>
      <c r="M2569" s="20"/>
      <c r="N2569" s="21" t="s">
        <v>7850</v>
      </c>
    </row>
    <row r="2570" spans="1:14">
      <c r="A2570" s="12" t="s">
        <v>3631</v>
      </c>
      <c r="B2570" s="13" t="s">
        <v>718</v>
      </c>
      <c r="C2570" s="14" t="s">
        <v>7851</v>
      </c>
      <c r="D2570" s="15">
        <v>41691.672002314815</v>
      </c>
      <c r="E2570" s="16" t="s">
        <v>18</v>
      </c>
      <c r="F2570" s="16" t="s">
        <v>16</v>
      </c>
      <c r="G2570" s="17" t="s">
        <v>1065</v>
      </c>
      <c r="H2570" s="17" t="s">
        <v>1426</v>
      </c>
      <c r="I2570" s="13" t="s">
        <v>7852</v>
      </c>
      <c r="J2570" s="23" t="str">
        <f>HYPERLINK("CorLog\ZMB\RTO Projects\20140221 ZMB RTO Projects Key matrix recommendations from RDC (ZMB-to-RDC).msg", "Key matrix recommendations from RDC")</f>
        <v>Key matrix recommendations from RDC</v>
      </c>
      <c r="K2570" s="25" t="s">
        <v>1211</v>
      </c>
      <c r="L2570" s="19"/>
      <c r="M2570" s="20"/>
      <c r="N2570" s="21" t="s">
        <v>7853</v>
      </c>
    </row>
    <row r="2571" spans="1:14">
      <c r="A2571" s="12" t="s">
        <v>842</v>
      </c>
      <c r="B2571" s="13" t="s">
        <v>723</v>
      </c>
      <c r="C2571" s="14"/>
      <c r="D2571" s="15">
        <v>41691.662534722222</v>
      </c>
      <c r="E2571" s="16" t="s">
        <v>21</v>
      </c>
      <c r="F2571" s="16" t="s">
        <v>16</v>
      </c>
      <c r="G2571" s="17" t="s">
        <v>758</v>
      </c>
      <c r="H2571" s="17" t="s">
        <v>927</v>
      </c>
      <c r="I2571" s="13" t="s">
        <v>7854</v>
      </c>
      <c r="J2571" s="23" t="str">
        <f>HYPERLINK("CorLog\GHA\Viepe RTO\20140221 GHA Viepe RTO END of Phase #1 for GHA VIEPE Project - MEETING MINUTES (GHA-to-RDC).msg", "END of Phase #1 for GHA VIEPE Project - MEETING MINUTES")</f>
        <v>END of Phase #1 for GHA VIEPE Project - MEETING MINUTES</v>
      </c>
      <c r="K2571" s="25" t="s">
        <v>1211</v>
      </c>
      <c r="L2571" s="19"/>
      <c r="M2571" s="20"/>
      <c r="N2571" s="21" t="s">
        <v>7855</v>
      </c>
    </row>
    <row r="2572" spans="1:14">
      <c r="A2572" s="12" t="s">
        <v>1167</v>
      </c>
      <c r="B2572" s="13" t="s">
        <v>718</v>
      </c>
      <c r="C2572" s="14" t="s">
        <v>7856</v>
      </c>
      <c r="D2572" s="15">
        <v>41691.607233796298</v>
      </c>
      <c r="E2572" s="16" t="s">
        <v>22</v>
      </c>
      <c r="F2572" s="16" t="s">
        <v>16</v>
      </c>
      <c r="G2572" s="17" t="s">
        <v>785</v>
      </c>
      <c r="H2572" s="17" t="s">
        <v>961</v>
      </c>
      <c r="I2572" s="13" t="s">
        <v>7847</v>
      </c>
      <c r="J2572" s="23" t="str">
        <f>HYPERLINK("CorLog\COD\Lubumbashi RTO\20140221 COD Lubumbashi RTO Updated survey information (COD-to-RDC).msg", "Updated survey information")</f>
        <v>Updated survey information</v>
      </c>
      <c r="K2572" s="25" t="s">
        <v>1369</v>
      </c>
      <c r="L2572" s="19"/>
      <c r="M2572" s="20"/>
      <c r="N2572" s="21" t="s">
        <v>7857</v>
      </c>
    </row>
    <row r="2573" spans="1:14">
      <c r="A2573" s="12" t="s">
        <v>718</v>
      </c>
      <c r="B2573" s="13" t="s">
        <v>3631</v>
      </c>
      <c r="C2573" s="14" t="s">
        <v>7851</v>
      </c>
      <c r="D2573" s="15">
        <v>41691.409189814818</v>
      </c>
      <c r="E2573" s="16" t="s">
        <v>16</v>
      </c>
      <c r="F2573" s="16" t="s">
        <v>18</v>
      </c>
      <c r="G2573" s="17" t="s">
        <v>1065</v>
      </c>
      <c r="H2573" s="17" t="s">
        <v>1426</v>
      </c>
      <c r="I2573" s="13" t="s">
        <v>7852</v>
      </c>
      <c r="J2573" s="23" t="str">
        <f>HYPERLINK("CorLog\ZMB\RTO Projects\20140221 ZMB RTO Projects Key matrix recommendations from RDC (RDC-to-ZMB).msg", "Key matrix recommendations from RDC")</f>
        <v>Key matrix recommendations from RDC</v>
      </c>
      <c r="K2573" s="25"/>
      <c r="L2573" s="19" t="s">
        <v>7858</v>
      </c>
      <c r="M2573" s="20"/>
      <c r="N2573" s="21" t="s">
        <v>7859</v>
      </c>
    </row>
    <row r="2574" spans="1:14">
      <c r="A2574" s="12" t="s">
        <v>827</v>
      </c>
      <c r="B2574" s="13" t="s">
        <v>718</v>
      </c>
      <c r="C2574" s="14" t="s">
        <v>7860</v>
      </c>
      <c r="D2574" s="15">
        <v>41690.640787037039</v>
      </c>
      <c r="E2574" s="16" t="s">
        <v>21</v>
      </c>
      <c r="F2574" s="16" t="s">
        <v>16</v>
      </c>
      <c r="G2574" s="17" t="s">
        <v>790</v>
      </c>
      <c r="H2574" s="17" t="s">
        <v>839</v>
      </c>
      <c r="I2574" s="13" t="s">
        <v>7861</v>
      </c>
      <c r="J2574" s="23" t="str">
        <f>HYPERLINK("CorLog\GHA\BEX\20140220 GHA BEX DHAWENYA 20140131 LATERITE (GHA-to-RDC).msg", "DHAWENYA 20140131 LATERITE")</f>
        <v>DHAWENYA 20140131 LATERITE</v>
      </c>
      <c r="K2574" s="25" t="s">
        <v>1270</v>
      </c>
      <c r="L2574" s="19"/>
      <c r="M2574" s="20"/>
      <c r="N2574" s="21" t="s">
        <v>7862</v>
      </c>
    </row>
    <row r="2575" spans="1:14">
      <c r="A2575" s="12" t="s">
        <v>718</v>
      </c>
      <c r="B2575" s="13" t="s">
        <v>5413</v>
      </c>
      <c r="C2575" s="14" t="s">
        <v>7863</v>
      </c>
      <c r="D2575" s="15">
        <v>41690.580810185187</v>
      </c>
      <c r="E2575" s="16" t="s">
        <v>16</v>
      </c>
      <c r="F2575" s="16" t="s">
        <v>21</v>
      </c>
      <c r="G2575" s="17" t="s">
        <v>790</v>
      </c>
      <c r="H2575" s="17" t="s">
        <v>2223</v>
      </c>
      <c r="I2575" s="13" t="s">
        <v>7864</v>
      </c>
      <c r="J2575" s="23" t="str">
        <f>HYPERLINK("CorLog\GHA\BEX\20140220 GHA BEX Bending Shedule 3 &amp; 4 identical (RDC-to-GHA).msg", "Bending Shedule 3 &amp; 4 identical")</f>
        <v>Bending Shedule 3 &amp; 4 identical</v>
      </c>
      <c r="K2575" s="25"/>
      <c r="L2575" s="19"/>
      <c r="M2575" s="20"/>
      <c r="N2575" s="21" t="s">
        <v>7865</v>
      </c>
    </row>
    <row r="2576" spans="1:14">
      <c r="A2576" s="12" t="s">
        <v>718</v>
      </c>
      <c r="B2576" s="13" t="s">
        <v>750</v>
      </c>
      <c r="C2576" s="14"/>
      <c r="D2576" s="15">
        <v>41689.645648148151</v>
      </c>
      <c r="E2576" s="16" t="s">
        <v>21</v>
      </c>
      <c r="F2576" s="16" t="s">
        <v>16</v>
      </c>
      <c r="G2576" s="17" t="s">
        <v>790</v>
      </c>
      <c r="H2576" s="17" t="s">
        <v>839</v>
      </c>
      <c r="I2576" s="13" t="s">
        <v>7866</v>
      </c>
      <c r="J2576" s="23" t="str">
        <f>HYPERLINK("CorLog\GHA\BEX\20140219 GHA BEX Approved fill - Additional Information (Atterburg limits) (GHA-to-RDC).msg", "Approved fill - Additional Information (Atterburg limits)")</f>
        <v>Approved fill - Additional Information (Atterburg limits)</v>
      </c>
      <c r="K2576" s="25" t="s">
        <v>1243</v>
      </c>
      <c r="L2576" s="19"/>
      <c r="M2576" s="20"/>
      <c r="N2576" s="21" t="s">
        <v>7867</v>
      </c>
    </row>
    <row r="2577" spans="1:14">
      <c r="A2577" s="12" t="s">
        <v>718</v>
      </c>
      <c r="B2577" s="13" t="s">
        <v>5455</v>
      </c>
      <c r="C2577" s="14" t="s">
        <v>7868</v>
      </c>
      <c r="D2577" s="15">
        <v>41689.40693287037</v>
      </c>
      <c r="E2577" s="16" t="s">
        <v>16</v>
      </c>
      <c r="F2577" s="16" t="s">
        <v>16</v>
      </c>
      <c r="G2577" s="17" t="s">
        <v>885</v>
      </c>
      <c r="H2577" s="17" t="s">
        <v>803</v>
      </c>
      <c r="I2577" s="13" t="s">
        <v>7869</v>
      </c>
      <c r="J2577" s="23" t="str">
        <f>HYPERLINK("CorLog\ZMB\Kabompo RTO\20140219 ZMB Kabompo RTO Updated field sketch KJ-S-501 - perimeter wall filled cores (RDC-to-RDC).msg", "Updated field sketch KJ-S-501 - perimeter wall filled cores")</f>
        <v>Updated field sketch KJ-S-501 - perimeter wall filled cores</v>
      </c>
      <c r="K2577" s="25"/>
      <c r="L2577" s="19"/>
      <c r="M2577" s="20"/>
      <c r="N2577" s="21" t="s">
        <v>7870</v>
      </c>
    </row>
    <row r="2578" spans="1:14">
      <c r="A2578" s="12" t="s">
        <v>842</v>
      </c>
      <c r="B2578" s="13" t="s">
        <v>718</v>
      </c>
      <c r="C2578" s="14" t="s">
        <v>7838</v>
      </c>
      <c r="D2578" s="15">
        <v>41688.707025462965</v>
      </c>
      <c r="E2578" s="16" t="s">
        <v>21</v>
      </c>
      <c r="F2578" s="16" t="s">
        <v>16</v>
      </c>
      <c r="G2578" s="17" t="s">
        <v>758</v>
      </c>
      <c r="H2578" s="17" t="s">
        <v>867</v>
      </c>
      <c r="I2578" s="13" t="s">
        <v>7871</v>
      </c>
      <c r="J2578" s="23" t="str">
        <f>HYPERLINK("CorLog\GHA\Viepe RTO\20140218 GHA Viepe RTO Budget risk assessment (GHA-to-RDC).msg", "Budget risk assessment")</f>
        <v>Budget risk assessment</v>
      </c>
      <c r="K2578" s="25"/>
      <c r="L2578" s="19"/>
      <c r="M2578" s="20"/>
      <c r="N2578" s="21" t="s">
        <v>7872</v>
      </c>
    </row>
    <row r="2579" spans="1:14">
      <c r="A2579" s="12" t="s">
        <v>724</v>
      </c>
      <c r="B2579" s="13" t="s">
        <v>2016</v>
      </c>
      <c r="C2579" s="14" t="s">
        <v>7873</v>
      </c>
      <c r="D2579" s="15">
        <v>41688.411319444444</v>
      </c>
      <c r="E2579" s="16" t="s">
        <v>16</v>
      </c>
      <c r="F2579" s="16" t="s">
        <v>16</v>
      </c>
      <c r="G2579" s="17" t="s">
        <v>30</v>
      </c>
      <c r="H2579" s="17" t="s">
        <v>867</v>
      </c>
      <c r="I2579" s="13" t="s">
        <v>7874</v>
      </c>
      <c r="J2579" s="23" t="str">
        <f>HYPERLINK("CorLog\ALL\20140218 ALL AO-9 reminders (RDC-to-RDC).msg", "AO-9 reminders")</f>
        <v>AO-9 reminders</v>
      </c>
      <c r="K2579" s="25" t="s">
        <v>1211</v>
      </c>
      <c r="L2579" s="19" t="s">
        <v>7875</v>
      </c>
      <c r="M2579" s="20"/>
      <c r="N2579" s="21" t="s">
        <v>7876</v>
      </c>
    </row>
    <row r="2580" spans="1:14">
      <c r="A2580" s="12" t="s">
        <v>718</v>
      </c>
      <c r="B2580" s="13" t="s">
        <v>842</v>
      </c>
      <c r="C2580" s="14" t="s">
        <v>7877</v>
      </c>
      <c r="D2580" s="15">
        <v>41687.702696759261</v>
      </c>
      <c r="E2580" s="16" t="s">
        <v>16</v>
      </c>
      <c r="F2580" s="16" t="s">
        <v>21</v>
      </c>
      <c r="G2580" s="17" t="s">
        <v>758</v>
      </c>
      <c r="H2580" s="17" t="s">
        <v>1477</v>
      </c>
      <c r="I2580" s="13" t="s">
        <v>7878</v>
      </c>
      <c r="J2580" s="23" t="str">
        <f>HYPERLINK("CorLog\GHA\Viepe RTO\20140217 GHA Viepe RTO Proceed with City Water connection find flow rates (RDC-to-GHA).msg", "Proceed with City Water connection find flow rates")</f>
        <v>Proceed with City Water connection find flow rates</v>
      </c>
      <c r="K2580" s="25"/>
      <c r="L2580" s="19"/>
      <c r="M2580" s="20"/>
      <c r="N2580" s="21" t="s">
        <v>7879</v>
      </c>
    </row>
    <row r="2581" spans="1:14">
      <c r="A2581" s="12" t="s">
        <v>718</v>
      </c>
      <c r="B2581" s="13" t="s">
        <v>795</v>
      </c>
      <c r="C2581" s="14"/>
      <c r="D2581" s="15">
        <v>41687.676006944443</v>
      </c>
      <c r="E2581" s="16" t="s">
        <v>16</v>
      </c>
      <c r="F2581" s="16" t="s">
        <v>16</v>
      </c>
      <c r="G2581" s="17" t="s">
        <v>758</v>
      </c>
      <c r="H2581" s="17" t="s">
        <v>1477</v>
      </c>
      <c r="I2581" s="13" t="s">
        <v>7880</v>
      </c>
      <c r="J2581" s="23" t="str">
        <f>HYPERLINK("CorLog\GHA\Viepe RTO\20140217 GHA Viepe RTO 3 Water Tests (City, borehole and well) [USE CITY WATER!] (RDC-to-RDC).msg", "3 Water Tests (City, borehole and well) [USE CITY WATER!]")</f>
        <v>3 Water Tests (City, borehole and well) [USE CITY WATER!]</v>
      </c>
      <c r="K2581" s="25"/>
      <c r="L2581" s="19"/>
      <c r="M2581" s="20"/>
      <c r="N2581" s="21" t="s">
        <v>7881</v>
      </c>
    </row>
    <row r="2582" spans="1:14">
      <c r="A2582" s="12" t="s">
        <v>724</v>
      </c>
      <c r="B2582" s="13" t="s">
        <v>718</v>
      </c>
      <c r="C2582" s="14" t="s">
        <v>5860</v>
      </c>
      <c r="D2582" s="15">
        <v>41687.668587962966</v>
      </c>
      <c r="E2582" s="16" t="s">
        <v>16</v>
      </c>
      <c r="F2582" s="16" t="s">
        <v>16</v>
      </c>
      <c r="G2582" s="17" t="s">
        <v>946</v>
      </c>
      <c r="H2582" s="17" t="s">
        <v>867</v>
      </c>
      <c r="I2582" s="13" t="s">
        <v>7882</v>
      </c>
      <c r="J2582" s="23" t="str">
        <f>HYPERLINK("CorLog\ZMB\Mongu RTO\20140217 ZMB Mongu RTO AO-6#2 Forgot grease trap, overrun (RDC-to-RDC).msg", "AO-6#2 Forgot grease trap, overrun")</f>
        <v>AO-6#2 Forgot grease trap, overrun</v>
      </c>
      <c r="K2582" s="25"/>
      <c r="L2582" s="19"/>
      <c r="M2582" s="20"/>
      <c r="N2582" s="21" t="s">
        <v>7883</v>
      </c>
    </row>
    <row r="2583" spans="1:14">
      <c r="A2583" s="12" t="s">
        <v>718</v>
      </c>
      <c r="B2583" s="13" t="s">
        <v>1969</v>
      </c>
      <c r="C2583" s="14" t="s">
        <v>7884</v>
      </c>
      <c r="D2583" s="15">
        <v>41687.555358796293</v>
      </c>
      <c r="E2583" s="16" t="s">
        <v>16</v>
      </c>
      <c r="F2583" s="16" t="s">
        <v>22</v>
      </c>
      <c r="G2583" s="17" t="s">
        <v>2627</v>
      </c>
      <c r="H2583" s="17" t="s">
        <v>803</v>
      </c>
      <c r="I2583" s="13" t="s">
        <v>7885</v>
      </c>
      <c r="J2583" s="23" t="str">
        <f>HYPERLINK("CorLog\COD\Kamina RTO\20140217 COD Kamina RTO Updated field sketch KQ-S-501 - perimeter wall filled cores (RDC-to-COD).msg", "Updated field sketch KQ-S-501 - perimeter wall filled cores")</f>
        <v>Updated field sketch KQ-S-501 - perimeter wall filled cores</v>
      </c>
      <c r="K2583" s="25" t="s">
        <v>1211</v>
      </c>
      <c r="L2583" s="19"/>
      <c r="M2583" s="20"/>
      <c r="N2583" s="21" t="s">
        <v>7886</v>
      </c>
    </row>
    <row r="2584" spans="1:14">
      <c r="A2584" s="12" t="s">
        <v>718</v>
      </c>
      <c r="B2584" s="13" t="s">
        <v>5455</v>
      </c>
      <c r="C2584" s="14" t="s">
        <v>7887</v>
      </c>
      <c r="D2584" s="15">
        <v>41687.555324074077</v>
      </c>
      <c r="E2584" s="16" t="s">
        <v>16</v>
      </c>
      <c r="F2584" s="16" t="s">
        <v>18</v>
      </c>
      <c r="G2584" s="17" t="s">
        <v>885</v>
      </c>
      <c r="H2584" s="17" t="s">
        <v>803</v>
      </c>
      <c r="I2584" s="13" t="s">
        <v>7869</v>
      </c>
      <c r="J2584" s="23" t="str">
        <f>HYPERLINK("CorLog\ZMB\Kabompo RTO\20140217 ZMB Kabompo RTO Updated field sketch KJ-S-501 - perimeter wall filled cores (RDC-to-ZMB).msg", "Updated field sketch KJ-S-501 - perimeter wall filled cores")</f>
        <v>Updated field sketch KJ-S-501 - perimeter wall filled cores</v>
      </c>
      <c r="K2584" s="25" t="s">
        <v>1211</v>
      </c>
      <c r="L2584" s="19"/>
      <c r="M2584" s="20"/>
      <c r="N2584" s="21" t="s">
        <v>7888</v>
      </c>
    </row>
    <row r="2585" spans="1:14">
      <c r="A2585" s="12" t="s">
        <v>723</v>
      </c>
      <c r="B2585" s="13" t="s">
        <v>718</v>
      </c>
      <c r="C2585" s="14"/>
      <c r="D2585" s="15">
        <v>41687.351712962962</v>
      </c>
      <c r="E2585" s="16" t="s">
        <v>16</v>
      </c>
      <c r="F2585" s="16" t="s">
        <v>16</v>
      </c>
      <c r="G2585" s="17" t="s">
        <v>1470</v>
      </c>
      <c r="H2585" s="17" t="s">
        <v>4146</v>
      </c>
      <c r="I2585" s="13" t="s">
        <v>7889</v>
      </c>
      <c r="J2585" s="23" t="str">
        <f>HYPERLINK("CorLog\GHA\RTO Projects\20140217 GHA RTO Projects Ghana new languages Ahanta, Sefwi, Dagbaane and Fanti (RDC-to-RDC).msg", "Ghana new languages Ahanta, Sefwi, Dagbaane and Fanti")</f>
        <v>Ghana new languages Ahanta, Sefwi, Dagbaane and Fanti</v>
      </c>
      <c r="K2585" s="25"/>
      <c r="L2585" s="19"/>
      <c r="M2585" s="20"/>
      <c r="N2585" s="21" t="s">
        <v>7890</v>
      </c>
    </row>
    <row r="2586" spans="1:14">
      <c r="A2586" s="12" t="s">
        <v>964</v>
      </c>
      <c r="B2586" s="13" t="s">
        <v>6448</v>
      </c>
      <c r="C2586" s="14" t="s">
        <v>2042</v>
      </c>
      <c r="D2586" s="15">
        <v>41686.855833333335</v>
      </c>
      <c r="E2586" s="16" t="s">
        <v>16</v>
      </c>
      <c r="F2586" s="16" t="s">
        <v>26</v>
      </c>
      <c r="G2586" s="17" t="s">
        <v>790</v>
      </c>
      <c r="H2586" s="17" t="s">
        <v>886</v>
      </c>
      <c r="I2586" s="13" t="s">
        <v>7891</v>
      </c>
      <c r="J2586" s="23" t="str">
        <f>HYPERLINK("CorLog\GHA\BEX\20140216 GHA BEX GHA 04 - MAIN DB ATS PLC Program (RDC-to-GBR).msg", "GHA 04 - MAIN DB ATS PLC Program")</f>
        <v>GHA 04 - MAIN DB ATS PLC Program</v>
      </c>
      <c r="K2586" s="25" t="s">
        <v>1211</v>
      </c>
      <c r="L2586" s="19"/>
      <c r="M2586" s="20"/>
      <c r="N2586" s="21" t="s">
        <v>7892</v>
      </c>
    </row>
    <row r="2587" spans="1:14">
      <c r="A2587" s="12" t="s">
        <v>718</v>
      </c>
      <c r="B2587" s="13" t="s">
        <v>2016</v>
      </c>
      <c r="C2587" s="14"/>
      <c r="D2587" s="15">
        <v>41684.632893518516</v>
      </c>
      <c r="E2587" s="16" t="s">
        <v>16</v>
      </c>
      <c r="F2587" s="16" t="s">
        <v>16</v>
      </c>
      <c r="G2587" s="17" t="s">
        <v>1169</v>
      </c>
      <c r="H2587" s="17" t="s">
        <v>803</v>
      </c>
      <c r="I2587" s="13" t="s">
        <v>7893</v>
      </c>
      <c r="J2587" s="23" t="str">
        <f>HYPERLINK("CorLog\COD\Kikwit RTO\20140214 COD Kikwit RTO Draft Site Layout (RDC-to-RDC).msg", "Draft Site Layout")</f>
        <v>Draft Site Layout</v>
      </c>
      <c r="K2587" s="25" t="s">
        <v>1211</v>
      </c>
      <c r="L2587" s="19"/>
      <c r="M2587" s="20"/>
      <c r="N2587" s="21" t="s">
        <v>7894</v>
      </c>
    </row>
    <row r="2588" spans="1:14">
      <c r="A2588" s="12" t="s">
        <v>718</v>
      </c>
      <c r="B2588" s="13" t="s">
        <v>1447</v>
      </c>
      <c r="C2588" s="14" t="s">
        <v>724</v>
      </c>
      <c r="D2588" s="15">
        <v>41684.573564814818</v>
      </c>
      <c r="E2588" s="16" t="s">
        <v>16</v>
      </c>
      <c r="F2588" s="16" t="s">
        <v>16</v>
      </c>
      <c r="G2588" s="17" t="s">
        <v>30</v>
      </c>
      <c r="H2588" s="17" t="s">
        <v>927</v>
      </c>
      <c r="I2588" s="13" t="s">
        <v>7895</v>
      </c>
      <c r="J2588" s="23" t="str">
        <f>HYPERLINK("CorLog\ALL\20140214 ALL Setting up a Project resource for a team of people (RDC-to-RDC).msg", "Setting up a Project resource for a team of people")</f>
        <v>Setting up a Project resource for a team of people</v>
      </c>
      <c r="K2588" s="25"/>
      <c r="L2588" s="19"/>
      <c r="M2588" s="20"/>
      <c r="N2588" s="21" t="s">
        <v>7896</v>
      </c>
    </row>
    <row r="2589" spans="1:14">
      <c r="A2589" s="12" t="s">
        <v>718</v>
      </c>
      <c r="B2589" s="13" t="s">
        <v>5413</v>
      </c>
      <c r="C2589" s="14" t="s">
        <v>7809</v>
      </c>
      <c r="D2589" s="15">
        <v>41684.554583333331</v>
      </c>
      <c r="E2589" s="16" t="s">
        <v>16</v>
      </c>
      <c r="F2589" s="16" t="s">
        <v>21</v>
      </c>
      <c r="G2589" s="17" t="s">
        <v>790</v>
      </c>
      <c r="H2589" s="17" t="s">
        <v>5574</v>
      </c>
      <c r="I2589" s="13" t="s">
        <v>7897</v>
      </c>
      <c r="J2589" s="23" t="str">
        <f>HYPERLINK("CorLog\GHA\BEX\20140214 GHA BEX Agree to use DOM for locks and hardware (RDC-to-GHA).msg", "Agree to use DOM for locks and hardware")</f>
        <v>Agree to use DOM for locks and hardware</v>
      </c>
      <c r="K2589" s="25"/>
      <c r="L2589" s="19"/>
      <c r="M2589" s="20"/>
      <c r="N2589" s="21" t="s">
        <v>7898</v>
      </c>
    </row>
    <row r="2590" spans="1:14">
      <c r="A2590" s="12" t="s">
        <v>1176</v>
      </c>
      <c r="B2590" s="13" t="s">
        <v>795</v>
      </c>
      <c r="C2590" s="14" t="s">
        <v>718</v>
      </c>
      <c r="D2590" s="15">
        <v>41684.490787037037</v>
      </c>
      <c r="E2590" s="16" t="s">
        <v>16</v>
      </c>
      <c r="F2590" s="16" t="s">
        <v>16</v>
      </c>
      <c r="G2590" s="17" t="s">
        <v>758</v>
      </c>
      <c r="H2590" s="17" t="s">
        <v>1477</v>
      </c>
      <c r="I2590" s="13" t="s">
        <v>7899</v>
      </c>
      <c r="J2590" s="23" t="str">
        <f>HYPERLINK("CorLog\GHA\Viepe RTO\20140214 GHA Viepe RTO Municipal water quality, NC approves (RDC-to-RDC).msg", "Municipal water quality, NC approves")</f>
        <v>Municipal water quality, NC approves</v>
      </c>
      <c r="K2590" s="25"/>
      <c r="L2590" s="19"/>
      <c r="M2590" s="20"/>
      <c r="N2590" s="21" t="s">
        <v>7900</v>
      </c>
    </row>
    <row r="2591" spans="1:14">
      <c r="A2591" s="12" t="s">
        <v>718</v>
      </c>
      <c r="B2591" s="13" t="s">
        <v>1529</v>
      </c>
      <c r="C2591" s="14" t="s">
        <v>7901</v>
      </c>
      <c r="D2591" s="15">
        <v>41684.380671296298</v>
      </c>
      <c r="E2591" s="16" t="s">
        <v>16</v>
      </c>
      <c r="F2591" s="16" t="s">
        <v>18</v>
      </c>
      <c r="G2591" s="17" t="s">
        <v>946</v>
      </c>
      <c r="H2591" s="17" t="s">
        <v>1367</v>
      </c>
      <c r="I2591" s="13" t="s">
        <v>7902</v>
      </c>
      <c r="J2591" s="23" t="str">
        <f>HYPERLINK("CorLog\ZMB\Mongu RTO\20140214 ZMB Mongu RTO Sikagard 63N - Application Tips (RDC-to-ZMB).msg", "Sikagard 63N - Application Tips")</f>
        <v>Sikagard 63N - Application Tips</v>
      </c>
      <c r="K2591" s="25" t="s">
        <v>1243</v>
      </c>
      <c r="L2591" s="19"/>
      <c r="M2591" s="20"/>
      <c r="N2591" s="21" t="s">
        <v>7903</v>
      </c>
    </row>
    <row r="2592" spans="1:14">
      <c r="A2592" s="12" t="s">
        <v>972</v>
      </c>
      <c r="B2592" s="13" t="s">
        <v>718</v>
      </c>
      <c r="C2592" s="14" t="s">
        <v>7904</v>
      </c>
      <c r="D2592" s="15">
        <v>41684.341562499998</v>
      </c>
      <c r="E2592" s="16" t="s">
        <v>18</v>
      </c>
      <c r="F2592" s="16" t="s">
        <v>16</v>
      </c>
      <c r="G2592" s="17" t="s">
        <v>1070</v>
      </c>
      <c r="H2592" s="17" t="s">
        <v>1477</v>
      </c>
      <c r="I2592" s="13" t="s">
        <v>7905</v>
      </c>
      <c r="J2592" s="23" t="str">
        <f>HYPERLINK("CorLog\ZMB\Katete RTO\20140214 ZMB Katete RTO Water samples (ZMB-to-RDC).msg", "Water samples")</f>
        <v>Water samples</v>
      </c>
      <c r="K2592" s="25" t="s">
        <v>1211</v>
      </c>
      <c r="L2592" s="19"/>
      <c r="M2592" s="20"/>
      <c r="N2592" s="21" t="s">
        <v>7906</v>
      </c>
    </row>
    <row r="2593" spans="1:14">
      <c r="A2593" s="12" t="s">
        <v>718</v>
      </c>
      <c r="B2593" s="13" t="s">
        <v>7907</v>
      </c>
      <c r="C2593" s="14"/>
      <c r="D2593" s="15">
        <v>41683.704259259262</v>
      </c>
      <c r="E2593" s="16" t="s">
        <v>16</v>
      </c>
      <c r="F2593" s="16" t="s">
        <v>16</v>
      </c>
      <c r="G2593" s="17" t="s">
        <v>790</v>
      </c>
      <c r="H2593" s="17" t="s">
        <v>7500</v>
      </c>
      <c r="I2593" s="13" t="s">
        <v>7501</v>
      </c>
      <c r="J2593" s="23" t="str">
        <f>HYPERLINK("CorLog\GHA\BEX\20140213 GHA BEX How to deal with mold growth in existing rooms [Meeting Minutes] (RDC-to-RDC).msg", "How to deal with mold growth in existing rooms [Meeting Minutes]")</f>
        <v>How to deal with mold growth in existing rooms [Meeting Minutes]</v>
      </c>
      <c r="K2593" s="25"/>
      <c r="L2593" s="19" t="s">
        <v>6908</v>
      </c>
      <c r="M2593" s="20"/>
      <c r="N2593" s="21" t="s">
        <v>7908</v>
      </c>
    </row>
    <row r="2594" spans="1:14">
      <c r="A2594" s="12" t="s">
        <v>7909</v>
      </c>
      <c r="B2594" s="13" t="s">
        <v>718</v>
      </c>
      <c r="C2594" s="14" t="s">
        <v>723</v>
      </c>
      <c r="D2594" s="15">
        <v>41683.68236111111</v>
      </c>
      <c r="E2594" s="16" t="s">
        <v>29</v>
      </c>
      <c r="F2594" s="16" t="s">
        <v>16</v>
      </c>
      <c r="G2594" s="17" t="s">
        <v>790</v>
      </c>
      <c r="H2594" s="17" t="s">
        <v>1426</v>
      </c>
      <c r="I2594" s="13" t="s">
        <v>7910</v>
      </c>
      <c r="J2594" s="23" t="str">
        <f>HYPERLINK("CorLog\GHA\BEX\20140213 GHA BEX ZAF-RDC Master key system for GHA branch, DOM vs CES (DEU-to-RDC).msg", "ZAF-RDC Master key system for GHA branch, DOM vs CES")</f>
        <v>ZAF-RDC Master key system for GHA branch, DOM vs CES</v>
      </c>
      <c r="K2594" s="25"/>
      <c r="L2594" s="19" t="s">
        <v>7911</v>
      </c>
      <c r="M2594" s="20"/>
      <c r="N2594" s="21" t="s">
        <v>7912</v>
      </c>
    </row>
    <row r="2595" spans="1:14">
      <c r="A2595" s="12" t="s">
        <v>718</v>
      </c>
      <c r="B2595" s="13" t="s">
        <v>5413</v>
      </c>
      <c r="C2595" s="14" t="s">
        <v>7913</v>
      </c>
      <c r="D2595" s="15">
        <v>41683.636435185188</v>
      </c>
      <c r="E2595" s="16" t="s">
        <v>16</v>
      </c>
      <c r="F2595" s="16" t="s">
        <v>21</v>
      </c>
      <c r="G2595" s="17" t="s">
        <v>790</v>
      </c>
      <c r="H2595" s="17" t="s">
        <v>2179</v>
      </c>
      <c r="I2595" s="13" t="s">
        <v>3589</v>
      </c>
      <c r="J2595" s="23" t="str">
        <f>HYPERLINK("CorLog\GHA\BEX\20140213 GHA BEX Use of Soilguard termite treatment products, instead of Premise (RDC-to-GHA).msg", "Use of Soilguard termite treatment products, instead of Premise")</f>
        <v>Use of Soilguard termite treatment products, instead of Premise</v>
      </c>
      <c r="K2595" s="25" t="s">
        <v>1369</v>
      </c>
      <c r="L2595" s="19"/>
      <c r="M2595" s="20"/>
      <c r="N2595" s="21" t="s">
        <v>7914</v>
      </c>
    </row>
    <row r="2596" spans="1:14">
      <c r="A2596" s="12" t="s">
        <v>718</v>
      </c>
      <c r="B2596" s="13" t="s">
        <v>795</v>
      </c>
      <c r="C2596" s="14" t="s">
        <v>723</v>
      </c>
      <c r="D2596" s="15">
        <v>41683.614074074074</v>
      </c>
      <c r="E2596" s="16" t="s">
        <v>16</v>
      </c>
      <c r="F2596" s="16" t="s">
        <v>16</v>
      </c>
      <c r="G2596" s="17" t="s">
        <v>758</v>
      </c>
      <c r="H2596" s="17" t="s">
        <v>1477</v>
      </c>
      <c r="I2596" s="13" t="s">
        <v>7915</v>
      </c>
      <c r="J2596" s="23" t="str">
        <f>HYPERLINK("CorLog\GHA\Viepe RTO\20140213 GHA Viepe RTO Borehole Drilling Report (RDC-to-RDC).msg", "Borehole Drilling Report")</f>
        <v>Borehole Drilling Report</v>
      </c>
      <c r="K2596" s="25" t="s">
        <v>1211</v>
      </c>
      <c r="L2596" s="19"/>
      <c r="M2596" s="20"/>
      <c r="N2596" s="21" t="s">
        <v>7916</v>
      </c>
    </row>
    <row r="2597" spans="1:14">
      <c r="A2597" s="12" t="s">
        <v>5713</v>
      </c>
      <c r="B2597" s="13" t="s">
        <v>3631</v>
      </c>
      <c r="C2597" s="14" t="s">
        <v>5567</v>
      </c>
      <c r="D2597" s="15">
        <v>41683.605081018519</v>
      </c>
      <c r="E2597" s="16" t="s">
        <v>15</v>
      </c>
      <c r="F2597" s="16" t="s">
        <v>18</v>
      </c>
      <c r="G2597" s="17" t="s">
        <v>1112</v>
      </c>
      <c r="H2597" s="17" t="s">
        <v>1426</v>
      </c>
      <c r="I2597" s="13" t="s">
        <v>7917</v>
      </c>
      <c r="J2597" s="23" t="str">
        <f>HYPERLINK("CorLog\ZMB\BEX\20140213 ZMB BEX ZMB CISA New Keying System (ZAF-to-ZMB).msg", "ZMB CISA New Keying System")</f>
        <v>ZMB CISA New Keying System</v>
      </c>
      <c r="K2597" s="25"/>
      <c r="L2597" s="19"/>
      <c r="M2597" s="20"/>
      <c r="N2597" s="21" t="s">
        <v>7918</v>
      </c>
    </row>
    <row r="2598" spans="1:14">
      <c r="A2598" s="12" t="s">
        <v>842</v>
      </c>
      <c r="B2598" s="13" t="s">
        <v>718</v>
      </c>
      <c r="C2598" s="14" t="s">
        <v>5413</v>
      </c>
      <c r="D2598" s="15">
        <v>41683.489594907405</v>
      </c>
      <c r="E2598" s="16" t="s">
        <v>21</v>
      </c>
      <c r="F2598" s="16" t="s">
        <v>16</v>
      </c>
      <c r="G2598" s="17" t="s">
        <v>758</v>
      </c>
      <c r="H2598" s="17" t="s">
        <v>1477</v>
      </c>
      <c r="I2598" s="13" t="s">
        <v>7919</v>
      </c>
      <c r="J2598" s="23" t="str">
        <f>HYPERLINK("CorLog\GHA\Viepe RTO\20140213 GHA Viepe RTO Viepe Drilling Report (GHA-to-RDC).msg", "Viepe Drilling Report")</f>
        <v>Viepe Drilling Report</v>
      </c>
      <c r="K2598" s="25" t="s">
        <v>1211</v>
      </c>
      <c r="L2598" s="19"/>
      <c r="M2598" s="20"/>
      <c r="N2598" s="21" t="s">
        <v>7920</v>
      </c>
    </row>
    <row r="2599" spans="1:14">
      <c r="A2599" s="12" t="s">
        <v>718</v>
      </c>
      <c r="B2599" s="13" t="s">
        <v>5413</v>
      </c>
      <c r="C2599" s="14" t="s">
        <v>723</v>
      </c>
      <c r="D2599" s="15">
        <v>41683.34003472222</v>
      </c>
      <c r="E2599" s="16" t="s">
        <v>16</v>
      </c>
      <c r="F2599" s="16" t="s">
        <v>21</v>
      </c>
      <c r="G2599" s="17" t="s">
        <v>790</v>
      </c>
      <c r="H2599" s="17" t="s">
        <v>1367</v>
      </c>
      <c r="I2599" s="13" t="s">
        <v>7921</v>
      </c>
      <c r="J2599" s="23" t="str">
        <f>HYPERLINK("CorLog\GHA\BEX\20140213 GHA BEX Price Request_Ref 927 Roof vapour barrier Monarperm Plus vs Klober Permo Forte [APPROVED] (RDC-to-GHA).msg", "Price Request_Ref 927 Roof vapour barrier Monarperm Plus vs Klober Permo Forte [APPROVED]")</f>
        <v>Price Request_Ref 927 Roof vapour barrier Monarperm Plus vs Klober Permo Forte [APPROVED]</v>
      </c>
      <c r="K2599" s="25"/>
      <c r="L2599" s="19"/>
      <c r="M2599" s="20"/>
      <c r="N2599" s="21" t="s">
        <v>7922</v>
      </c>
    </row>
    <row r="2600" spans="1:14">
      <c r="A2600" s="12" t="s">
        <v>718</v>
      </c>
      <c r="B2600" s="13" t="s">
        <v>717</v>
      </c>
      <c r="C2600" s="14"/>
      <c r="D2600" s="15">
        <v>41682.823263888888</v>
      </c>
      <c r="E2600" s="16" t="s">
        <v>16</v>
      </c>
      <c r="F2600" s="16" t="s">
        <v>16</v>
      </c>
      <c r="G2600" s="17" t="s">
        <v>30</v>
      </c>
      <c r="H2600" s="17" t="s">
        <v>1426</v>
      </c>
      <c r="I2600" s="13" t="s">
        <v>7923</v>
      </c>
      <c r="J2600" s="23" t="str">
        <f>HYPERLINK("CorLog\ALL\20140212 ALL ERG Review master key system for GHA, MOZ and future RTOs (RDC-to-RDC).msg", "ERG Review master key system for GHA, MOZ and future RTOs")</f>
        <v>ERG Review master key system for GHA, MOZ and future RTOs</v>
      </c>
      <c r="K2600" s="25"/>
      <c r="L2600" s="19"/>
      <c r="M2600" s="20"/>
      <c r="N2600" s="21" t="s">
        <v>7924</v>
      </c>
    </row>
    <row r="2601" spans="1:14">
      <c r="A2601" s="12" t="s">
        <v>718</v>
      </c>
      <c r="B2601" s="13" t="s">
        <v>7907</v>
      </c>
      <c r="C2601" s="14" t="s">
        <v>750</v>
      </c>
      <c r="D2601" s="15">
        <v>41682.748506944445</v>
      </c>
      <c r="E2601" s="16" t="s">
        <v>16</v>
      </c>
      <c r="F2601" s="16" t="s">
        <v>16</v>
      </c>
      <c r="G2601" s="17" t="s">
        <v>30</v>
      </c>
      <c r="H2601" s="17" t="s">
        <v>1426</v>
      </c>
      <c r="I2601" s="13" t="s">
        <v>7925</v>
      </c>
      <c r="J2601" s="23" t="str">
        <f>HYPERLINK("CorLog\ALL\20140212 ALL Meeting Minutes with CISA - Problems with master key systems reliability (RDC-to-RDC).msg", "Meeting Minutes with CISA - Problems with master key systems reliability")</f>
        <v>Meeting Minutes with CISA - Problems with master key systems reliability</v>
      </c>
      <c r="K2601" s="25"/>
      <c r="L2601" s="19"/>
      <c r="M2601" s="20"/>
      <c r="N2601" s="21" t="s">
        <v>7926</v>
      </c>
    </row>
    <row r="2602" spans="1:14">
      <c r="A2602" s="12" t="s">
        <v>827</v>
      </c>
      <c r="B2602" s="13" t="s">
        <v>718</v>
      </c>
      <c r="C2602" s="14" t="s">
        <v>7927</v>
      </c>
      <c r="D2602" s="15">
        <v>41682.648425925923</v>
      </c>
      <c r="E2602" s="16" t="s">
        <v>21</v>
      </c>
      <c r="F2602" s="16" t="s">
        <v>16</v>
      </c>
      <c r="G2602" s="17" t="s">
        <v>790</v>
      </c>
      <c r="H2602" s="17" t="s">
        <v>839</v>
      </c>
      <c r="I2602" s="13" t="s">
        <v>7928</v>
      </c>
      <c r="J2602" s="23" t="str">
        <f>HYPERLINK("CorLog\GHA\BEX\20140212 GHA BEX Test Results for Approved Fill (GHA-to-RDC).msg", "Test Results for Approved Fill")</f>
        <v>Test Results for Approved Fill</v>
      </c>
      <c r="K2602" s="25" t="s">
        <v>1211</v>
      </c>
      <c r="L2602" s="19"/>
      <c r="M2602" s="20"/>
      <c r="N2602" s="21" t="s">
        <v>7929</v>
      </c>
    </row>
    <row r="2603" spans="1:14">
      <c r="A2603" s="12" t="s">
        <v>4310</v>
      </c>
      <c r="B2603" s="13" t="s">
        <v>718</v>
      </c>
      <c r="C2603" s="14"/>
      <c r="D2603" s="15">
        <v>41682.605682870373</v>
      </c>
      <c r="E2603" s="16" t="s">
        <v>15</v>
      </c>
      <c r="F2603" s="16" t="s">
        <v>16</v>
      </c>
      <c r="G2603" s="17" t="s">
        <v>30</v>
      </c>
      <c r="H2603" s="17" t="s">
        <v>1426</v>
      </c>
      <c r="I2603" s="13" t="s">
        <v>7930</v>
      </c>
      <c r="J2603" s="23" t="str">
        <f>HYPERLINK("CorLog\ALL\20140212 ALL Table of all ZAF supplied Key Systems (ZAF-to-RDC).msg", "Table of all ZAF supplied Key Systems")</f>
        <v>Table of all ZAF supplied Key Systems</v>
      </c>
      <c r="K2603" s="25" t="s">
        <v>1211</v>
      </c>
      <c r="L2603" s="19"/>
      <c r="M2603" s="20"/>
      <c r="N2603" s="21" t="s">
        <v>7931</v>
      </c>
    </row>
    <row r="2604" spans="1:14">
      <c r="A2604" s="12" t="s">
        <v>718</v>
      </c>
      <c r="B2604" s="13" t="s">
        <v>5413</v>
      </c>
      <c r="C2604" s="14" t="s">
        <v>7156</v>
      </c>
      <c r="D2604" s="15">
        <v>41682.40283564815</v>
      </c>
      <c r="E2604" s="16" t="s">
        <v>16</v>
      </c>
      <c r="F2604" s="16" t="s">
        <v>21</v>
      </c>
      <c r="G2604" s="17" t="s">
        <v>790</v>
      </c>
      <c r="H2604" s="17" t="s">
        <v>1367</v>
      </c>
      <c r="I2604" s="13" t="s">
        <v>7932</v>
      </c>
      <c r="J2604" s="23" t="str">
        <f>HYPERLINK("CorLog\GHA\BEX\20140212 GHA BEX Sika MaxMix acceptable as mortar plasticiser [APPROVED] (RDC-to-GHA).msg", "Sika MaxMix acceptable as mortar plasticiser [APPROVED]")</f>
        <v>Sika MaxMix acceptable as mortar plasticiser [APPROVED]</v>
      </c>
      <c r="K2604" s="25" t="s">
        <v>1270</v>
      </c>
      <c r="L2604" s="19"/>
      <c r="M2604" s="20"/>
      <c r="N2604" s="21" t="s">
        <v>7933</v>
      </c>
    </row>
    <row r="2605" spans="1:14">
      <c r="A2605" s="12" t="s">
        <v>718</v>
      </c>
      <c r="B2605" s="13" t="s">
        <v>5900</v>
      </c>
      <c r="C2605" s="14" t="s">
        <v>7934</v>
      </c>
      <c r="D2605" s="15">
        <v>41681.708483796298</v>
      </c>
      <c r="E2605" s="16" t="s">
        <v>16</v>
      </c>
      <c r="F2605" s="16" t="s">
        <v>42</v>
      </c>
      <c r="G2605" s="17" t="s">
        <v>790</v>
      </c>
      <c r="H2605" s="17" t="s">
        <v>3330</v>
      </c>
      <c r="I2605" s="13" t="s">
        <v>7935</v>
      </c>
      <c r="J2605" s="23" t="str">
        <f>HYPERLINK("CorLog\GHA\BEX\20140211 GHA BEX Project Ref 389 - Change model to V400C2 SDMO Generator (was V375C2) (RDC-to-NLD).msg", "Project Ref 389 - Change model to V400C2 SDMO Generator (was V375C2)")</f>
        <v>Project Ref 389 - Change model to V400C2 SDMO Generator (was V375C2)</v>
      </c>
      <c r="K2605" s="25" t="s">
        <v>1243</v>
      </c>
      <c r="L2605" s="19"/>
      <c r="M2605" s="20"/>
      <c r="N2605" s="21" t="s">
        <v>7936</v>
      </c>
    </row>
    <row r="2606" spans="1:14">
      <c r="A2606" s="12" t="s">
        <v>718</v>
      </c>
      <c r="B2606" s="13" t="s">
        <v>5413</v>
      </c>
      <c r="C2606" s="14" t="s">
        <v>7684</v>
      </c>
      <c r="D2606" s="15">
        <v>41681.559444444443</v>
      </c>
      <c r="E2606" s="16" t="s">
        <v>16</v>
      </c>
      <c r="F2606" s="16" t="s">
        <v>21</v>
      </c>
      <c r="G2606" s="17" t="s">
        <v>790</v>
      </c>
      <c r="H2606" s="17" t="s">
        <v>947</v>
      </c>
      <c r="I2606" s="13" t="s">
        <v>7937</v>
      </c>
      <c r="J2606" s="23" t="str">
        <f>HYPERLINK("CorLog\GHA\BEX\20140211 GHA BEX GHA Batch plant and reroute stormline APPROVED (RDC-to-GHA).msg", "GHA Batch plant and reroute stormline [APPROVED]")</f>
        <v>GHA Batch plant and reroute stormline [APPROVED]</v>
      </c>
      <c r="K2606" s="25" t="s">
        <v>1211</v>
      </c>
      <c r="L2606" s="19"/>
      <c r="M2606" s="20"/>
      <c r="N2606" s="21" t="s">
        <v>7938</v>
      </c>
    </row>
    <row r="2607" spans="1:14">
      <c r="A2607" s="12" t="s">
        <v>718</v>
      </c>
      <c r="B2607" s="13" t="s">
        <v>5413</v>
      </c>
      <c r="C2607" s="14" t="s">
        <v>723</v>
      </c>
      <c r="D2607" s="15">
        <v>41681.494722222225</v>
      </c>
      <c r="E2607" s="16" t="s">
        <v>16</v>
      </c>
      <c r="F2607" s="16" t="s">
        <v>21</v>
      </c>
      <c r="G2607" s="17" t="s">
        <v>790</v>
      </c>
      <c r="H2607" s="17" t="s">
        <v>3088</v>
      </c>
      <c r="I2607" s="13" t="s">
        <v>7939</v>
      </c>
      <c r="J2607" s="23" t="str">
        <f>HYPERLINK("CorLog\GHA\BEX\20140211 GHA BEX Quotation from RCP for 2 5m box culvert (RDC-to-GHA).msg", "Quotation from RCP for 2 5m box culvert")</f>
        <v>Quotation from RCP for 2 5m box culvert</v>
      </c>
      <c r="K2607" s="25" t="s">
        <v>1211</v>
      </c>
      <c r="L2607" s="19"/>
      <c r="M2607" s="20"/>
      <c r="N2607" s="21" t="s">
        <v>7940</v>
      </c>
    </row>
    <row r="2608" spans="1:14">
      <c r="A2608" s="12" t="s">
        <v>750</v>
      </c>
      <c r="B2608" s="13" t="s">
        <v>1784</v>
      </c>
      <c r="C2608" s="14" t="s">
        <v>7941</v>
      </c>
      <c r="D2608" s="15">
        <v>41680.829189814816</v>
      </c>
      <c r="E2608" s="16" t="s">
        <v>16</v>
      </c>
      <c r="F2608" s="16" t="s">
        <v>16</v>
      </c>
      <c r="G2608" s="17" t="s">
        <v>30</v>
      </c>
      <c r="H2608" s="17" t="s">
        <v>759</v>
      </c>
      <c r="I2608" s="13" t="s">
        <v>7942</v>
      </c>
      <c r="J2608" s="23" t="str">
        <f>HYPERLINK("CorLog\ALL\20140210 ALL RTO PS Cats - New Way to 'Divide' (RDC-to-RDC).msg", "RTO PS Cats - New Way to 'Divide'")</f>
        <v>RTO PS Cats - New Way to 'Divide'</v>
      </c>
      <c r="K2608" s="25"/>
      <c r="L2608" s="19"/>
      <c r="M2608" s="20"/>
      <c r="N2608" s="21" t="s">
        <v>7943</v>
      </c>
    </row>
    <row r="2609" spans="1:14">
      <c r="A2609" s="12" t="s">
        <v>7907</v>
      </c>
      <c r="B2609" s="13" t="s">
        <v>718</v>
      </c>
      <c r="C2609" s="14"/>
      <c r="D2609" s="15">
        <v>41680.462638888886</v>
      </c>
      <c r="E2609" s="16" t="s">
        <v>18</v>
      </c>
      <c r="F2609" s="16" t="s">
        <v>16</v>
      </c>
      <c r="G2609" s="17" t="s">
        <v>1112</v>
      </c>
      <c r="H2609" s="17" t="s">
        <v>886</v>
      </c>
      <c r="I2609" s="13" t="s">
        <v>7944</v>
      </c>
      <c r="J2609" s="23" t="str">
        <f>HYPERLINK("CorLog\ZMB\BEX\20140210 ZMB BEX Damage unloading the Generator zy458 (ZMB-to-RDC).msg", "Damage unloading the Generator zy458")</f>
        <v>Damage unloading the Generator zy458</v>
      </c>
      <c r="K2609" s="25" t="s">
        <v>1243</v>
      </c>
      <c r="L2609" s="19"/>
      <c r="M2609" s="20"/>
      <c r="N2609" s="21" t="s">
        <v>7945</v>
      </c>
    </row>
    <row r="2610" spans="1:14">
      <c r="A2610" s="12" t="s">
        <v>718</v>
      </c>
      <c r="B2610" s="13" t="s">
        <v>827</v>
      </c>
      <c r="C2610" s="14" t="s">
        <v>7946</v>
      </c>
      <c r="D2610" s="15">
        <v>41680.340902777774</v>
      </c>
      <c r="E2610" s="16" t="s">
        <v>16</v>
      </c>
      <c r="F2610" s="16" t="s">
        <v>21</v>
      </c>
      <c r="G2610" s="17" t="s">
        <v>790</v>
      </c>
      <c r="H2610" s="17" t="s">
        <v>803</v>
      </c>
      <c r="I2610" s="13" t="s">
        <v>7947</v>
      </c>
      <c r="J2610" s="23" t="str">
        <f>HYPERLINK("CorLog\GHA\BEX\20140210 GHA BEX CAD Civil Drawings; Excel tables instead (RDC-to-GHA).msg", "CAD Civil Drawings; Excel tables instead")</f>
        <v>CAD Civil Drawings; Excel tables instead</v>
      </c>
      <c r="K2610" s="25" t="s">
        <v>1211</v>
      </c>
      <c r="L2610" s="19"/>
      <c r="M2610" s="20"/>
      <c r="N2610" s="21" t="s">
        <v>7948</v>
      </c>
    </row>
    <row r="2611" spans="1:14">
      <c r="A2611" s="12" t="s">
        <v>901</v>
      </c>
      <c r="B2611" s="13" t="s">
        <v>718</v>
      </c>
      <c r="C2611" s="14" t="s">
        <v>7771</v>
      </c>
      <c r="D2611" s="15">
        <v>41677.716840277775</v>
      </c>
      <c r="E2611" s="16" t="s">
        <v>21</v>
      </c>
      <c r="F2611" s="16" t="s">
        <v>16</v>
      </c>
      <c r="G2611" s="17" t="s">
        <v>790</v>
      </c>
      <c r="H2611" s="17" t="s">
        <v>953</v>
      </c>
      <c r="I2611" s="13" t="s">
        <v>7949</v>
      </c>
      <c r="J2611" s="23" t="str">
        <f>HYPERLINK("CorLog\GHA\BEX\20140207 GHA BEX Earth Works Contract understanding (GHA-to-RDC).msg", "Earth Works Contract understanding")</f>
        <v>Earth Works Contract understanding</v>
      </c>
      <c r="K2611" s="25"/>
      <c r="L2611" s="19"/>
      <c r="M2611" s="20"/>
      <c r="N2611" s="21" t="s">
        <v>7950</v>
      </c>
    </row>
    <row r="2612" spans="1:14">
      <c r="A2612" s="12" t="s">
        <v>901</v>
      </c>
      <c r="B2612" s="13" t="s">
        <v>718</v>
      </c>
      <c r="C2612" s="14" t="s">
        <v>7771</v>
      </c>
      <c r="D2612" s="15">
        <v>41677.716840277775</v>
      </c>
      <c r="E2612" s="16" t="s">
        <v>21</v>
      </c>
      <c r="F2612" s="16" t="s">
        <v>16</v>
      </c>
      <c r="G2612" s="17" t="s">
        <v>790</v>
      </c>
      <c r="H2612" s="17" t="s">
        <v>953</v>
      </c>
      <c r="I2612" s="13" t="s">
        <v>7949</v>
      </c>
      <c r="J2612" s="23" t="str">
        <f>HYPERLINK("CorLog\GHA\BEX\20140207 GHA BEX Earth Works Contract understanding (GHA-to-RDC).msg", "Earth Works Contract understanding")</f>
        <v>Earth Works Contract understanding</v>
      </c>
      <c r="K2612" s="25"/>
      <c r="L2612" s="19"/>
      <c r="M2612" s="20"/>
      <c r="N2612" s="21" t="s">
        <v>7950</v>
      </c>
    </row>
    <row r="2613" spans="1:14">
      <c r="A2613" s="12" t="s">
        <v>964</v>
      </c>
      <c r="B2613" s="13" t="s">
        <v>6448</v>
      </c>
      <c r="C2613" s="14" t="s">
        <v>7951</v>
      </c>
      <c r="D2613" s="15">
        <v>41676.693078703705</v>
      </c>
      <c r="E2613" s="16" t="s">
        <v>16</v>
      </c>
      <c r="F2613" s="16" t="s">
        <v>26</v>
      </c>
      <c r="G2613" s="17" t="s">
        <v>790</v>
      </c>
      <c r="H2613" s="17" t="s">
        <v>886</v>
      </c>
      <c r="I2613" s="13" t="s">
        <v>7952</v>
      </c>
      <c r="J2613" s="23" t="str">
        <f>HYPERLINK("CorLog\GHA\BEX\20140206 GHA BEX Watchtower_GHA_Power House Main DB Ref_591_Rev 8 (RDC-to-GBR).msg", "Watchtower_GHA_Power House Main DB Ref_591_Rev 8")</f>
        <v>Watchtower_GHA_Power House Main DB Ref_591_Rev 8</v>
      </c>
      <c r="K2613" s="25" t="s">
        <v>1626</v>
      </c>
      <c r="L2613" s="19"/>
      <c r="M2613" s="20"/>
      <c r="N2613" s="21" t="s">
        <v>7953</v>
      </c>
    </row>
    <row r="2614" spans="1:14">
      <c r="A2614" s="12" t="s">
        <v>7954</v>
      </c>
      <c r="B2614" s="13" t="s">
        <v>718</v>
      </c>
      <c r="C2614" s="14"/>
      <c r="D2614" s="15">
        <v>41676.552916666667</v>
      </c>
      <c r="E2614" s="16" t="s">
        <v>21</v>
      </c>
      <c r="F2614" s="16" t="s">
        <v>16</v>
      </c>
      <c r="G2614" s="17" t="s">
        <v>790</v>
      </c>
      <c r="H2614" s="17" t="s">
        <v>1426</v>
      </c>
      <c r="I2614" s="13" t="s">
        <v>7955</v>
      </c>
      <c r="J2614" s="23" t="str">
        <f>HYPERLINK("CorLog\GHA\BEX\20140206 GHA BEX Union Locks - Union's Offer (GHA-to-RDC).msg", "Union Locks - Union's Offer")</f>
        <v>Union Locks - Union's Offer</v>
      </c>
      <c r="K2614" s="25"/>
      <c r="L2614" s="19"/>
      <c r="M2614" s="20"/>
      <c r="N2614" s="21" t="s">
        <v>7956</v>
      </c>
    </row>
    <row r="2615" spans="1:14">
      <c r="A2615" s="12" t="s">
        <v>718</v>
      </c>
      <c r="B2615" s="13" t="s">
        <v>1529</v>
      </c>
      <c r="C2615" s="14" t="s">
        <v>7957</v>
      </c>
      <c r="D2615" s="15">
        <v>41676.483819444446</v>
      </c>
      <c r="E2615" s="16" t="s">
        <v>16</v>
      </c>
      <c r="F2615" s="16" t="s">
        <v>18</v>
      </c>
      <c r="G2615" s="17" t="s">
        <v>946</v>
      </c>
      <c r="H2615" s="17" t="s">
        <v>2175</v>
      </c>
      <c r="I2615" s="13" t="s">
        <v>7958</v>
      </c>
      <c r="J2615" s="23" t="str">
        <f>HYPERLINK("CorLog\ZMB\Mongu RTO\20140206 ZMB Mongu RTO Inquiry Desk Options, Number 1950 (RDC-to-ZMB).msg", "Inquiry Desk Options, Number 1950")</f>
        <v>Inquiry Desk Options, Number 1950</v>
      </c>
      <c r="K2615" s="25" t="s">
        <v>1211</v>
      </c>
      <c r="L2615" s="19"/>
      <c r="M2615" s="20"/>
      <c r="N2615" s="21" t="s">
        <v>7959</v>
      </c>
    </row>
    <row r="2616" spans="1:14">
      <c r="A2616" s="12" t="s">
        <v>750</v>
      </c>
      <c r="B2616" s="13" t="s">
        <v>718</v>
      </c>
      <c r="C2616" s="14" t="s">
        <v>7960</v>
      </c>
      <c r="D2616" s="15">
        <v>41675.77783564815</v>
      </c>
      <c r="E2616" s="16" t="s">
        <v>16</v>
      </c>
      <c r="F2616" s="16" t="s">
        <v>16</v>
      </c>
      <c r="G2616" s="17" t="s">
        <v>758</v>
      </c>
      <c r="H2616" s="17" t="s">
        <v>839</v>
      </c>
      <c r="I2616" s="13" t="s">
        <v>7961</v>
      </c>
      <c r="J2616" s="23" t="str">
        <f>HYPERLINK("CorLog\GHA\Viepe RTO\20140205 GHA Viepe RTO CONCEPTUAL ESTIMATE - Structural Info (RDC-to-RDC).msg", "CONCEPTUAL ESTIMATE - Structural Info")</f>
        <v>CONCEPTUAL ESTIMATE - Structural Info</v>
      </c>
      <c r="K2616" s="25" t="s">
        <v>1211</v>
      </c>
      <c r="L2616" s="19"/>
      <c r="M2616" s="20"/>
      <c r="N2616" s="21" t="s">
        <v>7962</v>
      </c>
    </row>
    <row r="2617" spans="1:14">
      <c r="A2617" s="12" t="s">
        <v>7673</v>
      </c>
      <c r="B2617" s="13" t="s">
        <v>7963</v>
      </c>
      <c r="C2617" s="14" t="s">
        <v>7964</v>
      </c>
      <c r="D2617" s="15">
        <v>41675.168877314813</v>
      </c>
      <c r="E2617" s="16" t="s">
        <v>38</v>
      </c>
      <c r="F2617" s="16" t="s">
        <v>15</v>
      </c>
      <c r="G2617" s="17" t="s">
        <v>946</v>
      </c>
      <c r="H2617" s="17" t="s">
        <v>2175</v>
      </c>
      <c r="I2617" s="13" t="s">
        <v>7965</v>
      </c>
      <c r="J2617" s="23" t="str">
        <f>HYPERLINK("CorLog\ZMB\Mongu RTO\20140205 ZMB Mongu RTO Inquiry Cabinets, Number 1941 (HKG-to-ZAF).msg", "Inquiry Cabinets, Number 1941")</f>
        <v>Inquiry Cabinets, Number 1941</v>
      </c>
      <c r="K2617" s="25" t="s">
        <v>1211</v>
      </c>
      <c r="L2617" s="19"/>
      <c r="M2617" s="20"/>
      <c r="N2617" s="21" t="s">
        <v>7966</v>
      </c>
    </row>
    <row r="2618" spans="1:14">
      <c r="A2618" s="12" t="s">
        <v>795</v>
      </c>
      <c r="B2618" s="13" t="s">
        <v>1176</v>
      </c>
      <c r="C2618" s="14" t="s">
        <v>718</v>
      </c>
      <c r="D2618" s="15">
        <v>41674.703784722224</v>
      </c>
      <c r="E2618" s="16" t="s">
        <v>16</v>
      </c>
      <c r="F2618" s="16" t="s">
        <v>16</v>
      </c>
      <c r="G2618" s="17" t="s">
        <v>758</v>
      </c>
      <c r="H2618" s="17" t="s">
        <v>1477</v>
      </c>
      <c r="I2618" s="13" t="s">
        <v>7967</v>
      </c>
      <c r="J2618" s="23" t="str">
        <f>HYPERLINK("CorLog\GHA\Viepe RTO\20140204 GHA Viepe RTO Municipal water quality (RDC-to-RDC).msg", "Municipal water quality")</f>
        <v>Municipal water quality</v>
      </c>
      <c r="K2618" s="25" t="s">
        <v>1211</v>
      </c>
      <c r="L2618" s="19"/>
      <c r="M2618" s="20"/>
      <c r="N2618" s="21" t="s">
        <v>7968</v>
      </c>
    </row>
    <row r="2619" spans="1:14">
      <c r="A2619" s="12" t="s">
        <v>750</v>
      </c>
      <c r="B2619" s="13" t="s">
        <v>5207</v>
      </c>
      <c r="C2619" s="14" t="s">
        <v>7969</v>
      </c>
      <c r="D2619" s="15">
        <v>41674.361145833333</v>
      </c>
      <c r="E2619" s="16" t="s">
        <v>16</v>
      </c>
      <c r="F2619" s="16" t="s">
        <v>16</v>
      </c>
      <c r="G2619" s="17" t="s">
        <v>979</v>
      </c>
      <c r="H2619" s="17" t="s">
        <v>947</v>
      </c>
      <c r="I2619" s="13" t="s">
        <v>7970</v>
      </c>
      <c r="J2619" s="23" t="str">
        <f>HYPERLINK("CorLog\RTO\Projects\20140204 RTO Projects BIO System - No Orenco Filter (RDC-to-RDC).msg", "BIO System - No Orenco Filter")</f>
        <v>BIO System - No Orenco Filter</v>
      </c>
      <c r="K2619" s="25" t="s">
        <v>1211</v>
      </c>
      <c r="L2619" s="19"/>
      <c r="M2619" s="20"/>
      <c r="N2619" s="21" t="s">
        <v>7971</v>
      </c>
    </row>
    <row r="2620" spans="1:14">
      <c r="A2620" s="12" t="s">
        <v>795</v>
      </c>
      <c r="B2620" s="13" t="s">
        <v>718</v>
      </c>
      <c r="C2620" s="14" t="s">
        <v>750</v>
      </c>
      <c r="D2620" s="15">
        <v>41670.654722222222</v>
      </c>
      <c r="E2620" s="16" t="s">
        <v>16</v>
      </c>
      <c r="F2620" s="16" t="s">
        <v>16</v>
      </c>
      <c r="G2620" s="17" t="s">
        <v>790</v>
      </c>
      <c r="H2620" s="17" t="s">
        <v>1489</v>
      </c>
      <c r="I2620" s="13" t="s">
        <v>7972</v>
      </c>
      <c r="J2620" s="23" t="str">
        <f>HYPERLINK("CorLog\GHA\BEX\20140131 GHA BEX Gable wall support method do not affect vapour barrier (RDC-to-RDC).msg", "Gable wall support method do not affect vapour barrier")</f>
        <v>Gable wall support method do not affect vapour barrier</v>
      </c>
      <c r="K2620" s="25" t="s">
        <v>3933</v>
      </c>
      <c r="L2620" s="19"/>
      <c r="M2620" s="20"/>
      <c r="N2620" s="21" t="s">
        <v>7973</v>
      </c>
    </row>
    <row r="2621" spans="1:14">
      <c r="A2621" s="12" t="s">
        <v>827</v>
      </c>
      <c r="B2621" s="13" t="s">
        <v>718</v>
      </c>
      <c r="C2621" s="14" t="s">
        <v>5413</v>
      </c>
      <c r="D2621" s="15">
        <v>41669.495196759257</v>
      </c>
      <c r="E2621" s="16" t="s">
        <v>21</v>
      </c>
      <c r="F2621" s="16" t="s">
        <v>16</v>
      </c>
      <c r="G2621" s="17" t="s">
        <v>790</v>
      </c>
      <c r="H2621" s="17" t="s">
        <v>2649</v>
      </c>
      <c r="I2621" s="13" t="s">
        <v>7974</v>
      </c>
      <c r="J2621" s="23" t="str">
        <f>HYPERLINK("CorLog\GHA\BEX\20140130 GHA BEX Concrete Recipes 25 and 30 mpa (GHA-to-RDC).msg", "Concrete Recipes 25 and 30 mpa")</f>
        <v>Concrete Recipes 25 and 30 mpa</v>
      </c>
      <c r="K2621" s="25" t="s">
        <v>1270</v>
      </c>
      <c r="L2621" s="19"/>
      <c r="M2621" s="20"/>
      <c r="N2621" s="21" t="s">
        <v>7975</v>
      </c>
    </row>
    <row r="2622" spans="1:14">
      <c r="A2622" s="12" t="s">
        <v>718</v>
      </c>
      <c r="B2622" s="13" t="s">
        <v>5413</v>
      </c>
      <c r="C2622" s="14" t="s">
        <v>7156</v>
      </c>
      <c r="D2622" s="15">
        <v>41669.391215277778</v>
      </c>
      <c r="E2622" s="16" t="s">
        <v>16</v>
      </c>
      <c r="F2622" s="16" t="s">
        <v>21</v>
      </c>
      <c r="G2622" s="17" t="s">
        <v>790</v>
      </c>
      <c r="H2622" s="17" t="s">
        <v>839</v>
      </c>
      <c r="I2622" s="13" t="s">
        <v>7976</v>
      </c>
      <c r="J2622" s="23" t="str">
        <f>HYPERLINK("CorLog\GHA\BEX\20140130 GHA BEX Soil Platforms Embankments Compaction - guidelines, tips (RDC-to-GHA).msg", "Soil Platforms Embankments Compaction - guidelines, tips")</f>
        <v>Soil Platforms Embankments Compaction - guidelines, tips</v>
      </c>
      <c r="K2622" s="25" t="s">
        <v>1243</v>
      </c>
      <c r="L2622" s="19"/>
      <c r="M2622" s="20"/>
      <c r="N2622" s="21" t="s">
        <v>7977</v>
      </c>
    </row>
    <row r="2623" spans="1:14">
      <c r="A2623" s="12" t="s">
        <v>718</v>
      </c>
      <c r="B2623" s="13" t="s">
        <v>5413</v>
      </c>
      <c r="C2623" s="14" t="s">
        <v>7978</v>
      </c>
      <c r="D2623" s="15">
        <v>41669.387615740743</v>
      </c>
      <c r="E2623" s="16" t="s">
        <v>16</v>
      </c>
      <c r="F2623" s="16" t="s">
        <v>21</v>
      </c>
      <c r="G2623" s="17" t="s">
        <v>790</v>
      </c>
      <c r="H2623" s="17" t="s">
        <v>854</v>
      </c>
      <c r="I2623" s="13" t="s">
        <v>7979</v>
      </c>
      <c r="J2623" s="23" t="str">
        <f>HYPERLINK("CorLog\GHA\BEX\20140130 GHA BEX Bending Schedule for S-102 missing (RDC-to-GHA).msg", "Bending Schedule for S-102 missing")</f>
        <v>Bending Schedule for S-102 missing</v>
      </c>
      <c r="K2623" s="25" t="s">
        <v>1211</v>
      </c>
      <c r="L2623" s="19"/>
      <c r="M2623" s="20"/>
      <c r="N2623" s="21" t="s">
        <v>7980</v>
      </c>
    </row>
    <row r="2624" spans="1:14">
      <c r="A2624" s="12" t="s">
        <v>718</v>
      </c>
      <c r="B2624" s="13" t="s">
        <v>832</v>
      </c>
      <c r="C2624" s="14" t="s">
        <v>7981</v>
      </c>
      <c r="D2624" s="15">
        <v>41669.385509259257</v>
      </c>
      <c r="E2624" s="16" t="s">
        <v>16</v>
      </c>
      <c r="F2624" s="16" t="s">
        <v>21</v>
      </c>
      <c r="G2624" s="17" t="s">
        <v>807</v>
      </c>
      <c r="H2624" s="17" t="s">
        <v>2412</v>
      </c>
      <c r="I2624" s="13" t="s">
        <v>7982</v>
      </c>
      <c r="J2624" s="23" t="str">
        <f>HYPERLINK("CorLog\GHA\Branch\20140130 GHA Branch Ecostore Premium refrigerator R134a gas (cutsheet) (RDC-to-GHA).msg", "Ecostore Premium refrigerator R134a gas (cutsheet)")</f>
        <v>Ecostore Premium refrigerator R134a gas (cutsheet)</v>
      </c>
      <c r="K2624" s="25" t="s">
        <v>1211</v>
      </c>
      <c r="L2624" s="19"/>
      <c r="M2624" s="20"/>
      <c r="N2624" s="21" t="s">
        <v>7983</v>
      </c>
    </row>
    <row r="2625" spans="1:14">
      <c r="A2625" s="12" t="s">
        <v>718</v>
      </c>
      <c r="B2625" s="13" t="s">
        <v>842</v>
      </c>
      <c r="C2625" s="14" t="s">
        <v>7194</v>
      </c>
      <c r="D2625" s="15">
        <v>41668.489953703705</v>
      </c>
      <c r="E2625" s="16" t="s">
        <v>16</v>
      </c>
      <c r="F2625" s="16" t="s">
        <v>21</v>
      </c>
      <c r="G2625" s="17" t="s">
        <v>1470</v>
      </c>
      <c r="H2625" s="17" t="s">
        <v>2713</v>
      </c>
      <c r="I2625" s="13" t="s">
        <v>7709</v>
      </c>
      <c r="J2625" s="23" t="str">
        <f>HYPERLINK("CorLog\GHA\RTO Projects\20140129 GHA RTO Projects Solid block information (RDC-to-GHA).msg", "Solid block information")</f>
        <v>Solid block information</v>
      </c>
      <c r="K2625" s="25" t="s">
        <v>1211</v>
      </c>
      <c r="L2625" s="19"/>
      <c r="M2625" s="20"/>
      <c r="N2625" s="21" t="s">
        <v>7984</v>
      </c>
    </row>
    <row r="2626" spans="1:14">
      <c r="A2626" s="12" t="s">
        <v>724</v>
      </c>
      <c r="B2626" s="13" t="s">
        <v>771</v>
      </c>
      <c r="C2626" s="14" t="s">
        <v>7985</v>
      </c>
      <c r="D2626" s="15">
        <v>41666.87054398148</v>
      </c>
      <c r="E2626" s="16" t="s">
        <v>16</v>
      </c>
      <c r="F2626" s="16" t="s">
        <v>17</v>
      </c>
      <c r="G2626" s="17" t="s">
        <v>30</v>
      </c>
      <c r="H2626" s="17" t="s">
        <v>1426</v>
      </c>
      <c r="I2626" s="13" t="s">
        <v>7986</v>
      </c>
      <c r="J2626" s="23" t="str">
        <f>HYPERLINK("CorLog\ALL\20140127 All Main entrance Electronic entry door locks can be considered (RDC-to-WDC).msg", "Main entrance Electronic entry door locks can be considered")</f>
        <v>Main entrance Electronic entry door locks can be considered</v>
      </c>
      <c r="K2626" s="25"/>
      <c r="L2626" s="19"/>
      <c r="M2626" s="20"/>
      <c r="N2626" s="21" t="s">
        <v>7987</v>
      </c>
    </row>
    <row r="2627" spans="1:14">
      <c r="A2627" s="12" t="s">
        <v>718</v>
      </c>
      <c r="B2627" s="13" t="s">
        <v>3854</v>
      </c>
      <c r="C2627" s="14" t="s">
        <v>7988</v>
      </c>
      <c r="D2627" s="15">
        <v>41666.714432870373</v>
      </c>
      <c r="E2627" s="16" t="s">
        <v>16</v>
      </c>
      <c r="F2627" s="16" t="s">
        <v>26</v>
      </c>
      <c r="G2627" s="17" t="s">
        <v>790</v>
      </c>
      <c r="H2627" s="17" t="s">
        <v>1426</v>
      </c>
      <c r="I2627" s="13" t="s">
        <v>7989</v>
      </c>
      <c r="J2627" s="23" t="str">
        <f>HYPERLINK("CorLog\GHA\BEX\20140127 GHA BEX Master Key System - Replacement options (RDC-to-GBR).msg", "Master Key System - Replacement options")</f>
        <v>Master Key System - Replacement options</v>
      </c>
      <c r="K2627" s="25"/>
      <c r="L2627" s="19"/>
      <c r="M2627" s="20"/>
      <c r="N2627" s="21" t="s">
        <v>7990</v>
      </c>
    </row>
    <row r="2628" spans="1:14">
      <c r="A2628" s="12" t="s">
        <v>718</v>
      </c>
      <c r="B2628" s="13" t="s">
        <v>750</v>
      </c>
      <c r="C2628" s="14"/>
      <c r="D2628" s="15">
        <v>41666.704212962963</v>
      </c>
      <c r="E2628" s="16" t="s">
        <v>16</v>
      </c>
      <c r="F2628" s="16" t="s">
        <v>16</v>
      </c>
      <c r="G2628" s="17" t="s">
        <v>979</v>
      </c>
      <c r="H2628" s="17" t="s">
        <v>6782</v>
      </c>
      <c r="I2628" s="13" t="s">
        <v>7991</v>
      </c>
      <c r="J2628" s="23" t="str">
        <f>HYPERLINK("CorLog\RTO\Projects\20140127 RTO Projects Burglar bars, current ideas (RDC-to-RDC).msg", "Burglar bars, current ideas")</f>
        <v>Burglar bars, current ideas</v>
      </c>
      <c r="K2628" s="25"/>
      <c r="L2628" s="19"/>
      <c r="M2628" s="20"/>
      <c r="N2628" s="21" t="s">
        <v>7992</v>
      </c>
    </row>
    <row r="2629" spans="1:14">
      <c r="A2629" s="12" t="s">
        <v>750</v>
      </c>
      <c r="B2629" s="13" t="s">
        <v>1866</v>
      </c>
      <c r="C2629" s="14" t="s">
        <v>7993</v>
      </c>
      <c r="D2629" s="15">
        <v>41666.673379629632</v>
      </c>
      <c r="E2629" s="16" t="s">
        <v>16</v>
      </c>
      <c r="F2629" s="16" t="s">
        <v>16</v>
      </c>
      <c r="G2629" s="17" t="s">
        <v>30</v>
      </c>
      <c r="H2629" s="17" t="s">
        <v>6782</v>
      </c>
      <c r="I2629" s="13" t="s">
        <v>7994</v>
      </c>
      <c r="J2629" s="23" t="str">
        <f>HYPERLINK("CorLog\ALL\20140127 ALL Concerns about fire exit thru Burglar bars (RDC-to-RDC).msg", "Concerns about fire exit thru Burglar bars")</f>
        <v>Concerns about fire exit thru Burglar bars</v>
      </c>
      <c r="K2629" s="25"/>
      <c r="L2629" s="19"/>
      <c r="M2629" s="20"/>
      <c r="N2629" s="21" t="s">
        <v>7995</v>
      </c>
    </row>
    <row r="2630" spans="1:14">
      <c r="A2630" s="12" t="s">
        <v>4115</v>
      </c>
      <c r="B2630" s="13"/>
      <c r="C2630" s="14"/>
      <c r="D2630" s="15">
        <v>41663</v>
      </c>
      <c r="E2630" s="16" t="s">
        <v>15</v>
      </c>
      <c r="F2630" s="16" t="s">
        <v>14</v>
      </c>
      <c r="G2630" s="17" t="s">
        <v>1320</v>
      </c>
      <c r="H2630" s="17" t="s">
        <v>995</v>
      </c>
      <c r="I2630" s="13" t="s">
        <v>7996</v>
      </c>
      <c r="J2630" s="23" t="str">
        <f>HYPERLINK("CorLog\MDG\LDC\20140124 MDG LDC Madagascar KHPO Report December 2013 (ZAF-to-MDG).docx", "Madagascar KHPO Report December 2013")</f>
        <v>Madagascar KHPO Report December 2013</v>
      </c>
      <c r="K2630" s="23" t="str">
        <f>HYPERLINK("CorLog\MDG\LDC\20140124 MDG LDC Madagascar KHPO Report December 2013 (ZAF-to-MDG).zip", "Zipped")</f>
        <v>Zipped</v>
      </c>
      <c r="L2630" s="19"/>
      <c r="M2630" s="20"/>
      <c r="N2630" s="21" t="s">
        <v>7997</v>
      </c>
    </row>
    <row r="2631" spans="1:14">
      <c r="A2631" s="12" t="s">
        <v>750</v>
      </c>
      <c r="B2631" s="13" t="s">
        <v>717</v>
      </c>
      <c r="C2631" s="14" t="s">
        <v>7998</v>
      </c>
      <c r="D2631" s="15">
        <v>41661.885879629626</v>
      </c>
      <c r="E2631" s="16" t="s">
        <v>16</v>
      </c>
      <c r="F2631" s="16" t="s">
        <v>16</v>
      </c>
      <c r="G2631" s="17" t="s">
        <v>979</v>
      </c>
      <c r="H2631" s="17" t="s">
        <v>854</v>
      </c>
      <c r="I2631" s="13" t="s">
        <v>7999</v>
      </c>
      <c r="J2631" s="23" t="str">
        <f>HYPERLINK("CorLog\RTO\Projects\20140122 RTO Projects MWI Chintheche Brick wall Bonding options (use R6 L-bars) (RDC-to-RDC).msg", "MWI Chintheche Brick wall Bonding options (use R6 L-bars)")</f>
        <v>MWI Chintheche Brick wall Bonding options (use R6 L-bars)</v>
      </c>
      <c r="K2631" s="25" t="s">
        <v>1243</v>
      </c>
      <c r="L2631" s="19" t="s">
        <v>8000</v>
      </c>
      <c r="M2631" s="20"/>
      <c r="N2631" s="21" t="s">
        <v>8001</v>
      </c>
    </row>
    <row r="2632" spans="1:14">
      <c r="A2632" s="12" t="s">
        <v>724</v>
      </c>
      <c r="B2632" s="13" t="s">
        <v>718</v>
      </c>
      <c r="C2632" s="14" t="s">
        <v>750</v>
      </c>
      <c r="D2632" s="15">
        <v>41661.388981481483</v>
      </c>
      <c r="E2632" s="16" t="s">
        <v>16</v>
      </c>
      <c r="F2632" s="16" t="s">
        <v>16</v>
      </c>
      <c r="G2632" s="17" t="s">
        <v>1112</v>
      </c>
      <c r="H2632" s="17" t="s">
        <v>791</v>
      </c>
      <c r="I2632" s="13" t="s">
        <v>8002</v>
      </c>
      <c r="J2632" s="23" t="str">
        <f>HYPERLINK("CorLog\ZMB\BEX\20140122 ZMB BEX Original Generator commisioning plan (RDC-to-RDC).msg", "Original Generator commisioning plan")</f>
        <v>Original Generator commisioning plan</v>
      </c>
      <c r="K2632" s="25"/>
      <c r="L2632" s="19" t="s">
        <v>8003</v>
      </c>
      <c r="M2632" s="20"/>
      <c r="N2632" s="21" t="s">
        <v>8004</v>
      </c>
    </row>
    <row r="2633" spans="1:14">
      <c r="A2633" s="12" t="s">
        <v>718</v>
      </c>
      <c r="B2633" s="13" t="s">
        <v>1418</v>
      </c>
      <c r="C2633" s="14"/>
      <c r="D2633" s="15">
        <v>41661.341504629629</v>
      </c>
      <c r="E2633" s="16" t="s">
        <v>16</v>
      </c>
      <c r="F2633" s="16" t="s">
        <v>16</v>
      </c>
      <c r="G2633" s="17" t="s">
        <v>979</v>
      </c>
      <c r="H2633" s="17" t="s">
        <v>1347</v>
      </c>
      <c r="I2633" s="13" t="s">
        <v>8005</v>
      </c>
      <c r="J2633" s="23" t="str">
        <f>HYPERLINK("CorLog\RTO\Projects\20140122 RTO Projects RTO Fibre Optic Splicing won`t be necessary anymore for new projects (RDC-to-RDC).msg", "RTO Fibre Optic Splicing won`t be necessary anymore for new projects")</f>
        <v>RTO Fibre Optic Splicing won`t be necessary anymore for new projects</v>
      </c>
      <c r="K2633" s="25"/>
      <c r="L2633" s="19"/>
      <c r="M2633" s="20"/>
      <c r="N2633" s="21" t="s">
        <v>8006</v>
      </c>
    </row>
    <row r="2634" spans="1:14">
      <c r="A2634" s="12" t="s">
        <v>750</v>
      </c>
      <c r="B2634" s="13" t="s">
        <v>718</v>
      </c>
      <c r="C2634" s="14"/>
      <c r="D2634" s="15">
        <v>41660.727071759262</v>
      </c>
      <c r="E2634" s="16" t="s">
        <v>16</v>
      </c>
      <c r="F2634" s="16" t="s">
        <v>16</v>
      </c>
      <c r="G2634" s="17" t="s">
        <v>8007</v>
      </c>
      <c r="H2634" s="17" t="s">
        <v>3303</v>
      </c>
      <c r="I2634" s="13" t="s">
        <v>8008</v>
      </c>
      <c r="J2634" s="23" t="str">
        <f>HYPERLINK("CorLog\GHA\Viepe-Kikam RTO\20140121 GHA Viepe-Kikam RTO Roof cover and Mitek structure in Marine environment Vapour barrier (RDC-to-RDC).msg", "Roof cover and Mitek structure in Marine environment Vapour barrier")</f>
        <v>Roof cover and Mitek structure in Marine environment Vapour barrier</v>
      </c>
      <c r="K2634" s="25" t="s">
        <v>1482</v>
      </c>
      <c r="L2634" s="19"/>
      <c r="M2634" s="20"/>
      <c r="N2634" s="21" t="s">
        <v>8009</v>
      </c>
    </row>
    <row r="2635" spans="1:14">
      <c r="A2635" s="12" t="s">
        <v>874</v>
      </c>
      <c r="B2635" s="13"/>
      <c r="C2635" s="14"/>
      <c r="D2635" s="15">
        <v>41660</v>
      </c>
      <c r="E2635" s="16" t="s">
        <v>25</v>
      </c>
      <c r="F2635" s="16" t="s">
        <v>22</v>
      </c>
      <c r="G2635" s="17" t="s">
        <v>1169</v>
      </c>
      <c r="H2635" s="17" t="s">
        <v>5392</v>
      </c>
      <c r="I2635" s="13" t="s">
        <v>8010</v>
      </c>
      <c r="J2635" s="23" t="str">
        <f>HYPERLINK("CorLog\COD\Kikwit RTO\20140121 COD Kikwit RTO CPP Approval; Property Purchase and Residence Options (WHQ-to-COD).doc", "CPP Approval; Property Purchase and Residence Options")</f>
        <v>CPP Approval; Property Purchase and Residence Options</v>
      </c>
      <c r="K2635" s="25"/>
      <c r="L2635" s="19"/>
      <c r="M2635" s="20"/>
      <c r="N2635" s="21" t="s">
        <v>8011</v>
      </c>
    </row>
    <row r="2636" spans="1:14">
      <c r="A2636" s="12" t="s">
        <v>750</v>
      </c>
      <c r="B2636" s="13" t="s">
        <v>1818</v>
      </c>
      <c r="C2636" s="14" t="s">
        <v>8012</v>
      </c>
      <c r="D2636" s="15">
        <v>41656.628321759257</v>
      </c>
      <c r="E2636" s="16" t="s">
        <v>16</v>
      </c>
      <c r="F2636" s="16" t="s">
        <v>16</v>
      </c>
      <c r="G2636" s="17" t="s">
        <v>790</v>
      </c>
      <c r="H2636" s="17" t="s">
        <v>867</v>
      </c>
      <c r="I2636" s="13" t="s">
        <v>8013</v>
      </c>
      <c r="J2636" s="23" t="str">
        <f>HYPERLINK("CorLog\GHA\BEX\20140117 GHA BEX Culvert &amp; Temp Development of Adj Plot (RDC-to-RDC).msg", "Culvert &amp; Temp Development of Adj Plot")</f>
        <v>Culvert &amp; Temp Development of Adj Plot</v>
      </c>
      <c r="K2636" s="25"/>
      <c r="L2636" s="19"/>
      <c r="M2636" s="20"/>
      <c r="N2636" s="21" t="s">
        <v>8014</v>
      </c>
    </row>
    <row r="2637" spans="1:14">
      <c r="A2637" s="12" t="s">
        <v>750</v>
      </c>
      <c r="B2637" s="13" t="s">
        <v>723</v>
      </c>
      <c r="C2637" s="14" t="s">
        <v>718</v>
      </c>
      <c r="D2637" s="15">
        <v>41656.616481481484</v>
      </c>
      <c r="E2637" s="16" t="s">
        <v>16</v>
      </c>
      <c r="F2637" s="16" t="s">
        <v>16</v>
      </c>
      <c r="G2637" s="17" t="s">
        <v>790</v>
      </c>
      <c r="H2637" s="17" t="s">
        <v>2025</v>
      </c>
      <c r="I2637" s="13" t="s">
        <v>8015</v>
      </c>
      <c r="J2637" s="23" t="str">
        <f>HYPERLINK("CorLog\GHA\BEX\20140117 GHA BEX AO-6 Refrigerated Container, Branch Request GHA-4184 (RDC-to-RDC).msg", "AO-6 Refrigerated Container, Branch Request GHA-4184")</f>
        <v>AO-6 Refrigerated Container, Branch Request GHA-4184</v>
      </c>
      <c r="K2637" s="25"/>
      <c r="L2637" s="19" t="s">
        <v>8016</v>
      </c>
      <c r="M2637" s="20"/>
      <c r="N2637" s="21" t="s">
        <v>8017</v>
      </c>
    </row>
    <row r="2638" spans="1:14">
      <c r="A2638" s="12" t="s">
        <v>750</v>
      </c>
      <c r="B2638" s="13" t="s">
        <v>723</v>
      </c>
      <c r="C2638" s="14" t="s">
        <v>718</v>
      </c>
      <c r="D2638" s="15">
        <v>41656.615752314814</v>
      </c>
      <c r="E2638" s="16" t="s">
        <v>16</v>
      </c>
      <c r="F2638" s="16" t="s">
        <v>16</v>
      </c>
      <c r="G2638" s="17" t="s">
        <v>790</v>
      </c>
      <c r="H2638" s="17" t="s">
        <v>2025</v>
      </c>
      <c r="I2638" s="13" t="s">
        <v>8018</v>
      </c>
      <c r="J2638" s="23" t="str">
        <f>HYPERLINK("CorLog\GHA\BEX\20140117 GHA BEX AO-6 Offices in Car Park (RDC-to-RDC).msg", "AO-6 Offices in Car Park")</f>
        <v>AO-6 Offices in Car Park</v>
      </c>
      <c r="K2638" s="25"/>
      <c r="L2638" s="19" t="s">
        <v>8016</v>
      </c>
      <c r="M2638" s="20"/>
      <c r="N2638" s="21" t="s">
        <v>8019</v>
      </c>
    </row>
    <row r="2639" spans="1:14">
      <c r="A2639" s="12" t="s">
        <v>750</v>
      </c>
      <c r="B2639" s="13" t="s">
        <v>723</v>
      </c>
      <c r="C2639" s="14" t="s">
        <v>718</v>
      </c>
      <c r="D2639" s="15">
        <v>41656.613900462966</v>
      </c>
      <c r="E2639" s="16" t="s">
        <v>16</v>
      </c>
      <c r="F2639" s="16" t="s">
        <v>16</v>
      </c>
      <c r="G2639" s="17" t="s">
        <v>790</v>
      </c>
      <c r="H2639" s="17" t="s">
        <v>2025</v>
      </c>
      <c r="I2639" s="13" t="s">
        <v>8020</v>
      </c>
      <c r="J2639" s="23" t="str">
        <f>HYPERLINK("CorLog\GHA\BEX\20140117 GHA BEX AO-6 Temp Development Adj Branch Property AND Culvert (RDC-to-RDC).msg", "AO-6 Temp Development Adj Branch Property AND Culvert")</f>
        <v>AO-6 Temp Development Adj Branch Property AND Culvert</v>
      </c>
      <c r="K2639" s="25"/>
      <c r="L2639" s="19" t="s">
        <v>8016</v>
      </c>
      <c r="M2639" s="20"/>
      <c r="N2639" s="21" t="s">
        <v>8021</v>
      </c>
    </row>
    <row r="2640" spans="1:14">
      <c r="A2640" s="12" t="s">
        <v>1818</v>
      </c>
      <c r="B2640" s="13" t="s">
        <v>718</v>
      </c>
      <c r="C2640" s="14"/>
      <c r="D2640" s="15">
        <v>41654.562013888892</v>
      </c>
      <c r="E2640" s="16" t="s">
        <v>16</v>
      </c>
      <c r="F2640" s="16" t="s">
        <v>16</v>
      </c>
      <c r="G2640" s="17" t="s">
        <v>758</v>
      </c>
      <c r="H2640" s="17" t="s">
        <v>839</v>
      </c>
      <c r="I2640" s="13" t="s">
        <v>8022</v>
      </c>
      <c r="J2640" s="23" t="str">
        <f>HYPERLINK("CorLog\GHA\Viepe RTO\20140115 GHA Viepe RTO Perc tests are too fast for leech field (RDC-to-RDC).msg", "Perc tests are too fast for leech field")</f>
        <v>Perc tests are too fast for leech field</v>
      </c>
      <c r="K2640" s="25" t="s">
        <v>1211</v>
      </c>
      <c r="L2640" s="19"/>
      <c r="M2640" s="20"/>
      <c r="N2640" s="21" t="s">
        <v>8023</v>
      </c>
    </row>
    <row r="2641" spans="1:14">
      <c r="A2641" s="12" t="s">
        <v>5567</v>
      </c>
      <c r="B2641" s="13" t="s">
        <v>1418</v>
      </c>
      <c r="C2641" s="14" t="s">
        <v>6906</v>
      </c>
      <c r="D2641" s="15">
        <v>41638.641875000001</v>
      </c>
      <c r="E2641" s="16" t="s">
        <v>15</v>
      </c>
      <c r="F2641" s="16" t="s">
        <v>16</v>
      </c>
      <c r="G2641" s="17" t="s">
        <v>30</v>
      </c>
      <c r="H2641" s="17" t="s">
        <v>8024</v>
      </c>
      <c r="I2641" s="13" t="s">
        <v>6907</v>
      </c>
      <c r="J2641" s="23" t="str">
        <f>HYPERLINK("CorLog\ALL\20131230 ALL Commonly requested electrical items on the MTO (ZAF-to-RDC).msg", "Commonly requested electrical items on the MTO")</f>
        <v>Commonly requested electrical items on the MTO</v>
      </c>
      <c r="K2641" s="25"/>
      <c r="L2641" s="19"/>
      <c r="M2641" s="20"/>
      <c r="N2641" s="21" t="s">
        <v>8025</v>
      </c>
    </row>
    <row r="2642" spans="1:14">
      <c r="A2642" s="12" t="s">
        <v>718</v>
      </c>
      <c r="B2642" s="13" t="s">
        <v>5207</v>
      </c>
      <c r="C2642" s="14"/>
      <c r="D2642" s="15">
        <v>41638.604166666664</v>
      </c>
      <c r="E2642" s="16" t="s">
        <v>16</v>
      </c>
      <c r="F2642" s="16" t="s">
        <v>16</v>
      </c>
      <c r="G2642" s="17" t="s">
        <v>979</v>
      </c>
      <c r="H2642" s="17" t="s">
        <v>2843</v>
      </c>
      <c r="I2642" s="13" t="s">
        <v>8026</v>
      </c>
      <c r="J2642" s="23" t="str">
        <f>HYPERLINK("CorLog\RTO\Projects\20131230 RTO Projects RTOs - AC's submittals, Daikin instead of Mitsubishi (RDC-to-RDC).msg", "RTOs - AC's submittals, Daikin instead of Mitsubishi")</f>
        <v>RTOs - AC's submittals, Daikin instead of Mitsubishi</v>
      </c>
      <c r="K2642" s="25" t="s">
        <v>1211</v>
      </c>
      <c r="L2642" s="19"/>
      <c r="M2642" s="20"/>
      <c r="N2642" s="21" t="s">
        <v>8027</v>
      </c>
    </row>
    <row r="2643" spans="1:14">
      <c r="A2643" s="12" t="s">
        <v>718</v>
      </c>
      <c r="B2643" s="13" t="s">
        <v>5413</v>
      </c>
      <c r="C2643" s="14" t="s">
        <v>7156</v>
      </c>
      <c r="D2643" s="15">
        <v>41632.327476851853</v>
      </c>
      <c r="E2643" s="16" t="s">
        <v>16</v>
      </c>
      <c r="F2643" s="16" t="s">
        <v>21</v>
      </c>
      <c r="G2643" s="17" t="s">
        <v>758</v>
      </c>
      <c r="H2643" s="17" t="s">
        <v>8028</v>
      </c>
      <c r="I2643" s="13" t="s">
        <v>8029</v>
      </c>
      <c r="J2643" s="23" t="str">
        <f>HYPERLINK("CorLog\GHA\Viepe RTO\20131224 GHA Viepe RTO OCS Minutes Project Description and Site Layout (RDC-to-GHA).msg", "OCS Minutes Project Description and Site Layout")</f>
        <v>OCS Minutes Project Description and Site Layout</v>
      </c>
      <c r="K2643" s="25" t="s">
        <v>1369</v>
      </c>
      <c r="L2643" s="19"/>
      <c r="M2643" s="20"/>
      <c r="N2643" s="21" t="s">
        <v>8030</v>
      </c>
    </row>
    <row r="2644" spans="1:14">
      <c r="A2644" s="12" t="s">
        <v>874</v>
      </c>
      <c r="B2644" s="13"/>
      <c r="C2644" s="14"/>
      <c r="D2644" s="15">
        <v>41632</v>
      </c>
      <c r="E2644" s="16" t="s">
        <v>25</v>
      </c>
      <c r="F2644" s="16" t="s">
        <v>22</v>
      </c>
      <c r="G2644" s="17" t="s">
        <v>785</v>
      </c>
      <c r="H2644" s="17" t="s">
        <v>5392</v>
      </c>
      <c r="I2644" s="13" t="s">
        <v>8031</v>
      </c>
      <c r="J2644" s="23" t="str">
        <f>HYPERLINK("CorLog\COD\Lubumbashi RTO\20131224 COD Lubumbashi RTO CPP approval Swahili (Congo) Language (WHQ-to-COD).doc", "CPP approval Swahili (Congo) Language")</f>
        <v>CPP approval Swahili (Congo) Language</v>
      </c>
      <c r="K2644" s="25"/>
      <c r="L2644" s="19" t="s">
        <v>8032</v>
      </c>
      <c r="M2644" s="20"/>
      <c r="N2644" s="21" t="s">
        <v>8033</v>
      </c>
    </row>
    <row r="2645" spans="1:14">
      <c r="A2645" s="12" t="s">
        <v>3513</v>
      </c>
      <c r="B2645" s="13"/>
      <c r="C2645" s="14"/>
      <c r="D2645" s="15">
        <v>41626</v>
      </c>
      <c r="E2645" s="16" t="s">
        <v>21</v>
      </c>
      <c r="F2645" s="16" t="s">
        <v>15</v>
      </c>
      <c r="G2645" s="17" t="s">
        <v>738</v>
      </c>
      <c r="H2645" s="17" t="s">
        <v>7500</v>
      </c>
      <c r="I2645" s="13" t="s">
        <v>8034</v>
      </c>
      <c r="J2645" s="23" t="str">
        <f>HYPERLINK("CorLog\GHA\BEX 2\20131218 GHA BEX 2 Mold Presence In Residence Rooms (GHA-to-ZAF).doc", "Mold Presence In Residence Rooms")</f>
        <v>Mold Presence In Residence Rooms</v>
      </c>
      <c r="K2645" s="23" t="str">
        <f>HYPERLINK("CorLog\GHA\BEX 2\20131218 GHA BEX 2 Mold Presence In Residence Rooms (GHA-to-ZAF).zip", "Zipped")</f>
        <v>Zipped</v>
      </c>
      <c r="L2645" s="19"/>
      <c r="M2645" s="20"/>
      <c r="N2645" s="21" t="s">
        <v>8035</v>
      </c>
    </row>
    <row r="2646" spans="1:14">
      <c r="A2646" s="12" t="s">
        <v>3513</v>
      </c>
      <c r="B2646" s="13"/>
      <c r="C2646" s="14"/>
      <c r="D2646" s="15">
        <v>41626</v>
      </c>
      <c r="E2646" s="16" t="s">
        <v>21</v>
      </c>
      <c r="F2646" s="16" t="s">
        <v>15</v>
      </c>
      <c r="G2646" s="17" t="s">
        <v>738</v>
      </c>
      <c r="H2646" s="17" t="s">
        <v>8036</v>
      </c>
      <c r="I2646" s="13" t="s">
        <v>8034</v>
      </c>
      <c r="J2646" s="23" t="str">
        <f>HYPERLINK("CorLog\GHA\BEX 2\20131218 GHA BEX 2 Mold Presence In Residence Rooms (GHA-to-ZAF).doc", "Mold Presence In Residence Rooms")</f>
        <v>Mold Presence In Residence Rooms</v>
      </c>
      <c r="K2646" s="25"/>
      <c r="L2646" s="19" t="s">
        <v>8037</v>
      </c>
      <c r="M2646" s="20"/>
      <c r="N2646" s="21" t="s">
        <v>8038</v>
      </c>
    </row>
    <row r="2647" spans="1:14">
      <c r="A2647" s="12" t="s">
        <v>8039</v>
      </c>
      <c r="B2647" s="13"/>
      <c r="C2647" s="14"/>
      <c r="D2647" s="15">
        <v>41206</v>
      </c>
      <c r="E2647" s="16" t="s">
        <v>21</v>
      </c>
      <c r="F2647" s="16" t="s">
        <v>15</v>
      </c>
      <c r="G2647" s="17" t="s">
        <v>738</v>
      </c>
      <c r="H2647" s="17" t="s">
        <v>2843</v>
      </c>
      <c r="I2647" s="13" t="s">
        <v>8040</v>
      </c>
      <c r="J2647" s="23" t="str">
        <f>HYPERLINK("CorLog\GHA\BEX 2\20121024 GHA BEX 2 Switching From Window Air Conditioner Units to Split Units (GHA-to-ZAF).doc", "Switching From Window Air Conditioner Units to Split Units")</f>
        <v>Switching From Window Air Conditioner Units to Split Units</v>
      </c>
      <c r="K2647" s="25" t="str">
        <f>HYPERLINK("CorLog\GHA\BEX LT\20121024 GHA BEX LT Switching From Window Air Conditioner Units to Split Units (GHA-to-ZAF).zip", "Zipped")</f>
        <v>Zipped</v>
      </c>
      <c r="L2647" s="19" t="s">
        <v>8041</v>
      </c>
      <c r="M2647" s="20"/>
      <c r="N2647" s="21" t="s">
        <v>8042</v>
      </c>
    </row>
    <row r="2648" spans="1:14">
      <c r="A2648" s="12" t="s">
        <v>8039</v>
      </c>
      <c r="B2648" s="13"/>
      <c r="C2648" s="14"/>
      <c r="D2648" s="15">
        <v>41163</v>
      </c>
      <c r="E2648" s="16" t="s">
        <v>21</v>
      </c>
      <c r="F2648" s="16" t="s">
        <v>15</v>
      </c>
      <c r="G2648" s="17" t="s">
        <v>790</v>
      </c>
      <c r="H2648" s="17" t="s">
        <v>1489</v>
      </c>
      <c r="I2648" s="13" t="s">
        <v>8040</v>
      </c>
      <c r="J2648" s="23" t="str">
        <f>HYPERLINK("CorLog\GHA\BEX\20120911 GHA GHA BEX Switching From Window Air Conditioner Units to Split Units (GHA-to-ZAF).doc", "Switching From Window Air Conditioner Units to Split Units")</f>
        <v>Switching From Window Air Conditioner Units to Split Units</v>
      </c>
      <c r="K2648" s="25" t="str">
        <f>HYPERLINK("CorLog\GHA\BEX\20120911 GHA GHA BEX Switching From Window Air Conditioner Units to Split Units (GHA-to-ZAF).zip", "Zipped")</f>
        <v>Zipped</v>
      </c>
      <c r="L2648" s="19"/>
      <c r="M2648" s="20"/>
      <c r="N2648" s="21" t="s">
        <v>8043</v>
      </c>
    </row>
    <row r="2649" spans="1:14">
      <c r="A2649" s="12" t="s">
        <v>8044</v>
      </c>
      <c r="B2649" s="13"/>
      <c r="C2649" s="14"/>
      <c r="D2649" s="15">
        <v>41115</v>
      </c>
      <c r="E2649" s="16" t="s">
        <v>25</v>
      </c>
      <c r="F2649" s="16" t="s">
        <v>30</v>
      </c>
      <c r="G2649" s="17" t="s">
        <v>30</v>
      </c>
      <c r="H2649" s="17" t="s">
        <v>2022</v>
      </c>
      <c r="I2649" s="13" t="s">
        <v>8045</v>
      </c>
      <c r="J2649" s="23" t="str">
        <f>HYPERLINK("CorLog\ALL\20120725 ALL Making Letters to Elders Available in Additional Languages (WHQ-to-ALL).doc", "Making Letters to Elders Available in Additional Languages")</f>
        <v>Making Letters to Elders Available in Additional Languages</v>
      </c>
      <c r="K2649" s="25"/>
      <c r="L2649" s="19"/>
      <c r="M2649" s="20"/>
      <c r="N2649" s="21" t="s">
        <v>8046</v>
      </c>
    </row>
  </sheetData>
  <autoFilter ref="A1:O2649"/>
  <sortState ref="A2:P2617">
    <sortCondition descending="1" ref="D1"/>
  </sortState>
  <conditionalFormatting sqref="O1173:P2649">
    <cfRule type="expression" dxfId="2597" priority="2825">
      <formula>MOD(ROW(O1173),2) = 0</formula>
    </cfRule>
  </conditionalFormatting>
  <conditionalFormatting sqref="O1172:P1172">
    <cfRule type="expression" dxfId="2596" priority="2823">
      <formula>MOD(ROW(O1172),2) = 0</formula>
    </cfRule>
  </conditionalFormatting>
  <conditionalFormatting sqref="O1171:P1171">
    <cfRule type="expression" dxfId="2595" priority="2822">
      <formula>MOD(ROW(O1171),2) = 0</formula>
    </cfRule>
  </conditionalFormatting>
  <conditionalFormatting sqref="O1170:P1170">
    <cfRule type="expression" dxfId="2594" priority="2821">
      <formula>MOD(ROW(O1170),2) = 0</formula>
    </cfRule>
  </conditionalFormatting>
  <conditionalFormatting sqref="O1169:P1169">
    <cfRule type="expression" dxfId="2593" priority="2820">
      <formula>MOD(ROW(O1169),2) = 0</formula>
    </cfRule>
  </conditionalFormatting>
  <conditionalFormatting sqref="O1168:P1168">
    <cfRule type="expression" dxfId="2592" priority="2819">
      <formula>MOD(ROW(O1168),2) = 0</formula>
    </cfRule>
  </conditionalFormatting>
  <conditionalFormatting sqref="O1167:P1167">
    <cfRule type="expression" dxfId="2591" priority="2818">
      <formula>MOD(ROW(O1167),2) = 0</formula>
    </cfRule>
  </conditionalFormatting>
  <conditionalFormatting sqref="O1166:P1166">
    <cfRule type="expression" dxfId="2590" priority="2817">
      <formula>MOD(ROW(O1166),2) = 0</formula>
    </cfRule>
  </conditionalFormatting>
  <conditionalFormatting sqref="O1165:P1165">
    <cfRule type="expression" dxfId="2589" priority="2816">
      <formula>MOD(ROW(O1165),2) = 0</formula>
    </cfRule>
  </conditionalFormatting>
  <conditionalFormatting sqref="O1164:P1164">
    <cfRule type="expression" dxfId="2588" priority="2815">
      <formula>MOD(ROW(O1164),2) = 0</formula>
    </cfRule>
  </conditionalFormatting>
  <conditionalFormatting sqref="O1163:P1163">
    <cfRule type="expression" dxfId="2587" priority="2814">
      <formula>MOD(ROW(O1163),2) = 0</formula>
    </cfRule>
  </conditionalFormatting>
  <conditionalFormatting sqref="O1162:P1162">
    <cfRule type="expression" dxfId="2586" priority="2813">
      <formula>MOD(ROW(O1162),2) = 0</formula>
    </cfRule>
  </conditionalFormatting>
  <conditionalFormatting sqref="O1161:P1161">
    <cfRule type="expression" dxfId="2585" priority="2812">
      <formula>MOD(ROW(O1161),2) = 0</formula>
    </cfRule>
  </conditionalFormatting>
  <conditionalFormatting sqref="O1160:P1160">
    <cfRule type="expression" dxfId="2584" priority="2811">
      <formula>MOD(ROW(O1160),2) = 0</formula>
    </cfRule>
  </conditionalFormatting>
  <conditionalFormatting sqref="O1159:P1159">
    <cfRule type="expression" dxfId="2583" priority="2810">
      <formula>MOD(ROW(O1159),2) = 0</formula>
    </cfRule>
  </conditionalFormatting>
  <conditionalFormatting sqref="O1158:P1158">
    <cfRule type="expression" dxfId="2582" priority="2809">
      <formula>MOD(ROW(O1158),2) = 0</formula>
    </cfRule>
  </conditionalFormatting>
  <conditionalFormatting sqref="O1157:P1157">
    <cfRule type="expression" dxfId="2581" priority="2808">
      <formula>MOD(ROW(O1157),2) = 0</formula>
    </cfRule>
  </conditionalFormatting>
  <conditionalFormatting sqref="O1156:P1156">
    <cfRule type="expression" dxfId="2580" priority="2807">
      <formula>MOD(ROW(O1156),2) = 0</formula>
    </cfRule>
  </conditionalFormatting>
  <conditionalFormatting sqref="O1155:P1155">
    <cfRule type="expression" dxfId="2579" priority="2806">
      <formula>MOD(ROW(O1155),2) = 0</formula>
    </cfRule>
  </conditionalFormatting>
  <conditionalFormatting sqref="O1154:P1154">
    <cfRule type="expression" dxfId="2578" priority="2805">
      <formula>MOD(ROW(O1154),2) = 0</formula>
    </cfRule>
  </conditionalFormatting>
  <conditionalFormatting sqref="O1153:P1153">
    <cfRule type="expression" dxfId="2577" priority="2804">
      <formula>MOD(ROW(O1153),2) = 0</formula>
    </cfRule>
  </conditionalFormatting>
  <conditionalFormatting sqref="O1152:P1152">
    <cfRule type="expression" dxfId="2576" priority="2803">
      <formula>MOD(ROW(O1152),2) = 0</formula>
    </cfRule>
  </conditionalFormatting>
  <conditionalFormatting sqref="O1151:P1151">
    <cfRule type="expression" dxfId="2575" priority="2802">
      <formula>MOD(ROW(O1151),2) = 0</formula>
    </cfRule>
  </conditionalFormatting>
  <conditionalFormatting sqref="O1150:P1150">
    <cfRule type="expression" dxfId="2574" priority="2801">
      <formula>MOD(ROW(O1150),2) = 0</formula>
    </cfRule>
  </conditionalFormatting>
  <conditionalFormatting sqref="O1149:P1149">
    <cfRule type="expression" dxfId="2573" priority="2800">
      <formula>MOD(ROW(O1149),2) = 0</formula>
    </cfRule>
  </conditionalFormatting>
  <conditionalFormatting sqref="O1148:P1148">
    <cfRule type="expression" dxfId="2572" priority="2799">
      <formula>MOD(ROW(O1148),2) = 0</formula>
    </cfRule>
  </conditionalFormatting>
  <conditionalFormatting sqref="O1147:P1147">
    <cfRule type="expression" dxfId="2571" priority="2798">
      <formula>MOD(ROW(O1147),2) = 0</formula>
    </cfRule>
  </conditionalFormatting>
  <conditionalFormatting sqref="O1146:P1146">
    <cfRule type="expression" dxfId="2570" priority="2797">
      <formula>MOD(ROW(O1146),2) = 0</formula>
    </cfRule>
  </conditionalFormatting>
  <conditionalFormatting sqref="O1145:P1145">
    <cfRule type="expression" dxfId="2569" priority="2796">
      <formula>MOD(ROW(O1145),2) = 0</formula>
    </cfRule>
  </conditionalFormatting>
  <conditionalFormatting sqref="O1144:P1144">
    <cfRule type="expression" dxfId="2568" priority="2795">
      <formula>MOD(ROW(O1144),2) = 0</formula>
    </cfRule>
  </conditionalFormatting>
  <conditionalFormatting sqref="O1143:P1143">
    <cfRule type="expression" dxfId="2567" priority="2794">
      <formula>MOD(ROW(O1143),2) = 0</formula>
    </cfRule>
  </conditionalFormatting>
  <conditionalFormatting sqref="O1142:P1142">
    <cfRule type="expression" dxfId="2566" priority="2793">
      <formula>MOD(ROW(O1142),2) = 0</formula>
    </cfRule>
  </conditionalFormatting>
  <conditionalFormatting sqref="O1141:P1141">
    <cfRule type="expression" dxfId="2565" priority="2792">
      <formula>MOD(ROW(O1141),2) = 0</formula>
    </cfRule>
  </conditionalFormatting>
  <conditionalFormatting sqref="O1140:P1140">
    <cfRule type="expression" dxfId="2564" priority="2791">
      <formula>MOD(ROW(O1140),2) = 0</formula>
    </cfRule>
  </conditionalFormatting>
  <conditionalFormatting sqref="O1139:P1139">
    <cfRule type="expression" dxfId="2563" priority="2790">
      <formula>MOD(ROW(O1139),2) = 0</formula>
    </cfRule>
  </conditionalFormatting>
  <conditionalFormatting sqref="O1138:P1138">
    <cfRule type="expression" dxfId="2562" priority="2789">
      <formula>MOD(ROW(O1138),2) = 0</formula>
    </cfRule>
  </conditionalFormatting>
  <conditionalFormatting sqref="O1137:P1137">
    <cfRule type="expression" dxfId="2561" priority="2788">
      <formula>MOD(ROW(O1137),2) = 0</formula>
    </cfRule>
  </conditionalFormatting>
  <conditionalFormatting sqref="O1136:P1136">
    <cfRule type="expression" dxfId="2560" priority="2787">
      <formula>MOD(ROW(O1136),2) = 0</formula>
    </cfRule>
  </conditionalFormatting>
  <conditionalFormatting sqref="O1135:P1135">
    <cfRule type="expression" dxfId="2559" priority="2786">
      <formula>MOD(ROW(O1135),2) = 0</formula>
    </cfRule>
  </conditionalFormatting>
  <conditionalFormatting sqref="O1134:P1134">
    <cfRule type="expression" dxfId="2558" priority="2785">
      <formula>MOD(ROW(O1134),2) = 0</formula>
    </cfRule>
  </conditionalFormatting>
  <conditionalFormatting sqref="O1133:P1133">
    <cfRule type="expression" dxfId="2557" priority="2784">
      <formula>MOD(ROW(O1133),2) = 0</formula>
    </cfRule>
  </conditionalFormatting>
  <conditionalFormatting sqref="O1132:P1132">
    <cfRule type="expression" dxfId="2556" priority="2783">
      <formula>MOD(ROW(O1132),2) = 0</formula>
    </cfRule>
  </conditionalFormatting>
  <conditionalFormatting sqref="O1131:P1131">
    <cfRule type="expression" dxfId="2555" priority="2782">
      <formula>MOD(ROW(O1131),2) = 0</formula>
    </cfRule>
  </conditionalFormatting>
  <conditionalFormatting sqref="O1130:P1130">
    <cfRule type="expression" dxfId="2554" priority="2781">
      <formula>MOD(ROW(O1130),2) = 0</formula>
    </cfRule>
  </conditionalFormatting>
  <conditionalFormatting sqref="O1129:P1129">
    <cfRule type="expression" dxfId="2553" priority="2780">
      <formula>MOD(ROW(O1129),2) = 0</formula>
    </cfRule>
  </conditionalFormatting>
  <conditionalFormatting sqref="O1128:P1128">
    <cfRule type="expression" dxfId="2552" priority="2779">
      <formula>MOD(ROW(O1128),2) = 0</formula>
    </cfRule>
  </conditionalFormatting>
  <conditionalFormatting sqref="O1127:P1127">
    <cfRule type="expression" dxfId="2551" priority="2778">
      <formula>MOD(ROW(O1127),2) = 0</formula>
    </cfRule>
  </conditionalFormatting>
  <conditionalFormatting sqref="O1126:P1126">
    <cfRule type="expression" dxfId="2550" priority="2777">
      <formula>MOD(ROW(O1126),2) = 0</formula>
    </cfRule>
  </conditionalFormatting>
  <conditionalFormatting sqref="O1125:P1125">
    <cfRule type="expression" dxfId="2549" priority="2776">
      <formula>MOD(ROW(O1125),2) = 0</formula>
    </cfRule>
  </conditionalFormatting>
  <conditionalFormatting sqref="O1124:P1124">
    <cfRule type="expression" dxfId="2548" priority="2775">
      <formula>MOD(ROW(O1124),2) = 0</formula>
    </cfRule>
  </conditionalFormatting>
  <conditionalFormatting sqref="O1123:P1123">
    <cfRule type="expression" dxfId="2547" priority="2774">
      <formula>MOD(ROW(O1123),2) = 0</formula>
    </cfRule>
  </conditionalFormatting>
  <conditionalFormatting sqref="O1122:P1122">
    <cfRule type="expression" dxfId="2546" priority="2773">
      <formula>MOD(ROW(O1122),2) = 0</formula>
    </cfRule>
  </conditionalFormatting>
  <conditionalFormatting sqref="O1121:P1121">
    <cfRule type="expression" dxfId="2545" priority="2772">
      <formula>MOD(ROW(O1121),2) = 0</formula>
    </cfRule>
  </conditionalFormatting>
  <conditionalFormatting sqref="O1120:P1120">
    <cfRule type="expression" dxfId="2544" priority="2771">
      <formula>MOD(ROW(O1120),2) = 0</formula>
    </cfRule>
  </conditionalFormatting>
  <conditionalFormatting sqref="O1119:P1119">
    <cfRule type="expression" dxfId="2543" priority="2770">
      <formula>MOD(ROW(O1119),2) = 0</formula>
    </cfRule>
  </conditionalFormatting>
  <conditionalFormatting sqref="O1118:P1118">
    <cfRule type="expression" dxfId="2542" priority="2769">
      <formula>MOD(ROW(O1118),2) = 0</formula>
    </cfRule>
  </conditionalFormatting>
  <conditionalFormatting sqref="O1117:P1117">
    <cfRule type="expression" dxfId="2541" priority="2768">
      <formula>MOD(ROW(O1117),2) = 0</formula>
    </cfRule>
  </conditionalFormatting>
  <conditionalFormatting sqref="O1116:P1116">
    <cfRule type="expression" dxfId="2540" priority="2767">
      <formula>MOD(ROW(O1116),2) = 0</formula>
    </cfRule>
  </conditionalFormatting>
  <conditionalFormatting sqref="O1115:P1115">
    <cfRule type="expression" dxfId="2539" priority="2766">
      <formula>MOD(ROW(O1115),2) = 0</formula>
    </cfRule>
  </conditionalFormatting>
  <conditionalFormatting sqref="O1114:P1114">
    <cfRule type="expression" dxfId="2538" priority="2765">
      <formula>MOD(ROW(O1114),2) = 0</formula>
    </cfRule>
  </conditionalFormatting>
  <conditionalFormatting sqref="O1113:P1113">
    <cfRule type="expression" dxfId="2537" priority="2764">
      <formula>MOD(ROW(O1113),2) = 0</formula>
    </cfRule>
  </conditionalFormatting>
  <conditionalFormatting sqref="O1112:P1112">
    <cfRule type="expression" dxfId="2536" priority="2763">
      <formula>MOD(ROW(O1112),2) = 0</formula>
    </cfRule>
  </conditionalFormatting>
  <conditionalFormatting sqref="O1111:P1111">
    <cfRule type="expression" dxfId="2535" priority="2762">
      <formula>MOD(ROW(O1111),2) = 0</formula>
    </cfRule>
  </conditionalFormatting>
  <conditionalFormatting sqref="O1110:P1110">
    <cfRule type="expression" dxfId="2534" priority="2761">
      <formula>MOD(ROW(O1110),2) = 0</formula>
    </cfRule>
  </conditionalFormatting>
  <conditionalFormatting sqref="O1109:P1109">
    <cfRule type="expression" dxfId="2533" priority="2760">
      <formula>MOD(ROW(O1109),2) = 0</formula>
    </cfRule>
  </conditionalFormatting>
  <conditionalFormatting sqref="O1108:P1108">
    <cfRule type="expression" dxfId="2532" priority="2759">
      <formula>MOD(ROW(O1108),2) = 0</formula>
    </cfRule>
  </conditionalFormatting>
  <conditionalFormatting sqref="O1107:P1107">
    <cfRule type="expression" dxfId="2531" priority="2758">
      <formula>MOD(ROW(O1107),2) = 0</formula>
    </cfRule>
  </conditionalFormatting>
  <conditionalFormatting sqref="O1106:P1106">
    <cfRule type="expression" dxfId="2530" priority="2757">
      <formula>MOD(ROW(O1106),2) = 0</formula>
    </cfRule>
  </conditionalFormatting>
  <conditionalFormatting sqref="O1105:P1105">
    <cfRule type="expression" dxfId="2529" priority="2756">
      <formula>MOD(ROW(O1105),2) = 0</formula>
    </cfRule>
  </conditionalFormatting>
  <conditionalFormatting sqref="O1104:P1104">
    <cfRule type="expression" dxfId="2528" priority="2755">
      <formula>MOD(ROW(O1104),2) = 0</formula>
    </cfRule>
  </conditionalFormatting>
  <conditionalFormatting sqref="O1103:P1103">
    <cfRule type="expression" dxfId="2527" priority="2754">
      <formula>MOD(ROW(O1103),2) = 0</formula>
    </cfRule>
  </conditionalFormatting>
  <conditionalFormatting sqref="O1102:P1102">
    <cfRule type="expression" dxfId="2526" priority="2753">
      <formula>MOD(ROW(O1102),2) = 0</formula>
    </cfRule>
  </conditionalFormatting>
  <conditionalFormatting sqref="O1101:P1101">
    <cfRule type="expression" dxfId="2525" priority="2752">
      <formula>MOD(ROW(O1101),2) = 0</formula>
    </cfRule>
  </conditionalFormatting>
  <conditionalFormatting sqref="O1100:P1100">
    <cfRule type="expression" dxfId="2524" priority="2751">
      <formula>MOD(ROW(O1100),2) = 0</formula>
    </cfRule>
  </conditionalFormatting>
  <conditionalFormatting sqref="O1099:P1099">
    <cfRule type="expression" dxfId="2523" priority="2750">
      <formula>MOD(ROW(O1099),2) = 0</formula>
    </cfRule>
  </conditionalFormatting>
  <conditionalFormatting sqref="O1098:P1098">
    <cfRule type="expression" dxfId="2522" priority="2749">
      <formula>MOD(ROW(O1098),2) = 0</formula>
    </cfRule>
  </conditionalFormatting>
  <conditionalFormatting sqref="O1097:P1097">
    <cfRule type="expression" dxfId="2521" priority="2748">
      <formula>MOD(ROW(O1097),2) = 0</formula>
    </cfRule>
  </conditionalFormatting>
  <conditionalFormatting sqref="O1096:P1096">
    <cfRule type="expression" dxfId="2520" priority="2747">
      <formula>MOD(ROW(O1096),2) = 0</formula>
    </cfRule>
  </conditionalFormatting>
  <conditionalFormatting sqref="O1095:P1095">
    <cfRule type="expression" dxfId="2519" priority="2746">
      <formula>MOD(ROW(O1095),2) = 0</formula>
    </cfRule>
  </conditionalFormatting>
  <conditionalFormatting sqref="O1094:P1094">
    <cfRule type="expression" dxfId="2518" priority="2745">
      <formula>MOD(ROW(O1094),2) = 0</formula>
    </cfRule>
  </conditionalFormatting>
  <conditionalFormatting sqref="O1093:P1093">
    <cfRule type="expression" dxfId="2517" priority="2744">
      <formula>MOD(ROW(O1093),2) = 0</formula>
    </cfRule>
  </conditionalFormatting>
  <conditionalFormatting sqref="O1092:P1092">
    <cfRule type="expression" dxfId="2516" priority="2743">
      <formula>MOD(ROW(O1092),2) = 0</formula>
    </cfRule>
  </conditionalFormatting>
  <conditionalFormatting sqref="O1091:P1091">
    <cfRule type="expression" dxfId="2515" priority="2742">
      <formula>MOD(ROW(O1091),2) = 0</formula>
    </cfRule>
  </conditionalFormatting>
  <conditionalFormatting sqref="O1090:P1090">
    <cfRule type="expression" dxfId="2514" priority="2741">
      <formula>MOD(ROW(O1090),2) = 0</formula>
    </cfRule>
  </conditionalFormatting>
  <conditionalFormatting sqref="O1089:P1089">
    <cfRule type="expression" dxfId="2513" priority="2740">
      <formula>MOD(ROW(O1089),2) = 0</formula>
    </cfRule>
  </conditionalFormatting>
  <conditionalFormatting sqref="O1088:P1088">
    <cfRule type="expression" dxfId="2512" priority="2739">
      <formula>MOD(ROW(O1088),2) = 0</formula>
    </cfRule>
  </conditionalFormatting>
  <conditionalFormatting sqref="O1087:P1087">
    <cfRule type="expression" dxfId="2511" priority="2738">
      <formula>MOD(ROW(O1087),2) = 0</formula>
    </cfRule>
  </conditionalFormatting>
  <conditionalFormatting sqref="O1086:P1086">
    <cfRule type="expression" dxfId="2510" priority="2737">
      <formula>MOD(ROW(O1086),2) = 0</formula>
    </cfRule>
  </conditionalFormatting>
  <conditionalFormatting sqref="O1085:P1085">
    <cfRule type="expression" dxfId="2509" priority="2736">
      <formula>MOD(ROW(O1085),2) = 0</formula>
    </cfRule>
  </conditionalFormatting>
  <conditionalFormatting sqref="O1084:P1084">
    <cfRule type="expression" dxfId="2508" priority="2735">
      <formula>MOD(ROW(O1084),2) = 0</formula>
    </cfRule>
  </conditionalFormatting>
  <conditionalFormatting sqref="O1083:P1083">
    <cfRule type="expression" dxfId="2507" priority="2734">
      <formula>MOD(ROW(O1083),2) = 0</formula>
    </cfRule>
  </conditionalFormatting>
  <conditionalFormatting sqref="O1082:P1082">
    <cfRule type="expression" dxfId="2506" priority="2733">
      <formula>MOD(ROW(O1082),2) = 0</formula>
    </cfRule>
  </conditionalFormatting>
  <conditionalFormatting sqref="O1081:P1081">
    <cfRule type="expression" dxfId="2505" priority="2732">
      <formula>MOD(ROW(O1081),2) = 0</formula>
    </cfRule>
  </conditionalFormatting>
  <conditionalFormatting sqref="O1080:P1080">
    <cfRule type="expression" dxfId="2504" priority="2731">
      <formula>MOD(ROW(O1080),2) = 0</formula>
    </cfRule>
  </conditionalFormatting>
  <conditionalFormatting sqref="O1079:P1079">
    <cfRule type="expression" dxfId="2503" priority="2730">
      <formula>MOD(ROW(O1079),2) = 0</formula>
    </cfRule>
  </conditionalFormatting>
  <conditionalFormatting sqref="O1078:P1078">
    <cfRule type="expression" dxfId="2502" priority="2729">
      <formula>MOD(ROW(O1078),2) = 0</formula>
    </cfRule>
  </conditionalFormatting>
  <conditionalFormatting sqref="O1077:P1077">
    <cfRule type="expression" dxfId="2501" priority="2728">
      <formula>MOD(ROW(O1077),2) = 0</formula>
    </cfRule>
  </conditionalFormatting>
  <conditionalFormatting sqref="O1076:P1076">
    <cfRule type="expression" dxfId="2500" priority="2727">
      <formula>MOD(ROW(O1076),2) = 0</formula>
    </cfRule>
  </conditionalFormatting>
  <conditionalFormatting sqref="O1075:P1075">
    <cfRule type="expression" dxfId="2499" priority="2726">
      <formula>MOD(ROW(O1075),2) = 0</formula>
    </cfRule>
  </conditionalFormatting>
  <conditionalFormatting sqref="O1074:P1074">
    <cfRule type="expression" dxfId="2498" priority="2725">
      <formula>MOD(ROW(O1074),2) = 0</formula>
    </cfRule>
  </conditionalFormatting>
  <conditionalFormatting sqref="O1073:P1073">
    <cfRule type="expression" dxfId="2497" priority="2724">
      <formula>MOD(ROW(O1073),2) = 0</formula>
    </cfRule>
  </conditionalFormatting>
  <conditionalFormatting sqref="O1072:P1072">
    <cfRule type="expression" dxfId="2496" priority="2723">
      <formula>MOD(ROW(O1072),2) = 0</formula>
    </cfRule>
  </conditionalFormatting>
  <conditionalFormatting sqref="O1071:P1071">
    <cfRule type="expression" dxfId="2495" priority="2722">
      <formula>MOD(ROW(O1071),2) = 0</formula>
    </cfRule>
  </conditionalFormatting>
  <conditionalFormatting sqref="O1070:P1070">
    <cfRule type="expression" dxfId="2494" priority="2721">
      <formula>MOD(ROW(O1070),2) = 0</formula>
    </cfRule>
  </conditionalFormatting>
  <conditionalFormatting sqref="O1069:P1069">
    <cfRule type="expression" dxfId="2493" priority="2720">
      <formula>MOD(ROW(O1069),2) = 0</formula>
    </cfRule>
  </conditionalFormatting>
  <conditionalFormatting sqref="O1068:P1068">
    <cfRule type="expression" dxfId="2492" priority="2719">
      <formula>MOD(ROW(O1068),2) = 0</formula>
    </cfRule>
  </conditionalFormatting>
  <conditionalFormatting sqref="O1067:P1067">
    <cfRule type="expression" dxfId="2491" priority="2718">
      <formula>MOD(ROW(O1067),2) = 0</formula>
    </cfRule>
  </conditionalFormatting>
  <conditionalFormatting sqref="O1066:P1066">
    <cfRule type="expression" dxfId="2490" priority="2717">
      <formula>MOD(ROW(O1066),2) = 0</formula>
    </cfRule>
  </conditionalFormatting>
  <conditionalFormatting sqref="O1065:P1065">
    <cfRule type="expression" dxfId="2489" priority="2716">
      <formula>MOD(ROW(O1065),2) = 0</formula>
    </cfRule>
  </conditionalFormatting>
  <conditionalFormatting sqref="O1064:P1064">
    <cfRule type="expression" dxfId="2488" priority="2715">
      <formula>MOD(ROW(O1064),2) = 0</formula>
    </cfRule>
  </conditionalFormatting>
  <conditionalFormatting sqref="O1063:P1063">
    <cfRule type="expression" dxfId="2487" priority="2714">
      <formula>MOD(ROW(O1063),2) = 0</formula>
    </cfRule>
  </conditionalFormatting>
  <conditionalFormatting sqref="O1062:P1062">
    <cfRule type="expression" dxfId="2486" priority="2713">
      <formula>MOD(ROW(O1062),2) = 0</formula>
    </cfRule>
  </conditionalFormatting>
  <conditionalFormatting sqref="O1061:P1061">
    <cfRule type="expression" dxfId="2485" priority="2712">
      <formula>MOD(ROW(O1061),2) = 0</formula>
    </cfRule>
  </conditionalFormatting>
  <conditionalFormatting sqref="O1060:P1060">
    <cfRule type="expression" dxfId="2484" priority="2711">
      <formula>MOD(ROW(O1060),2) = 0</formula>
    </cfRule>
  </conditionalFormatting>
  <conditionalFormatting sqref="O1059:P1059">
    <cfRule type="expression" dxfId="2483" priority="2710">
      <formula>MOD(ROW(O1059),2) = 0</formula>
    </cfRule>
  </conditionalFormatting>
  <conditionalFormatting sqref="O1058:P1058">
    <cfRule type="expression" dxfId="2482" priority="2709">
      <formula>MOD(ROW(O1058),2) = 0</formula>
    </cfRule>
  </conditionalFormatting>
  <conditionalFormatting sqref="O1057:P1057">
    <cfRule type="expression" dxfId="2481" priority="2708">
      <formula>MOD(ROW(O1057),2) = 0</formula>
    </cfRule>
  </conditionalFormatting>
  <conditionalFormatting sqref="O1056:P1056">
    <cfRule type="expression" dxfId="2480" priority="2707">
      <formula>MOD(ROW(O1056),2) = 0</formula>
    </cfRule>
  </conditionalFormatting>
  <conditionalFormatting sqref="O1055:P1055">
    <cfRule type="expression" dxfId="2479" priority="2706">
      <formula>MOD(ROW(O1055),2) = 0</formula>
    </cfRule>
  </conditionalFormatting>
  <conditionalFormatting sqref="O1054:P1054">
    <cfRule type="expression" dxfId="2478" priority="2705">
      <formula>MOD(ROW(O1054),2) = 0</formula>
    </cfRule>
  </conditionalFormatting>
  <conditionalFormatting sqref="O1053:P1053">
    <cfRule type="expression" dxfId="2477" priority="2704">
      <formula>MOD(ROW(O1053),2) = 0</formula>
    </cfRule>
  </conditionalFormatting>
  <conditionalFormatting sqref="O1052:P1052">
    <cfRule type="expression" dxfId="2476" priority="2703">
      <formula>MOD(ROW(O1052),2) = 0</formula>
    </cfRule>
  </conditionalFormatting>
  <conditionalFormatting sqref="O1051:P1051">
    <cfRule type="expression" dxfId="2475" priority="2702">
      <formula>MOD(ROW(O1051),2) = 0</formula>
    </cfRule>
  </conditionalFormatting>
  <conditionalFormatting sqref="O1050:P1050">
    <cfRule type="expression" dxfId="2474" priority="2701">
      <formula>MOD(ROW(O1050),2) = 0</formula>
    </cfRule>
  </conditionalFormatting>
  <conditionalFormatting sqref="O1049:P1049">
    <cfRule type="expression" dxfId="2473" priority="2700">
      <formula>MOD(ROW(O1049),2) = 0</formula>
    </cfRule>
  </conditionalFormatting>
  <conditionalFormatting sqref="O1048:P1048">
    <cfRule type="expression" dxfId="2472" priority="2699">
      <formula>MOD(ROW(O1048),2) = 0</formula>
    </cfRule>
  </conditionalFormatting>
  <conditionalFormatting sqref="O1047:P1047">
    <cfRule type="expression" dxfId="2471" priority="2698">
      <formula>MOD(ROW(O1047),2) = 0</formula>
    </cfRule>
  </conditionalFormatting>
  <conditionalFormatting sqref="O1046:P1046">
    <cfRule type="expression" dxfId="2470" priority="2697">
      <formula>MOD(ROW(O1046),2) = 0</formula>
    </cfRule>
  </conditionalFormatting>
  <conditionalFormatting sqref="O1045:P1045">
    <cfRule type="expression" dxfId="2469" priority="2696">
      <formula>MOD(ROW(O1045),2) = 0</formula>
    </cfRule>
  </conditionalFormatting>
  <conditionalFormatting sqref="O1044:P1044">
    <cfRule type="expression" dxfId="2468" priority="2695">
      <formula>MOD(ROW(O1044),2) = 0</formula>
    </cfRule>
  </conditionalFormatting>
  <conditionalFormatting sqref="O1043:P1043">
    <cfRule type="expression" dxfId="2467" priority="2694">
      <formula>MOD(ROW(O1043),2) = 0</formula>
    </cfRule>
  </conditionalFormatting>
  <conditionalFormatting sqref="O1042:P1042">
    <cfRule type="expression" dxfId="2466" priority="2693">
      <formula>MOD(ROW(O1042),2) = 0</formula>
    </cfRule>
  </conditionalFormatting>
  <conditionalFormatting sqref="O1041:P1041">
    <cfRule type="expression" dxfId="2465" priority="2692">
      <formula>MOD(ROW(O1041),2) = 0</formula>
    </cfRule>
  </conditionalFormatting>
  <conditionalFormatting sqref="O1040:P1040">
    <cfRule type="expression" dxfId="2464" priority="2691">
      <formula>MOD(ROW(O1040),2) = 0</formula>
    </cfRule>
  </conditionalFormatting>
  <conditionalFormatting sqref="O1039:P1039">
    <cfRule type="expression" dxfId="2463" priority="2690">
      <formula>MOD(ROW(O1039),2) = 0</formula>
    </cfRule>
  </conditionalFormatting>
  <conditionalFormatting sqref="O1038:P1038">
    <cfRule type="expression" dxfId="2462" priority="2689">
      <formula>MOD(ROW(O1038),2) = 0</formula>
    </cfRule>
  </conditionalFormatting>
  <conditionalFormatting sqref="O1037:P1037">
    <cfRule type="expression" dxfId="2461" priority="2688">
      <formula>MOD(ROW(O1037),2) = 0</formula>
    </cfRule>
  </conditionalFormatting>
  <conditionalFormatting sqref="O1036:P1036">
    <cfRule type="expression" dxfId="2460" priority="2687">
      <formula>MOD(ROW(O1036),2) = 0</formula>
    </cfRule>
  </conditionalFormatting>
  <conditionalFormatting sqref="O1035:P1035">
    <cfRule type="expression" dxfId="2459" priority="2686">
      <formula>MOD(ROW(O1035),2) = 0</formula>
    </cfRule>
  </conditionalFormatting>
  <conditionalFormatting sqref="O1034:P1034">
    <cfRule type="expression" dxfId="2458" priority="2685">
      <formula>MOD(ROW(O1034),2) = 0</formula>
    </cfRule>
  </conditionalFormatting>
  <conditionalFormatting sqref="O1033:P1033">
    <cfRule type="expression" dxfId="2457" priority="2684">
      <formula>MOD(ROW(O1033),2) = 0</formula>
    </cfRule>
  </conditionalFormatting>
  <conditionalFormatting sqref="O1032:P1032">
    <cfRule type="expression" dxfId="2456" priority="2683">
      <formula>MOD(ROW(O1032),2) = 0</formula>
    </cfRule>
  </conditionalFormatting>
  <conditionalFormatting sqref="O1031:P1031">
    <cfRule type="expression" dxfId="2455" priority="2682">
      <formula>MOD(ROW(O1031),2) = 0</formula>
    </cfRule>
  </conditionalFormatting>
  <conditionalFormatting sqref="O1030:P1030">
    <cfRule type="expression" dxfId="2454" priority="2681">
      <formula>MOD(ROW(O1030),2) = 0</formula>
    </cfRule>
  </conditionalFormatting>
  <conditionalFormatting sqref="O1029:P1029">
    <cfRule type="expression" dxfId="2453" priority="2680">
      <formula>MOD(ROW(O1029),2) = 0</formula>
    </cfRule>
  </conditionalFormatting>
  <conditionalFormatting sqref="O1028:P1028">
    <cfRule type="expression" dxfId="2452" priority="2679">
      <formula>MOD(ROW(O1028),2) = 0</formula>
    </cfRule>
  </conditionalFormatting>
  <conditionalFormatting sqref="O1027:P1027">
    <cfRule type="expression" dxfId="2451" priority="2678">
      <formula>MOD(ROW(O1027),2) = 0</formula>
    </cfRule>
  </conditionalFormatting>
  <conditionalFormatting sqref="O1026:P1026">
    <cfRule type="expression" dxfId="2450" priority="2677">
      <formula>MOD(ROW(O1026),2) = 0</formula>
    </cfRule>
  </conditionalFormatting>
  <conditionalFormatting sqref="O1025:P1025">
    <cfRule type="expression" dxfId="2449" priority="2676">
      <formula>MOD(ROW(O1025),2) = 0</formula>
    </cfRule>
  </conditionalFormatting>
  <conditionalFormatting sqref="O1024:P1024">
    <cfRule type="expression" dxfId="2448" priority="2675">
      <formula>MOD(ROW(O1024),2) = 0</formula>
    </cfRule>
  </conditionalFormatting>
  <conditionalFormatting sqref="O1023:P1023">
    <cfRule type="expression" dxfId="2447" priority="2674">
      <formula>MOD(ROW(O1023),2) = 0</formula>
    </cfRule>
  </conditionalFormatting>
  <conditionalFormatting sqref="O1022:P1022">
    <cfRule type="expression" dxfId="2446" priority="2673">
      <formula>MOD(ROW(O1022),2) = 0</formula>
    </cfRule>
  </conditionalFormatting>
  <conditionalFormatting sqref="O1021:P1021">
    <cfRule type="expression" dxfId="2445" priority="2672">
      <formula>MOD(ROW(O1021),2) = 0</formula>
    </cfRule>
  </conditionalFormatting>
  <conditionalFormatting sqref="O1020:P1020">
    <cfRule type="expression" dxfId="2444" priority="2671">
      <formula>MOD(ROW(O1020),2) = 0</formula>
    </cfRule>
  </conditionalFormatting>
  <conditionalFormatting sqref="O1019:P1019">
    <cfRule type="expression" dxfId="2443" priority="2670">
      <formula>MOD(ROW(O1019),2) = 0</formula>
    </cfRule>
  </conditionalFormatting>
  <conditionalFormatting sqref="O1018:P1018">
    <cfRule type="expression" dxfId="2442" priority="2669">
      <formula>MOD(ROW(O1018),2) = 0</formula>
    </cfRule>
  </conditionalFormatting>
  <conditionalFormatting sqref="O1017:P1017">
    <cfRule type="expression" dxfId="2441" priority="2668">
      <formula>MOD(ROW(O1017),2) = 0</formula>
    </cfRule>
  </conditionalFormatting>
  <conditionalFormatting sqref="O1016:P1016">
    <cfRule type="expression" dxfId="2440" priority="2667">
      <formula>MOD(ROW(O1016),2) = 0</formula>
    </cfRule>
  </conditionalFormatting>
  <conditionalFormatting sqref="O1015:P1015">
    <cfRule type="expression" dxfId="2439" priority="2666">
      <formula>MOD(ROW(O1015),2) = 0</formula>
    </cfRule>
  </conditionalFormatting>
  <conditionalFormatting sqref="O1014:P1014">
    <cfRule type="expression" dxfId="2438" priority="2665">
      <formula>MOD(ROW(O1014),2) = 0</formula>
    </cfRule>
  </conditionalFormatting>
  <conditionalFormatting sqref="O1013:P1013">
    <cfRule type="expression" dxfId="2437" priority="2664">
      <formula>MOD(ROW(O1013),2) = 0</formula>
    </cfRule>
  </conditionalFormatting>
  <conditionalFormatting sqref="O1012:P1012">
    <cfRule type="expression" dxfId="2436" priority="2663">
      <formula>MOD(ROW(O1012),2) = 0</formula>
    </cfRule>
  </conditionalFormatting>
  <conditionalFormatting sqref="O1011:P1011">
    <cfRule type="expression" dxfId="2435" priority="2662">
      <formula>MOD(ROW(O1011),2) = 0</formula>
    </cfRule>
  </conditionalFormatting>
  <conditionalFormatting sqref="O1010:P1010">
    <cfRule type="expression" dxfId="2434" priority="2661">
      <formula>MOD(ROW(O1010),2) = 0</formula>
    </cfRule>
  </conditionalFormatting>
  <conditionalFormatting sqref="O1009:P1009">
    <cfRule type="expression" dxfId="2433" priority="2660">
      <formula>MOD(ROW(O1009),2) = 0</formula>
    </cfRule>
  </conditionalFormatting>
  <conditionalFormatting sqref="O1008:P1008">
    <cfRule type="expression" dxfId="2432" priority="2659">
      <formula>MOD(ROW(O1008),2) = 0</formula>
    </cfRule>
  </conditionalFormatting>
  <conditionalFormatting sqref="O1007:P1007">
    <cfRule type="expression" dxfId="2431" priority="2658">
      <formula>MOD(ROW(O1007),2) = 0</formula>
    </cfRule>
  </conditionalFormatting>
  <conditionalFormatting sqref="O1006:P1006">
    <cfRule type="expression" dxfId="2430" priority="2657">
      <formula>MOD(ROW(O1006),2) = 0</formula>
    </cfRule>
  </conditionalFormatting>
  <conditionalFormatting sqref="O1005:P1005">
    <cfRule type="expression" dxfId="2429" priority="2656">
      <formula>MOD(ROW(O1005),2) = 0</formula>
    </cfRule>
  </conditionalFormatting>
  <conditionalFormatting sqref="O1004:P1004">
    <cfRule type="expression" dxfId="2428" priority="2655">
      <formula>MOD(ROW(O1004),2) = 0</formula>
    </cfRule>
  </conditionalFormatting>
  <conditionalFormatting sqref="O1003:P1003">
    <cfRule type="expression" dxfId="2427" priority="2654">
      <formula>MOD(ROW(O1003),2) = 0</formula>
    </cfRule>
  </conditionalFormatting>
  <conditionalFormatting sqref="O1002:P1002">
    <cfRule type="expression" dxfId="2426" priority="2653">
      <formula>MOD(ROW(O1002),2) = 0</formula>
    </cfRule>
  </conditionalFormatting>
  <conditionalFormatting sqref="O1001:P1001">
    <cfRule type="expression" dxfId="2425" priority="2652">
      <formula>MOD(ROW(O1001),2) = 0</formula>
    </cfRule>
  </conditionalFormatting>
  <conditionalFormatting sqref="O1000:P1000">
    <cfRule type="expression" dxfId="2424" priority="2651">
      <formula>MOD(ROW(O1000),2) = 0</formula>
    </cfRule>
  </conditionalFormatting>
  <conditionalFormatting sqref="O999:P999">
    <cfRule type="expression" dxfId="2423" priority="2650">
      <formula>MOD(ROW(O999),2) = 0</formula>
    </cfRule>
  </conditionalFormatting>
  <conditionalFormatting sqref="O998:P998">
    <cfRule type="expression" dxfId="2422" priority="2649">
      <formula>MOD(ROW(O998),2) = 0</formula>
    </cfRule>
  </conditionalFormatting>
  <conditionalFormatting sqref="O997:P997">
    <cfRule type="expression" dxfId="2421" priority="2648">
      <formula>MOD(ROW(O997),2) = 0</formula>
    </cfRule>
  </conditionalFormatting>
  <conditionalFormatting sqref="O996:P996">
    <cfRule type="expression" dxfId="2420" priority="2647">
      <formula>MOD(ROW(O996),2) = 0</formula>
    </cfRule>
  </conditionalFormatting>
  <conditionalFormatting sqref="O995:P995">
    <cfRule type="expression" dxfId="2419" priority="2646">
      <formula>MOD(ROW(O995),2) = 0</formula>
    </cfRule>
  </conditionalFormatting>
  <conditionalFormatting sqref="O994:P994">
    <cfRule type="expression" dxfId="2418" priority="2645">
      <formula>MOD(ROW(O994),2) = 0</formula>
    </cfRule>
  </conditionalFormatting>
  <conditionalFormatting sqref="O993:P993">
    <cfRule type="expression" dxfId="2417" priority="2644">
      <formula>MOD(ROW(O993),2) = 0</formula>
    </cfRule>
  </conditionalFormatting>
  <conditionalFormatting sqref="O992:P992">
    <cfRule type="expression" dxfId="2416" priority="2643">
      <formula>MOD(ROW(O992),2) = 0</formula>
    </cfRule>
  </conditionalFormatting>
  <conditionalFormatting sqref="O991:P991">
    <cfRule type="expression" dxfId="2415" priority="2642">
      <formula>MOD(ROW(O991),2) = 0</formula>
    </cfRule>
  </conditionalFormatting>
  <conditionalFormatting sqref="O990:P990">
    <cfRule type="expression" dxfId="2414" priority="2641">
      <formula>MOD(ROW(O990),2) = 0</formula>
    </cfRule>
  </conditionalFormatting>
  <conditionalFormatting sqref="O989:P989">
    <cfRule type="expression" dxfId="2413" priority="2640">
      <formula>MOD(ROW(O989),2) = 0</formula>
    </cfRule>
  </conditionalFormatting>
  <conditionalFormatting sqref="O988:P988">
    <cfRule type="expression" dxfId="2412" priority="2639">
      <formula>MOD(ROW(O988),2) = 0</formula>
    </cfRule>
  </conditionalFormatting>
  <conditionalFormatting sqref="O987:P987">
    <cfRule type="expression" dxfId="2411" priority="2638">
      <formula>MOD(ROW(O987),2) = 0</formula>
    </cfRule>
  </conditionalFormatting>
  <conditionalFormatting sqref="O986:P986">
    <cfRule type="expression" dxfId="2410" priority="2637">
      <formula>MOD(ROW(O986),2) = 0</formula>
    </cfRule>
  </conditionalFormatting>
  <conditionalFormatting sqref="O985:P985">
    <cfRule type="expression" dxfId="2409" priority="2636">
      <formula>MOD(ROW(O985),2) = 0</formula>
    </cfRule>
  </conditionalFormatting>
  <conditionalFormatting sqref="O984:P984">
    <cfRule type="expression" dxfId="2408" priority="2635">
      <formula>MOD(ROW(O984),2) = 0</formula>
    </cfRule>
  </conditionalFormatting>
  <conditionalFormatting sqref="O983:P983">
    <cfRule type="expression" dxfId="2407" priority="2634">
      <formula>MOD(ROW(O983),2) = 0</formula>
    </cfRule>
  </conditionalFormatting>
  <conditionalFormatting sqref="O982:P982">
    <cfRule type="expression" dxfId="2406" priority="2633">
      <formula>MOD(ROW(O982),2) = 0</formula>
    </cfRule>
  </conditionalFormatting>
  <conditionalFormatting sqref="O981:P981">
    <cfRule type="expression" dxfId="2405" priority="2632">
      <formula>MOD(ROW(O981),2) = 0</formula>
    </cfRule>
  </conditionalFormatting>
  <conditionalFormatting sqref="O980:P980">
    <cfRule type="expression" dxfId="2404" priority="2631">
      <formula>MOD(ROW(O980),2) = 0</formula>
    </cfRule>
  </conditionalFormatting>
  <conditionalFormatting sqref="O979:P979">
    <cfRule type="expression" dxfId="2403" priority="2630">
      <formula>MOD(ROW(O979),2) = 0</formula>
    </cfRule>
  </conditionalFormatting>
  <conditionalFormatting sqref="O978:P978">
    <cfRule type="expression" dxfId="2402" priority="2629">
      <formula>MOD(ROW(O978),2) = 0</formula>
    </cfRule>
  </conditionalFormatting>
  <conditionalFormatting sqref="O977:P977">
    <cfRule type="expression" dxfId="2401" priority="2628">
      <formula>MOD(ROW(O977),2) = 0</formula>
    </cfRule>
  </conditionalFormatting>
  <conditionalFormatting sqref="O976:P976">
    <cfRule type="expression" dxfId="2400" priority="2627">
      <formula>MOD(ROW(O976),2) = 0</formula>
    </cfRule>
  </conditionalFormatting>
  <conditionalFormatting sqref="O975:P975">
    <cfRule type="expression" dxfId="2399" priority="2626">
      <formula>MOD(ROW(O975),2) = 0</formula>
    </cfRule>
  </conditionalFormatting>
  <conditionalFormatting sqref="O974:P974">
    <cfRule type="expression" dxfId="2398" priority="2625">
      <formula>MOD(ROW(O974),2) = 0</formula>
    </cfRule>
  </conditionalFormatting>
  <conditionalFormatting sqref="O973:P973">
    <cfRule type="expression" dxfId="2397" priority="2624">
      <formula>MOD(ROW(O973),2) = 0</formula>
    </cfRule>
  </conditionalFormatting>
  <conditionalFormatting sqref="O972:P972">
    <cfRule type="expression" dxfId="2396" priority="2623">
      <formula>MOD(ROW(O972),2) = 0</formula>
    </cfRule>
  </conditionalFormatting>
  <conditionalFormatting sqref="O971:P971">
    <cfRule type="expression" dxfId="2395" priority="2622">
      <formula>MOD(ROW(O971),2) = 0</formula>
    </cfRule>
  </conditionalFormatting>
  <conditionalFormatting sqref="O970:P970">
    <cfRule type="expression" dxfId="2394" priority="2621">
      <formula>MOD(ROW(O970),2) = 0</formula>
    </cfRule>
  </conditionalFormatting>
  <conditionalFormatting sqref="O969:P969">
    <cfRule type="expression" dxfId="2393" priority="2620">
      <formula>MOD(ROW(O969),2) = 0</formula>
    </cfRule>
  </conditionalFormatting>
  <conditionalFormatting sqref="O968:P968">
    <cfRule type="expression" dxfId="2392" priority="2619">
      <formula>MOD(ROW(O968),2) = 0</formula>
    </cfRule>
  </conditionalFormatting>
  <conditionalFormatting sqref="O967:P967">
    <cfRule type="expression" dxfId="2391" priority="2618">
      <formula>MOD(ROW(O967),2) = 0</formula>
    </cfRule>
  </conditionalFormatting>
  <conditionalFormatting sqref="O966:P966">
    <cfRule type="expression" dxfId="2390" priority="2617">
      <formula>MOD(ROW(O966),2) = 0</formula>
    </cfRule>
  </conditionalFormatting>
  <conditionalFormatting sqref="O965:P965">
    <cfRule type="expression" dxfId="2389" priority="2616">
      <formula>MOD(ROW(O965),2) = 0</formula>
    </cfRule>
  </conditionalFormatting>
  <conditionalFormatting sqref="O964:P964">
    <cfRule type="expression" dxfId="2388" priority="2615">
      <formula>MOD(ROW(O964),2) = 0</formula>
    </cfRule>
  </conditionalFormatting>
  <conditionalFormatting sqref="O963:P963">
    <cfRule type="expression" dxfId="2387" priority="2614">
      <formula>MOD(ROW(O963),2) = 0</formula>
    </cfRule>
  </conditionalFormatting>
  <conditionalFormatting sqref="O962:P962">
    <cfRule type="expression" dxfId="2386" priority="2613">
      <formula>MOD(ROW(O962),2) = 0</formula>
    </cfRule>
  </conditionalFormatting>
  <conditionalFormatting sqref="O961:P961">
    <cfRule type="expression" dxfId="2385" priority="2612">
      <formula>MOD(ROW(O961),2) = 0</formula>
    </cfRule>
  </conditionalFormatting>
  <conditionalFormatting sqref="O960:P960">
    <cfRule type="expression" dxfId="2384" priority="2611">
      <formula>MOD(ROW(O960),2) = 0</formula>
    </cfRule>
  </conditionalFormatting>
  <conditionalFormatting sqref="O959:P959">
    <cfRule type="expression" dxfId="2383" priority="2610">
      <formula>MOD(ROW(O959),2) = 0</formula>
    </cfRule>
  </conditionalFormatting>
  <conditionalFormatting sqref="O958:P958">
    <cfRule type="expression" dxfId="2382" priority="2609">
      <formula>MOD(ROW(O958),2) = 0</formula>
    </cfRule>
  </conditionalFormatting>
  <conditionalFormatting sqref="O957:P957">
    <cfRule type="expression" dxfId="2381" priority="2608">
      <formula>MOD(ROW(O957),2) = 0</formula>
    </cfRule>
  </conditionalFormatting>
  <conditionalFormatting sqref="O956:P956">
    <cfRule type="expression" dxfId="2380" priority="2607">
      <formula>MOD(ROW(O956),2) = 0</formula>
    </cfRule>
  </conditionalFormatting>
  <conditionalFormatting sqref="O955:P955">
    <cfRule type="expression" dxfId="2379" priority="2606">
      <formula>MOD(ROW(O955),2) = 0</formula>
    </cfRule>
  </conditionalFormatting>
  <conditionalFormatting sqref="O954:P954">
    <cfRule type="expression" dxfId="2378" priority="2605">
      <formula>MOD(ROW(O954),2) = 0</formula>
    </cfRule>
  </conditionalFormatting>
  <conditionalFormatting sqref="O953:P953">
    <cfRule type="expression" dxfId="2377" priority="2604">
      <formula>MOD(ROW(O953),2) = 0</formula>
    </cfRule>
  </conditionalFormatting>
  <conditionalFormatting sqref="O952:P952">
    <cfRule type="expression" dxfId="2376" priority="2603">
      <formula>MOD(ROW(O952),2) = 0</formula>
    </cfRule>
  </conditionalFormatting>
  <conditionalFormatting sqref="O951:P951">
    <cfRule type="expression" dxfId="2375" priority="2602">
      <formula>MOD(ROW(O951),2) = 0</formula>
    </cfRule>
  </conditionalFormatting>
  <conditionalFormatting sqref="O950:P950">
    <cfRule type="expression" dxfId="2374" priority="2601">
      <formula>MOD(ROW(O950),2) = 0</formula>
    </cfRule>
  </conditionalFormatting>
  <conditionalFormatting sqref="O949:P949">
    <cfRule type="expression" dxfId="2373" priority="2600">
      <formula>MOD(ROW(O949),2) = 0</formula>
    </cfRule>
  </conditionalFormatting>
  <conditionalFormatting sqref="O948:P948">
    <cfRule type="expression" dxfId="2372" priority="2599">
      <formula>MOD(ROW(O948),2) = 0</formula>
    </cfRule>
  </conditionalFormatting>
  <conditionalFormatting sqref="O947:P947">
    <cfRule type="expression" dxfId="2371" priority="2598">
      <formula>MOD(ROW(O947),2) = 0</formula>
    </cfRule>
  </conditionalFormatting>
  <conditionalFormatting sqref="O946:P946">
    <cfRule type="expression" dxfId="2370" priority="2597">
      <formula>MOD(ROW(O946),2) = 0</formula>
    </cfRule>
  </conditionalFormatting>
  <conditionalFormatting sqref="O945:P945">
    <cfRule type="expression" dxfId="2369" priority="2596">
      <formula>MOD(ROW(O945),2) = 0</formula>
    </cfRule>
  </conditionalFormatting>
  <conditionalFormatting sqref="O944:P944">
    <cfRule type="expression" dxfId="2368" priority="2595">
      <formula>MOD(ROW(O944),2) = 0</formula>
    </cfRule>
  </conditionalFormatting>
  <conditionalFormatting sqref="O943:P943">
    <cfRule type="expression" dxfId="2367" priority="2594">
      <formula>MOD(ROW(O943),2) = 0</formula>
    </cfRule>
  </conditionalFormatting>
  <conditionalFormatting sqref="O942:P942">
    <cfRule type="expression" dxfId="2366" priority="2593">
      <formula>MOD(ROW(O942),2) = 0</formula>
    </cfRule>
  </conditionalFormatting>
  <conditionalFormatting sqref="O941:P941">
    <cfRule type="expression" dxfId="2365" priority="2592">
      <formula>MOD(ROW(O941),2) = 0</formula>
    </cfRule>
  </conditionalFormatting>
  <conditionalFormatting sqref="O940:P940">
    <cfRule type="expression" dxfId="2364" priority="2591">
      <formula>MOD(ROW(O940),2) = 0</formula>
    </cfRule>
  </conditionalFormatting>
  <conditionalFormatting sqref="O939:P939">
    <cfRule type="expression" dxfId="2363" priority="2590">
      <formula>MOD(ROW(O939),2) = 0</formula>
    </cfRule>
  </conditionalFormatting>
  <conditionalFormatting sqref="O938:P938">
    <cfRule type="expression" dxfId="2362" priority="2589">
      <formula>MOD(ROW(O938),2) = 0</formula>
    </cfRule>
  </conditionalFormatting>
  <conditionalFormatting sqref="O937:P937">
    <cfRule type="expression" dxfId="2361" priority="2588">
      <formula>MOD(ROW(O937),2) = 0</formula>
    </cfRule>
  </conditionalFormatting>
  <conditionalFormatting sqref="O936:P936">
    <cfRule type="expression" dxfId="2360" priority="2587">
      <formula>MOD(ROW(O936),2) = 0</formula>
    </cfRule>
  </conditionalFormatting>
  <conditionalFormatting sqref="O935:P935">
    <cfRule type="expression" dxfId="2359" priority="2586">
      <formula>MOD(ROW(O935),2) = 0</formula>
    </cfRule>
  </conditionalFormatting>
  <conditionalFormatting sqref="O934:P934">
    <cfRule type="expression" dxfId="2358" priority="2585">
      <formula>MOD(ROW(O934),2) = 0</formula>
    </cfRule>
  </conditionalFormatting>
  <conditionalFormatting sqref="O933:P933">
    <cfRule type="expression" dxfId="2357" priority="2584">
      <formula>MOD(ROW(O933),2) = 0</formula>
    </cfRule>
  </conditionalFormatting>
  <conditionalFormatting sqref="O932:P932">
    <cfRule type="expression" dxfId="2356" priority="2583">
      <formula>MOD(ROW(O932),2) = 0</formula>
    </cfRule>
  </conditionalFormatting>
  <conditionalFormatting sqref="O931:P931">
    <cfRule type="expression" dxfId="2355" priority="2582">
      <formula>MOD(ROW(O931),2) = 0</formula>
    </cfRule>
  </conditionalFormatting>
  <conditionalFormatting sqref="O930:P930">
    <cfRule type="expression" dxfId="2354" priority="2581">
      <formula>MOD(ROW(O930),2) = 0</formula>
    </cfRule>
  </conditionalFormatting>
  <conditionalFormatting sqref="O929:P929">
    <cfRule type="expression" dxfId="2353" priority="2580">
      <formula>MOD(ROW(O929),2) = 0</formula>
    </cfRule>
  </conditionalFormatting>
  <conditionalFormatting sqref="O928:P928">
    <cfRule type="expression" dxfId="2352" priority="2579">
      <formula>MOD(ROW(O928),2) = 0</formula>
    </cfRule>
  </conditionalFormatting>
  <conditionalFormatting sqref="O927:P927">
    <cfRule type="expression" dxfId="2351" priority="2578">
      <formula>MOD(ROW(O927),2) = 0</formula>
    </cfRule>
  </conditionalFormatting>
  <conditionalFormatting sqref="O926:P926">
    <cfRule type="expression" dxfId="2350" priority="2577">
      <formula>MOD(ROW(O926),2) = 0</formula>
    </cfRule>
  </conditionalFormatting>
  <conditionalFormatting sqref="O925:P925">
    <cfRule type="expression" dxfId="2349" priority="2576">
      <formula>MOD(ROW(O925),2) = 0</formula>
    </cfRule>
  </conditionalFormatting>
  <conditionalFormatting sqref="O924:P924">
    <cfRule type="expression" dxfId="2348" priority="2575">
      <formula>MOD(ROW(O924),2) = 0</formula>
    </cfRule>
  </conditionalFormatting>
  <conditionalFormatting sqref="O923:P923">
    <cfRule type="expression" dxfId="2347" priority="2574">
      <formula>MOD(ROW(O923),2) = 0</formula>
    </cfRule>
  </conditionalFormatting>
  <conditionalFormatting sqref="O922:P922">
    <cfRule type="expression" dxfId="2346" priority="2573">
      <formula>MOD(ROW(O922),2) = 0</formula>
    </cfRule>
  </conditionalFormatting>
  <conditionalFormatting sqref="O921:P921">
    <cfRule type="expression" dxfId="2345" priority="2572">
      <formula>MOD(ROW(O921),2) = 0</formula>
    </cfRule>
  </conditionalFormatting>
  <conditionalFormatting sqref="O920:P920">
    <cfRule type="expression" dxfId="2344" priority="2571">
      <formula>MOD(ROW(O920),2) = 0</formula>
    </cfRule>
  </conditionalFormatting>
  <conditionalFormatting sqref="O919:P919">
    <cfRule type="expression" dxfId="2343" priority="2570">
      <formula>MOD(ROW(O919),2) = 0</formula>
    </cfRule>
  </conditionalFormatting>
  <conditionalFormatting sqref="O918:P918">
    <cfRule type="expression" dxfId="2342" priority="2569">
      <formula>MOD(ROW(O918),2) = 0</formula>
    </cfRule>
  </conditionalFormatting>
  <conditionalFormatting sqref="O917:P917">
    <cfRule type="expression" dxfId="2341" priority="2568">
      <formula>MOD(ROW(O917),2) = 0</formula>
    </cfRule>
  </conditionalFormatting>
  <conditionalFormatting sqref="O916:P916">
    <cfRule type="expression" dxfId="2340" priority="2567">
      <formula>MOD(ROW(O916),2) = 0</formula>
    </cfRule>
  </conditionalFormatting>
  <conditionalFormatting sqref="O915:P915">
    <cfRule type="expression" dxfId="2339" priority="2566">
      <formula>MOD(ROW(O915),2) = 0</formula>
    </cfRule>
  </conditionalFormatting>
  <conditionalFormatting sqref="O914:P914">
    <cfRule type="expression" dxfId="2338" priority="2565">
      <formula>MOD(ROW(O914),2) = 0</formula>
    </cfRule>
  </conditionalFormatting>
  <conditionalFormatting sqref="O913:P913">
    <cfRule type="expression" dxfId="2337" priority="2564">
      <formula>MOD(ROW(O913),2) = 0</formula>
    </cfRule>
  </conditionalFormatting>
  <conditionalFormatting sqref="O912:P912">
    <cfRule type="expression" dxfId="2336" priority="2563">
      <formula>MOD(ROW(O912),2) = 0</formula>
    </cfRule>
  </conditionalFormatting>
  <conditionalFormatting sqref="O911:P911">
    <cfRule type="expression" dxfId="2335" priority="2562">
      <formula>MOD(ROW(O911),2) = 0</formula>
    </cfRule>
  </conditionalFormatting>
  <conditionalFormatting sqref="O910:P910">
    <cfRule type="expression" dxfId="2334" priority="2561">
      <formula>MOD(ROW(O910),2) = 0</formula>
    </cfRule>
  </conditionalFormatting>
  <conditionalFormatting sqref="O909:P909">
    <cfRule type="expression" dxfId="2333" priority="2560">
      <formula>MOD(ROW(O909),2) = 0</formula>
    </cfRule>
  </conditionalFormatting>
  <conditionalFormatting sqref="O908:P908">
    <cfRule type="expression" dxfId="2332" priority="2559">
      <formula>MOD(ROW(O908),2) = 0</formula>
    </cfRule>
  </conditionalFormatting>
  <conditionalFormatting sqref="O907:P907">
    <cfRule type="expression" dxfId="2331" priority="2558">
      <formula>MOD(ROW(O907),2) = 0</formula>
    </cfRule>
  </conditionalFormatting>
  <conditionalFormatting sqref="O906:P906">
    <cfRule type="expression" dxfId="2330" priority="2557">
      <formula>MOD(ROW(O906),2) = 0</formula>
    </cfRule>
  </conditionalFormatting>
  <conditionalFormatting sqref="O905:P905">
    <cfRule type="expression" dxfId="2329" priority="2556">
      <formula>MOD(ROW(O905),2) = 0</formula>
    </cfRule>
  </conditionalFormatting>
  <conditionalFormatting sqref="O904:P904">
    <cfRule type="expression" dxfId="2328" priority="2555">
      <formula>MOD(ROW(O904),2) = 0</formula>
    </cfRule>
  </conditionalFormatting>
  <conditionalFormatting sqref="O903:P903">
    <cfRule type="expression" dxfId="2327" priority="2554">
      <formula>MOD(ROW(O903),2) = 0</formula>
    </cfRule>
  </conditionalFormatting>
  <conditionalFormatting sqref="O902:P902">
    <cfRule type="expression" dxfId="2326" priority="2553">
      <formula>MOD(ROW(O902),2) = 0</formula>
    </cfRule>
  </conditionalFormatting>
  <conditionalFormatting sqref="O901:P901">
    <cfRule type="expression" dxfId="2325" priority="2552">
      <formula>MOD(ROW(O901),2) = 0</formula>
    </cfRule>
  </conditionalFormatting>
  <conditionalFormatting sqref="O900:P900">
    <cfRule type="expression" dxfId="2324" priority="2551">
      <formula>MOD(ROW(O900),2) = 0</formula>
    </cfRule>
  </conditionalFormatting>
  <conditionalFormatting sqref="O899:P899">
    <cfRule type="expression" dxfId="2323" priority="2550">
      <formula>MOD(ROW(O899),2) = 0</formula>
    </cfRule>
  </conditionalFormatting>
  <conditionalFormatting sqref="O898:P898">
    <cfRule type="expression" dxfId="2322" priority="2549">
      <formula>MOD(ROW(O898),2) = 0</formula>
    </cfRule>
  </conditionalFormatting>
  <conditionalFormatting sqref="O897:P897">
    <cfRule type="expression" dxfId="2321" priority="2548">
      <formula>MOD(ROW(O897),2) = 0</formula>
    </cfRule>
  </conditionalFormatting>
  <conditionalFormatting sqref="O896:P896">
    <cfRule type="expression" dxfId="2320" priority="2547">
      <formula>MOD(ROW(O896),2) = 0</formula>
    </cfRule>
  </conditionalFormatting>
  <conditionalFormatting sqref="O895:P895">
    <cfRule type="expression" dxfId="2319" priority="2546">
      <formula>MOD(ROW(O895),2) = 0</formula>
    </cfRule>
  </conditionalFormatting>
  <conditionalFormatting sqref="O894:P894">
    <cfRule type="expression" dxfId="2318" priority="2545">
      <formula>MOD(ROW(O894),2) = 0</formula>
    </cfRule>
  </conditionalFormatting>
  <conditionalFormatting sqref="O893:P893">
    <cfRule type="expression" dxfId="2317" priority="2544">
      <formula>MOD(ROW(O893),2) = 0</formula>
    </cfRule>
  </conditionalFormatting>
  <conditionalFormatting sqref="O892:P892">
    <cfRule type="expression" dxfId="2316" priority="2543">
      <formula>MOD(ROW(O892),2) = 0</formula>
    </cfRule>
  </conditionalFormatting>
  <conditionalFormatting sqref="O891:P891">
    <cfRule type="expression" dxfId="2315" priority="2542">
      <formula>MOD(ROW(O891),2) = 0</formula>
    </cfRule>
  </conditionalFormatting>
  <conditionalFormatting sqref="O890:P890">
    <cfRule type="expression" dxfId="2314" priority="2541">
      <formula>MOD(ROW(O890),2) = 0</formula>
    </cfRule>
  </conditionalFormatting>
  <conditionalFormatting sqref="O889:P889">
    <cfRule type="expression" dxfId="2313" priority="2540">
      <formula>MOD(ROW(O889),2) = 0</formula>
    </cfRule>
  </conditionalFormatting>
  <conditionalFormatting sqref="O888:P888">
    <cfRule type="expression" dxfId="2312" priority="2539">
      <formula>MOD(ROW(O888),2) = 0</formula>
    </cfRule>
  </conditionalFormatting>
  <conditionalFormatting sqref="O887:P887">
    <cfRule type="expression" dxfId="2311" priority="2538">
      <formula>MOD(ROW(O887),2) = 0</formula>
    </cfRule>
  </conditionalFormatting>
  <conditionalFormatting sqref="O886:P886">
    <cfRule type="expression" dxfId="2310" priority="2537">
      <formula>MOD(ROW(O886),2) = 0</formula>
    </cfRule>
  </conditionalFormatting>
  <conditionalFormatting sqref="O885:P885">
    <cfRule type="expression" dxfId="2309" priority="2536">
      <formula>MOD(ROW(O885),2) = 0</formula>
    </cfRule>
  </conditionalFormatting>
  <conditionalFormatting sqref="O884:P884">
    <cfRule type="expression" dxfId="2308" priority="2535">
      <formula>MOD(ROW(O884),2) = 0</formula>
    </cfRule>
  </conditionalFormatting>
  <conditionalFormatting sqref="O883:P883">
    <cfRule type="expression" dxfId="2307" priority="2534">
      <formula>MOD(ROW(O883),2) = 0</formula>
    </cfRule>
  </conditionalFormatting>
  <conditionalFormatting sqref="O882:P882">
    <cfRule type="expression" dxfId="2306" priority="2533">
      <formula>MOD(ROW(O882),2) = 0</formula>
    </cfRule>
  </conditionalFormatting>
  <conditionalFormatting sqref="O881:P881">
    <cfRule type="expression" dxfId="2305" priority="2532">
      <formula>MOD(ROW(O881),2) = 0</formula>
    </cfRule>
  </conditionalFormatting>
  <conditionalFormatting sqref="O880:P880">
    <cfRule type="expression" dxfId="2304" priority="2531">
      <formula>MOD(ROW(O880),2) = 0</formula>
    </cfRule>
  </conditionalFormatting>
  <conditionalFormatting sqref="O879:P879">
    <cfRule type="expression" dxfId="2303" priority="2530">
      <formula>MOD(ROW(O879),2) = 0</formula>
    </cfRule>
  </conditionalFormatting>
  <conditionalFormatting sqref="O878:P878">
    <cfRule type="expression" dxfId="2302" priority="2529">
      <formula>MOD(ROW(O878),2) = 0</formula>
    </cfRule>
  </conditionalFormatting>
  <conditionalFormatting sqref="O877:P877">
    <cfRule type="expression" dxfId="2301" priority="2528">
      <formula>MOD(ROW(O877),2) = 0</formula>
    </cfRule>
  </conditionalFormatting>
  <conditionalFormatting sqref="O876:P876">
    <cfRule type="expression" dxfId="2300" priority="2527">
      <formula>MOD(ROW(O876),2) = 0</formula>
    </cfRule>
  </conditionalFormatting>
  <conditionalFormatting sqref="O875:P875">
    <cfRule type="expression" dxfId="2299" priority="2526">
      <formula>MOD(ROW(O875),2) = 0</formula>
    </cfRule>
  </conditionalFormatting>
  <conditionalFormatting sqref="O874:P874">
    <cfRule type="expression" dxfId="2298" priority="2525">
      <formula>MOD(ROW(O874),2) = 0</formula>
    </cfRule>
  </conditionalFormatting>
  <conditionalFormatting sqref="O873:P873">
    <cfRule type="expression" dxfId="2297" priority="2524">
      <formula>MOD(ROW(O873),2) = 0</formula>
    </cfRule>
  </conditionalFormatting>
  <conditionalFormatting sqref="O872:P872">
    <cfRule type="expression" dxfId="2296" priority="2523">
      <formula>MOD(ROW(O872),2) = 0</formula>
    </cfRule>
  </conditionalFormatting>
  <conditionalFormatting sqref="O871:P871">
    <cfRule type="expression" dxfId="2295" priority="2522">
      <formula>MOD(ROW(O871),2) = 0</formula>
    </cfRule>
  </conditionalFormatting>
  <conditionalFormatting sqref="O870:P870">
    <cfRule type="expression" dxfId="2294" priority="2521">
      <formula>MOD(ROW(O870),2) = 0</formula>
    </cfRule>
  </conditionalFormatting>
  <conditionalFormatting sqref="O869:P869">
    <cfRule type="expression" dxfId="2293" priority="2520">
      <formula>MOD(ROW(O869),2) = 0</formula>
    </cfRule>
  </conditionalFormatting>
  <conditionalFormatting sqref="O868:P868">
    <cfRule type="expression" dxfId="2292" priority="2519">
      <formula>MOD(ROW(O868),2) = 0</formula>
    </cfRule>
  </conditionalFormatting>
  <conditionalFormatting sqref="O867:P867">
    <cfRule type="expression" dxfId="2291" priority="2518">
      <formula>MOD(ROW(O867),2) = 0</formula>
    </cfRule>
  </conditionalFormatting>
  <conditionalFormatting sqref="O866:P866">
    <cfRule type="expression" dxfId="2290" priority="2517">
      <formula>MOD(ROW(O866),2) = 0</formula>
    </cfRule>
  </conditionalFormatting>
  <conditionalFormatting sqref="O865:P865">
    <cfRule type="expression" dxfId="2289" priority="2516">
      <formula>MOD(ROW(O865),2) = 0</formula>
    </cfRule>
  </conditionalFormatting>
  <conditionalFormatting sqref="O864:P864">
    <cfRule type="expression" dxfId="2288" priority="2515">
      <formula>MOD(ROW(O864),2) = 0</formula>
    </cfRule>
  </conditionalFormatting>
  <conditionalFormatting sqref="O863:P863">
    <cfRule type="expression" dxfId="2287" priority="2514">
      <formula>MOD(ROW(O863),2) = 0</formula>
    </cfRule>
  </conditionalFormatting>
  <conditionalFormatting sqref="O862:P862">
    <cfRule type="expression" dxfId="2286" priority="2513">
      <formula>MOD(ROW(O862),2) = 0</formula>
    </cfRule>
  </conditionalFormatting>
  <conditionalFormatting sqref="O861:P861">
    <cfRule type="expression" dxfId="2285" priority="2512">
      <formula>MOD(ROW(O861),2) = 0</formula>
    </cfRule>
  </conditionalFormatting>
  <conditionalFormatting sqref="O860:P860">
    <cfRule type="expression" dxfId="2284" priority="2511">
      <formula>MOD(ROW(O860),2) = 0</formula>
    </cfRule>
  </conditionalFormatting>
  <conditionalFormatting sqref="O859:P859">
    <cfRule type="expression" dxfId="2283" priority="2510">
      <formula>MOD(ROW(O859),2) = 0</formula>
    </cfRule>
  </conditionalFormatting>
  <conditionalFormatting sqref="O858:P858">
    <cfRule type="expression" dxfId="2282" priority="2509">
      <formula>MOD(ROW(O858),2) = 0</formula>
    </cfRule>
  </conditionalFormatting>
  <conditionalFormatting sqref="O857:P857">
    <cfRule type="expression" dxfId="2281" priority="2508">
      <formula>MOD(ROW(O857),2) = 0</formula>
    </cfRule>
  </conditionalFormatting>
  <conditionalFormatting sqref="O856:P856">
    <cfRule type="expression" dxfId="2280" priority="2507">
      <formula>MOD(ROW(O856),2) = 0</formula>
    </cfRule>
  </conditionalFormatting>
  <conditionalFormatting sqref="O855:P855">
    <cfRule type="expression" dxfId="2279" priority="2506">
      <formula>MOD(ROW(O855),2) = 0</formula>
    </cfRule>
  </conditionalFormatting>
  <conditionalFormatting sqref="O854:P854">
    <cfRule type="expression" dxfId="2278" priority="2505">
      <formula>MOD(ROW(O854),2) = 0</formula>
    </cfRule>
  </conditionalFormatting>
  <conditionalFormatting sqref="O853:P853">
    <cfRule type="expression" dxfId="2277" priority="2504">
      <formula>MOD(ROW(O853),2) = 0</formula>
    </cfRule>
  </conditionalFormatting>
  <conditionalFormatting sqref="O852:P852">
    <cfRule type="expression" dxfId="2276" priority="2503">
      <formula>MOD(ROW(O852),2) = 0</formula>
    </cfRule>
  </conditionalFormatting>
  <conditionalFormatting sqref="O851:P851">
    <cfRule type="expression" dxfId="2275" priority="2502">
      <formula>MOD(ROW(O851),2) = 0</formula>
    </cfRule>
  </conditionalFormatting>
  <conditionalFormatting sqref="O850:P850">
    <cfRule type="expression" dxfId="2274" priority="2501">
      <formula>MOD(ROW(O850),2) = 0</formula>
    </cfRule>
  </conditionalFormatting>
  <conditionalFormatting sqref="O849:P849">
    <cfRule type="expression" dxfId="2273" priority="2500">
      <formula>MOD(ROW(O849),2) = 0</formula>
    </cfRule>
  </conditionalFormatting>
  <conditionalFormatting sqref="O848:P848">
    <cfRule type="expression" dxfId="2272" priority="2499">
      <formula>MOD(ROW(O848),2) = 0</formula>
    </cfRule>
  </conditionalFormatting>
  <conditionalFormatting sqref="O847:P847">
    <cfRule type="expression" dxfId="2271" priority="2498">
      <formula>MOD(ROW(O847),2) = 0</formula>
    </cfRule>
  </conditionalFormatting>
  <conditionalFormatting sqref="O846:P846">
    <cfRule type="expression" dxfId="2270" priority="2497">
      <formula>MOD(ROW(O846),2) = 0</formula>
    </cfRule>
  </conditionalFormatting>
  <conditionalFormatting sqref="O845:P845">
    <cfRule type="expression" dxfId="2269" priority="2496">
      <formula>MOD(ROW(O845),2) = 0</formula>
    </cfRule>
  </conditionalFormatting>
  <conditionalFormatting sqref="O844:P844">
    <cfRule type="expression" dxfId="2268" priority="2495">
      <formula>MOD(ROW(O844),2) = 0</formula>
    </cfRule>
  </conditionalFormatting>
  <conditionalFormatting sqref="O843:P843">
    <cfRule type="expression" dxfId="2267" priority="2494">
      <formula>MOD(ROW(O843),2) = 0</formula>
    </cfRule>
  </conditionalFormatting>
  <conditionalFormatting sqref="O842:P842">
    <cfRule type="expression" dxfId="2266" priority="2493">
      <formula>MOD(ROW(O842),2) = 0</formula>
    </cfRule>
  </conditionalFormatting>
  <conditionalFormatting sqref="O841:P841">
    <cfRule type="expression" dxfId="2265" priority="2492">
      <formula>MOD(ROW(O841),2) = 0</formula>
    </cfRule>
  </conditionalFormatting>
  <conditionalFormatting sqref="O840:P840">
    <cfRule type="expression" dxfId="2264" priority="2491">
      <formula>MOD(ROW(O840),2) = 0</formula>
    </cfRule>
  </conditionalFormatting>
  <conditionalFormatting sqref="O839:P839">
    <cfRule type="expression" dxfId="2263" priority="2490">
      <formula>MOD(ROW(O839),2) = 0</formula>
    </cfRule>
  </conditionalFormatting>
  <conditionalFormatting sqref="O838:P838">
    <cfRule type="expression" dxfId="2262" priority="2489">
      <formula>MOD(ROW(O838),2) = 0</formula>
    </cfRule>
  </conditionalFormatting>
  <conditionalFormatting sqref="O837:P837">
    <cfRule type="expression" dxfId="2261" priority="2488">
      <formula>MOD(ROW(O837),2) = 0</formula>
    </cfRule>
  </conditionalFormatting>
  <conditionalFormatting sqref="O836:P836">
    <cfRule type="expression" dxfId="2260" priority="2487">
      <formula>MOD(ROW(O836),2) = 0</formula>
    </cfRule>
  </conditionalFormatting>
  <conditionalFormatting sqref="O835:P835">
    <cfRule type="expression" dxfId="2259" priority="2486">
      <formula>MOD(ROW(O835),2) = 0</formula>
    </cfRule>
  </conditionalFormatting>
  <conditionalFormatting sqref="O834:P834">
    <cfRule type="expression" dxfId="2258" priority="2485">
      <formula>MOD(ROW(O834),2) = 0</formula>
    </cfRule>
  </conditionalFormatting>
  <conditionalFormatting sqref="O833:P833">
    <cfRule type="expression" dxfId="2257" priority="2484">
      <formula>MOD(ROW(O833),2) = 0</formula>
    </cfRule>
  </conditionalFormatting>
  <conditionalFormatting sqref="O832:P832">
    <cfRule type="expression" dxfId="2256" priority="2483">
      <formula>MOD(ROW(O832),2) = 0</formula>
    </cfRule>
  </conditionalFormatting>
  <conditionalFormatting sqref="O831:P831">
    <cfRule type="expression" dxfId="2255" priority="2482">
      <formula>MOD(ROW(O831),2) = 0</formula>
    </cfRule>
  </conditionalFormatting>
  <conditionalFormatting sqref="O830:P830">
    <cfRule type="expression" dxfId="2254" priority="2481">
      <formula>MOD(ROW(O830),2) = 0</formula>
    </cfRule>
  </conditionalFormatting>
  <conditionalFormatting sqref="O829:P829">
    <cfRule type="expression" dxfId="2253" priority="2480">
      <formula>MOD(ROW(O829),2) = 0</formula>
    </cfRule>
  </conditionalFormatting>
  <conditionalFormatting sqref="O828:P828">
    <cfRule type="expression" dxfId="2252" priority="2479">
      <formula>MOD(ROW(O828),2) = 0</formula>
    </cfRule>
  </conditionalFormatting>
  <conditionalFormatting sqref="O827:P827">
    <cfRule type="expression" dxfId="2251" priority="2478">
      <formula>MOD(ROW(O827),2) = 0</formula>
    </cfRule>
  </conditionalFormatting>
  <conditionalFormatting sqref="O826:P826">
    <cfRule type="expression" dxfId="2250" priority="2477">
      <formula>MOD(ROW(O826),2) = 0</formula>
    </cfRule>
  </conditionalFormatting>
  <conditionalFormatting sqref="O825:P825">
    <cfRule type="expression" dxfId="2249" priority="2476">
      <formula>MOD(ROW(O825),2) = 0</formula>
    </cfRule>
  </conditionalFormatting>
  <conditionalFormatting sqref="O824:P824">
    <cfRule type="expression" dxfId="2248" priority="2475">
      <formula>MOD(ROW(O824),2) = 0</formula>
    </cfRule>
  </conditionalFormatting>
  <conditionalFormatting sqref="O823:P823">
    <cfRule type="expression" dxfId="2247" priority="2474">
      <formula>MOD(ROW(O823),2) = 0</formula>
    </cfRule>
  </conditionalFormatting>
  <conditionalFormatting sqref="O822:P822">
    <cfRule type="expression" dxfId="2246" priority="2473">
      <formula>MOD(ROW(O822),2) = 0</formula>
    </cfRule>
  </conditionalFormatting>
  <conditionalFormatting sqref="O821:P821">
    <cfRule type="expression" dxfId="2245" priority="2472">
      <formula>MOD(ROW(O821),2) = 0</formula>
    </cfRule>
  </conditionalFormatting>
  <conditionalFormatting sqref="O820:P820">
    <cfRule type="expression" dxfId="2244" priority="2471">
      <formula>MOD(ROW(O820),2) = 0</formula>
    </cfRule>
  </conditionalFormatting>
  <conditionalFormatting sqref="O819:P819">
    <cfRule type="expression" dxfId="2243" priority="2470">
      <formula>MOD(ROW(O819),2) = 0</formula>
    </cfRule>
  </conditionalFormatting>
  <conditionalFormatting sqref="O818:P818">
    <cfRule type="expression" dxfId="2242" priority="2469">
      <formula>MOD(ROW(O818),2) = 0</formula>
    </cfRule>
  </conditionalFormatting>
  <conditionalFormatting sqref="O817:P817">
    <cfRule type="expression" dxfId="2241" priority="2468">
      <formula>MOD(ROW(O817),2) = 0</formula>
    </cfRule>
  </conditionalFormatting>
  <conditionalFormatting sqref="O816:P816">
    <cfRule type="expression" dxfId="2240" priority="2467">
      <formula>MOD(ROW(O816),2) = 0</formula>
    </cfRule>
  </conditionalFormatting>
  <conditionalFormatting sqref="O815:P815">
    <cfRule type="expression" dxfId="2239" priority="2466">
      <formula>MOD(ROW(O815),2) = 0</formula>
    </cfRule>
  </conditionalFormatting>
  <conditionalFormatting sqref="O814:P814">
    <cfRule type="expression" dxfId="2238" priority="2465">
      <formula>MOD(ROW(O814),2) = 0</formula>
    </cfRule>
  </conditionalFormatting>
  <conditionalFormatting sqref="O813:P813">
    <cfRule type="expression" dxfId="2237" priority="2464">
      <formula>MOD(ROW(O813),2) = 0</formula>
    </cfRule>
  </conditionalFormatting>
  <conditionalFormatting sqref="O812:P812">
    <cfRule type="expression" dxfId="2236" priority="2463">
      <formula>MOD(ROW(O812),2) = 0</formula>
    </cfRule>
  </conditionalFormatting>
  <conditionalFormatting sqref="O811:P811">
    <cfRule type="expression" dxfId="2235" priority="2462">
      <formula>MOD(ROW(O811),2) = 0</formula>
    </cfRule>
  </conditionalFormatting>
  <conditionalFormatting sqref="O810:P810">
    <cfRule type="expression" dxfId="2234" priority="2461">
      <formula>MOD(ROW(O810),2) = 0</formula>
    </cfRule>
  </conditionalFormatting>
  <conditionalFormatting sqref="O809:P809">
    <cfRule type="expression" dxfId="2233" priority="2460">
      <formula>MOD(ROW(O809),2) = 0</formula>
    </cfRule>
  </conditionalFormatting>
  <conditionalFormatting sqref="O808:P808">
    <cfRule type="expression" dxfId="2232" priority="2459">
      <formula>MOD(ROW(O808),2) = 0</formula>
    </cfRule>
  </conditionalFormatting>
  <conditionalFormatting sqref="O807:P807">
    <cfRule type="expression" dxfId="2231" priority="2458">
      <formula>MOD(ROW(O807),2) = 0</formula>
    </cfRule>
  </conditionalFormatting>
  <conditionalFormatting sqref="O806:P806">
    <cfRule type="expression" dxfId="2230" priority="2457">
      <formula>MOD(ROW(O806),2) = 0</formula>
    </cfRule>
  </conditionalFormatting>
  <conditionalFormatting sqref="O805:P805">
    <cfRule type="expression" dxfId="2229" priority="2456">
      <formula>MOD(ROW(O805),2) = 0</formula>
    </cfRule>
  </conditionalFormatting>
  <conditionalFormatting sqref="O804:P804">
    <cfRule type="expression" dxfId="2228" priority="2455">
      <formula>MOD(ROW(O804),2) = 0</formula>
    </cfRule>
  </conditionalFormatting>
  <conditionalFormatting sqref="O803:P803">
    <cfRule type="expression" dxfId="2227" priority="2454">
      <formula>MOD(ROW(O803),2) = 0</formula>
    </cfRule>
  </conditionalFormatting>
  <conditionalFormatting sqref="O802:P802">
    <cfRule type="expression" dxfId="2226" priority="2453">
      <formula>MOD(ROW(O802),2) = 0</formula>
    </cfRule>
  </conditionalFormatting>
  <conditionalFormatting sqref="O801:P801">
    <cfRule type="expression" dxfId="2225" priority="2452">
      <formula>MOD(ROW(O801),2) = 0</formula>
    </cfRule>
  </conditionalFormatting>
  <conditionalFormatting sqref="O800:P800">
    <cfRule type="expression" dxfId="2224" priority="2451">
      <formula>MOD(ROW(O800),2) = 0</formula>
    </cfRule>
  </conditionalFormatting>
  <conditionalFormatting sqref="O799:P799">
    <cfRule type="expression" dxfId="2223" priority="2450">
      <formula>MOD(ROW(O799),2) = 0</formula>
    </cfRule>
  </conditionalFormatting>
  <conditionalFormatting sqref="O798:P798">
    <cfRule type="expression" dxfId="2222" priority="2449">
      <formula>MOD(ROW(O798),2) = 0</formula>
    </cfRule>
  </conditionalFormatting>
  <conditionalFormatting sqref="O797:P797">
    <cfRule type="expression" dxfId="2221" priority="2448">
      <formula>MOD(ROW(O797),2) = 0</formula>
    </cfRule>
  </conditionalFormatting>
  <conditionalFormatting sqref="O796:P796">
    <cfRule type="expression" dxfId="2220" priority="2447">
      <formula>MOD(ROW(O796),2) = 0</formula>
    </cfRule>
  </conditionalFormatting>
  <conditionalFormatting sqref="O795:P795">
    <cfRule type="expression" dxfId="2219" priority="2446">
      <formula>MOD(ROW(O795),2) = 0</formula>
    </cfRule>
  </conditionalFormatting>
  <conditionalFormatting sqref="O794:P794">
    <cfRule type="expression" dxfId="2218" priority="2445">
      <formula>MOD(ROW(O794),2) = 0</formula>
    </cfRule>
  </conditionalFormatting>
  <conditionalFormatting sqref="O793:P793">
    <cfRule type="expression" dxfId="2217" priority="2444">
      <formula>MOD(ROW(O793),2) = 0</formula>
    </cfRule>
  </conditionalFormatting>
  <conditionalFormatting sqref="O792:P792">
    <cfRule type="expression" dxfId="2216" priority="2443">
      <formula>MOD(ROW(O792),2) = 0</formula>
    </cfRule>
  </conditionalFormatting>
  <conditionalFormatting sqref="O791:P791">
    <cfRule type="expression" dxfId="2215" priority="2442">
      <formula>MOD(ROW(O791),2) = 0</formula>
    </cfRule>
  </conditionalFormatting>
  <conditionalFormatting sqref="O790:P790">
    <cfRule type="expression" dxfId="2214" priority="2441">
      <formula>MOD(ROW(O790),2) = 0</formula>
    </cfRule>
  </conditionalFormatting>
  <conditionalFormatting sqref="O789:P789">
    <cfRule type="expression" dxfId="2213" priority="2440">
      <formula>MOD(ROW(O789),2) = 0</formula>
    </cfRule>
  </conditionalFormatting>
  <conditionalFormatting sqref="O788:P788">
    <cfRule type="expression" dxfId="2212" priority="2439">
      <formula>MOD(ROW(O788),2) = 0</formula>
    </cfRule>
  </conditionalFormatting>
  <conditionalFormatting sqref="O787:P787">
    <cfRule type="expression" dxfId="2211" priority="2438">
      <formula>MOD(ROW(O787),2) = 0</formula>
    </cfRule>
  </conditionalFormatting>
  <conditionalFormatting sqref="O786:P786">
    <cfRule type="expression" dxfId="2210" priority="2437">
      <formula>MOD(ROW(O786),2) = 0</formula>
    </cfRule>
  </conditionalFormatting>
  <conditionalFormatting sqref="O785:P785">
    <cfRule type="expression" dxfId="2209" priority="2436">
      <formula>MOD(ROW(O785),2) = 0</formula>
    </cfRule>
  </conditionalFormatting>
  <conditionalFormatting sqref="O784:P784">
    <cfRule type="expression" dxfId="2208" priority="2435">
      <formula>MOD(ROW(O784),2) = 0</formula>
    </cfRule>
  </conditionalFormatting>
  <conditionalFormatting sqref="O783:P783">
    <cfRule type="expression" dxfId="2207" priority="2434">
      <formula>MOD(ROW(O783),2) = 0</formula>
    </cfRule>
  </conditionalFormatting>
  <conditionalFormatting sqref="O782:P782">
    <cfRule type="expression" dxfId="2206" priority="2433">
      <formula>MOD(ROW(O782),2) = 0</formula>
    </cfRule>
  </conditionalFormatting>
  <conditionalFormatting sqref="O781:P781">
    <cfRule type="expression" dxfId="2205" priority="2432">
      <formula>MOD(ROW(O781),2) = 0</formula>
    </cfRule>
  </conditionalFormatting>
  <conditionalFormatting sqref="O780:P780">
    <cfRule type="expression" dxfId="2204" priority="2431">
      <formula>MOD(ROW(O780),2) = 0</formula>
    </cfRule>
  </conditionalFormatting>
  <conditionalFormatting sqref="O779:P779">
    <cfRule type="expression" dxfId="2203" priority="2430">
      <formula>MOD(ROW(O779),2) = 0</formula>
    </cfRule>
  </conditionalFormatting>
  <conditionalFormatting sqref="O778:P778">
    <cfRule type="expression" dxfId="2202" priority="2429">
      <formula>MOD(ROW(O778),2) = 0</formula>
    </cfRule>
  </conditionalFormatting>
  <conditionalFormatting sqref="O777:P777">
    <cfRule type="expression" dxfId="2201" priority="2428">
      <formula>MOD(ROW(O777),2) = 0</formula>
    </cfRule>
  </conditionalFormatting>
  <conditionalFormatting sqref="O776:P776">
    <cfRule type="expression" dxfId="2200" priority="2427">
      <formula>MOD(ROW(O776),2) = 0</formula>
    </cfRule>
  </conditionalFormatting>
  <conditionalFormatting sqref="O775:P775">
    <cfRule type="expression" dxfId="2199" priority="2426">
      <formula>MOD(ROW(O775),2) = 0</formula>
    </cfRule>
  </conditionalFormatting>
  <conditionalFormatting sqref="O774:P774">
    <cfRule type="expression" dxfId="2198" priority="2425">
      <formula>MOD(ROW(O774),2) = 0</formula>
    </cfRule>
  </conditionalFormatting>
  <conditionalFormatting sqref="O773:P773">
    <cfRule type="expression" dxfId="2197" priority="2424">
      <formula>MOD(ROW(O773),2) = 0</formula>
    </cfRule>
  </conditionalFormatting>
  <conditionalFormatting sqref="O772:P772">
    <cfRule type="expression" dxfId="2196" priority="2423">
      <formula>MOD(ROW(O772),2) = 0</formula>
    </cfRule>
  </conditionalFormatting>
  <conditionalFormatting sqref="O771:P771">
    <cfRule type="expression" dxfId="2195" priority="2422">
      <formula>MOD(ROW(O771),2) = 0</formula>
    </cfRule>
  </conditionalFormatting>
  <conditionalFormatting sqref="O770:P770">
    <cfRule type="expression" dxfId="2194" priority="2421">
      <formula>MOD(ROW(O770),2) = 0</formula>
    </cfRule>
  </conditionalFormatting>
  <conditionalFormatting sqref="O769:P769">
    <cfRule type="expression" dxfId="2193" priority="2420">
      <formula>MOD(ROW(O769),2) = 0</formula>
    </cfRule>
  </conditionalFormatting>
  <conditionalFormatting sqref="O768:P768">
    <cfRule type="expression" dxfId="2192" priority="2419">
      <formula>MOD(ROW(O768),2) = 0</formula>
    </cfRule>
  </conditionalFormatting>
  <conditionalFormatting sqref="O767:P767">
    <cfRule type="expression" dxfId="2191" priority="2418">
      <formula>MOD(ROW(O767),2) = 0</formula>
    </cfRule>
  </conditionalFormatting>
  <conditionalFormatting sqref="O766:P766">
    <cfRule type="expression" dxfId="2190" priority="2417">
      <formula>MOD(ROW(O766),2) = 0</formula>
    </cfRule>
  </conditionalFormatting>
  <conditionalFormatting sqref="O765:P765">
    <cfRule type="expression" dxfId="2189" priority="2416">
      <formula>MOD(ROW(O765),2) = 0</formula>
    </cfRule>
  </conditionalFormatting>
  <conditionalFormatting sqref="O764:P764">
    <cfRule type="expression" dxfId="2188" priority="2415">
      <formula>MOD(ROW(O764),2) = 0</formula>
    </cfRule>
  </conditionalFormatting>
  <conditionalFormatting sqref="O763:P763">
    <cfRule type="expression" dxfId="2187" priority="2414">
      <formula>MOD(ROW(O763),2) = 0</formula>
    </cfRule>
  </conditionalFormatting>
  <conditionalFormatting sqref="O762:P762">
    <cfRule type="expression" dxfId="2186" priority="2413">
      <formula>MOD(ROW(O762),2) = 0</formula>
    </cfRule>
  </conditionalFormatting>
  <conditionalFormatting sqref="O761:P761">
    <cfRule type="expression" dxfId="2185" priority="2412">
      <formula>MOD(ROW(O761),2) = 0</formula>
    </cfRule>
  </conditionalFormatting>
  <conditionalFormatting sqref="O760:P760">
    <cfRule type="expression" dxfId="2184" priority="2411">
      <formula>MOD(ROW(O760),2) = 0</formula>
    </cfRule>
  </conditionalFormatting>
  <conditionalFormatting sqref="O759:P759">
    <cfRule type="expression" dxfId="2183" priority="2410">
      <formula>MOD(ROW(O759),2) = 0</formula>
    </cfRule>
  </conditionalFormatting>
  <conditionalFormatting sqref="O758:P758">
    <cfRule type="expression" dxfId="2182" priority="2409">
      <formula>MOD(ROW(O758),2) = 0</formula>
    </cfRule>
  </conditionalFormatting>
  <conditionalFormatting sqref="O757:P757">
    <cfRule type="expression" dxfId="2181" priority="2408">
      <formula>MOD(ROW(O757),2) = 0</formula>
    </cfRule>
  </conditionalFormatting>
  <conditionalFormatting sqref="O756:P756">
    <cfRule type="expression" dxfId="2180" priority="2407">
      <formula>MOD(ROW(O756),2) = 0</formula>
    </cfRule>
  </conditionalFormatting>
  <conditionalFormatting sqref="O755:P755">
    <cfRule type="expression" dxfId="2179" priority="2406">
      <formula>MOD(ROW(O755),2) = 0</formula>
    </cfRule>
  </conditionalFormatting>
  <conditionalFormatting sqref="O754:P754">
    <cfRule type="expression" dxfId="2178" priority="2405">
      <formula>MOD(ROW(O754),2) = 0</formula>
    </cfRule>
  </conditionalFormatting>
  <conditionalFormatting sqref="O753:P753">
    <cfRule type="expression" dxfId="2177" priority="2404">
      <formula>MOD(ROW(O753),2) = 0</formula>
    </cfRule>
  </conditionalFormatting>
  <conditionalFormatting sqref="O752:P752">
    <cfRule type="expression" dxfId="2176" priority="2403">
      <formula>MOD(ROW(O752),2) = 0</formula>
    </cfRule>
  </conditionalFormatting>
  <conditionalFormatting sqref="O751:P751">
    <cfRule type="expression" dxfId="2175" priority="2402">
      <formula>MOD(ROW(O751),2) = 0</formula>
    </cfRule>
  </conditionalFormatting>
  <conditionalFormatting sqref="O750:P750">
    <cfRule type="expression" dxfId="2174" priority="2401">
      <formula>MOD(ROW(O750),2) = 0</formula>
    </cfRule>
  </conditionalFormatting>
  <conditionalFormatting sqref="O749:P749">
    <cfRule type="expression" dxfId="2173" priority="2400">
      <formula>MOD(ROW(O749),2) = 0</formula>
    </cfRule>
  </conditionalFormatting>
  <conditionalFormatting sqref="O748:P748">
    <cfRule type="expression" dxfId="2172" priority="2399">
      <formula>MOD(ROW(O748),2) = 0</formula>
    </cfRule>
  </conditionalFormatting>
  <conditionalFormatting sqref="O747:P747">
    <cfRule type="expression" dxfId="2171" priority="2398">
      <formula>MOD(ROW(O747),2) = 0</formula>
    </cfRule>
  </conditionalFormatting>
  <conditionalFormatting sqref="O746:P746">
    <cfRule type="expression" dxfId="2170" priority="2397">
      <formula>MOD(ROW(O746),2) = 0</formula>
    </cfRule>
  </conditionalFormatting>
  <conditionalFormatting sqref="O745:P745">
    <cfRule type="expression" dxfId="2169" priority="2396">
      <formula>MOD(ROW(O745),2) = 0</formula>
    </cfRule>
  </conditionalFormatting>
  <conditionalFormatting sqref="O744:P744">
    <cfRule type="expression" dxfId="2168" priority="2395">
      <formula>MOD(ROW(O744),2) = 0</formula>
    </cfRule>
  </conditionalFormatting>
  <conditionalFormatting sqref="O743:P743">
    <cfRule type="expression" dxfId="2167" priority="2394">
      <formula>MOD(ROW(O743),2) = 0</formula>
    </cfRule>
  </conditionalFormatting>
  <conditionalFormatting sqref="O742:P742">
    <cfRule type="expression" dxfId="2166" priority="2393">
      <formula>MOD(ROW(O742),2) = 0</formula>
    </cfRule>
  </conditionalFormatting>
  <conditionalFormatting sqref="O741:P741">
    <cfRule type="expression" dxfId="2165" priority="2392">
      <formula>MOD(ROW(O741),2) = 0</formula>
    </cfRule>
  </conditionalFormatting>
  <conditionalFormatting sqref="O740:P740">
    <cfRule type="expression" dxfId="2164" priority="2391">
      <formula>MOD(ROW(O740),2) = 0</formula>
    </cfRule>
  </conditionalFormatting>
  <conditionalFormatting sqref="O739:P739">
    <cfRule type="expression" dxfId="2163" priority="2390">
      <formula>MOD(ROW(O739),2) = 0</formula>
    </cfRule>
  </conditionalFormatting>
  <conditionalFormatting sqref="O738:P738">
    <cfRule type="expression" dxfId="2162" priority="2389">
      <formula>MOD(ROW(O738),2) = 0</formula>
    </cfRule>
  </conditionalFormatting>
  <conditionalFormatting sqref="O737:P737">
    <cfRule type="expression" dxfId="2161" priority="2388">
      <formula>MOD(ROW(O737),2) = 0</formula>
    </cfRule>
  </conditionalFormatting>
  <conditionalFormatting sqref="O736:P736">
    <cfRule type="expression" dxfId="2160" priority="2387">
      <formula>MOD(ROW(O736),2) = 0</formula>
    </cfRule>
  </conditionalFormatting>
  <conditionalFormatting sqref="O735:P735">
    <cfRule type="expression" dxfId="2159" priority="2386">
      <formula>MOD(ROW(O735),2) = 0</formula>
    </cfRule>
  </conditionalFormatting>
  <conditionalFormatting sqref="O734:P734">
    <cfRule type="expression" dxfId="2158" priority="2385">
      <formula>MOD(ROW(O734),2) = 0</formula>
    </cfRule>
  </conditionalFormatting>
  <conditionalFormatting sqref="O733:P733">
    <cfRule type="expression" dxfId="2157" priority="2384">
      <formula>MOD(ROW(O733),2) = 0</formula>
    </cfRule>
  </conditionalFormatting>
  <conditionalFormatting sqref="O732:P732">
    <cfRule type="expression" dxfId="2156" priority="2383">
      <formula>MOD(ROW(O732),2) = 0</formula>
    </cfRule>
  </conditionalFormatting>
  <conditionalFormatting sqref="O731:P731">
    <cfRule type="expression" dxfId="2155" priority="2382">
      <formula>MOD(ROW(O731),2) = 0</formula>
    </cfRule>
  </conditionalFormatting>
  <conditionalFormatting sqref="O730:P730">
    <cfRule type="expression" dxfId="2154" priority="2381">
      <formula>MOD(ROW(O730),2) = 0</formula>
    </cfRule>
  </conditionalFormatting>
  <conditionalFormatting sqref="O729:P729">
    <cfRule type="expression" dxfId="2153" priority="2380">
      <formula>MOD(ROW(O729),2) = 0</formula>
    </cfRule>
  </conditionalFormatting>
  <conditionalFormatting sqref="O728:P728">
    <cfRule type="expression" dxfId="2152" priority="2379">
      <formula>MOD(ROW(O728),2) = 0</formula>
    </cfRule>
  </conditionalFormatting>
  <conditionalFormatting sqref="O727:P727">
    <cfRule type="expression" dxfId="2151" priority="2378">
      <formula>MOD(ROW(O727),2) = 0</formula>
    </cfRule>
  </conditionalFormatting>
  <conditionalFormatting sqref="O726:P726">
    <cfRule type="expression" dxfId="2150" priority="2377">
      <formula>MOD(ROW(O726),2) = 0</formula>
    </cfRule>
  </conditionalFormatting>
  <conditionalFormatting sqref="O725:P725">
    <cfRule type="expression" dxfId="2149" priority="2376">
      <formula>MOD(ROW(O725),2) = 0</formula>
    </cfRule>
  </conditionalFormatting>
  <conditionalFormatting sqref="O724:P724">
    <cfRule type="expression" dxfId="2148" priority="2375">
      <formula>MOD(ROW(O724),2) = 0</formula>
    </cfRule>
  </conditionalFormatting>
  <conditionalFormatting sqref="O723:P723">
    <cfRule type="expression" dxfId="2147" priority="2374">
      <formula>MOD(ROW(O723),2) = 0</formula>
    </cfRule>
  </conditionalFormatting>
  <conditionalFormatting sqref="O722:P722">
    <cfRule type="expression" dxfId="2146" priority="2373">
      <formula>MOD(ROW(O722),2) = 0</formula>
    </cfRule>
  </conditionalFormatting>
  <conditionalFormatting sqref="O721:P721">
    <cfRule type="expression" dxfId="2145" priority="2372">
      <formula>MOD(ROW(O721),2) = 0</formula>
    </cfRule>
  </conditionalFormatting>
  <conditionalFormatting sqref="O720:P720">
    <cfRule type="expression" dxfId="2144" priority="2371">
      <formula>MOD(ROW(O720),2) = 0</formula>
    </cfRule>
  </conditionalFormatting>
  <conditionalFormatting sqref="O719:P719">
    <cfRule type="expression" dxfId="2143" priority="2370">
      <formula>MOD(ROW(O719),2) = 0</formula>
    </cfRule>
  </conditionalFormatting>
  <conditionalFormatting sqref="O718:P718">
    <cfRule type="expression" dxfId="2142" priority="2369">
      <formula>MOD(ROW(O718),2) = 0</formula>
    </cfRule>
  </conditionalFormatting>
  <conditionalFormatting sqref="O717:P717">
    <cfRule type="expression" dxfId="2141" priority="2368">
      <formula>MOD(ROW(O717),2) = 0</formula>
    </cfRule>
  </conditionalFormatting>
  <conditionalFormatting sqref="O716:P716">
    <cfRule type="expression" dxfId="2140" priority="2367">
      <formula>MOD(ROW(O716),2) = 0</formula>
    </cfRule>
  </conditionalFormatting>
  <conditionalFormatting sqref="O715:P715">
    <cfRule type="expression" dxfId="2139" priority="2366">
      <formula>MOD(ROW(O715),2) = 0</formula>
    </cfRule>
  </conditionalFormatting>
  <conditionalFormatting sqref="O714:P714">
    <cfRule type="expression" dxfId="2138" priority="2365">
      <formula>MOD(ROW(O714),2) = 0</formula>
    </cfRule>
  </conditionalFormatting>
  <conditionalFormatting sqref="O713:P713">
    <cfRule type="expression" dxfId="2137" priority="2364">
      <formula>MOD(ROW(O713),2) = 0</formula>
    </cfRule>
  </conditionalFormatting>
  <conditionalFormatting sqref="O712:P712">
    <cfRule type="expression" dxfId="2136" priority="2363">
      <formula>MOD(ROW(O712),2) = 0</formula>
    </cfRule>
  </conditionalFormatting>
  <conditionalFormatting sqref="O711:P711">
    <cfRule type="expression" dxfId="2135" priority="2362">
      <formula>MOD(ROW(O711),2) = 0</formula>
    </cfRule>
  </conditionalFormatting>
  <conditionalFormatting sqref="O710:P710">
    <cfRule type="expression" dxfId="2134" priority="2361">
      <formula>MOD(ROW(O710),2) = 0</formula>
    </cfRule>
  </conditionalFormatting>
  <conditionalFormatting sqref="O709:P709">
    <cfRule type="expression" dxfId="2133" priority="2360">
      <formula>MOD(ROW(O709),2) = 0</formula>
    </cfRule>
  </conditionalFormatting>
  <conditionalFormatting sqref="O708:P708">
    <cfRule type="expression" dxfId="2132" priority="2359">
      <formula>MOD(ROW(O708),2) = 0</formula>
    </cfRule>
  </conditionalFormatting>
  <conditionalFormatting sqref="O707:P707">
    <cfRule type="expression" dxfId="2131" priority="2358">
      <formula>MOD(ROW(O707),2) = 0</formula>
    </cfRule>
  </conditionalFormatting>
  <conditionalFormatting sqref="O706:P706">
    <cfRule type="expression" dxfId="2130" priority="2357">
      <formula>MOD(ROW(O706),2) = 0</formula>
    </cfRule>
  </conditionalFormatting>
  <conditionalFormatting sqref="O705:P705">
    <cfRule type="expression" dxfId="2129" priority="2356">
      <formula>MOD(ROW(O705),2) = 0</formula>
    </cfRule>
  </conditionalFormatting>
  <conditionalFormatting sqref="O704:P704">
    <cfRule type="expression" dxfId="2128" priority="2355">
      <formula>MOD(ROW(O704),2) = 0</formula>
    </cfRule>
  </conditionalFormatting>
  <conditionalFormatting sqref="O703:P703">
    <cfRule type="expression" dxfId="2127" priority="2354">
      <formula>MOD(ROW(O703),2) = 0</formula>
    </cfRule>
  </conditionalFormatting>
  <conditionalFormatting sqref="O702:P702">
    <cfRule type="expression" dxfId="2126" priority="2353">
      <formula>MOD(ROW(O702),2) = 0</formula>
    </cfRule>
  </conditionalFormatting>
  <conditionalFormatting sqref="O701:P701">
    <cfRule type="expression" dxfId="2125" priority="2352">
      <formula>MOD(ROW(O701),2) = 0</formula>
    </cfRule>
  </conditionalFormatting>
  <conditionalFormatting sqref="O700:P700">
    <cfRule type="expression" dxfId="2124" priority="2351">
      <formula>MOD(ROW(O700),2) = 0</formula>
    </cfRule>
  </conditionalFormatting>
  <conditionalFormatting sqref="O699:P699">
    <cfRule type="expression" dxfId="2123" priority="2350">
      <formula>MOD(ROW(O699),2) = 0</formula>
    </cfRule>
  </conditionalFormatting>
  <conditionalFormatting sqref="O698:P698">
    <cfRule type="expression" dxfId="2122" priority="2349">
      <formula>MOD(ROW(O698),2) = 0</formula>
    </cfRule>
  </conditionalFormatting>
  <conditionalFormatting sqref="O697:P697">
    <cfRule type="expression" dxfId="2121" priority="2348">
      <formula>MOD(ROW(O697),2) = 0</formula>
    </cfRule>
  </conditionalFormatting>
  <conditionalFormatting sqref="O696:P696">
    <cfRule type="expression" dxfId="2120" priority="2347">
      <formula>MOD(ROW(O696),2) = 0</formula>
    </cfRule>
  </conditionalFormatting>
  <conditionalFormatting sqref="O695:P695">
    <cfRule type="expression" dxfId="2119" priority="2346">
      <formula>MOD(ROW(O695),2) = 0</formula>
    </cfRule>
  </conditionalFormatting>
  <conditionalFormatting sqref="O694:P694">
    <cfRule type="expression" dxfId="2118" priority="2345">
      <formula>MOD(ROW(O694),2) = 0</formula>
    </cfRule>
  </conditionalFormatting>
  <conditionalFormatting sqref="O693:P693">
    <cfRule type="expression" dxfId="2117" priority="2343">
      <formula>MOD(ROW(O693),2) = 0</formula>
    </cfRule>
  </conditionalFormatting>
  <conditionalFormatting sqref="O692:P692">
    <cfRule type="expression" dxfId="2116" priority="2342">
      <formula>MOD(ROW(O692),2) = 0</formula>
    </cfRule>
  </conditionalFormatting>
  <conditionalFormatting sqref="O691:P691">
    <cfRule type="expression" dxfId="2115" priority="2341">
      <formula>MOD(ROW(O691),2) = 0</formula>
    </cfRule>
  </conditionalFormatting>
  <conditionalFormatting sqref="O690:P690">
    <cfRule type="expression" dxfId="2114" priority="2340">
      <formula>MOD(ROW(O690),2) = 0</formula>
    </cfRule>
  </conditionalFormatting>
  <conditionalFormatting sqref="O689:P689">
    <cfRule type="expression" dxfId="2113" priority="2339">
      <formula>MOD(ROW(O689),2) = 0</formula>
    </cfRule>
  </conditionalFormatting>
  <conditionalFormatting sqref="O688:P688">
    <cfRule type="expression" dxfId="2112" priority="2338">
      <formula>MOD(ROW(O688),2) = 0</formula>
    </cfRule>
  </conditionalFormatting>
  <conditionalFormatting sqref="O687:P687">
    <cfRule type="expression" dxfId="2111" priority="2337">
      <formula>MOD(ROW(O687),2) = 0</formula>
    </cfRule>
  </conditionalFormatting>
  <conditionalFormatting sqref="O686:P686">
    <cfRule type="expression" dxfId="2110" priority="2336">
      <formula>MOD(ROW(O686),2) = 0</formula>
    </cfRule>
  </conditionalFormatting>
  <conditionalFormatting sqref="O685:P685">
    <cfRule type="expression" dxfId="2109" priority="2335">
      <formula>MOD(ROW(O685),2) = 0</formula>
    </cfRule>
  </conditionalFormatting>
  <conditionalFormatting sqref="O684:P684">
    <cfRule type="expression" dxfId="2108" priority="2334">
      <formula>MOD(ROW(O684),2) = 0</formula>
    </cfRule>
  </conditionalFormatting>
  <conditionalFormatting sqref="O683:P683">
    <cfRule type="expression" dxfId="2107" priority="2333">
      <formula>MOD(ROW(O683),2) = 0</formula>
    </cfRule>
  </conditionalFormatting>
  <conditionalFormatting sqref="O682:P682">
    <cfRule type="expression" dxfId="2106" priority="2332">
      <formula>MOD(ROW(O682),2) = 0</formula>
    </cfRule>
  </conditionalFormatting>
  <conditionalFormatting sqref="O681:P681">
    <cfRule type="expression" dxfId="2105" priority="2331">
      <formula>MOD(ROW(O681),2) = 0</formula>
    </cfRule>
  </conditionalFormatting>
  <conditionalFormatting sqref="O680:P680">
    <cfRule type="expression" dxfId="2104" priority="2330">
      <formula>MOD(ROW(O680),2) = 0</formula>
    </cfRule>
  </conditionalFormatting>
  <conditionalFormatting sqref="O679:P679">
    <cfRule type="expression" dxfId="2103" priority="2329">
      <formula>MOD(ROW(O679),2) = 0</formula>
    </cfRule>
  </conditionalFormatting>
  <conditionalFormatting sqref="O678:P678">
    <cfRule type="expression" dxfId="2102" priority="2328">
      <formula>MOD(ROW(O678),2) = 0</formula>
    </cfRule>
  </conditionalFormatting>
  <conditionalFormatting sqref="O677:P677">
    <cfRule type="expression" dxfId="2101" priority="2327">
      <formula>MOD(ROW(O677),2) = 0</formula>
    </cfRule>
  </conditionalFormatting>
  <conditionalFormatting sqref="O676:P676">
    <cfRule type="expression" dxfId="2100" priority="2326">
      <formula>MOD(ROW(O676),2) = 0</formula>
    </cfRule>
  </conditionalFormatting>
  <conditionalFormatting sqref="O675:P675">
    <cfRule type="expression" dxfId="2099" priority="2325">
      <formula>MOD(ROW(O675),2) = 0</formula>
    </cfRule>
  </conditionalFormatting>
  <conditionalFormatting sqref="O674:P674">
    <cfRule type="expression" dxfId="2098" priority="2324">
      <formula>MOD(ROW(O674),2) = 0</formula>
    </cfRule>
  </conditionalFormatting>
  <conditionalFormatting sqref="O673:P673">
    <cfRule type="expression" dxfId="2097" priority="2323">
      <formula>MOD(ROW(O673),2) = 0</formula>
    </cfRule>
  </conditionalFormatting>
  <conditionalFormatting sqref="O672:P672">
    <cfRule type="expression" dxfId="2096" priority="2322">
      <formula>MOD(ROW(O672),2) = 0</formula>
    </cfRule>
  </conditionalFormatting>
  <conditionalFormatting sqref="O671:P671">
    <cfRule type="expression" dxfId="2095" priority="2321">
      <formula>MOD(ROW(O671),2) = 0</formula>
    </cfRule>
  </conditionalFormatting>
  <conditionalFormatting sqref="O670:P670">
    <cfRule type="expression" dxfId="2094" priority="2320">
      <formula>MOD(ROW(O670),2) = 0</formula>
    </cfRule>
  </conditionalFormatting>
  <conditionalFormatting sqref="O669:P669">
    <cfRule type="expression" dxfId="2093" priority="2319">
      <formula>MOD(ROW(O669),2) = 0</formula>
    </cfRule>
  </conditionalFormatting>
  <conditionalFormatting sqref="O668:P668">
    <cfRule type="expression" dxfId="2092" priority="2318">
      <formula>MOD(ROW(O668),2) = 0</formula>
    </cfRule>
  </conditionalFormatting>
  <conditionalFormatting sqref="O667:P667">
    <cfRule type="expression" dxfId="2091" priority="2317">
      <formula>MOD(ROW(O667),2) = 0</formula>
    </cfRule>
  </conditionalFormatting>
  <conditionalFormatting sqref="O666:P666">
    <cfRule type="expression" dxfId="2090" priority="2316">
      <formula>MOD(ROW(O666),2) = 0</formula>
    </cfRule>
  </conditionalFormatting>
  <conditionalFormatting sqref="O665:P665">
    <cfRule type="expression" dxfId="2089" priority="2315">
      <formula>MOD(ROW(O665),2) = 0</formula>
    </cfRule>
  </conditionalFormatting>
  <conditionalFormatting sqref="O664:P664">
    <cfRule type="expression" dxfId="2088" priority="2314">
      <formula>MOD(ROW(O664),2) = 0</formula>
    </cfRule>
  </conditionalFormatting>
  <conditionalFormatting sqref="O663:P663">
    <cfRule type="expression" dxfId="2087" priority="2313">
      <formula>MOD(ROW(O663),2) = 0</formula>
    </cfRule>
  </conditionalFormatting>
  <conditionalFormatting sqref="O662:P662">
    <cfRule type="expression" dxfId="2086" priority="2312">
      <formula>MOD(ROW(O662),2) = 0</formula>
    </cfRule>
  </conditionalFormatting>
  <conditionalFormatting sqref="O661:P661">
    <cfRule type="expression" dxfId="2085" priority="2310">
      <formula>MOD(ROW(O661),2) = 0</formula>
    </cfRule>
  </conditionalFormatting>
  <conditionalFormatting sqref="O660:P660">
    <cfRule type="expression" dxfId="2084" priority="2309">
      <formula>MOD(ROW(O660),2) = 0</formula>
    </cfRule>
  </conditionalFormatting>
  <conditionalFormatting sqref="O659:P659">
    <cfRule type="expression" dxfId="2083" priority="2308">
      <formula>MOD(ROW(O659),2) = 0</formula>
    </cfRule>
  </conditionalFormatting>
  <conditionalFormatting sqref="O658:P658">
    <cfRule type="expression" dxfId="2082" priority="2307">
      <formula>MOD(ROW(O658),2) = 0</formula>
    </cfRule>
  </conditionalFormatting>
  <conditionalFormatting sqref="O657:P657">
    <cfRule type="expression" dxfId="2081" priority="2306">
      <formula>MOD(ROW(O657),2) = 0</formula>
    </cfRule>
  </conditionalFormatting>
  <conditionalFormatting sqref="O656:P656">
    <cfRule type="expression" dxfId="2080" priority="2305">
      <formula>MOD(ROW(O656),2) = 0</formula>
    </cfRule>
  </conditionalFormatting>
  <conditionalFormatting sqref="O655:P655">
    <cfRule type="expression" dxfId="2079" priority="2304">
      <formula>MOD(ROW(O655),2) = 0</formula>
    </cfRule>
  </conditionalFormatting>
  <conditionalFormatting sqref="O654:P654">
    <cfRule type="expression" dxfId="2078" priority="2303">
      <formula>MOD(ROW(O654),2) = 0</formula>
    </cfRule>
  </conditionalFormatting>
  <conditionalFormatting sqref="O653:P653">
    <cfRule type="expression" dxfId="2077" priority="2302">
      <formula>MOD(ROW(O653),2) = 0</formula>
    </cfRule>
  </conditionalFormatting>
  <conditionalFormatting sqref="O652:P652">
    <cfRule type="expression" dxfId="2076" priority="2301">
      <formula>MOD(ROW(O652),2) = 0</formula>
    </cfRule>
  </conditionalFormatting>
  <conditionalFormatting sqref="O651:P651">
    <cfRule type="expression" dxfId="2075" priority="2300">
      <formula>MOD(ROW(O651),2) = 0</formula>
    </cfRule>
  </conditionalFormatting>
  <conditionalFormatting sqref="O650:P650">
    <cfRule type="expression" dxfId="2074" priority="2299">
      <formula>MOD(ROW(O650),2) = 0</formula>
    </cfRule>
  </conditionalFormatting>
  <conditionalFormatting sqref="O649:P649">
    <cfRule type="expression" dxfId="2073" priority="2298">
      <formula>MOD(ROW(O649),2) = 0</formula>
    </cfRule>
  </conditionalFormatting>
  <conditionalFormatting sqref="O648:P648">
    <cfRule type="expression" dxfId="2072" priority="2297">
      <formula>MOD(ROW(O648),2) = 0</formula>
    </cfRule>
  </conditionalFormatting>
  <conditionalFormatting sqref="O647:P647">
    <cfRule type="expression" dxfId="2071" priority="2296">
      <formula>MOD(ROW(O647),2) = 0</formula>
    </cfRule>
  </conditionalFormatting>
  <conditionalFormatting sqref="O646:P646">
    <cfRule type="expression" dxfId="2070" priority="2295">
      <formula>MOD(ROW(O646),2) = 0</formula>
    </cfRule>
  </conditionalFormatting>
  <conditionalFormatting sqref="O645:P645">
    <cfRule type="expression" dxfId="2069" priority="2294">
      <formula>MOD(ROW(O645),2) = 0</formula>
    </cfRule>
  </conditionalFormatting>
  <conditionalFormatting sqref="O644:P644">
    <cfRule type="expression" dxfId="2068" priority="2293">
      <formula>MOD(ROW(O644),2) = 0</formula>
    </cfRule>
  </conditionalFormatting>
  <conditionalFormatting sqref="O643:P643">
    <cfRule type="expression" dxfId="2067" priority="2292">
      <formula>MOD(ROW(O643),2) = 0</formula>
    </cfRule>
  </conditionalFormatting>
  <conditionalFormatting sqref="O642:P642">
    <cfRule type="expression" dxfId="2066" priority="2291">
      <formula>MOD(ROW(O642),2) = 0</formula>
    </cfRule>
  </conditionalFormatting>
  <conditionalFormatting sqref="O641:P641">
    <cfRule type="expression" dxfId="2065" priority="2290">
      <formula>MOD(ROW(O641),2) = 0</formula>
    </cfRule>
  </conditionalFormatting>
  <conditionalFormatting sqref="O640:P640">
    <cfRule type="expression" dxfId="2064" priority="2289">
      <formula>MOD(ROW(O640),2) = 0</formula>
    </cfRule>
  </conditionalFormatting>
  <conditionalFormatting sqref="O639:P639">
    <cfRule type="expression" dxfId="2063" priority="2288">
      <formula>MOD(ROW(O639),2) = 0</formula>
    </cfRule>
  </conditionalFormatting>
  <conditionalFormatting sqref="O638:P638">
    <cfRule type="expression" dxfId="2062" priority="2287">
      <formula>MOD(ROW(O638),2) = 0</formula>
    </cfRule>
  </conditionalFormatting>
  <conditionalFormatting sqref="O637:P637">
    <cfRule type="expression" dxfId="2061" priority="2286">
      <formula>MOD(ROW(O637),2) = 0</formula>
    </cfRule>
  </conditionalFormatting>
  <conditionalFormatting sqref="O636:P636">
    <cfRule type="expression" dxfId="2060" priority="2285">
      <formula>MOD(ROW(O636),2) = 0</formula>
    </cfRule>
  </conditionalFormatting>
  <conditionalFormatting sqref="O635:P635">
    <cfRule type="expression" dxfId="2059" priority="2284">
      <formula>MOD(ROW(O635),2) = 0</formula>
    </cfRule>
  </conditionalFormatting>
  <conditionalFormatting sqref="O634:P634">
    <cfRule type="expression" dxfId="2058" priority="2283">
      <formula>MOD(ROW(O634),2) = 0</formula>
    </cfRule>
  </conditionalFormatting>
  <conditionalFormatting sqref="O633:P633">
    <cfRule type="expression" dxfId="2057" priority="2282">
      <formula>MOD(ROW(O633),2) = 0</formula>
    </cfRule>
  </conditionalFormatting>
  <conditionalFormatting sqref="O632:P632">
    <cfRule type="expression" dxfId="2056" priority="2281">
      <formula>MOD(ROW(O632),2) = 0</formula>
    </cfRule>
  </conditionalFormatting>
  <conditionalFormatting sqref="O631:P631">
    <cfRule type="expression" dxfId="2055" priority="2280">
      <formula>MOD(ROW(O631),2) = 0</formula>
    </cfRule>
  </conditionalFormatting>
  <conditionalFormatting sqref="O630:P630">
    <cfRule type="expression" dxfId="2054" priority="2279">
      <formula>MOD(ROW(O630),2) = 0</formula>
    </cfRule>
  </conditionalFormatting>
  <conditionalFormatting sqref="O629:P629">
    <cfRule type="expression" dxfId="2053" priority="2278">
      <formula>MOD(ROW(O629),2) = 0</formula>
    </cfRule>
  </conditionalFormatting>
  <conditionalFormatting sqref="O628:P628">
    <cfRule type="expression" dxfId="2052" priority="2277">
      <formula>MOD(ROW(O628),2) = 0</formula>
    </cfRule>
  </conditionalFormatting>
  <conditionalFormatting sqref="O627:P627">
    <cfRule type="expression" dxfId="2051" priority="2276">
      <formula>MOD(ROW(O627),2) = 0</formula>
    </cfRule>
  </conditionalFormatting>
  <conditionalFormatting sqref="O626:P626">
    <cfRule type="expression" dxfId="2050" priority="2275">
      <formula>MOD(ROW(O626),2) = 0</formula>
    </cfRule>
  </conditionalFormatting>
  <conditionalFormatting sqref="O625:P625">
    <cfRule type="expression" dxfId="2049" priority="2274">
      <formula>MOD(ROW(O625),2) = 0</formula>
    </cfRule>
  </conditionalFormatting>
  <conditionalFormatting sqref="O624:P624">
    <cfRule type="expression" dxfId="2048" priority="2273">
      <formula>MOD(ROW(O624),2) = 0</formula>
    </cfRule>
  </conditionalFormatting>
  <conditionalFormatting sqref="O623:P623">
    <cfRule type="expression" dxfId="2047" priority="2272">
      <formula>MOD(ROW(O623),2) = 0</formula>
    </cfRule>
  </conditionalFormatting>
  <conditionalFormatting sqref="O622:P622">
    <cfRule type="expression" dxfId="2046" priority="2271">
      <formula>MOD(ROW(O622),2) = 0</formula>
    </cfRule>
  </conditionalFormatting>
  <conditionalFormatting sqref="O621:P621">
    <cfRule type="expression" dxfId="2045" priority="2270">
      <formula>MOD(ROW(O621),2) = 0</formula>
    </cfRule>
  </conditionalFormatting>
  <conditionalFormatting sqref="O620:P620">
    <cfRule type="expression" dxfId="2044" priority="2269">
      <formula>MOD(ROW(O620),2) = 0</formula>
    </cfRule>
  </conditionalFormatting>
  <conditionalFormatting sqref="O619:P619">
    <cfRule type="expression" dxfId="2043" priority="2268">
      <formula>MOD(ROW(O619),2) = 0</formula>
    </cfRule>
  </conditionalFormatting>
  <conditionalFormatting sqref="O618:P618">
    <cfRule type="expression" dxfId="2042" priority="2267">
      <formula>MOD(ROW(O618),2) = 0</formula>
    </cfRule>
  </conditionalFormatting>
  <conditionalFormatting sqref="O617:P617">
    <cfRule type="expression" dxfId="2041" priority="2266">
      <formula>MOD(ROW(O617),2) = 0</formula>
    </cfRule>
  </conditionalFormatting>
  <conditionalFormatting sqref="O616:P616">
    <cfRule type="expression" dxfId="2040" priority="2265">
      <formula>MOD(ROW(O616),2) = 0</formula>
    </cfRule>
  </conditionalFormatting>
  <conditionalFormatting sqref="O615:P615">
    <cfRule type="expression" dxfId="2039" priority="2264">
      <formula>MOD(ROW(O615),2) = 0</formula>
    </cfRule>
  </conditionalFormatting>
  <conditionalFormatting sqref="O614:P614">
    <cfRule type="expression" dxfId="2038" priority="2263">
      <formula>MOD(ROW(O614),2) = 0</formula>
    </cfRule>
  </conditionalFormatting>
  <conditionalFormatting sqref="O613:P613">
    <cfRule type="expression" dxfId="2037" priority="2262">
      <formula>MOD(ROW(O613),2) = 0</formula>
    </cfRule>
  </conditionalFormatting>
  <conditionalFormatting sqref="O612:P612">
    <cfRule type="expression" dxfId="2036" priority="2261">
      <formula>MOD(ROW(O612),2) = 0</formula>
    </cfRule>
  </conditionalFormatting>
  <conditionalFormatting sqref="O611:P611">
    <cfRule type="expression" dxfId="2035" priority="2260">
      <formula>MOD(ROW(O611),2) = 0</formula>
    </cfRule>
  </conditionalFormatting>
  <conditionalFormatting sqref="O610:P610">
    <cfRule type="expression" dxfId="2034" priority="2259">
      <formula>MOD(ROW(O610),2) = 0</formula>
    </cfRule>
  </conditionalFormatting>
  <conditionalFormatting sqref="O609:P609">
    <cfRule type="expression" dxfId="2033" priority="2258">
      <formula>MOD(ROW(O609),2) = 0</formula>
    </cfRule>
  </conditionalFormatting>
  <conditionalFormatting sqref="O608:P608">
    <cfRule type="expression" dxfId="2032" priority="2257">
      <formula>MOD(ROW(O608),2) = 0</formula>
    </cfRule>
  </conditionalFormatting>
  <conditionalFormatting sqref="O607:P607">
    <cfRule type="expression" dxfId="2031" priority="2256">
      <formula>MOD(ROW(O607),2) = 0</formula>
    </cfRule>
  </conditionalFormatting>
  <conditionalFormatting sqref="O606:P606">
    <cfRule type="expression" dxfId="2030" priority="2255">
      <formula>MOD(ROW(O606),2) = 0</formula>
    </cfRule>
  </conditionalFormatting>
  <conditionalFormatting sqref="O605:P605">
    <cfRule type="expression" dxfId="2029" priority="2254">
      <formula>MOD(ROW(O605),2) = 0</formula>
    </cfRule>
  </conditionalFormatting>
  <conditionalFormatting sqref="O604:P604">
    <cfRule type="expression" dxfId="2028" priority="2253">
      <formula>MOD(ROW(O604),2) = 0</formula>
    </cfRule>
  </conditionalFormatting>
  <conditionalFormatting sqref="O603:P603">
    <cfRule type="expression" dxfId="2027" priority="2252">
      <formula>MOD(ROW(O603),2) = 0</formula>
    </cfRule>
  </conditionalFormatting>
  <conditionalFormatting sqref="O602:P602">
    <cfRule type="expression" dxfId="2026" priority="2251">
      <formula>MOD(ROW(O602),2) = 0</formula>
    </cfRule>
  </conditionalFormatting>
  <conditionalFormatting sqref="O601:P601">
    <cfRule type="expression" dxfId="2025" priority="2250">
      <formula>MOD(ROW(O601),2) = 0</formula>
    </cfRule>
  </conditionalFormatting>
  <conditionalFormatting sqref="O600:P600">
    <cfRule type="expression" dxfId="2024" priority="2249">
      <formula>MOD(ROW(O600),2) = 0</formula>
    </cfRule>
  </conditionalFormatting>
  <conditionalFormatting sqref="O599:P599">
    <cfRule type="expression" dxfId="2023" priority="2248">
      <formula>MOD(ROW(O599),2) = 0</formula>
    </cfRule>
  </conditionalFormatting>
  <conditionalFormatting sqref="O598:P598">
    <cfRule type="expression" dxfId="2022" priority="2247">
      <formula>MOD(ROW(O598),2) = 0</formula>
    </cfRule>
  </conditionalFormatting>
  <conditionalFormatting sqref="O597:P597">
    <cfRule type="expression" dxfId="2021" priority="2246">
      <formula>MOD(ROW(O597),2) = 0</formula>
    </cfRule>
  </conditionalFormatting>
  <conditionalFormatting sqref="O596:P596">
    <cfRule type="expression" dxfId="2020" priority="2245">
      <formula>MOD(ROW(O596),2) = 0</formula>
    </cfRule>
  </conditionalFormatting>
  <conditionalFormatting sqref="O595:P595">
    <cfRule type="expression" dxfId="2019" priority="2244">
      <formula>MOD(ROW(O595),2) = 0</formula>
    </cfRule>
  </conditionalFormatting>
  <conditionalFormatting sqref="O594:P594">
    <cfRule type="expression" dxfId="2018" priority="2243">
      <formula>MOD(ROW(O594),2) = 0</formula>
    </cfRule>
  </conditionalFormatting>
  <conditionalFormatting sqref="O593:P593">
    <cfRule type="expression" dxfId="2017" priority="2242">
      <formula>MOD(ROW(O593),2) = 0</formula>
    </cfRule>
  </conditionalFormatting>
  <conditionalFormatting sqref="O592:P592">
    <cfRule type="expression" dxfId="2016" priority="2241">
      <formula>MOD(ROW(O592),2) = 0</formula>
    </cfRule>
  </conditionalFormatting>
  <conditionalFormatting sqref="O591:P591">
    <cfRule type="expression" dxfId="2015" priority="2240">
      <formula>MOD(ROW(O591),2) = 0</formula>
    </cfRule>
  </conditionalFormatting>
  <conditionalFormatting sqref="O590:P590">
    <cfRule type="expression" dxfId="2014" priority="2239">
      <formula>MOD(ROW(O590),2) = 0</formula>
    </cfRule>
  </conditionalFormatting>
  <conditionalFormatting sqref="O589:P589">
    <cfRule type="expression" dxfId="2013" priority="2238">
      <formula>MOD(ROW(O589),2) = 0</formula>
    </cfRule>
  </conditionalFormatting>
  <conditionalFormatting sqref="O588:P588">
    <cfRule type="expression" dxfId="2012" priority="2237">
      <formula>MOD(ROW(O588),2) = 0</formula>
    </cfRule>
  </conditionalFormatting>
  <conditionalFormatting sqref="O587:P587">
    <cfRule type="expression" dxfId="2011" priority="2236">
      <formula>MOD(ROW(O587),2) = 0</formula>
    </cfRule>
  </conditionalFormatting>
  <conditionalFormatting sqref="O586:P586">
    <cfRule type="expression" dxfId="2010" priority="2235">
      <formula>MOD(ROW(O586),2) = 0</formula>
    </cfRule>
  </conditionalFormatting>
  <conditionalFormatting sqref="O585:P585">
    <cfRule type="expression" dxfId="2009" priority="2234">
      <formula>MOD(ROW(O585),2) = 0</formula>
    </cfRule>
  </conditionalFormatting>
  <conditionalFormatting sqref="O584:P584">
    <cfRule type="expression" dxfId="2008" priority="2233">
      <formula>MOD(ROW(O584),2) = 0</formula>
    </cfRule>
  </conditionalFormatting>
  <conditionalFormatting sqref="O583:P583">
    <cfRule type="expression" dxfId="2007" priority="2232">
      <formula>MOD(ROW(O583),2) = 0</formula>
    </cfRule>
  </conditionalFormatting>
  <conditionalFormatting sqref="O582:P582">
    <cfRule type="expression" dxfId="2006" priority="2231">
      <formula>MOD(ROW(O582),2) = 0</formula>
    </cfRule>
  </conditionalFormatting>
  <conditionalFormatting sqref="O581:P581">
    <cfRule type="expression" dxfId="2005" priority="2230">
      <formula>MOD(ROW(O581),2) = 0</formula>
    </cfRule>
  </conditionalFormatting>
  <conditionalFormatting sqref="O580:P580">
    <cfRule type="expression" dxfId="2004" priority="2229">
      <formula>MOD(ROW(O580),2) = 0</formula>
    </cfRule>
  </conditionalFormatting>
  <conditionalFormatting sqref="O579:P579">
    <cfRule type="expression" dxfId="2003" priority="2228">
      <formula>MOD(ROW(O579),2) = 0</formula>
    </cfRule>
  </conditionalFormatting>
  <conditionalFormatting sqref="O578:P578">
    <cfRule type="expression" dxfId="2002" priority="2227">
      <formula>MOD(ROW(O578),2) = 0</formula>
    </cfRule>
  </conditionalFormatting>
  <conditionalFormatting sqref="O577:P577">
    <cfRule type="expression" dxfId="2001" priority="2226">
      <formula>MOD(ROW(O577),2) = 0</formula>
    </cfRule>
  </conditionalFormatting>
  <conditionalFormatting sqref="O576:P576">
    <cfRule type="expression" dxfId="2000" priority="2225">
      <formula>MOD(ROW(O576),2) = 0</formula>
    </cfRule>
  </conditionalFormatting>
  <conditionalFormatting sqref="O575:P575">
    <cfRule type="expression" dxfId="1999" priority="2224">
      <formula>MOD(ROW(O575),2) = 0</formula>
    </cfRule>
  </conditionalFormatting>
  <conditionalFormatting sqref="O574:P574">
    <cfRule type="expression" dxfId="1998" priority="2223">
      <formula>MOD(ROW(O574),2) = 0</formula>
    </cfRule>
  </conditionalFormatting>
  <conditionalFormatting sqref="O573:P573">
    <cfRule type="expression" dxfId="1997" priority="2221">
      <formula>MOD(ROW(O573),2) = 0</formula>
    </cfRule>
  </conditionalFormatting>
  <conditionalFormatting sqref="O572:P572">
    <cfRule type="expression" dxfId="1996" priority="2220">
      <formula>MOD(ROW(O572),2) = 0</formula>
    </cfRule>
  </conditionalFormatting>
  <conditionalFormatting sqref="O571:P571">
    <cfRule type="expression" dxfId="1995" priority="2219">
      <formula>MOD(ROW(O571),2) = 0</formula>
    </cfRule>
  </conditionalFormatting>
  <conditionalFormatting sqref="O570:P570">
    <cfRule type="expression" dxfId="1994" priority="2218">
      <formula>MOD(ROW(O570),2) = 0</formula>
    </cfRule>
  </conditionalFormatting>
  <conditionalFormatting sqref="O569:P569">
    <cfRule type="expression" dxfId="1993" priority="2217">
      <formula>MOD(ROW(O569),2) = 0</formula>
    </cfRule>
  </conditionalFormatting>
  <conditionalFormatting sqref="O568:P568">
    <cfRule type="expression" dxfId="1992" priority="2216">
      <formula>MOD(ROW(O568),2) = 0</formula>
    </cfRule>
  </conditionalFormatting>
  <conditionalFormatting sqref="O567:P567">
    <cfRule type="expression" dxfId="1991" priority="2215">
      <formula>MOD(ROW(O567),2) = 0</formula>
    </cfRule>
  </conditionalFormatting>
  <conditionalFormatting sqref="O566:P566">
    <cfRule type="expression" dxfId="1990" priority="2214">
      <formula>MOD(ROW(O566),2) = 0</formula>
    </cfRule>
  </conditionalFormatting>
  <conditionalFormatting sqref="O565:P565">
    <cfRule type="expression" dxfId="1989" priority="2213">
      <formula>MOD(ROW(O565),2) = 0</formula>
    </cfRule>
  </conditionalFormatting>
  <conditionalFormatting sqref="O564:P564">
    <cfRule type="expression" dxfId="1988" priority="2212">
      <formula>MOD(ROW(O564),2) = 0</formula>
    </cfRule>
  </conditionalFormatting>
  <conditionalFormatting sqref="O563:P563">
    <cfRule type="expression" dxfId="1987" priority="2211">
      <formula>MOD(ROW(O563),2) = 0</formula>
    </cfRule>
  </conditionalFormatting>
  <conditionalFormatting sqref="O562:P562">
    <cfRule type="expression" dxfId="1986" priority="2210">
      <formula>MOD(ROW(O562),2) = 0</formula>
    </cfRule>
  </conditionalFormatting>
  <conditionalFormatting sqref="O561:P561">
    <cfRule type="expression" dxfId="1985" priority="2209">
      <formula>MOD(ROW(O561),2) = 0</formula>
    </cfRule>
  </conditionalFormatting>
  <conditionalFormatting sqref="O560:P560">
    <cfRule type="expression" dxfId="1984" priority="2208">
      <formula>MOD(ROW(O560),2) = 0</formula>
    </cfRule>
  </conditionalFormatting>
  <conditionalFormatting sqref="O559:P559">
    <cfRule type="expression" dxfId="1983" priority="2207">
      <formula>MOD(ROW(O559),2) = 0</formula>
    </cfRule>
  </conditionalFormatting>
  <conditionalFormatting sqref="O558:P558">
    <cfRule type="expression" dxfId="1982" priority="2206">
      <formula>MOD(ROW(O558),2) = 0</formula>
    </cfRule>
  </conditionalFormatting>
  <conditionalFormatting sqref="O557:P557">
    <cfRule type="expression" dxfId="1981" priority="2205">
      <formula>MOD(ROW(O557),2) = 0</formula>
    </cfRule>
  </conditionalFormatting>
  <conditionalFormatting sqref="O556:P556">
    <cfRule type="expression" dxfId="1980" priority="2204">
      <formula>MOD(ROW(O556),2) = 0</formula>
    </cfRule>
  </conditionalFormatting>
  <conditionalFormatting sqref="O555:P555">
    <cfRule type="expression" dxfId="1979" priority="2203">
      <formula>MOD(ROW(O555),2) = 0</formula>
    </cfRule>
  </conditionalFormatting>
  <conditionalFormatting sqref="O554:P554">
    <cfRule type="expression" dxfId="1978" priority="2202">
      <formula>MOD(ROW(O554),2) = 0</formula>
    </cfRule>
  </conditionalFormatting>
  <conditionalFormatting sqref="O553:P553">
    <cfRule type="expression" dxfId="1977" priority="2201">
      <formula>MOD(ROW(O553),2) = 0</formula>
    </cfRule>
  </conditionalFormatting>
  <conditionalFormatting sqref="O552:P552">
    <cfRule type="expression" dxfId="1976" priority="2200">
      <formula>MOD(ROW(O552),2) = 0</formula>
    </cfRule>
  </conditionalFormatting>
  <conditionalFormatting sqref="O551:P551">
    <cfRule type="expression" dxfId="1975" priority="2199">
      <formula>MOD(ROW(O551),2) = 0</formula>
    </cfRule>
  </conditionalFormatting>
  <conditionalFormatting sqref="O550:P550">
    <cfRule type="expression" dxfId="1974" priority="2198">
      <formula>MOD(ROW(O550),2) = 0</formula>
    </cfRule>
  </conditionalFormatting>
  <conditionalFormatting sqref="O549:P549">
    <cfRule type="expression" dxfId="1973" priority="2197">
      <formula>MOD(ROW(O549),2) = 0</formula>
    </cfRule>
  </conditionalFormatting>
  <conditionalFormatting sqref="O548:P548">
    <cfRule type="expression" dxfId="1972" priority="2196">
      <formula>MOD(ROW(O548),2) = 0</formula>
    </cfRule>
  </conditionalFormatting>
  <conditionalFormatting sqref="O547:P547">
    <cfRule type="expression" dxfId="1971" priority="2195">
      <formula>MOD(ROW(O547),2) = 0</formula>
    </cfRule>
  </conditionalFormatting>
  <conditionalFormatting sqref="O546:P546">
    <cfRule type="expression" dxfId="1970" priority="2194">
      <formula>MOD(ROW(O546),2) = 0</formula>
    </cfRule>
  </conditionalFormatting>
  <conditionalFormatting sqref="O545:P545">
    <cfRule type="expression" dxfId="1969" priority="2193">
      <formula>MOD(ROW(O545),2) = 0</formula>
    </cfRule>
  </conditionalFormatting>
  <conditionalFormatting sqref="O544:P544">
    <cfRule type="expression" dxfId="1968" priority="2192">
      <formula>MOD(ROW(O544),2) = 0</formula>
    </cfRule>
  </conditionalFormatting>
  <conditionalFormatting sqref="O543:P543">
    <cfRule type="expression" dxfId="1967" priority="2191">
      <formula>MOD(ROW(O543),2) = 0</formula>
    </cfRule>
  </conditionalFormatting>
  <conditionalFormatting sqref="O542:P542">
    <cfRule type="expression" dxfId="1966" priority="2190">
      <formula>MOD(ROW(O542),2) = 0</formula>
    </cfRule>
  </conditionalFormatting>
  <conditionalFormatting sqref="O541:P541">
    <cfRule type="expression" dxfId="1965" priority="2189">
      <formula>MOD(ROW(O541),2) = 0</formula>
    </cfRule>
  </conditionalFormatting>
  <conditionalFormatting sqref="O540:P540">
    <cfRule type="expression" dxfId="1964" priority="2188">
      <formula>MOD(ROW(O540),2) = 0</formula>
    </cfRule>
  </conditionalFormatting>
  <conditionalFormatting sqref="O539:P539">
    <cfRule type="expression" dxfId="1963" priority="2187">
      <formula>MOD(ROW(O539),2) = 0</formula>
    </cfRule>
  </conditionalFormatting>
  <conditionalFormatting sqref="O538:P538">
    <cfRule type="expression" dxfId="1962" priority="2186">
      <formula>MOD(ROW(O538),2) = 0</formula>
    </cfRule>
  </conditionalFormatting>
  <conditionalFormatting sqref="O537:P537">
    <cfRule type="expression" dxfId="1961" priority="2185">
      <formula>MOD(ROW(O537),2) = 0</formula>
    </cfRule>
  </conditionalFormatting>
  <conditionalFormatting sqref="O536:P536">
    <cfRule type="expression" dxfId="1960" priority="2184">
      <formula>MOD(ROW(O536),2) = 0</formula>
    </cfRule>
  </conditionalFormatting>
  <conditionalFormatting sqref="O535:P535">
    <cfRule type="expression" dxfId="1959" priority="2183">
      <formula>MOD(ROW(O535),2) = 0</formula>
    </cfRule>
  </conditionalFormatting>
  <conditionalFormatting sqref="O534:P534">
    <cfRule type="expression" dxfId="1958" priority="2182">
      <formula>MOD(ROW(O534),2) = 0</formula>
    </cfRule>
  </conditionalFormatting>
  <conditionalFormatting sqref="O533:P533">
    <cfRule type="expression" dxfId="1957" priority="2181">
      <formula>MOD(ROW(O533),2) = 0</formula>
    </cfRule>
  </conditionalFormatting>
  <conditionalFormatting sqref="O532:P532">
    <cfRule type="expression" dxfId="1956" priority="2180">
      <formula>MOD(ROW(O532),2) = 0</formula>
    </cfRule>
  </conditionalFormatting>
  <conditionalFormatting sqref="O531:P531">
    <cfRule type="expression" dxfId="1955" priority="2179">
      <formula>MOD(ROW(O531),2) = 0</formula>
    </cfRule>
  </conditionalFormatting>
  <conditionalFormatting sqref="O530:P530">
    <cfRule type="expression" dxfId="1954" priority="2178">
      <formula>MOD(ROW(O530),2) = 0</formula>
    </cfRule>
  </conditionalFormatting>
  <conditionalFormatting sqref="O529:P529">
    <cfRule type="expression" dxfId="1953" priority="2177">
      <formula>MOD(ROW(O529),2) = 0</formula>
    </cfRule>
  </conditionalFormatting>
  <conditionalFormatting sqref="O528:P528">
    <cfRule type="expression" dxfId="1952" priority="2176">
      <formula>MOD(ROW(O528),2) = 0</formula>
    </cfRule>
  </conditionalFormatting>
  <conditionalFormatting sqref="O527:P527">
    <cfRule type="expression" dxfId="1951" priority="2175">
      <formula>MOD(ROW(O527),2) = 0</formula>
    </cfRule>
  </conditionalFormatting>
  <conditionalFormatting sqref="O526:P526">
    <cfRule type="expression" dxfId="1950" priority="2174">
      <formula>MOD(ROW(O526),2) = 0</formula>
    </cfRule>
  </conditionalFormatting>
  <conditionalFormatting sqref="O525:P525">
    <cfRule type="expression" dxfId="1949" priority="2173">
      <formula>MOD(ROW(O525),2) = 0</formula>
    </cfRule>
  </conditionalFormatting>
  <conditionalFormatting sqref="O524:P524">
    <cfRule type="expression" dxfId="1948" priority="2172">
      <formula>MOD(ROW(O524),2) = 0</formula>
    </cfRule>
  </conditionalFormatting>
  <conditionalFormatting sqref="O523:P523">
    <cfRule type="expression" dxfId="1947" priority="2171">
      <formula>MOD(ROW(O523),2) = 0</formula>
    </cfRule>
  </conditionalFormatting>
  <conditionalFormatting sqref="O522:P522">
    <cfRule type="expression" dxfId="1946" priority="2170">
      <formula>MOD(ROW(O522),2) = 0</formula>
    </cfRule>
  </conditionalFormatting>
  <conditionalFormatting sqref="O521:P521">
    <cfRule type="expression" dxfId="1945" priority="2169">
      <formula>MOD(ROW(O521),2) = 0</formula>
    </cfRule>
  </conditionalFormatting>
  <conditionalFormatting sqref="O520:P520">
    <cfRule type="expression" dxfId="1944" priority="2168">
      <formula>MOD(ROW(O520),2) = 0</formula>
    </cfRule>
  </conditionalFormatting>
  <conditionalFormatting sqref="O519:P519">
    <cfRule type="expression" dxfId="1943" priority="2167">
      <formula>MOD(ROW(O519),2) = 0</formula>
    </cfRule>
  </conditionalFormatting>
  <conditionalFormatting sqref="O518:P518">
    <cfRule type="expression" dxfId="1942" priority="2166">
      <formula>MOD(ROW(O518),2) = 0</formula>
    </cfRule>
  </conditionalFormatting>
  <conditionalFormatting sqref="O517:P517">
    <cfRule type="expression" dxfId="1941" priority="2165">
      <formula>MOD(ROW(O517),2) = 0</formula>
    </cfRule>
  </conditionalFormatting>
  <conditionalFormatting sqref="O516:P516">
    <cfRule type="expression" dxfId="1940" priority="2164">
      <formula>MOD(ROW(O516),2) = 0</formula>
    </cfRule>
  </conditionalFormatting>
  <conditionalFormatting sqref="O515:P515">
    <cfRule type="expression" dxfId="1939" priority="2163">
      <formula>MOD(ROW(O515),2) = 0</formula>
    </cfRule>
  </conditionalFormatting>
  <conditionalFormatting sqref="O514:P514">
    <cfRule type="expression" dxfId="1938" priority="2162">
      <formula>MOD(ROW(O514),2) = 0</formula>
    </cfRule>
  </conditionalFormatting>
  <conditionalFormatting sqref="O513:P513">
    <cfRule type="expression" dxfId="1937" priority="2161">
      <formula>MOD(ROW(O513),2) = 0</formula>
    </cfRule>
  </conditionalFormatting>
  <conditionalFormatting sqref="O512:P512">
    <cfRule type="expression" dxfId="1936" priority="2160">
      <formula>MOD(ROW(O512),2) = 0</formula>
    </cfRule>
  </conditionalFormatting>
  <conditionalFormatting sqref="O511:P511">
    <cfRule type="expression" dxfId="1935" priority="2159">
      <formula>MOD(ROW(O511),2) = 0</formula>
    </cfRule>
  </conditionalFormatting>
  <conditionalFormatting sqref="O510:P510">
    <cfRule type="expression" dxfId="1934" priority="2158">
      <formula>MOD(ROW(O510),2) = 0</formula>
    </cfRule>
  </conditionalFormatting>
  <conditionalFormatting sqref="O509:P509">
    <cfRule type="expression" dxfId="1933" priority="2157">
      <formula>MOD(ROW(O509),2) = 0</formula>
    </cfRule>
  </conditionalFormatting>
  <conditionalFormatting sqref="O508:P508">
    <cfRule type="expression" dxfId="1932" priority="2156">
      <formula>MOD(ROW(O508),2) = 0</formula>
    </cfRule>
  </conditionalFormatting>
  <conditionalFormatting sqref="O507:P507">
    <cfRule type="expression" dxfId="1931" priority="2155">
      <formula>MOD(ROW(O507),2) = 0</formula>
    </cfRule>
  </conditionalFormatting>
  <conditionalFormatting sqref="O506:P506">
    <cfRule type="expression" dxfId="1930" priority="2154">
      <formula>MOD(ROW(O506),2) = 0</formula>
    </cfRule>
  </conditionalFormatting>
  <conditionalFormatting sqref="O505:P505">
    <cfRule type="expression" dxfId="1929" priority="2153">
      <formula>MOD(ROW(O505),2) = 0</formula>
    </cfRule>
  </conditionalFormatting>
  <conditionalFormatting sqref="O504:P504">
    <cfRule type="expression" dxfId="1928" priority="2152">
      <formula>MOD(ROW(O504),2) = 0</formula>
    </cfRule>
  </conditionalFormatting>
  <conditionalFormatting sqref="O503:P503">
    <cfRule type="expression" dxfId="1927" priority="2151">
      <formula>MOD(ROW(O503),2) = 0</formula>
    </cfRule>
  </conditionalFormatting>
  <conditionalFormatting sqref="O502:P502">
    <cfRule type="expression" dxfId="1926" priority="2150">
      <formula>MOD(ROW(O502),2) = 0</formula>
    </cfRule>
  </conditionalFormatting>
  <conditionalFormatting sqref="O501:P501">
    <cfRule type="expression" dxfId="1925" priority="2149">
      <formula>MOD(ROW(O501),2) = 0</formula>
    </cfRule>
  </conditionalFormatting>
  <conditionalFormatting sqref="O500:P500">
    <cfRule type="expression" dxfId="1924" priority="2148">
      <formula>MOD(ROW(O500),2) = 0</formula>
    </cfRule>
  </conditionalFormatting>
  <conditionalFormatting sqref="O499:P499">
    <cfRule type="expression" dxfId="1923" priority="2147">
      <formula>MOD(ROW(O499),2) = 0</formula>
    </cfRule>
  </conditionalFormatting>
  <conditionalFormatting sqref="O498:P498">
    <cfRule type="expression" dxfId="1922" priority="2146">
      <formula>MOD(ROW(O498),2) = 0</formula>
    </cfRule>
  </conditionalFormatting>
  <conditionalFormatting sqref="O497:P497">
    <cfRule type="expression" dxfId="1921" priority="2145">
      <formula>MOD(ROW(O497),2) = 0</formula>
    </cfRule>
  </conditionalFormatting>
  <conditionalFormatting sqref="O496:P496">
    <cfRule type="expression" dxfId="1920" priority="2144">
      <formula>MOD(ROW(O496),2) = 0</formula>
    </cfRule>
  </conditionalFormatting>
  <conditionalFormatting sqref="O495:P495">
    <cfRule type="expression" dxfId="1919" priority="2143">
      <formula>MOD(ROW(O495),2) = 0</formula>
    </cfRule>
  </conditionalFormatting>
  <conditionalFormatting sqref="O494:P494">
    <cfRule type="expression" dxfId="1918" priority="2142">
      <formula>MOD(ROW(O494),2) = 0</formula>
    </cfRule>
  </conditionalFormatting>
  <conditionalFormatting sqref="O493:P493">
    <cfRule type="expression" dxfId="1917" priority="2141">
      <formula>MOD(ROW(O493),2) = 0</formula>
    </cfRule>
  </conditionalFormatting>
  <conditionalFormatting sqref="O492:P492">
    <cfRule type="expression" dxfId="1916" priority="2140">
      <formula>MOD(ROW(O492),2) = 0</formula>
    </cfRule>
  </conditionalFormatting>
  <conditionalFormatting sqref="O491:P491">
    <cfRule type="expression" dxfId="1915" priority="2139">
      <formula>MOD(ROW(O491),2) = 0</formula>
    </cfRule>
  </conditionalFormatting>
  <conditionalFormatting sqref="O490:P490">
    <cfRule type="expression" dxfId="1914" priority="2138">
      <formula>MOD(ROW(O490),2) = 0</formula>
    </cfRule>
  </conditionalFormatting>
  <conditionalFormatting sqref="O489:P489">
    <cfRule type="expression" dxfId="1913" priority="2137">
      <formula>MOD(ROW(O489),2) = 0</formula>
    </cfRule>
  </conditionalFormatting>
  <conditionalFormatting sqref="O488:P488">
    <cfRule type="expression" dxfId="1912" priority="2136">
      <formula>MOD(ROW(O488),2) = 0</formula>
    </cfRule>
  </conditionalFormatting>
  <conditionalFormatting sqref="O487:P487">
    <cfRule type="expression" dxfId="1911" priority="2135">
      <formula>MOD(ROW(O487),2) = 0</formula>
    </cfRule>
  </conditionalFormatting>
  <conditionalFormatting sqref="O486:P486">
    <cfRule type="expression" dxfId="1910" priority="2134">
      <formula>MOD(ROW(O486),2) = 0</formula>
    </cfRule>
  </conditionalFormatting>
  <conditionalFormatting sqref="O485:P485">
    <cfRule type="expression" dxfId="1909" priority="2133">
      <formula>MOD(ROW(O485),2) = 0</formula>
    </cfRule>
  </conditionalFormatting>
  <conditionalFormatting sqref="O484:P484">
    <cfRule type="expression" dxfId="1908" priority="2132">
      <formula>MOD(ROW(O484),2) = 0</formula>
    </cfRule>
  </conditionalFormatting>
  <conditionalFormatting sqref="O483:P483">
    <cfRule type="expression" dxfId="1907" priority="2131">
      <formula>MOD(ROW(O483),2) = 0</formula>
    </cfRule>
  </conditionalFormatting>
  <conditionalFormatting sqref="O482:P482">
    <cfRule type="expression" dxfId="1906" priority="2130">
      <formula>MOD(ROW(O482),2) = 0</formula>
    </cfRule>
  </conditionalFormatting>
  <conditionalFormatting sqref="O481:P481">
    <cfRule type="expression" dxfId="1905" priority="2129">
      <formula>MOD(ROW(O481),2) = 0</formula>
    </cfRule>
  </conditionalFormatting>
  <conditionalFormatting sqref="O480:P480">
    <cfRule type="expression" dxfId="1904" priority="2128">
      <formula>MOD(ROW(O480),2) = 0</formula>
    </cfRule>
  </conditionalFormatting>
  <conditionalFormatting sqref="O479:P479">
    <cfRule type="expression" dxfId="1903" priority="2127">
      <formula>MOD(ROW(O479),2) = 0</formula>
    </cfRule>
  </conditionalFormatting>
  <conditionalFormatting sqref="O478:P478">
    <cfRule type="expression" dxfId="1902" priority="2126">
      <formula>MOD(ROW(O478),2) = 0</formula>
    </cfRule>
  </conditionalFormatting>
  <conditionalFormatting sqref="O477:P477">
    <cfRule type="expression" dxfId="1901" priority="2125">
      <formula>MOD(ROW(O477),2) = 0</formula>
    </cfRule>
  </conditionalFormatting>
  <conditionalFormatting sqref="O476:P476">
    <cfRule type="expression" dxfId="1900" priority="2124">
      <formula>MOD(ROW(O476),2) = 0</formula>
    </cfRule>
  </conditionalFormatting>
  <conditionalFormatting sqref="O475:P475">
    <cfRule type="expression" dxfId="1899" priority="2123">
      <formula>MOD(ROW(O475),2) = 0</formula>
    </cfRule>
  </conditionalFormatting>
  <conditionalFormatting sqref="O474:P474">
    <cfRule type="expression" dxfId="1898" priority="2122">
      <formula>MOD(ROW(O474),2) = 0</formula>
    </cfRule>
  </conditionalFormatting>
  <conditionalFormatting sqref="O473:P473">
    <cfRule type="expression" dxfId="1897" priority="2121">
      <formula>MOD(ROW(O473),2) = 0</formula>
    </cfRule>
  </conditionalFormatting>
  <conditionalFormatting sqref="O472:P472">
    <cfRule type="expression" dxfId="1896" priority="2120">
      <formula>MOD(ROW(O472),2) = 0</formula>
    </cfRule>
  </conditionalFormatting>
  <conditionalFormatting sqref="O471:P471">
    <cfRule type="expression" dxfId="1895" priority="2119">
      <formula>MOD(ROW(O471),2) = 0</formula>
    </cfRule>
  </conditionalFormatting>
  <conditionalFormatting sqref="O470:P470">
    <cfRule type="expression" dxfId="1894" priority="2118">
      <formula>MOD(ROW(O470),2) = 0</formula>
    </cfRule>
  </conditionalFormatting>
  <conditionalFormatting sqref="O469:P469">
    <cfRule type="expression" dxfId="1893" priority="2117">
      <formula>MOD(ROW(O469),2) = 0</formula>
    </cfRule>
  </conditionalFormatting>
  <conditionalFormatting sqref="O468:P468">
    <cfRule type="expression" dxfId="1892" priority="2116">
      <formula>MOD(ROW(O468),2) = 0</formula>
    </cfRule>
  </conditionalFormatting>
  <conditionalFormatting sqref="O467:P467">
    <cfRule type="expression" dxfId="1891" priority="2115">
      <formula>MOD(ROW(O467),2) = 0</formula>
    </cfRule>
  </conditionalFormatting>
  <conditionalFormatting sqref="O466:P466">
    <cfRule type="expression" dxfId="1890" priority="2114">
      <formula>MOD(ROW(O466),2) = 0</formula>
    </cfRule>
  </conditionalFormatting>
  <conditionalFormatting sqref="O465:P465">
    <cfRule type="expression" dxfId="1889" priority="2113">
      <formula>MOD(ROW(O465),2) = 0</formula>
    </cfRule>
  </conditionalFormatting>
  <conditionalFormatting sqref="O464:P464">
    <cfRule type="expression" dxfId="1888" priority="2112">
      <formula>MOD(ROW(O464),2) = 0</formula>
    </cfRule>
  </conditionalFormatting>
  <conditionalFormatting sqref="O463:P463">
    <cfRule type="expression" dxfId="1887" priority="2111">
      <formula>MOD(ROW(O463),2) = 0</formula>
    </cfRule>
  </conditionalFormatting>
  <conditionalFormatting sqref="O462:P462">
    <cfRule type="expression" dxfId="1886" priority="2110">
      <formula>MOD(ROW(O462),2) = 0</formula>
    </cfRule>
  </conditionalFormatting>
  <conditionalFormatting sqref="O461:P461">
    <cfRule type="expression" dxfId="1885" priority="2109">
      <formula>MOD(ROW(O461),2) = 0</formula>
    </cfRule>
  </conditionalFormatting>
  <conditionalFormatting sqref="O460:P460">
    <cfRule type="expression" dxfId="1884" priority="2108">
      <formula>MOD(ROW(O460),2) = 0</formula>
    </cfRule>
  </conditionalFormatting>
  <conditionalFormatting sqref="O459:P459">
    <cfRule type="expression" dxfId="1883" priority="2107">
      <formula>MOD(ROW(O459),2) = 0</formula>
    </cfRule>
  </conditionalFormatting>
  <conditionalFormatting sqref="O458:P458">
    <cfRule type="expression" dxfId="1882" priority="2106">
      <formula>MOD(ROW(O458),2) = 0</formula>
    </cfRule>
  </conditionalFormatting>
  <conditionalFormatting sqref="O457:P457">
    <cfRule type="expression" dxfId="1881" priority="2105">
      <formula>MOD(ROW(O457),2) = 0</formula>
    </cfRule>
  </conditionalFormatting>
  <conditionalFormatting sqref="O456:P456">
    <cfRule type="expression" dxfId="1880" priority="2104">
      <formula>MOD(ROW(O456),2) = 0</formula>
    </cfRule>
  </conditionalFormatting>
  <conditionalFormatting sqref="O455:P455">
    <cfRule type="expression" dxfId="1879" priority="2103">
      <formula>MOD(ROW(O455),2) = 0</formula>
    </cfRule>
  </conditionalFormatting>
  <conditionalFormatting sqref="O454:P454">
    <cfRule type="expression" dxfId="1878" priority="2102">
      <formula>MOD(ROW(O454),2) = 0</formula>
    </cfRule>
  </conditionalFormatting>
  <conditionalFormatting sqref="O453:P453">
    <cfRule type="expression" dxfId="1877" priority="2101">
      <formula>MOD(ROW(O453),2) = 0</formula>
    </cfRule>
  </conditionalFormatting>
  <conditionalFormatting sqref="O452:P452">
    <cfRule type="expression" dxfId="1876" priority="2100">
      <formula>MOD(ROW(O452),2) = 0</formula>
    </cfRule>
  </conditionalFormatting>
  <conditionalFormatting sqref="O451:P451">
    <cfRule type="expression" dxfId="1875" priority="2099">
      <formula>MOD(ROW(O451),2) = 0</formula>
    </cfRule>
  </conditionalFormatting>
  <conditionalFormatting sqref="O450:P450">
    <cfRule type="expression" dxfId="1874" priority="2098">
      <formula>MOD(ROW(O450),2) = 0</formula>
    </cfRule>
  </conditionalFormatting>
  <conditionalFormatting sqref="O449:P449">
    <cfRule type="expression" dxfId="1873" priority="2097">
      <formula>MOD(ROW(O449),2) = 0</formula>
    </cfRule>
  </conditionalFormatting>
  <conditionalFormatting sqref="O448:P448">
    <cfRule type="expression" dxfId="1872" priority="2096">
      <formula>MOD(ROW(O448),2) = 0</formula>
    </cfRule>
  </conditionalFormatting>
  <conditionalFormatting sqref="O447:P447">
    <cfRule type="expression" dxfId="1871" priority="2095">
      <formula>MOD(ROW(O447),2) = 0</formula>
    </cfRule>
  </conditionalFormatting>
  <conditionalFormatting sqref="O446:P446">
    <cfRule type="expression" dxfId="1870" priority="2094">
      <formula>MOD(ROW(O446),2) = 0</formula>
    </cfRule>
  </conditionalFormatting>
  <conditionalFormatting sqref="O445:P445">
    <cfRule type="expression" dxfId="1869" priority="2093">
      <formula>MOD(ROW(O445),2) = 0</formula>
    </cfRule>
  </conditionalFormatting>
  <conditionalFormatting sqref="O444:P444">
    <cfRule type="expression" dxfId="1868" priority="2092">
      <formula>MOD(ROW(O444),2) = 0</formula>
    </cfRule>
  </conditionalFormatting>
  <conditionalFormatting sqref="O443:P443">
    <cfRule type="expression" dxfId="1867" priority="2091">
      <formula>MOD(ROW(O443),2) = 0</formula>
    </cfRule>
  </conditionalFormatting>
  <conditionalFormatting sqref="O442:P442">
    <cfRule type="expression" dxfId="1866" priority="2090">
      <formula>MOD(ROW(O442),2) = 0</formula>
    </cfRule>
  </conditionalFormatting>
  <conditionalFormatting sqref="O441:P441">
    <cfRule type="expression" dxfId="1865" priority="2089">
      <formula>MOD(ROW(O441),2) = 0</formula>
    </cfRule>
  </conditionalFormatting>
  <conditionalFormatting sqref="O440:P440">
    <cfRule type="expression" dxfId="1864" priority="2088">
      <formula>MOD(ROW(O440),2) = 0</formula>
    </cfRule>
  </conditionalFormatting>
  <conditionalFormatting sqref="O439:P439">
    <cfRule type="expression" dxfId="1863" priority="2087">
      <formula>MOD(ROW(O439),2) = 0</formula>
    </cfRule>
  </conditionalFormatting>
  <conditionalFormatting sqref="O438:P438">
    <cfRule type="expression" dxfId="1862" priority="2086">
      <formula>MOD(ROW(O438),2) = 0</formula>
    </cfRule>
  </conditionalFormatting>
  <conditionalFormatting sqref="O437:P437">
    <cfRule type="expression" dxfId="1861" priority="2085">
      <formula>MOD(ROW(O437),2) = 0</formula>
    </cfRule>
  </conditionalFormatting>
  <conditionalFormatting sqref="O436:P436">
    <cfRule type="expression" dxfId="1860" priority="2084">
      <formula>MOD(ROW(O436),2) = 0</formula>
    </cfRule>
  </conditionalFormatting>
  <conditionalFormatting sqref="O435:P435">
    <cfRule type="expression" dxfId="1859" priority="2083">
      <formula>MOD(ROW(O435),2) = 0</formula>
    </cfRule>
  </conditionalFormatting>
  <conditionalFormatting sqref="O434:P434">
    <cfRule type="expression" dxfId="1858" priority="2082">
      <formula>MOD(ROW(O434),2) = 0</formula>
    </cfRule>
  </conditionalFormatting>
  <conditionalFormatting sqref="O433:P433">
    <cfRule type="expression" dxfId="1857" priority="2081">
      <formula>MOD(ROW(O433),2) = 0</formula>
    </cfRule>
  </conditionalFormatting>
  <conditionalFormatting sqref="O432:P432">
    <cfRule type="expression" dxfId="1856" priority="2080">
      <formula>MOD(ROW(O432),2) = 0</formula>
    </cfRule>
  </conditionalFormatting>
  <conditionalFormatting sqref="O431:P431">
    <cfRule type="expression" dxfId="1855" priority="2079">
      <formula>MOD(ROW(O431),2) = 0</formula>
    </cfRule>
  </conditionalFormatting>
  <conditionalFormatting sqref="O430:P430">
    <cfRule type="expression" dxfId="1854" priority="2078">
      <formula>MOD(ROW(O430),2) = 0</formula>
    </cfRule>
  </conditionalFormatting>
  <conditionalFormatting sqref="O429:P429">
    <cfRule type="expression" dxfId="1853" priority="2077">
      <formula>MOD(ROW(O429),2) = 0</formula>
    </cfRule>
  </conditionalFormatting>
  <conditionalFormatting sqref="O428:P428">
    <cfRule type="expression" dxfId="1852" priority="2076">
      <formula>MOD(ROW(O428),2) = 0</formula>
    </cfRule>
  </conditionalFormatting>
  <conditionalFormatting sqref="O427:P427">
    <cfRule type="expression" dxfId="1851" priority="2075">
      <formula>MOD(ROW(O427),2) = 0</formula>
    </cfRule>
  </conditionalFormatting>
  <conditionalFormatting sqref="O426:P426">
    <cfRule type="expression" dxfId="1850" priority="2074">
      <formula>MOD(ROW(O426),2) = 0</formula>
    </cfRule>
  </conditionalFormatting>
  <conditionalFormatting sqref="O425:P425">
    <cfRule type="expression" dxfId="1849" priority="2073">
      <formula>MOD(ROW(O425),2) = 0</formula>
    </cfRule>
  </conditionalFormatting>
  <conditionalFormatting sqref="O424:P424">
    <cfRule type="expression" dxfId="1848" priority="2072">
      <formula>MOD(ROW(O424),2) = 0</formula>
    </cfRule>
  </conditionalFormatting>
  <conditionalFormatting sqref="O423:P423">
    <cfRule type="expression" dxfId="1847" priority="2071">
      <formula>MOD(ROW(O423),2) = 0</formula>
    </cfRule>
  </conditionalFormatting>
  <conditionalFormatting sqref="O422:P422">
    <cfRule type="expression" dxfId="1846" priority="2070">
      <formula>MOD(ROW(O422),2) = 0</formula>
    </cfRule>
  </conditionalFormatting>
  <conditionalFormatting sqref="O421:P421">
    <cfRule type="expression" dxfId="1845" priority="2069">
      <formula>MOD(ROW(O421),2) = 0</formula>
    </cfRule>
  </conditionalFormatting>
  <conditionalFormatting sqref="O420:P420">
    <cfRule type="expression" dxfId="1844" priority="2068">
      <formula>MOD(ROW(O420),2) = 0</formula>
    </cfRule>
  </conditionalFormatting>
  <conditionalFormatting sqref="O419:P419">
    <cfRule type="expression" dxfId="1843" priority="2067">
      <formula>MOD(ROW(O419),2) = 0</formula>
    </cfRule>
  </conditionalFormatting>
  <conditionalFormatting sqref="O418:P418">
    <cfRule type="expression" dxfId="1842" priority="2066">
      <formula>MOD(ROW(O418),2) = 0</formula>
    </cfRule>
  </conditionalFormatting>
  <conditionalFormatting sqref="O417:P417">
    <cfRule type="expression" dxfId="1841" priority="2065">
      <formula>MOD(ROW(O417),2) = 0</formula>
    </cfRule>
  </conditionalFormatting>
  <conditionalFormatting sqref="O416:P416">
    <cfRule type="expression" dxfId="1840" priority="2064">
      <formula>MOD(ROW(O416),2) = 0</formula>
    </cfRule>
  </conditionalFormatting>
  <conditionalFormatting sqref="O415:P415">
    <cfRule type="expression" dxfId="1839" priority="2063">
      <formula>MOD(ROW(O415),2) = 0</formula>
    </cfRule>
  </conditionalFormatting>
  <conditionalFormatting sqref="O414:P414">
    <cfRule type="expression" dxfId="1838" priority="2062">
      <formula>MOD(ROW(O414),2) = 0</formula>
    </cfRule>
  </conditionalFormatting>
  <conditionalFormatting sqref="O413:P413">
    <cfRule type="expression" dxfId="1837" priority="2061">
      <formula>MOD(ROW(O413),2) = 0</formula>
    </cfRule>
  </conditionalFormatting>
  <conditionalFormatting sqref="O412:P412">
    <cfRule type="expression" dxfId="1836" priority="2060">
      <formula>MOD(ROW(O412),2) = 0</formula>
    </cfRule>
  </conditionalFormatting>
  <conditionalFormatting sqref="O411:P411">
    <cfRule type="expression" dxfId="1835" priority="2059">
      <formula>MOD(ROW(O411),2) = 0</formula>
    </cfRule>
  </conditionalFormatting>
  <conditionalFormatting sqref="O410:P410">
    <cfRule type="expression" dxfId="1834" priority="2058">
      <formula>MOD(ROW(O410),2) = 0</formula>
    </cfRule>
  </conditionalFormatting>
  <conditionalFormatting sqref="O409:P409">
    <cfRule type="expression" dxfId="1833" priority="2057">
      <formula>MOD(ROW(O409),2) = 0</formula>
    </cfRule>
  </conditionalFormatting>
  <conditionalFormatting sqref="O408:P408">
    <cfRule type="expression" dxfId="1832" priority="2056">
      <formula>MOD(ROW(O408),2) = 0</formula>
    </cfRule>
  </conditionalFormatting>
  <conditionalFormatting sqref="O407:P407">
    <cfRule type="expression" dxfId="1831" priority="2055">
      <formula>MOD(ROW(O407),2) = 0</formula>
    </cfRule>
  </conditionalFormatting>
  <conditionalFormatting sqref="O406:P406">
    <cfRule type="expression" dxfId="1830" priority="2054">
      <formula>MOD(ROW(O406),2) = 0</formula>
    </cfRule>
  </conditionalFormatting>
  <conditionalFormatting sqref="O405:P405">
    <cfRule type="expression" dxfId="1829" priority="2053">
      <formula>MOD(ROW(O405),2) = 0</formula>
    </cfRule>
  </conditionalFormatting>
  <conditionalFormatting sqref="O404:P404">
    <cfRule type="expression" dxfId="1828" priority="2052">
      <formula>MOD(ROW(O404),2) = 0</formula>
    </cfRule>
  </conditionalFormatting>
  <conditionalFormatting sqref="O403:P403">
    <cfRule type="expression" dxfId="1827" priority="2051">
      <formula>MOD(ROW(O403),2) = 0</formula>
    </cfRule>
  </conditionalFormatting>
  <conditionalFormatting sqref="O402:P402">
    <cfRule type="expression" dxfId="1826" priority="2050">
      <formula>MOD(ROW(O402),2) = 0</formula>
    </cfRule>
  </conditionalFormatting>
  <conditionalFormatting sqref="O401:P401">
    <cfRule type="expression" dxfId="1825" priority="2049">
      <formula>MOD(ROW(O401),2) = 0</formula>
    </cfRule>
  </conditionalFormatting>
  <conditionalFormatting sqref="O400:P400">
    <cfRule type="expression" dxfId="1824" priority="2048">
      <formula>MOD(ROW(O400),2) = 0</formula>
    </cfRule>
  </conditionalFormatting>
  <conditionalFormatting sqref="O399:P399">
    <cfRule type="expression" dxfId="1823" priority="2047">
      <formula>MOD(ROW(O399),2) = 0</formula>
    </cfRule>
  </conditionalFormatting>
  <conditionalFormatting sqref="O398:P398">
    <cfRule type="expression" dxfId="1822" priority="2046">
      <formula>MOD(ROW(O398),2) = 0</formula>
    </cfRule>
  </conditionalFormatting>
  <conditionalFormatting sqref="O397:P397">
    <cfRule type="expression" dxfId="1821" priority="2045">
      <formula>MOD(ROW(O397),2) = 0</formula>
    </cfRule>
  </conditionalFormatting>
  <conditionalFormatting sqref="O396:P396">
    <cfRule type="expression" dxfId="1820" priority="2044">
      <formula>MOD(ROW(O396),2) = 0</formula>
    </cfRule>
  </conditionalFormatting>
  <conditionalFormatting sqref="O395:P395">
    <cfRule type="expression" dxfId="1819" priority="2043">
      <formula>MOD(ROW(O395),2) = 0</formula>
    </cfRule>
  </conditionalFormatting>
  <conditionalFormatting sqref="O394:P394">
    <cfRule type="expression" dxfId="1818" priority="2042">
      <formula>MOD(ROW(O394),2) = 0</formula>
    </cfRule>
  </conditionalFormatting>
  <conditionalFormatting sqref="O393:P393">
    <cfRule type="expression" dxfId="1817" priority="2041">
      <formula>MOD(ROW(O393),2) = 0</formula>
    </cfRule>
  </conditionalFormatting>
  <conditionalFormatting sqref="O392:P392">
    <cfRule type="expression" dxfId="1816" priority="2040">
      <formula>MOD(ROW(O392),2) = 0</formula>
    </cfRule>
  </conditionalFormatting>
  <conditionalFormatting sqref="O391:P391">
    <cfRule type="expression" dxfId="1815" priority="2039">
      <formula>MOD(ROW(O391),2) = 0</formula>
    </cfRule>
  </conditionalFormatting>
  <conditionalFormatting sqref="O390:P390">
    <cfRule type="expression" dxfId="1814" priority="2038">
      <formula>MOD(ROW(O390),2) = 0</formula>
    </cfRule>
  </conditionalFormatting>
  <conditionalFormatting sqref="O389:P389">
    <cfRule type="expression" dxfId="1813" priority="2037">
      <formula>MOD(ROW(O389),2) = 0</formula>
    </cfRule>
  </conditionalFormatting>
  <conditionalFormatting sqref="O388:P388">
    <cfRule type="expression" dxfId="1812" priority="2036">
      <formula>MOD(ROW(O388),2) = 0</formula>
    </cfRule>
  </conditionalFormatting>
  <conditionalFormatting sqref="O387:P387">
    <cfRule type="expression" dxfId="1811" priority="2035">
      <formula>MOD(ROW(O387),2) = 0</formula>
    </cfRule>
  </conditionalFormatting>
  <conditionalFormatting sqref="O386:P386">
    <cfRule type="expression" dxfId="1810" priority="2034">
      <formula>MOD(ROW(O386),2) = 0</formula>
    </cfRule>
  </conditionalFormatting>
  <conditionalFormatting sqref="O385:P385">
    <cfRule type="expression" dxfId="1809" priority="2033">
      <formula>MOD(ROW(O385),2) = 0</formula>
    </cfRule>
  </conditionalFormatting>
  <conditionalFormatting sqref="O384:P384">
    <cfRule type="expression" dxfId="1808" priority="2032">
      <formula>MOD(ROW(O384),2) = 0</formula>
    </cfRule>
  </conditionalFormatting>
  <conditionalFormatting sqref="O383:P383">
    <cfRule type="expression" dxfId="1807" priority="2031">
      <formula>MOD(ROW(O383),2) = 0</formula>
    </cfRule>
  </conditionalFormatting>
  <conditionalFormatting sqref="O382:P382">
    <cfRule type="expression" dxfId="1806" priority="2030">
      <formula>MOD(ROW(O382),2) = 0</formula>
    </cfRule>
  </conditionalFormatting>
  <conditionalFormatting sqref="O381:P381">
    <cfRule type="expression" dxfId="1805" priority="2029">
      <formula>MOD(ROW(O381),2) = 0</formula>
    </cfRule>
  </conditionalFormatting>
  <conditionalFormatting sqref="O380:P380">
    <cfRule type="expression" dxfId="1804" priority="2028">
      <formula>MOD(ROW(O380),2) = 0</formula>
    </cfRule>
  </conditionalFormatting>
  <conditionalFormatting sqref="O379:P379">
    <cfRule type="expression" dxfId="1803" priority="2027">
      <formula>MOD(ROW(O379),2) = 0</formula>
    </cfRule>
  </conditionalFormatting>
  <conditionalFormatting sqref="O378:P378">
    <cfRule type="expression" dxfId="1802" priority="2026">
      <formula>MOD(ROW(O378),2) = 0</formula>
    </cfRule>
  </conditionalFormatting>
  <conditionalFormatting sqref="O377:P377">
    <cfRule type="expression" dxfId="1801" priority="2025">
      <formula>MOD(ROW(O377),2) = 0</formula>
    </cfRule>
  </conditionalFormatting>
  <conditionalFormatting sqref="O376:P376">
    <cfRule type="expression" dxfId="1800" priority="2024">
      <formula>MOD(ROW(O376),2) = 0</formula>
    </cfRule>
  </conditionalFormatting>
  <conditionalFormatting sqref="O375:P375">
    <cfRule type="expression" dxfId="1799" priority="2023">
      <formula>MOD(ROW(O375),2) = 0</formula>
    </cfRule>
  </conditionalFormatting>
  <conditionalFormatting sqref="O374:P374">
    <cfRule type="expression" dxfId="1798" priority="2022">
      <formula>MOD(ROW(O374),2) = 0</formula>
    </cfRule>
  </conditionalFormatting>
  <conditionalFormatting sqref="O373:P373">
    <cfRule type="expression" dxfId="1797" priority="2021">
      <formula>MOD(ROW(O373),2) = 0</formula>
    </cfRule>
  </conditionalFormatting>
  <conditionalFormatting sqref="O372:P372">
    <cfRule type="expression" dxfId="1796" priority="2020">
      <formula>MOD(ROW(O372),2) = 0</formula>
    </cfRule>
  </conditionalFormatting>
  <conditionalFormatting sqref="O371:P371">
    <cfRule type="expression" dxfId="1795" priority="2019">
      <formula>MOD(ROW(O371),2) = 0</formula>
    </cfRule>
  </conditionalFormatting>
  <conditionalFormatting sqref="O370:P370">
    <cfRule type="expression" dxfId="1794" priority="2018">
      <formula>MOD(ROW(O370),2) = 0</formula>
    </cfRule>
  </conditionalFormatting>
  <conditionalFormatting sqref="O369:P369">
    <cfRule type="expression" dxfId="1793" priority="2017">
      <formula>MOD(ROW(O369),2) = 0</formula>
    </cfRule>
  </conditionalFormatting>
  <conditionalFormatting sqref="O368:P368">
    <cfRule type="expression" dxfId="1792" priority="2016">
      <formula>MOD(ROW(O368),2) = 0</formula>
    </cfRule>
  </conditionalFormatting>
  <conditionalFormatting sqref="O367:P367">
    <cfRule type="expression" dxfId="1791" priority="2015">
      <formula>MOD(ROW(O367),2) = 0</formula>
    </cfRule>
  </conditionalFormatting>
  <conditionalFormatting sqref="O366:P366">
    <cfRule type="expression" dxfId="1790" priority="2014">
      <formula>MOD(ROW(O366),2) = 0</formula>
    </cfRule>
  </conditionalFormatting>
  <conditionalFormatting sqref="O365:P365">
    <cfRule type="expression" dxfId="1789" priority="2013">
      <formula>MOD(ROW(O365),2) = 0</formula>
    </cfRule>
  </conditionalFormatting>
  <conditionalFormatting sqref="O364:P364">
    <cfRule type="expression" dxfId="1788" priority="2012">
      <formula>MOD(ROW(O364),2) = 0</formula>
    </cfRule>
  </conditionalFormatting>
  <conditionalFormatting sqref="O363:P363">
    <cfRule type="expression" dxfId="1787" priority="2011">
      <formula>MOD(ROW(O363),2) = 0</formula>
    </cfRule>
  </conditionalFormatting>
  <conditionalFormatting sqref="O362:P362">
    <cfRule type="expression" dxfId="1786" priority="2010">
      <formula>MOD(ROW(O362),2) = 0</formula>
    </cfRule>
  </conditionalFormatting>
  <conditionalFormatting sqref="O361:P361">
    <cfRule type="expression" dxfId="1785" priority="2009">
      <formula>MOD(ROW(O361),2) = 0</formula>
    </cfRule>
  </conditionalFormatting>
  <conditionalFormatting sqref="O360:P360">
    <cfRule type="expression" dxfId="1784" priority="2008">
      <formula>MOD(ROW(O360),2) = 0</formula>
    </cfRule>
  </conditionalFormatting>
  <conditionalFormatting sqref="O359:P359">
    <cfRule type="expression" dxfId="1783" priority="2007">
      <formula>MOD(ROW(O359),2) = 0</formula>
    </cfRule>
  </conditionalFormatting>
  <conditionalFormatting sqref="O358:P358">
    <cfRule type="expression" dxfId="1782" priority="2006">
      <formula>MOD(ROW(O358),2) = 0</formula>
    </cfRule>
  </conditionalFormatting>
  <conditionalFormatting sqref="O357:P357">
    <cfRule type="expression" dxfId="1781" priority="2005">
      <formula>MOD(ROW(O357),2) = 0</formula>
    </cfRule>
  </conditionalFormatting>
  <conditionalFormatting sqref="O356:P356">
    <cfRule type="expression" dxfId="1780" priority="2004">
      <formula>MOD(ROW(O356),2) = 0</formula>
    </cfRule>
  </conditionalFormatting>
  <conditionalFormatting sqref="O355:P355">
    <cfRule type="expression" dxfId="1779" priority="2003">
      <formula>MOD(ROW(O355),2) = 0</formula>
    </cfRule>
  </conditionalFormatting>
  <conditionalFormatting sqref="O354:P354">
    <cfRule type="expression" dxfId="1778" priority="2002">
      <formula>MOD(ROW(O354),2) = 0</formula>
    </cfRule>
  </conditionalFormatting>
  <conditionalFormatting sqref="O353:P353">
    <cfRule type="expression" dxfId="1777" priority="2001">
      <formula>MOD(ROW(O353),2) = 0</formula>
    </cfRule>
  </conditionalFormatting>
  <conditionalFormatting sqref="O352:P352">
    <cfRule type="expression" dxfId="1776" priority="2000">
      <formula>MOD(ROW(O352),2) = 0</formula>
    </cfRule>
  </conditionalFormatting>
  <conditionalFormatting sqref="O351:P351">
    <cfRule type="expression" dxfId="1775" priority="1999">
      <formula>MOD(ROW(O351),2) = 0</formula>
    </cfRule>
  </conditionalFormatting>
  <conditionalFormatting sqref="O350:P350">
    <cfRule type="expression" dxfId="1774" priority="1998">
      <formula>MOD(ROW(O350),2) = 0</formula>
    </cfRule>
  </conditionalFormatting>
  <conditionalFormatting sqref="O349:P349">
    <cfRule type="expression" dxfId="1773" priority="1997">
      <formula>MOD(ROW(O349),2) = 0</formula>
    </cfRule>
  </conditionalFormatting>
  <conditionalFormatting sqref="O348:P348">
    <cfRule type="expression" dxfId="1772" priority="1996">
      <formula>MOD(ROW(O348),2) = 0</formula>
    </cfRule>
  </conditionalFormatting>
  <conditionalFormatting sqref="O347:P347">
    <cfRule type="expression" dxfId="1771" priority="1995">
      <formula>MOD(ROW(O347),2) = 0</formula>
    </cfRule>
  </conditionalFormatting>
  <conditionalFormatting sqref="O346:P346">
    <cfRule type="expression" dxfId="1770" priority="1994">
      <formula>MOD(ROW(O346),2) = 0</formula>
    </cfRule>
  </conditionalFormatting>
  <conditionalFormatting sqref="O345:P345">
    <cfRule type="expression" dxfId="1769" priority="1993">
      <formula>MOD(ROW(O345),2) = 0</formula>
    </cfRule>
  </conditionalFormatting>
  <conditionalFormatting sqref="O344:P344">
    <cfRule type="expression" dxfId="1768" priority="1992">
      <formula>MOD(ROW(O344),2) = 0</formula>
    </cfRule>
  </conditionalFormatting>
  <conditionalFormatting sqref="O343:P343">
    <cfRule type="expression" dxfId="1767" priority="1991">
      <formula>MOD(ROW(O343),2) = 0</formula>
    </cfRule>
  </conditionalFormatting>
  <conditionalFormatting sqref="O342:P342">
    <cfRule type="expression" dxfId="1766" priority="1990">
      <formula>MOD(ROW(O342),2) = 0</formula>
    </cfRule>
  </conditionalFormatting>
  <conditionalFormatting sqref="O341:P341">
    <cfRule type="expression" dxfId="1765" priority="1989">
      <formula>MOD(ROW(O341),2) = 0</formula>
    </cfRule>
  </conditionalFormatting>
  <conditionalFormatting sqref="O340:P340">
    <cfRule type="expression" dxfId="1764" priority="1988">
      <formula>MOD(ROW(O340),2) = 0</formula>
    </cfRule>
  </conditionalFormatting>
  <conditionalFormatting sqref="O339:P339">
    <cfRule type="expression" dxfId="1763" priority="1987">
      <formula>MOD(ROW(O339),2) = 0</formula>
    </cfRule>
  </conditionalFormatting>
  <conditionalFormatting sqref="O338:P338">
    <cfRule type="expression" dxfId="1762" priority="1986">
      <formula>MOD(ROW(O338),2) = 0</formula>
    </cfRule>
  </conditionalFormatting>
  <conditionalFormatting sqref="O337:P337">
    <cfRule type="expression" dxfId="1761" priority="1985">
      <formula>MOD(ROW(O337),2) = 0</formula>
    </cfRule>
  </conditionalFormatting>
  <conditionalFormatting sqref="O336:P336">
    <cfRule type="expression" dxfId="1760" priority="1984">
      <formula>MOD(ROW(O336),2) = 0</formula>
    </cfRule>
  </conditionalFormatting>
  <conditionalFormatting sqref="O335:P335">
    <cfRule type="expression" dxfId="1759" priority="1983">
      <formula>MOD(ROW(O335),2) = 0</formula>
    </cfRule>
  </conditionalFormatting>
  <conditionalFormatting sqref="O334:P334">
    <cfRule type="expression" dxfId="1758" priority="1982">
      <formula>MOD(ROW(O334),2) = 0</formula>
    </cfRule>
  </conditionalFormatting>
  <conditionalFormatting sqref="O333:P333">
    <cfRule type="expression" dxfId="1757" priority="1981">
      <formula>MOD(ROW(O333),2) = 0</formula>
    </cfRule>
  </conditionalFormatting>
  <conditionalFormatting sqref="O332:P332">
    <cfRule type="expression" dxfId="1756" priority="1980">
      <formula>MOD(ROW(O332),2) = 0</formula>
    </cfRule>
  </conditionalFormatting>
  <conditionalFormatting sqref="O331:P331">
    <cfRule type="expression" dxfId="1755" priority="1979">
      <formula>MOD(ROW(O331),2) = 0</formula>
    </cfRule>
  </conditionalFormatting>
  <conditionalFormatting sqref="O330:P330">
    <cfRule type="expression" dxfId="1754" priority="1978">
      <formula>MOD(ROW(O330),2) = 0</formula>
    </cfRule>
  </conditionalFormatting>
  <conditionalFormatting sqref="O329:P329">
    <cfRule type="expression" dxfId="1753" priority="1977">
      <formula>MOD(ROW(O329),2) = 0</formula>
    </cfRule>
  </conditionalFormatting>
  <conditionalFormatting sqref="O328:P328">
    <cfRule type="expression" dxfId="1752" priority="1976">
      <formula>MOD(ROW(O328),2) = 0</formula>
    </cfRule>
  </conditionalFormatting>
  <conditionalFormatting sqref="O327:P327">
    <cfRule type="expression" dxfId="1751" priority="1975">
      <formula>MOD(ROW(O327),2) = 0</formula>
    </cfRule>
  </conditionalFormatting>
  <conditionalFormatting sqref="O326:P326">
    <cfRule type="expression" dxfId="1750" priority="1974">
      <formula>MOD(ROW(O326),2) = 0</formula>
    </cfRule>
  </conditionalFormatting>
  <conditionalFormatting sqref="O325:P325">
    <cfRule type="expression" dxfId="1749" priority="1973">
      <formula>MOD(ROW(O325),2) = 0</formula>
    </cfRule>
  </conditionalFormatting>
  <conditionalFormatting sqref="O324:P324">
    <cfRule type="expression" dxfId="1748" priority="1972">
      <formula>MOD(ROW(O324),2) = 0</formula>
    </cfRule>
  </conditionalFormatting>
  <conditionalFormatting sqref="O323:P323">
    <cfRule type="expression" dxfId="1747" priority="1971">
      <formula>MOD(ROW(O323),2) = 0</formula>
    </cfRule>
  </conditionalFormatting>
  <conditionalFormatting sqref="O322:P322">
    <cfRule type="expression" dxfId="1746" priority="1970">
      <formula>MOD(ROW(O322),2) = 0</formula>
    </cfRule>
  </conditionalFormatting>
  <conditionalFormatting sqref="O321:P321">
    <cfRule type="expression" dxfId="1745" priority="1969">
      <formula>MOD(ROW(O321),2) = 0</formula>
    </cfRule>
  </conditionalFormatting>
  <conditionalFormatting sqref="O320:P320">
    <cfRule type="expression" dxfId="1744" priority="1968">
      <formula>MOD(ROW(O320),2) = 0</formula>
    </cfRule>
  </conditionalFormatting>
  <conditionalFormatting sqref="O319:P319">
    <cfRule type="expression" dxfId="1743" priority="1967">
      <formula>MOD(ROW(O319),2) = 0</formula>
    </cfRule>
  </conditionalFormatting>
  <conditionalFormatting sqref="O318:P318">
    <cfRule type="expression" dxfId="1742" priority="1966">
      <formula>MOD(ROW(O318),2) = 0</formula>
    </cfRule>
  </conditionalFormatting>
  <conditionalFormatting sqref="O317:P317">
    <cfRule type="expression" dxfId="1741" priority="1965">
      <formula>MOD(ROW(O317),2) = 0</formula>
    </cfRule>
  </conditionalFormatting>
  <conditionalFormatting sqref="O316:P316">
    <cfRule type="expression" dxfId="1740" priority="1964">
      <formula>MOD(ROW(O316),2) = 0</formula>
    </cfRule>
  </conditionalFormatting>
  <conditionalFormatting sqref="O315:P315">
    <cfRule type="expression" dxfId="1739" priority="1962">
      <formula>MOD(ROW(O315),2) = 0</formula>
    </cfRule>
  </conditionalFormatting>
  <conditionalFormatting sqref="O314:P314">
    <cfRule type="expression" dxfId="1738" priority="1961">
      <formula>MOD(ROW(O314),2) = 0</formula>
    </cfRule>
  </conditionalFormatting>
  <conditionalFormatting sqref="O313:P313">
    <cfRule type="expression" dxfId="1737" priority="1960">
      <formula>MOD(ROW(O313),2) = 0</formula>
    </cfRule>
  </conditionalFormatting>
  <conditionalFormatting sqref="O312:P312">
    <cfRule type="expression" dxfId="1736" priority="1959">
      <formula>MOD(ROW(O312),2) = 0</formula>
    </cfRule>
  </conditionalFormatting>
  <conditionalFormatting sqref="O311:P311">
    <cfRule type="expression" dxfId="1735" priority="1958">
      <formula>MOD(ROW(O311),2) = 0</formula>
    </cfRule>
  </conditionalFormatting>
  <conditionalFormatting sqref="O310:P310">
    <cfRule type="expression" dxfId="1734" priority="1957">
      <formula>MOD(ROW(O310),2) = 0</formula>
    </cfRule>
  </conditionalFormatting>
  <conditionalFormatting sqref="O309:P309">
    <cfRule type="expression" dxfId="1733" priority="1956">
      <formula>MOD(ROW(O309),2) = 0</formula>
    </cfRule>
  </conditionalFormatting>
  <conditionalFormatting sqref="O308:P308">
    <cfRule type="expression" dxfId="1732" priority="1955">
      <formula>MOD(ROW(O308),2) = 0</formula>
    </cfRule>
  </conditionalFormatting>
  <conditionalFormatting sqref="O307:P307">
    <cfRule type="expression" dxfId="1731" priority="1954">
      <formula>MOD(ROW(O307),2) = 0</formula>
    </cfRule>
  </conditionalFormatting>
  <conditionalFormatting sqref="O306:P306">
    <cfRule type="expression" dxfId="1730" priority="1953">
      <formula>MOD(ROW(O306),2) = 0</formula>
    </cfRule>
  </conditionalFormatting>
  <conditionalFormatting sqref="O305:P305">
    <cfRule type="expression" dxfId="1729" priority="1952">
      <formula>MOD(ROW(O305),2) = 0</formula>
    </cfRule>
  </conditionalFormatting>
  <conditionalFormatting sqref="O304:P304">
    <cfRule type="expression" dxfId="1728" priority="1951">
      <formula>MOD(ROW(O304),2) = 0</formula>
    </cfRule>
  </conditionalFormatting>
  <conditionalFormatting sqref="O303:P303">
    <cfRule type="expression" dxfId="1727" priority="1950">
      <formula>MOD(ROW(O303),2) = 0</formula>
    </cfRule>
  </conditionalFormatting>
  <conditionalFormatting sqref="O302:P302">
    <cfRule type="expression" dxfId="1726" priority="1949">
      <formula>MOD(ROW(O302),2) = 0</formula>
    </cfRule>
  </conditionalFormatting>
  <conditionalFormatting sqref="O301:P301">
    <cfRule type="expression" dxfId="1725" priority="1948">
      <formula>MOD(ROW(O301),2) = 0</formula>
    </cfRule>
  </conditionalFormatting>
  <conditionalFormatting sqref="O300:P300">
    <cfRule type="expression" dxfId="1724" priority="1947">
      <formula>MOD(ROW(O300),2) = 0</formula>
    </cfRule>
  </conditionalFormatting>
  <conditionalFormatting sqref="O299:P299">
    <cfRule type="expression" dxfId="1723" priority="1946">
      <formula>MOD(ROW(O299),2) = 0</formula>
    </cfRule>
  </conditionalFormatting>
  <conditionalFormatting sqref="O298:P298">
    <cfRule type="expression" dxfId="1722" priority="1945">
      <formula>MOD(ROW(O298),2) = 0</formula>
    </cfRule>
  </conditionalFormatting>
  <conditionalFormatting sqref="O297:P297">
    <cfRule type="expression" dxfId="1721" priority="1944">
      <formula>MOD(ROW(O297),2) = 0</formula>
    </cfRule>
  </conditionalFormatting>
  <conditionalFormatting sqref="O296:P296">
    <cfRule type="expression" dxfId="1720" priority="1943">
      <formula>MOD(ROW(O296),2) = 0</formula>
    </cfRule>
  </conditionalFormatting>
  <conditionalFormatting sqref="O295:P295">
    <cfRule type="expression" dxfId="1719" priority="1942">
      <formula>MOD(ROW(O295),2) = 0</formula>
    </cfRule>
  </conditionalFormatting>
  <conditionalFormatting sqref="O294:P294">
    <cfRule type="expression" dxfId="1718" priority="1941">
      <formula>MOD(ROW(O294),2) = 0</formula>
    </cfRule>
  </conditionalFormatting>
  <conditionalFormatting sqref="O293:P293">
    <cfRule type="expression" dxfId="1717" priority="1940">
      <formula>MOD(ROW(O293),2) = 0</formula>
    </cfRule>
  </conditionalFormatting>
  <conditionalFormatting sqref="O292:P292">
    <cfRule type="expression" dxfId="1716" priority="1939">
      <formula>MOD(ROW(O292),2) = 0</formula>
    </cfRule>
  </conditionalFormatting>
  <conditionalFormatting sqref="O291:P291">
    <cfRule type="expression" dxfId="1715" priority="1938">
      <formula>MOD(ROW(O291),2) = 0</formula>
    </cfRule>
  </conditionalFormatting>
  <conditionalFormatting sqref="O290:P290">
    <cfRule type="expression" dxfId="1714" priority="1937">
      <formula>MOD(ROW(O290),2) = 0</formula>
    </cfRule>
  </conditionalFormatting>
  <conditionalFormatting sqref="O289:P289">
    <cfRule type="expression" dxfId="1713" priority="1936">
      <formula>MOD(ROW(O289),2) = 0</formula>
    </cfRule>
  </conditionalFormatting>
  <conditionalFormatting sqref="O288:P288">
    <cfRule type="expression" dxfId="1712" priority="1935">
      <formula>MOD(ROW(O288),2) = 0</formula>
    </cfRule>
  </conditionalFormatting>
  <conditionalFormatting sqref="O287:P287">
    <cfRule type="expression" dxfId="1711" priority="1934">
      <formula>MOD(ROW(O287),2) = 0</formula>
    </cfRule>
  </conditionalFormatting>
  <conditionalFormatting sqref="O286:P286">
    <cfRule type="expression" dxfId="1710" priority="1933">
      <formula>MOD(ROW(O286),2) = 0</formula>
    </cfRule>
  </conditionalFormatting>
  <conditionalFormatting sqref="O285:P285">
    <cfRule type="expression" dxfId="1709" priority="1932">
      <formula>MOD(ROW(O285),2) = 0</formula>
    </cfRule>
  </conditionalFormatting>
  <conditionalFormatting sqref="O284:P284">
    <cfRule type="expression" dxfId="1708" priority="1931">
      <formula>MOD(ROW(O284),2) = 0</formula>
    </cfRule>
  </conditionalFormatting>
  <conditionalFormatting sqref="O283:P283">
    <cfRule type="expression" dxfId="1707" priority="1930">
      <formula>MOD(ROW(O283),2) = 0</formula>
    </cfRule>
  </conditionalFormatting>
  <conditionalFormatting sqref="O282:P282">
    <cfRule type="expression" dxfId="1706" priority="1929">
      <formula>MOD(ROW(O282),2) = 0</formula>
    </cfRule>
  </conditionalFormatting>
  <conditionalFormatting sqref="O281:P281">
    <cfRule type="expression" dxfId="1705" priority="1928">
      <formula>MOD(ROW(O281),2) = 0</formula>
    </cfRule>
  </conditionalFormatting>
  <conditionalFormatting sqref="O280:P280">
    <cfRule type="expression" dxfId="1704" priority="1927">
      <formula>MOD(ROW(O280),2) = 0</formula>
    </cfRule>
  </conditionalFormatting>
  <conditionalFormatting sqref="O279:P279">
    <cfRule type="expression" dxfId="1703" priority="1926">
      <formula>MOD(ROW(O279),2) = 0</formula>
    </cfRule>
  </conditionalFormatting>
  <conditionalFormatting sqref="O278:P278">
    <cfRule type="expression" dxfId="1702" priority="1925">
      <formula>MOD(ROW(O278),2) = 0</formula>
    </cfRule>
  </conditionalFormatting>
  <conditionalFormatting sqref="O277:P277">
    <cfRule type="expression" dxfId="1701" priority="1924">
      <formula>MOD(ROW(O277),2) = 0</formula>
    </cfRule>
  </conditionalFormatting>
  <conditionalFormatting sqref="O276:P276">
    <cfRule type="expression" dxfId="1700" priority="1923">
      <formula>MOD(ROW(O276),2) = 0</formula>
    </cfRule>
  </conditionalFormatting>
  <conditionalFormatting sqref="O275:P275">
    <cfRule type="expression" dxfId="1699" priority="1922">
      <formula>MOD(ROW(O275),2) = 0</formula>
    </cfRule>
  </conditionalFormatting>
  <conditionalFormatting sqref="O274:P274">
    <cfRule type="expression" dxfId="1698" priority="1921">
      <formula>MOD(ROW(O274),2) = 0</formula>
    </cfRule>
  </conditionalFormatting>
  <conditionalFormatting sqref="O273:P273">
    <cfRule type="expression" dxfId="1697" priority="1920">
      <formula>MOD(ROW(O273),2) = 0</formula>
    </cfRule>
  </conditionalFormatting>
  <conditionalFormatting sqref="O272:P272">
    <cfRule type="expression" dxfId="1696" priority="1919">
      <formula>MOD(ROW(O272),2) = 0</formula>
    </cfRule>
  </conditionalFormatting>
  <conditionalFormatting sqref="O271:P271">
    <cfRule type="expression" dxfId="1695" priority="1918">
      <formula>MOD(ROW(O271),2) = 0</formula>
    </cfRule>
  </conditionalFormatting>
  <conditionalFormatting sqref="O270:P270">
    <cfRule type="expression" dxfId="1694" priority="1917">
      <formula>MOD(ROW(O270),2) = 0</formula>
    </cfRule>
  </conditionalFormatting>
  <conditionalFormatting sqref="O269:P269">
    <cfRule type="expression" dxfId="1693" priority="1916">
      <formula>MOD(ROW(O269),2) = 0</formula>
    </cfRule>
  </conditionalFormatting>
  <conditionalFormatting sqref="O268:P268">
    <cfRule type="expression" dxfId="1692" priority="1915">
      <formula>MOD(ROW(O268),2) = 0</formula>
    </cfRule>
  </conditionalFormatting>
  <conditionalFormatting sqref="O267:P267">
    <cfRule type="expression" dxfId="1691" priority="1914">
      <formula>MOD(ROW(O267),2) = 0</formula>
    </cfRule>
  </conditionalFormatting>
  <conditionalFormatting sqref="O266:P266">
    <cfRule type="expression" dxfId="1690" priority="1913">
      <formula>MOD(ROW(O266),2) = 0</formula>
    </cfRule>
  </conditionalFormatting>
  <conditionalFormatting sqref="O265:P265">
    <cfRule type="expression" dxfId="1689" priority="1912">
      <formula>MOD(ROW(O265),2) = 0</formula>
    </cfRule>
  </conditionalFormatting>
  <conditionalFormatting sqref="O264:P264">
    <cfRule type="expression" dxfId="1688" priority="1911">
      <formula>MOD(ROW(O264),2) = 0</formula>
    </cfRule>
  </conditionalFormatting>
  <conditionalFormatting sqref="O263:P263">
    <cfRule type="expression" dxfId="1687" priority="1910">
      <formula>MOD(ROW(O263),2) = 0</formula>
    </cfRule>
  </conditionalFormatting>
  <conditionalFormatting sqref="O262:P262">
    <cfRule type="expression" dxfId="1686" priority="1909">
      <formula>MOD(ROW(O262),2) = 0</formula>
    </cfRule>
  </conditionalFormatting>
  <conditionalFormatting sqref="O261:P261">
    <cfRule type="expression" dxfId="1685" priority="1908">
      <formula>MOD(ROW(O261),2) = 0</formula>
    </cfRule>
  </conditionalFormatting>
  <conditionalFormatting sqref="O260:P260">
    <cfRule type="expression" dxfId="1684" priority="1907">
      <formula>MOD(ROW(O260),2) = 0</formula>
    </cfRule>
  </conditionalFormatting>
  <conditionalFormatting sqref="O259:P259">
    <cfRule type="expression" dxfId="1683" priority="1906">
      <formula>MOD(ROW(O259),2) = 0</formula>
    </cfRule>
  </conditionalFormatting>
  <conditionalFormatting sqref="O258:P258">
    <cfRule type="expression" dxfId="1682" priority="1905">
      <formula>MOD(ROW(O258),2) = 0</formula>
    </cfRule>
  </conditionalFormatting>
  <conditionalFormatting sqref="O257:P257">
    <cfRule type="expression" dxfId="1681" priority="1904">
      <formula>MOD(ROW(O257),2) = 0</formula>
    </cfRule>
  </conditionalFormatting>
  <conditionalFormatting sqref="O256:P256">
    <cfRule type="expression" dxfId="1680" priority="1903">
      <formula>MOD(ROW(O256),2) = 0</formula>
    </cfRule>
  </conditionalFormatting>
  <conditionalFormatting sqref="O255:P255">
    <cfRule type="expression" dxfId="1679" priority="1902">
      <formula>MOD(ROW(O255),2) = 0</formula>
    </cfRule>
  </conditionalFormatting>
  <conditionalFormatting sqref="O254:P254">
    <cfRule type="expression" dxfId="1678" priority="1901">
      <formula>MOD(ROW(O254),2) = 0</formula>
    </cfRule>
  </conditionalFormatting>
  <conditionalFormatting sqref="O253:P253">
    <cfRule type="expression" dxfId="1677" priority="1900">
      <formula>MOD(ROW(O253),2) = 0</formula>
    </cfRule>
  </conditionalFormatting>
  <conditionalFormatting sqref="O252:P252">
    <cfRule type="expression" dxfId="1676" priority="1899">
      <formula>MOD(ROW(O252),2) = 0</formula>
    </cfRule>
  </conditionalFormatting>
  <conditionalFormatting sqref="O251:P251">
    <cfRule type="expression" dxfId="1675" priority="1898">
      <formula>MOD(ROW(O251),2) = 0</formula>
    </cfRule>
  </conditionalFormatting>
  <conditionalFormatting sqref="O250:P250">
    <cfRule type="expression" dxfId="1674" priority="1896">
      <formula>MOD(ROW(O250),2) = 0</formula>
    </cfRule>
  </conditionalFormatting>
  <conditionalFormatting sqref="O249:P249">
    <cfRule type="expression" dxfId="1673" priority="1894">
      <formula>MOD(ROW(O249),2) = 0</formula>
    </cfRule>
  </conditionalFormatting>
  <conditionalFormatting sqref="O248:P248">
    <cfRule type="expression" dxfId="1672" priority="1892">
      <formula>MOD(ROW(O248),2) = 0</formula>
    </cfRule>
  </conditionalFormatting>
  <conditionalFormatting sqref="O247:P247">
    <cfRule type="expression" dxfId="1671" priority="1890">
      <formula>MOD(ROW(O247),2) = 0</formula>
    </cfRule>
  </conditionalFormatting>
  <conditionalFormatting sqref="O246:P246">
    <cfRule type="expression" dxfId="1670" priority="1888">
      <formula>MOD(ROW(O246),2) = 0</formula>
    </cfRule>
  </conditionalFormatting>
  <conditionalFormatting sqref="O245:P245">
    <cfRule type="expression" dxfId="1669" priority="1886">
      <formula>MOD(ROW(O245),2) = 0</formula>
    </cfRule>
  </conditionalFormatting>
  <conditionalFormatting sqref="O244:P244">
    <cfRule type="expression" dxfId="1668" priority="1884">
      <formula>MOD(ROW(O244),2) = 0</formula>
    </cfRule>
  </conditionalFormatting>
  <conditionalFormatting sqref="O243:P243">
    <cfRule type="expression" dxfId="1667" priority="1882">
      <formula>MOD(ROW(O243),2) = 0</formula>
    </cfRule>
  </conditionalFormatting>
  <conditionalFormatting sqref="O242:P242">
    <cfRule type="expression" dxfId="1666" priority="1880">
      <formula>MOD(ROW(O242),2) = 0</formula>
    </cfRule>
  </conditionalFormatting>
  <conditionalFormatting sqref="O241:P241">
    <cfRule type="expression" dxfId="1665" priority="1878">
      <formula>MOD(ROW(O241),2) = 0</formula>
    </cfRule>
  </conditionalFormatting>
  <conditionalFormatting sqref="O240:P240">
    <cfRule type="expression" dxfId="1664" priority="1876">
      <formula>MOD(ROW(O240),2) = 0</formula>
    </cfRule>
  </conditionalFormatting>
  <conditionalFormatting sqref="O239:P239">
    <cfRule type="expression" dxfId="1663" priority="1874">
      <formula>MOD(ROW(O239),2) = 0</formula>
    </cfRule>
  </conditionalFormatting>
  <conditionalFormatting sqref="O238:P238">
    <cfRule type="expression" dxfId="1662" priority="1872">
      <formula>MOD(ROW(O238),2) = 0</formula>
    </cfRule>
  </conditionalFormatting>
  <conditionalFormatting sqref="O237:P237">
    <cfRule type="expression" dxfId="1661" priority="1870">
      <formula>MOD(ROW(O237),2) = 0</formula>
    </cfRule>
  </conditionalFormatting>
  <conditionalFormatting sqref="O236:P236">
    <cfRule type="expression" dxfId="1660" priority="1868">
      <formula>MOD(ROW(O236),2) = 0</formula>
    </cfRule>
  </conditionalFormatting>
  <conditionalFormatting sqref="O235:P235">
    <cfRule type="expression" dxfId="1659" priority="1866">
      <formula>MOD(ROW(O235),2) = 0</formula>
    </cfRule>
  </conditionalFormatting>
  <conditionalFormatting sqref="O234:P234">
    <cfRule type="expression" dxfId="1658" priority="1864">
      <formula>MOD(ROW(O234),2) = 0</formula>
    </cfRule>
  </conditionalFormatting>
  <conditionalFormatting sqref="O233:P233">
    <cfRule type="expression" dxfId="1657" priority="1862">
      <formula>MOD(ROW(O233),2) = 0</formula>
    </cfRule>
  </conditionalFormatting>
  <conditionalFormatting sqref="O232:P232">
    <cfRule type="expression" dxfId="1656" priority="1860">
      <formula>MOD(ROW(O232),2) = 0</formula>
    </cfRule>
  </conditionalFormatting>
  <conditionalFormatting sqref="O231:P231">
    <cfRule type="expression" dxfId="1655" priority="1858">
      <formula>MOD(ROW(O231),2) = 0</formula>
    </cfRule>
  </conditionalFormatting>
  <conditionalFormatting sqref="O230:P230">
    <cfRule type="expression" dxfId="1654" priority="1856">
      <formula>MOD(ROW(O230),2) = 0</formula>
    </cfRule>
  </conditionalFormatting>
  <conditionalFormatting sqref="O229:P229">
    <cfRule type="expression" dxfId="1653" priority="1854">
      <formula>MOD(ROW(O229),2) = 0</formula>
    </cfRule>
  </conditionalFormatting>
  <conditionalFormatting sqref="O228:P228">
    <cfRule type="expression" dxfId="1652" priority="1852">
      <formula>MOD(ROW(O228),2) = 0</formula>
    </cfRule>
  </conditionalFormatting>
  <conditionalFormatting sqref="O227:P227">
    <cfRule type="expression" dxfId="1651" priority="1850">
      <formula>MOD(ROW(O227),2) = 0</formula>
    </cfRule>
  </conditionalFormatting>
  <conditionalFormatting sqref="O226:P226">
    <cfRule type="expression" dxfId="1650" priority="1848">
      <formula>MOD(ROW(O226),2) = 0</formula>
    </cfRule>
  </conditionalFormatting>
  <conditionalFormatting sqref="O225:P225">
    <cfRule type="expression" dxfId="1649" priority="1846">
      <formula>MOD(ROW(O225),2) = 0</formula>
    </cfRule>
  </conditionalFormatting>
  <conditionalFormatting sqref="O224:P224">
    <cfRule type="expression" dxfId="1648" priority="1844">
      <formula>MOD(ROW(O224),2) = 0</formula>
    </cfRule>
  </conditionalFormatting>
  <conditionalFormatting sqref="O223:P223">
    <cfRule type="expression" dxfId="1647" priority="1840">
      <formula>MOD(ROW(O223),2) = 0</formula>
    </cfRule>
  </conditionalFormatting>
  <conditionalFormatting sqref="O222:P222">
    <cfRule type="expression" dxfId="1646" priority="1838">
      <formula>MOD(ROW(O222),2) = 0</formula>
    </cfRule>
  </conditionalFormatting>
  <conditionalFormatting sqref="O221:P221">
    <cfRule type="expression" dxfId="1645" priority="1836">
      <formula>MOD(ROW(O221),2) = 0</formula>
    </cfRule>
  </conditionalFormatting>
  <conditionalFormatting sqref="O220:P220">
    <cfRule type="expression" dxfId="1644" priority="1834">
      <formula>MOD(ROW(O220),2) = 0</formula>
    </cfRule>
  </conditionalFormatting>
  <conditionalFormatting sqref="O219:P219">
    <cfRule type="expression" dxfId="1643" priority="1832">
      <formula>MOD(ROW(O219),2) = 0</formula>
    </cfRule>
  </conditionalFormatting>
  <conditionalFormatting sqref="O218:P218">
    <cfRule type="expression" dxfId="1642" priority="1830">
      <formula>MOD(ROW(O218),2) = 0</formula>
    </cfRule>
  </conditionalFormatting>
  <conditionalFormatting sqref="O217:P217">
    <cfRule type="expression" dxfId="1641" priority="1828">
      <formula>MOD(ROW(O217),2) = 0</formula>
    </cfRule>
  </conditionalFormatting>
  <conditionalFormatting sqref="O216:P216">
    <cfRule type="expression" dxfId="1640" priority="1826">
      <formula>MOD(ROW(O216),2) = 0</formula>
    </cfRule>
  </conditionalFormatting>
  <conditionalFormatting sqref="O215:P215">
    <cfRule type="expression" dxfId="1639" priority="1824">
      <formula>MOD(ROW(O215),2) = 0</formula>
    </cfRule>
  </conditionalFormatting>
  <conditionalFormatting sqref="O214:P214">
    <cfRule type="expression" dxfId="1638" priority="1822">
      <formula>MOD(ROW(O214),2) = 0</formula>
    </cfRule>
  </conditionalFormatting>
  <conditionalFormatting sqref="O213:P213">
    <cfRule type="expression" dxfId="1637" priority="1820">
      <formula>MOD(ROW(O213),2) = 0</formula>
    </cfRule>
  </conditionalFormatting>
  <conditionalFormatting sqref="O212:P212">
    <cfRule type="expression" dxfId="1636" priority="1818">
      <formula>MOD(ROW(O212),2) = 0</formula>
    </cfRule>
  </conditionalFormatting>
  <conditionalFormatting sqref="O211:P211">
    <cfRule type="expression" dxfId="1635" priority="1816">
      <formula>MOD(ROW(O211),2) = 0</formula>
    </cfRule>
  </conditionalFormatting>
  <conditionalFormatting sqref="O210:P210">
    <cfRule type="expression" dxfId="1634" priority="1814">
      <formula>MOD(ROW(O210),2) = 0</formula>
    </cfRule>
  </conditionalFormatting>
  <conditionalFormatting sqref="O209:P209">
    <cfRule type="expression" dxfId="1633" priority="1812">
      <formula>MOD(ROW(O209),2) = 0</formula>
    </cfRule>
  </conditionalFormatting>
  <conditionalFormatting sqref="O208:P208">
    <cfRule type="expression" dxfId="1632" priority="1810">
      <formula>MOD(ROW(O208),2) = 0</formula>
    </cfRule>
  </conditionalFormatting>
  <conditionalFormatting sqref="O207:P207">
    <cfRule type="expression" dxfId="1631" priority="1808">
      <formula>MOD(ROW(O207),2) = 0</formula>
    </cfRule>
  </conditionalFormatting>
  <conditionalFormatting sqref="O206:P206">
    <cfRule type="expression" dxfId="1630" priority="1806">
      <formula>MOD(ROW(O206),2) = 0</formula>
    </cfRule>
  </conditionalFormatting>
  <conditionalFormatting sqref="O205:P205">
    <cfRule type="expression" dxfId="1629" priority="1804">
      <formula>MOD(ROW(O205),2) = 0</formula>
    </cfRule>
  </conditionalFormatting>
  <conditionalFormatting sqref="O204:P204">
    <cfRule type="expression" dxfId="1628" priority="1802">
      <formula>MOD(ROW(O204),2) = 0</formula>
    </cfRule>
  </conditionalFormatting>
  <conditionalFormatting sqref="O203:P203">
    <cfRule type="expression" dxfId="1627" priority="1800">
      <formula>MOD(ROW(O203),2) = 0</formula>
    </cfRule>
  </conditionalFormatting>
  <conditionalFormatting sqref="O202:P202">
    <cfRule type="expression" dxfId="1626" priority="1798">
      <formula>MOD(ROW(O202),2) = 0</formula>
    </cfRule>
  </conditionalFormatting>
  <conditionalFormatting sqref="O201:P201">
    <cfRule type="expression" dxfId="1625" priority="1796">
      <formula>MOD(ROW(O201),2) = 0</formula>
    </cfRule>
  </conditionalFormatting>
  <conditionalFormatting sqref="O200:P200">
    <cfRule type="expression" dxfId="1624" priority="1794">
      <formula>MOD(ROW(O200),2) = 0</formula>
    </cfRule>
  </conditionalFormatting>
  <conditionalFormatting sqref="O199:P199">
    <cfRule type="expression" dxfId="1623" priority="1792">
      <formula>MOD(ROW(O199),2) = 0</formula>
    </cfRule>
  </conditionalFormatting>
  <conditionalFormatting sqref="O198:P198">
    <cfRule type="expression" dxfId="1622" priority="1790">
      <formula>MOD(ROW(O198),2) = 0</formula>
    </cfRule>
  </conditionalFormatting>
  <conditionalFormatting sqref="O197:P197">
    <cfRule type="expression" dxfId="1621" priority="1788">
      <formula>MOD(ROW(O197),2) = 0</formula>
    </cfRule>
  </conditionalFormatting>
  <conditionalFormatting sqref="O196:P196">
    <cfRule type="expression" dxfId="1620" priority="1786">
      <formula>MOD(ROW(O196),2) = 0</formula>
    </cfRule>
  </conditionalFormatting>
  <conditionalFormatting sqref="O195:P195">
    <cfRule type="expression" dxfId="1619" priority="1784">
      <formula>MOD(ROW(O195),2) = 0</formula>
    </cfRule>
  </conditionalFormatting>
  <conditionalFormatting sqref="O194:P194">
    <cfRule type="expression" dxfId="1618" priority="1782">
      <formula>MOD(ROW(O194),2) = 0</formula>
    </cfRule>
  </conditionalFormatting>
  <conditionalFormatting sqref="O193:P193">
    <cfRule type="expression" dxfId="1617" priority="1780">
      <formula>MOD(ROW(O193),2) = 0</formula>
    </cfRule>
  </conditionalFormatting>
  <conditionalFormatting sqref="O192:P192">
    <cfRule type="expression" dxfId="1616" priority="1778">
      <formula>MOD(ROW(O192),2) = 0</formula>
    </cfRule>
  </conditionalFormatting>
  <conditionalFormatting sqref="O191:P191">
    <cfRule type="expression" dxfId="1615" priority="1776">
      <formula>MOD(ROW(O191),2) = 0</formula>
    </cfRule>
  </conditionalFormatting>
  <conditionalFormatting sqref="O190:P190">
    <cfRule type="expression" dxfId="1614" priority="1774">
      <formula>MOD(ROW(O190),2) = 0</formula>
    </cfRule>
  </conditionalFormatting>
  <conditionalFormatting sqref="O189:P189">
    <cfRule type="expression" dxfId="1613" priority="1772">
      <formula>MOD(ROW(O189),2) = 0</formula>
    </cfRule>
  </conditionalFormatting>
  <conditionalFormatting sqref="O188:P188">
    <cfRule type="expression" dxfId="1612" priority="1770">
      <formula>MOD(ROW(O188),2) = 0</formula>
    </cfRule>
  </conditionalFormatting>
  <conditionalFormatting sqref="O187:P187">
    <cfRule type="expression" dxfId="1611" priority="1768">
      <formula>MOD(ROW(O187),2) = 0</formula>
    </cfRule>
  </conditionalFormatting>
  <conditionalFormatting sqref="O186:P186">
    <cfRule type="expression" dxfId="1610" priority="1766">
      <formula>MOD(ROW(O186),2) = 0</formula>
    </cfRule>
  </conditionalFormatting>
  <conditionalFormatting sqref="O185:P185">
    <cfRule type="expression" dxfId="1609" priority="1764">
      <formula>MOD(ROW(O185),2) = 0</formula>
    </cfRule>
  </conditionalFormatting>
  <conditionalFormatting sqref="O184:P184">
    <cfRule type="expression" dxfId="1608" priority="1762">
      <formula>MOD(ROW(O184),2) = 0</formula>
    </cfRule>
  </conditionalFormatting>
  <conditionalFormatting sqref="O183:P183">
    <cfRule type="expression" dxfId="1607" priority="1760">
      <formula>MOD(ROW(O183),2) = 0</formula>
    </cfRule>
  </conditionalFormatting>
  <conditionalFormatting sqref="O182:P182">
    <cfRule type="expression" dxfId="1606" priority="1758">
      <formula>MOD(ROW(O182),2) = 0</formula>
    </cfRule>
  </conditionalFormatting>
  <conditionalFormatting sqref="O181:P181">
    <cfRule type="expression" dxfId="1605" priority="1756">
      <formula>MOD(ROW(O181),2) = 0</formula>
    </cfRule>
  </conditionalFormatting>
  <conditionalFormatting sqref="O180:P180">
    <cfRule type="expression" dxfId="1604" priority="1754">
      <formula>MOD(ROW(O180),2) = 0</formula>
    </cfRule>
  </conditionalFormatting>
  <conditionalFormatting sqref="O179:P179">
    <cfRule type="expression" dxfId="1603" priority="1752">
      <formula>MOD(ROW(O179),2) = 0</formula>
    </cfRule>
  </conditionalFormatting>
  <conditionalFormatting sqref="O178:P178">
    <cfRule type="expression" dxfId="1602" priority="1750">
      <formula>MOD(ROW(O178),2) = 0</formula>
    </cfRule>
  </conditionalFormatting>
  <conditionalFormatting sqref="O177:P177">
    <cfRule type="expression" dxfId="1601" priority="1748">
      <formula>MOD(ROW(O177),2) = 0</formula>
    </cfRule>
  </conditionalFormatting>
  <conditionalFormatting sqref="O176:P176">
    <cfRule type="expression" dxfId="1600" priority="1746">
      <formula>MOD(ROW(O176),2) = 0</formula>
    </cfRule>
  </conditionalFormatting>
  <conditionalFormatting sqref="O175:P175">
    <cfRule type="expression" dxfId="1599" priority="1744">
      <formula>MOD(ROW(O175),2) = 0</formula>
    </cfRule>
  </conditionalFormatting>
  <conditionalFormatting sqref="O174:P174">
    <cfRule type="expression" dxfId="1598" priority="1742">
      <formula>MOD(ROW(O174),2) = 0</formula>
    </cfRule>
  </conditionalFormatting>
  <conditionalFormatting sqref="O173:P173">
    <cfRule type="expression" dxfId="1597" priority="1740">
      <formula>MOD(ROW(O173),2) = 0</formula>
    </cfRule>
  </conditionalFormatting>
  <conditionalFormatting sqref="O172:P172">
    <cfRule type="expression" dxfId="1596" priority="1738">
      <formula>MOD(ROW(O172),2) = 0</formula>
    </cfRule>
  </conditionalFormatting>
  <conditionalFormatting sqref="O171:P171">
    <cfRule type="expression" dxfId="1595" priority="1736">
      <formula>MOD(ROW(O171),2) = 0</formula>
    </cfRule>
  </conditionalFormatting>
  <conditionalFormatting sqref="O170:P170">
    <cfRule type="expression" dxfId="1594" priority="1734">
      <formula>MOD(ROW(O170),2) = 0</formula>
    </cfRule>
  </conditionalFormatting>
  <conditionalFormatting sqref="O169:P169">
    <cfRule type="expression" dxfId="1593" priority="1732">
      <formula>MOD(ROW(O169),2) = 0</formula>
    </cfRule>
  </conditionalFormatting>
  <conditionalFormatting sqref="O168:P168">
    <cfRule type="expression" dxfId="1592" priority="1730">
      <formula>MOD(ROW(O168),2) = 0</formula>
    </cfRule>
  </conditionalFormatting>
  <conditionalFormatting sqref="O167:P167">
    <cfRule type="expression" dxfId="1591" priority="1728">
      <formula>MOD(ROW(O167),2) = 0</formula>
    </cfRule>
  </conditionalFormatting>
  <conditionalFormatting sqref="O166:P166">
    <cfRule type="expression" dxfId="1590" priority="1726">
      <formula>MOD(ROW(O166),2) = 0</formula>
    </cfRule>
  </conditionalFormatting>
  <conditionalFormatting sqref="O165:P165">
    <cfRule type="expression" dxfId="1589" priority="1724">
      <formula>MOD(ROW(O165),2) = 0</formula>
    </cfRule>
  </conditionalFormatting>
  <conditionalFormatting sqref="O164:P164">
    <cfRule type="expression" dxfId="1588" priority="1722">
      <formula>MOD(ROW(O164),2) = 0</formula>
    </cfRule>
  </conditionalFormatting>
  <conditionalFormatting sqref="O163:P163">
    <cfRule type="expression" dxfId="1587" priority="1720">
      <formula>MOD(ROW(O163),2) = 0</formula>
    </cfRule>
  </conditionalFormatting>
  <conditionalFormatting sqref="O162:P162">
    <cfRule type="expression" dxfId="1586" priority="1718">
      <formula>MOD(ROW(O162),2) = 0</formula>
    </cfRule>
  </conditionalFormatting>
  <conditionalFormatting sqref="O161:P161">
    <cfRule type="expression" dxfId="1585" priority="1716">
      <formula>MOD(ROW(O161),2) = 0</formula>
    </cfRule>
  </conditionalFormatting>
  <conditionalFormatting sqref="O160:P160">
    <cfRule type="expression" dxfId="1584" priority="1714">
      <formula>MOD(ROW(O160),2) = 0</formula>
    </cfRule>
  </conditionalFormatting>
  <conditionalFormatting sqref="O159:P159">
    <cfRule type="expression" dxfId="1583" priority="1712">
      <formula>MOD(ROW(O159),2) = 0</formula>
    </cfRule>
  </conditionalFormatting>
  <conditionalFormatting sqref="O158:P158">
    <cfRule type="expression" dxfId="1582" priority="1710">
      <formula>MOD(ROW(O158),2) = 0</formula>
    </cfRule>
  </conditionalFormatting>
  <conditionalFormatting sqref="O157:P157">
    <cfRule type="expression" dxfId="1581" priority="1708">
      <formula>MOD(ROW(O157),2) = 0</formula>
    </cfRule>
  </conditionalFormatting>
  <conditionalFormatting sqref="O156:P156">
    <cfRule type="expression" dxfId="1580" priority="1706">
      <formula>MOD(ROW(O156),2) = 0</formula>
    </cfRule>
  </conditionalFormatting>
  <conditionalFormatting sqref="O155:P155">
    <cfRule type="expression" dxfId="1579" priority="1704">
      <formula>MOD(ROW(O155),2) = 0</formula>
    </cfRule>
  </conditionalFormatting>
  <conditionalFormatting sqref="O154:P154">
    <cfRule type="expression" dxfId="1578" priority="1702">
      <formula>MOD(ROW(O154),2) = 0</formula>
    </cfRule>
  </conditionalFormatting>
  <conditionalFormatting sqref="O153:P153">
    <cfRule type="expression" dxfId="1577" priority="1700">
      <formula>MOD(ROW(O153),2) = 0</formula>
    </cfRule>
  </conditionalFormatting>
  <conditionalFormatting sqref="O152:P152">
    <cfRule type="expression" dxfId="1576" priority="1698">
      <formula>MOD(ROW(O152),2) = 0</formula>
    </cfRule>
  </conditionalFormatting>
  <conditionalFormatting sqref="O151:P151">
    <cfRule type="expression" dxfId="1575" priority="1696">
      <formula>MOD(ROW(O151),2) = 0</formula>
    </cfRule>
  </conditionalFormatting>
  <conditionalFormatting sqref="O150:P150">
    <cfRule type="expression" dxfId="1574" priority="1694">
      <formula>MOD(ROW(O150),2) = 0</formula>
    </cfRule>
  </conditionalFormatting>
  <conditionalFormatting sqref="O149:P149">
    <cfRule type="expression" dxfId="1573" priority="1692">
      <formula>MOD(ROW(O149),2) = 0</formula>
    </cfRule>
  </conditionalFormatting>
  <conditionalFormatting sqref="O148:P148">
    <cfRule type="expression" dxfId="1572" priority="1690">
      <formula>MOD(ROW(O148),2) = 0</formula>
    </cfRule>
  </conditionalFormatting>
  <conditionalFormatting sqref="O147:P147">
    <cfRule type="expression" dxfId="1571" priority="1688">
      <formula>MOD(ROW(O147),2) = 0</formula>
    </cfRule>
  </conditionalFormatting>
  <conditionalFormatting sqref="O146:P146">
    <cfRule type="expression" dxfId="1570" priority="1686">
      <formula>MOD(ROW(O146),2) = 0</formula>
    </cfRule>
  </conditionalFormatting>
  <conditionalFormatting sqref="O145:P145">
    <cfRule type="expression" dxfId="1569" priority="1684">
      <formula>MOD(ROW(O145),2) = 0</formula>
    </cfRule>
  </conditionalFormatting>
  <conditionalFormatting sqref="O144:P144">
    <cfRule type="expression" dxfId="1568" priority="1682">
      <formula>MOD(ROW(O144),2) = 0</formula>
    </cfRule>
  </conditionalFormatting>
  <conditionalFormatting sqref="O143:P143">
    <cfRule type="expression" dxfId="1567" priority="1680">
      <formula>MOD(ROW(O143),2) = 0</formula>
    </cfRule>
  </conditionalFormatting>
  <conditionalFormatting sqref="O142:P142">
    <cfRule type="expression" dxfId="1566" priority="1678">
      <formula>MOD(ROW(O142),2) = 0</formula>
    </cfRule>
  </conditionalFormatting>
  <conditionalFormatting sqref="O141:P141">
    <cfRule type="expression" dxfId="1565" priority="1676">
      <formula>MOD(ROW(O141),2) = 0</formula>
    </cfRule>
  </conditionalFormatting>
  <conditionalFormatting sqref="O140:P140">
    <cfRule type="expression" dxfId="1564" priority="1674">
      <formula>MOD(ROW(O140),2) = 0</formula>
    </cfRule>
  </conditionalFormatting>
  <conditionalFormatting sqref="O139:P139">
    <cfRule type="expression" dxfId="1563" priority="1672">
      <formula>MOD(ROW(O139),2) = 0</formula>
    </cfRule>
  </conditionalFormatting>
  <conditionalFormatting sqref="O138:P138">
    <cfRule type="expression" dxfId="1562" priority="1670">
      <formula>MOD(ROW(O138),2) = 0</formula>
    </cfRule>
  </conditionalFormatting>
  <conditionalFormatting sqref="O137:P137">
    <cfRule type="expression" dxfId="1561" priority="1668">
      <formula>MOD(ROW(O137),2) = 0</formula>
    </cfRule>
  </conditionalFormatting>
  <conditionalFormatting sqref="O136:P136">
    <cfRule type="expression" dxfId="1560" priority="1666">
      <formula>MOD(ROW(O136),2) = 0</formula>
    </cfRule>
  </conditionalFormatting>
  <conditionalFormatting sqref="O135:P135">
    <cfRule type="expression" dxfId="1559" priority="1664">
      <formula>MOD(ROW(O135),2) = 0</formula>
    </cfRule>
  </conditionalFormatting>
  <conditionalFormatting sqref="O134:P134">
    <cfRule type="expression" dxfId="1558" priority="1662">
      <formula>MOD(ROW(O134),2) = 0</formula>
    </cfRule>
  </conditionalFormatting>
  <conditionalFormatting sqref="O133:P133">
    <cfRule type="expression" dxfId="1557" priority="1660">
      <formula>MOD(ROW(O133),2) = 0</formula>
    </cfRule>
  </conditionalFormatting>
  <conditionalFormatting sqref="O132:P132">
    <cfRule type="expression" dxfId="1556" priority="1658">
      <formula>MOD(ROW(O132),2) = 0</formula>
    </cfRule>
  </conditionalFormatting>
  <conditionalFormatting sqref="O131:P131">
    <cfRule type="expression" dxfId="1555" priority="1656">
      <formula>MOD(ROW(O131),2) = 0</formula>
    </cfRule>
  </conditionalFormatting>
  <conditionalFormatting sqref="O130:P130">
    <cfRule type="expression" dxfId="1554" priority="1654">
      <formula>MOD(ROW(O130),2) = 0</formula>
    </cfRule>
  </conditionalFormatting>
  <conditionalFormatting sqref="O129:P129">
    <cfRule type="expression" dxfId="1553" priority="1652">
      <formula>MOD(ROW(O129),2) = 0</formula>
    </cfRule>
  </conditionalFormatting>
  <conditionalFormatting sqref="O128:P128">
    <cfRule type="expression" dxfId="1552" priority="1650">
      <formula>MOD(ROW(O128),2) = 0</formula>
    </cfRule>
  </conditionalFormatting>
  <conditionalFormatting sqref="O127:P127">
    <cfRule type="expression" dxfId="1551" priority="1648">
      <formula>MOD(ROW(O127),2) = 0</formula>
    </cfRule>
  </conditionalFormatting>
  <conditionalFormatting sqref="O126:P126">
    <cfRule type="expression" dxfId="1550" priority="1646">
      <formula>MOD(ROW(O126),2) = 0</formula>
    </cfRule>
  </conditionalFormatting>
  <conditionalFormatting sqref="O125:P125">
    <cfRule type="expression" dxfId="1549" priority="1644">
      <formula>MOD(ROW(O125),2) = 0</formula>
    </cfRule>
  </conditionalFormatting>
  <conditionalFormatting sqref="O124:P124">
    <cfRule type="expression" dxfId="1548" priority="1642">
      <formula>MOD(ROW(O124),2) = 0</formula>
    </cfRule>
  </conditionalFormatting>
  <conditionalFormatting sqref="O123:P123">
    <cfRule type="expression" dxfId="1547" priority="1640">
      <formula>MOD(ROW(O123),2) = 0</formula>
    </cfRule>
  </conditionalFormatting>
  <conditionalFormatting sqref="O122:P122">
    <cfRule type="expression" dxfId="1546" priority="1638">
      <formula>MOD(ROW(O122),2) = 0</formula>
    </cfRule>
  </conditionalFormatting>
  <conditionalFormatting sqref="O121:P121">
    <cfRule type="expression" dxfId="1545" priority="1636">
      <formula>MOD(ROW(O121),2) = 0</formula>
    </cfRule>
  </conditionalFormatting>
  <conditionalFormatting sqref="O120:P120">
    <cfRule type="expression" dxfId="1544" priority="1634">
      <formula>MOD(ROW(O120),2) = 0</formula>
    </cfRule>
  </conditionalFormatting>
  <conditionalFormatting sqref="O119:P119">
    <cfRule type="expression" dxfId="1543" priority="1632">
      <formula>MOD(ROW(O119),2) = 0</formula>
    </cfRule>
  </conditionalFormatting>
  <conditionalFormatting sqref="O118:P118">
    <cfRule type="expression" dxfId="1542" priority="1630">
      <formula>MOD(ROW(O118),2) = 0</formula>
    </cfRule>
  </conditionalFormatting>
  <conditionalFormatting sqref="O117:P117">
    <cfRule type="expression" dxfId="1541" priority="1628">
      <formula>MOD(ROW(O117),2) = 0</formula>
    </cfRule>
  </conditionalFormatting>
  <conditionalFormatting sqref="O116:P116">
    <cfRule type="expression" dxfId="1540" priority="1626">
      <formula>MOD(ROW(O116),2) = 0</formula>
    </cfRule>
  </conditionalFormatting>
  <conditionalFormatting sqref="O115:P115">
    <cfRule type="expression" dxfId="1539" priority="1624">
      <formula>MOD(ROW(O115),2) = 0</formula>
    </cfRule>
  </conditionalFormatting>
  <conditionalFormatting sqref="O114:P114">
    <cfRule type="expression" dxfId="1538" priority="1622">
      <formula>MOD(ROW(O114),2) = 0</formula>
    </cfRule>
  </conditionalFormatting>
  <conditionalFormatting sqref="O113:P113">
    <cfRule type="expression" dxfId="1537" priority="1620">
      <formula>MOD(ROW(O113),2) = 0</formula>
    </cfRule>
  </conditionalFormatting>
  <conditionalFormatting sqref="O112:P112">
    <cfRule type="expression" dxfId="1536" priority="1616">
      <formula>MOD(ROW(O112),2) = 0</formula>
    </cfRule>
  </conditionalFormatting>
  <conditionalFormatting sqref="O111:P111">
    <cfRule type="expression" dxfId="1535" priority="1614">
      <formula>MOD(ROW(O111),2) = 0</formula>
    </cfRule>
  </conditionalFormatting>
  <conditionalFormatting sqref="O110:P110">
    <cfRule type="expression" dxfId="1534" priority="1612">
      <formula>MOD(ROW(O110),2) = 0</formula>
    </cfRule>
  </conditionalFormatting>
  <conditionalFormatting sqref="O109:P109">
    <cfRule type="expression" dxfId="1533" priority="1610">
      <formula>MOD(ROW(O109),2) = 0</formula>
    </cfRule>
  </conditionalFormatting>
  <conditionalFormatting sqref="O108:P108">
    <cfRule type="expression" dxfId="1532" priority="1608">
      <formula>MOD(ROW(O108),2) = 0</formula>
    </cfRule>
  </conditionalFormatting>
  <conditionalFormatting sqref="O107:P107">
    <cfRule type="expression" dxfId="1531" priority="1606">
      <formula>MOD(ROW(O107),2) = 0</formula>
    </cfRule>
  </conditionalFormatting>
  <conditionalFormatting sqref="O106:P106">
    <cfRule type="expression" dxfId="1530" priority="1604">
      <formula>MOD(ROW(O106),2) = 0</formula>
    </cfRule>
  </conditionalFormatting>
  <conditionalFormatting sqref="O105:P105">
    <cfRule type="expression" dxfId="1529" priority="1602">
      <formula>MOD(ROW(O105),2) = 0</formula>
    </cfRule>
  </conditionalFormatting>
  <conditionalFormatting sqref="O104:P104">
    <cfRule type="expression" dxfId="1528" priority="1600">
      <formula>MOD(ROW(O104),2) = 0</formula>
    </cfRule>
  </conditionalFormatting>
  <conditionalFormatting sqref="O103:P103">
    <cfRule type="expression" dxfId="1527" priority="1598">
      <formula>MOD(ROW(O103),2) = 0</formula>
    </cfRule>
  </conditionalFormatting>
  <conditionalFormatting sqref="O102:P102">
    <cfRule type="expression" dxfId="1526" priority="1596">
      <formula>MOD(ROW(O102),2) = 0</formula>
    </cfRule>
  </conditionalFormatting>
  <conditionalFormatting sqref="O101:P101">
    <cfRule type="expression" dxfId="1525" priority="1594">
      <formula>MOD(ROW(O101),2) = 0</formula>
    </cfRule>
  </conditionalFormatting>
  <conditionalFormatting sqref="O100:P100">
    <cfRule type="expression" dxfId="1524" priority="1592">
      <formula>MOD(ROW(O100),2) = 0</formula>
    </cfRule>
  </conditionalFormatting>
  <conditionalFormatting sqref="O99:P99">
    <cfRule type="expression" dxfId="1523" priority="1590">
      <formula>MOD(ROW(O99),2) = 0</formula>
    </cfRule>
  </conditionalFormatting>
  <conditionalFormatting sqref="O98:P98">
    <cfRule type="expression" dxfId="1522" priority="1588">
      <formula>MOD(ROW(O98),2) = 0</formula>
    </cfRule>
  </conditionalFormatting>
  <conditionalFormatting sqref="O97:P97">
    <cfRule type="expression" dxfId="1521" priority="1586">
      <formula>MOD(ROW(O97),2) = 0</formula>
    </cfRule>
  </conditionalFormatting>
  <conditionalFormatting sqref="O96:P96">
    <cfRule type="expression" dxfId="1520" priority="1584">
      <formula>MOD(ROW(O96),2) = 0</formula>
    </cfRule>
  </conditionalFormatting>
  <conditionalFormatting sqref="O95:P95">
    <cfRule type="expression" dxfId="1519" priority="1582">
      <formula>MOD(ROW(O95),2) = 0</formula>
    </cfRule>
  </conditionalFormatting>
  <conditionalFormatting sqref="O94:P94">
    <cfRule type="expression" dxfId="1518" priority="1580">
      <formula>MOD(ROW(O94),2) = 0</formula>
    </cfRule>
  </conditionalFormatting>
  <conditionalFormatting sqref="O93:P93">
    <cfRule type="expression" dxfId="1517" priority="1578">
      <formula>MOD(ROW(O93),2) = 0</formula>
    </cfRule>
  </conditionalFormatting>
  <conditionalFormatting sqref="O92:P92">
    <cfRule type="expression" dxfId="1516" priority="1576">
      <formula>MOD(ROW(O92),2) = 0</formula>
    </cfRule>
  </conditionalFormatting>
  <conditionalFormatting sqref="O91:P91">
    <cfRule type="expression" dxfId="1515" priority="1574">
      <formula>MOD(ROW(O91),2) = 0</formula>
    </cfRule>
  </conditionalFormatting>
  <conditionalFormatting sqref="O90:P90">
    <cfRule type="expression" dxfId="1514" priority="1572">
      <formula>MOD(ROW(O90),2) = 0</formula>
    </cfRule>
  </conditionalFormatting>
  <conditionalFormatting sqref="O89:P89">
    <cfRule type="expression" dxfId="1513" priority="1570">
      <formula>MOD(ROW(O89),2) = 0</formula>
    </cfRule>
  </conditionalFormatting>
  <conditionalFormatting sqref="O88:P88">
    <cfRule type="expression" dxfId="1512" priority="1568">
      <formula>MOD(ROW(O88),2) = 0</formula>
    </cfRule>
  </conditionalFormatting>
  <conditionalFormatting sqref="O87:P87">
    <cfRule type="expression" dxfId="1511" priority="1566">
      <formula>MOD(ROW(O87),2) = 0</formula>
    </cfRule>
  </conditionalFormatting>
  <conditionalFormatting sqref="O86:P86">
    <cfRule type="expression" dxfId="1510" priority="1564">
      <formula>MOD(ROW(O86),2) = 0</formula>
    </cfRule>
  </conditionalFormatting>
  <conditionalFormatting sqref="O85:P85">
    <cfRule type="expression" dxfId="1509" priority="1562">
      <formula>MOD(ROW(O85),2) = 0</formula>
    </cfRule>
  </conditionalFormatting>
  <conditionalFormatting sqref="O84:P84">
    <cfRule type="expression" dxfId="1508" priority="1560">
      <formula>MOD(ROW(O84),2) = 0</formula>
    </cfRule>
  </conditionalFormatting>
  <conditionalFormatting sqref="O83:P83">
    <cfRule type="expression" dxfId="1507" priority="1558">
      <formula>MOD(ROW(O83),2) = 0</formula>
    </cfRule>
  </conditionalFormatting>
  <conditionalFormatting sqref="O82:P82">
    <cfRule type="expression" dxfId="1506" priority="1556">
      <formula>MOD(ROW(O82),2) = 0</formula>
    </cfRule>
  </conditionalFormatting>
  <conditionalFormatting sqref="O81:P81">
    <cfRule type="expression" dxfId="1505" priority="1554">
      <formula>MOD(ROW(O81),2) = 0</formula>
    </cfRule>
  </conditionalFormatting>
  <conditionalFormatting sqref="O80:P80">
    <cfRule type="expression" dxfId="1504" priority="1552">
      <formula>MOD(ROW(O80),2) = 0</formula>
    </cfRule>
  </conditionalFormatting>
  <conditionalFormatting sqref="O79:P79">
    <cfRule type="expression" dxfId="1503" priority="1550">
      <formula>MOD(ROW(O79),2) = 0</formula>
    </cfRule>
  </conditionalFormatting>
  <conditionalFormatting sqref="O78:P78">
    <cfRule type="expression" dxfId="1502" priority="1548">
      <formula>MOD(ROW(O78),2) = 0</formula>
    </cfRule>
  </conditionalFormatting>
  <conditionalFormatting sqref="O77:P77">
    <cfRule type="expression" dxfId="1501" priority="1546">
      <formula>MOD(ROW(O77),2) = 0</formula>
    </cfRule>
  </conditionalFormatting>
  <conditionalFormatting sqref="O76:P76">
    <cfRule type="expression" dxfId="1500" priority="1544">
      <formula>MOD(ROW(O76),2) = 0</formula>
    </cfRule>
  </conditionalFormatting>
  <conditionalFormatting sqref="O75:P75">
    <cfRule type="expression" dxfId="1499" priority="1542">
      <formula>MOD(ROW(O75),2) = 0</formula>
    </cfRule>
  </conditionalFormatting>
  <conditionalFormatting sqref="O74:P74">
    <cfRule type="expression" dxfId="1498" priority="1540">
      <formula>MOD(ROW(O74),2) = 0</formula>
    </cfRule>
  </conditionalFormatting>
  <conditionalFormatting sqref="O73:P73">
    <cfRule type="expression" dxfId="1497" priority="1538">
      <formula>MOD(ROW(O73),2) = 0</formula>
    </cfRule>
  </conditionalFormatting>
  <conditionalFormatting sqref="O72:P72">
    <cfRule type="expression" dxfId="1496" priority="1536">
      <formula>MOD(ROW(O72),2) = 0</formula>
    </cfRule>
  </conditionalFormatting>
  <conditionalFormatting sqref="O71:P71">
    <cfRule type="expression" dxfId="1495" priority="1534">
      <formula>MOD(ROW(O71),2) = 0</formula>
    </cfRule>
  </conditionalFormatting>
  <conditionalFormatting sqref="O70:P70">
    <cfRule type="expression" dxfId="1494" priority="1532">
      <formula>MOD(ROW(O70),2) = 0</formula>
    </cfRule>
  </conditionalFormatting>
  <conditionalFormatting sqref="O69:P69">
    <cfRule type="expression" dxfId="1493" priority="1530">
      <formula>MOD(ROW(O69),2) = 0</formula>
    </cfRule>
  </conditionalFormatting>
  <conditionalFormatting sqref="O68:P68">
    <cfRule type="expression" dxfId="1492" priority="1528">
      <formula>MOD(ROW(O68),2) = 0</formula>
    </cfRule>
  </conditionalFormatting>
  <conditionalFormatting sqref="O67:P67">
    <cfRule type="expression" dxfId="1491" priority="1526">
      <formula>MOD(ROW(O67),2) = 0</formula>
    </cfRule>
  </conditionalFormatting>
  <conditionalFormatting sqref="O66:P66">
    <cfRule type="expression" dxfId="1490" priority="1524">
      <formula>MOD(ROW(O66),2) = 0</formula>
    </cfRule>
  </conditionalFormatting>
  <conditionalFormatting sqref="O65:P65">
    <cfRule type="expression" dxfId="1489" priority="1522">
      <formula>MOD(ROW(O65),2) = 0</formula>
    </cfRule>
  </conditionalFormatting>
  <conditionalFormatting sqref="O64:P64">
    <cfRule type="expression" dxfId="1488" priority="1520">
      <formula>MOD(ROW(O64),2) = 0</formula>
    </cfRule>
  </conditionalFormatting>
  <conditionalFormatting sqref="O63:P63">
    <cfRule type="expression" dxfId="1487" priority="1518">
      <formula>MOD(ROW(O63),2) = 0</formula>
    </cfRule>
  </conditionalFormatting>
  <conditionalFormatting sqref="O62:P62">
    <cfRule type="expression" dxfId="1486" priority="1516">
      <formula>MOD(ROW(O62),2) = 0</formula>
    </cfRule>
  </conditionalFormatting>
  <conditionalFormatting sqref="O61:P61">
    <cfRule type="expression" dxfId="1485" priority="1514">
      <formula>MOD(ROW(O61),2) = 0</formula>
    </cfRule>
  </conditionalFormatting>
  <conditionalFormatting sqref="O60:P60">
    <cfRule type="expression" dxfId="1484" priority="1512">
      <formula>MOD(ROW(O60),2) = 0</formula>
    </cfRule>
  </conditionalFormatting>
  <conditionalFormatting sqref="O59:P59">
    <cfRule type="expression" dxfId="1483" priority="1510">
      <formula>MOD(ROW(O59),2) = 0</formula>
    </cfRule>
  </conditionalFormatting>
  <conditionalFormatting sqref="O58:P58">
    <cfRule type="expression" dxfId="1482" priority="1508">
      <formula>MOD(ROW(O58),2) = 0</formula>
    </cfRule>
  </conditionalFormatting>
  <conditionalFormatting sqref="O57:P57">
    <cfRule type="expression" dxfId="1481" priority="1506">
      <formula>MOD(ROW(O57),2) = 0</formula>
    </cfRule>
  </conditionalFormatting>
  <conditionalFormatting sqref="O56:P56">
    <cfRule type="expression" dxfId="1480" priority="1504">
      <formula>MOD(ROW(O56),2) = 0</formula>
    </cfRule>
  </conditionalFormatting>
  <conditionalFormatting sqref="O55:P55">
    <cfRule type="expression" dxfId="1479" priority="1502">
      <formula>MOD(ROW(O55),2) = 0</formula>
    </cfRule>
  </conditionalFormatting>
  <conditionalFormatting sqref="O54:P54">
    <cfRule type="expression" dxfId="1478" priority="1500">
      <formula>MOD(ROW(O54),2) = 0</formula>
    </cfRule>
  </conditionalFormatting>
  <conditionalFormatting sqref="O53:P53">
    <cfRule type="expression" dxfId="1477" priority="1498">
      <formula>MOD(ROW(O53),2) = 0</formula>
    </cfRule>
  </conditionalFormatting>
  <conditionalFormatting sqref="O52:P52">
    <cfRule type="expression" dxfId="1476" priority="1496">
      <formula>MOD(ROW(O52),2) = 0</formula>
    </cfRule>
  </conditionalFormatting>
  <conditionalFormatting sqref="O51:P51">
    <cfRule type="expression" dxfId="1475" priority="1494">
      <formula>MOD(ROW(O51),2) = 0</formula>
    </cfRule>
  </conditionalFormatting>
  <conditionalFormatting sqref="O50:P50">
    <cfRule type="expression" dxfId="1474" priority="1492">
      <formula>MOD(ROW(O50),2) = 0</formula>
    </cfRule>
  </conditionalFormatting>
  <conditionalFormatting sqref="O49:P49">
    <cfRule type="expression" dxfId="1473" priority="1490">
      <formula>MOD(ROW(O49),2) = 0</formula>
    </cfRule>
  </conditionalFormatting>
  <conditionalFormatting sqref="O48:P48">
    <cfRule type="expression" dxfId="1472" priority="1488">
      <formula>MOD(ROW(O48),2) = 0</formula>
    </cfRule>
  </conditionalFormatting>
  <conditionalFormatting sqref="O47:P47">
    <cfRule type="expression" dxfId="1471" priority="1486">
      <formula>MOD(ROW(O47),2) = 0</formula>
    </cfRule>
  </conditionalFormatting>
  <conditionalFormatting sqref="O46:P46">
    <cfRule type="expression" dxfId="1470" priority="1484">
      <formula>MOD(ROW(O46),2) = 0</formula>
    </cfRule>
  </conditionalFormatting>
  <conditionalFormatting sqref="O45:P45">
    <cfRule type="expression" dxfId="1469" priority="1482">
      <formula>MOD(ROW(O45),2) = 0</formula>
    </cfRule>
  </conditionalFormatting>
  <conditionalFormatting sqref="O44:P44">
    <cfRule type="expression" dxfId="1468" priority="1480">
      <formula>MOD(ROW(O44),2) = 0</formula>
    </cfRule>
  </conditionalFormatting>
  <conditionalFormatting sqref="O43:P43">
    <cfRule type="expression" dxfId="1467" priority="1478">
      <formula>MOD(ROW(O43),2) = 0</formula>
    </cfRule>
  </conditionalFormatting>
  <conditionalFormatting sqref="O42:P42">
    <cfRule type="expression" dxfId="1466" priority="1476">
      <formula>MOD(ROW(O42),2) = 0</formula>
    </cfRule>
  </conditionalFormatting>
  <conditionalFormatting sqref="O41:P41">
    <cfRule type="expression" dxfId="1465" priority="1474">
      <formula>MOD(ROW(O41),2) = 0</formula>
    </cfRule>
  </conditionalFormatting>
  <conditionalFormatting sqref="O40:P40">
    <cfRule type="expression" dxfId="1464" priority="1472">
      <formula>MOD(ROW(O40),2) = 0</formula>
    </cfRule>
  </conditionalFormatting>
  <conditionalFormatting sqref="O39:P39">
    <cfRule type="expression" dxfId="1463" priority="1470">
      <formula>MOD(ROW(O39),2) = 0</formula>
    </cfRule>
  </conditionalFormatting>
  <conditionalFormatting sqref="O38:P38">
    <cfRule type="expression" dxfId="1462" priority="1468">
      <formula>MOD(ROW(O38),2) = 0</formula>
    </cfRule>
  </conditionalFormatting>
  <conditionalFormatting sqref="O37:P37">
    <cfRule type="expression" dxfId="1461" priority="1466">
      <formula>MOD(ROW(O37),2) = 0</formula>
    </cfRule>
  </conditionalFormatting>
  <conditionalFormatting sqref="O36:P36">
    <cfRule type="expression" dxfId="1460" priority="1464">
      <formula>MOD(ROW(O36),2) = 0</formula>
    </cfRule>
  </conditionalFormatting>
  <conditionalFormatting sqref="O35:P35">
    <cfRule type="expression" dxfId="1459" priority="1462">
      <formula>MOD(ROW(O35),2) = 0</formula>
    </cfRule>
  </conditionalFormatting>
  <conditionalFormatting sqref="O34:P34">
    <cfRule type="expression" dxfId="1458" priority="1460">
      <formula>MOD(ROW(O34),2) = 0</formula>
    </cfRule>
  </conditionalFormatting>
  <conditionalFormatting sqref="A1173:I1183 K1173:N2649 A1228:I1250 A1227:F1227 H1227:I1227 A1287:I1305 A1286:F1286 H1286:I1286 A1338:I1364 A1337:F1337 H1337:I1337 A1366:I1387 A1365:F1365 H1365:I1365 A1427:I1433 A1426:F1426 H1426:I1426 A1435:I1484 A1434:F1434 H1434:I1434 A1518:I1657 A1517:F1517 H1517:I1517 A2010:I2018 A1185:I1191 A1184:F1184 H1184:I1184 A1193:I1222 A1192:F1192 H1192:I1192 A1224:I1226 A1223:F1223 H1223:I1223 A1252:I1269 A1251:F1251 H1251:I1251 A1271:I1285 A1270:F1270 H1270:I1270 A1307:I1336 A1306:F1306 H1306:I1306 A1389:I1389 A1388:F1388 H1388:I1388 A1391:I1400 A1390:F1390 H1390:I1390 A1402:I1425 A1401:F1401 H1401:I1401 A1486:I1497 A1485:F1485 H1485:I1485 A1499:I1516 A1498:F1498 H1498:I1498 A1660:I1662 A1658:F1659 H1658:I1659 A1665:I1674 A1663:F1664 H1663:I1664 A1676:I1722 A1675:F1675 H1675:I1675 A1724:I1747 A1723:F1723 H1723:I1723 A1749:I1833 A1748:F1748 H1748:I1748 A1835:I1838 A1834:F1834 H1834:I1834 A1840:I1859 A1839:F1839 H1839:I1839 A1861:I1890 A1860:F1860 H1860:I1860 A1892:I1921 A1891:F1891 H1891:I1891 A1923:I1923 A1922:F1922 H1922:I1922 A1925:I1929 A1924:F1924 H1924:I1924 A1931:I1961 A1930:F1930 H1930:I1930 A1963:I2007 A1962:F1962 H1962:I1962 A2008:F2009 H2008:I2009 A2020:I2020 A2019:F2019 H2019:I2019 A2022:I2063 A2021:F2021 H2021:I2021 A2065:I2124 A2064:F2064 H2064:I2064 A2126:I2145 A2125:F2125 H2125:I2125 A2147:I2166 A2146:F2146 H2146:I2146 A2168:I2320 A2167:F2167 H2167:I2167 A2323:I2649 A2321:F2322 H2321:I2322">
    <cfRule type="expression" dxfId="1457" priority="1458">
      <formula>MOD(ROW(A1173),2) = 0</formula>
    </cfRule>
  </conditionalFormatting>
  <conditionalFormatting sqref="G1026">
    <cfRule type="expression" dxfId="1456" priority="1457">
      <formula>MOD(ROW(G1026),2) = 0</formula>
    </cfRule>
  </conditionalFormatting>
  <conditionalFormatting sqref="A1172:I1172 K1172:N1172">
    <cfRule type="expression" dxfId="1455" priority="1456">
      <formula>MOD(ROW(A1172),2) = 0</formula>
    </cfRule>
  </conditionalFormatting>
  <conditionalFormatting sqref="A1171:I1171 K1171:N1171">
    <cfRule type="expression" dxfId="1454" priority="1455">
      <formula>MOD(ROW(A1171),2) = 0</formula>
    </cfRule>
  </conditionalFormatting>
  <conditionalFormatting sqref="A1170:I1170 K1170:N1170">
    <cfRule type="expression" dxfId="1453" priority="1454">
      <formula>MOD(ROW(A1170),2) = 0</formula>
    </cfRule>
  </conditionalFormatting>
  <conditionalFormatting sqref="A1169:I1169 K1169:N1169">
    <cfRule type="expression" dxfId="1452" priority="1453">
      <formula>MOD(ROW(A1169),2) = 0</formula>
    </cfRule>
  </conditionalFormatting>
  <conditionalFormatting sqref="A1168:F1168 K1168:N1168 H1168:I1168">
    <cfRule type="expression" dxfId="1451" priority="1452">
      <formula>MOD(ROW(A1168),2) = 0</formula>
    </cfRule>
  </conditionalFormatting>
  <conditionalFormatting sqref="A1167:I1167 K1167:N1167">
    <cfRule type="expression" dxfId="1450" priority="1451">
      <formula>MOD(ROW(A1167),2) = 0</formula>
    </cfRule>
  </conditionalFormatting>
  <conditionalFormatting sqref="A1166:I1166 K1166:N1166">
    <cfRule type="expression" dxfId="1449" priority="1450">
      <formula>MOD(ROW(A1166),2) = 0</formula>
    </cfRule>
  </conditionalFormatting>
  <conditionalFormatting sqref="A1165:I1165 K1165:N1165">
    <cfRule type="expression" dxfId="1448" priority="1449">
      <formula>MOD(ROW(A1165),2) = 0</formula>
    </cfRule>
  </conditionalFormatting>
  <conditionalFormatting sqref="A1164:I1164 K1164:N1164">
    <cfRule type="expression" dxfId="1447" priority="1448">
      <formula>MOD(ROW(A1164),2) = 0</formula>
    </cfRule>
  </conditionalFormatting>
  <conditionalFormatting sqref="A1163:I1163 K1163:N1163">
    <cfRule type="expression" dxfId="1446" priority="1447">
      <formula>MOD(ROW(A1163),2) = 0</formula>
    </cfRule>
  </conditionalFormatting>
  <conditionalFormatting sqref="A1162:I1162 K1162:N1162">
    <cfRule type="expression" dxfId="1445" priority="1446">
      <formula>MOD(ROW(A1162),2) = 0</formula>
    </cfRule>
  </conditionalFormatting>
  <conditionalFormatting sqref="A1161:I1161 K1161:N1161">
    <cfRule type="expression" dxfId="1444" priority="1445">
      <formula>MOD(ROW(A1161),2) = 0</formula>
    </cfRule>
  </conditionalFormatting>
  <conditionalFormatting sqref="A1160:I1160 K1160:N1160">
    <cfRule type="expression" dxfId="1443" priority="1444">
      <formula>MOD(ROW(A1160),2) = 0</formula>
    </cfRule>
  </conditionalFormatting>
  <conditionalFormatting sqref="A1159:F1159 K1159:N1159 H1159:I1159">
    <cfRule type="expression" dxfId="1442" priority="1443">
      <formula>MOD(ROW(A1159),2) = 0</formula>
    </cfRule>
  </conditionalFormatting>
  <conditionalFormatting sqref="A1158:I1158 K1158:N1158">
    <cfRule type="expression" dxfId="1441" priority="1442">
      <formula>MOD(ROW(A1158),2) = 0</formula>
    </cfRule>
  </conditionalFormatting>
  <conditionalFormatting sqref="A1157:I1157 K1157:N1157">
    <cfRule type="expression" dxfId="1440" priority="1441">
      <formula>MOD(ROW(A1157),2) = 0</formula>
    </cfRule>
  </conditionalFormatting>
  <conditionalFormatting sqref="A1156:I1156 K1156:N1156">
    <cfRule type="expression" dxfId="1439" priority="1440">
      <formula>MOD(ROW(A1156),2) = 0</formula>
    </cfRule>
  </conditionalFormatting>
  <conditionalFormatting sqref="A1155:I1155 K1155:N1155">
    <cfRule type="expression" dxfId="1438" priority="1439">
      <formula>MOD(ROW(A1155),2) = 0</formula>
    </cfRule>
  </conditionalFormatting>
  <conditionalFormatting sqref="A1154:I1154 K1154:N1154">
    <cfRule type="expression" dxfId="1437" priority="1438">
      <formula>MOD(ROW(A1154),2) = 0</formula>
    </cfRule>
  </conditionalFormatting>
  <conditionalFormatting sqref="A1153:F1153 K1153:N1153 H1153:I1153">
    <cfRule type="expression" dxfId="1436" priority="1437">
      <formula>MOD(ROW(A1153),2) = 0</formula>
    </cfRule>
  </conditionalFormatting>
  <conditionalFormatting sqref="A1152:I1152 K1152:N1152">
    <cfRule type="expression" dxfId="1435" priority="1436">
      <formula>MOD(ROW(A1152),2) = 0</formula>
    </cfRule>
  </conditionalFormatting>
  <conditionalFormatting sqref="A1151:I1151 K1151:N1151">
    <cfRule type="expression" dxfId="1434" priority="1435">
      <formula>MOD(ROW(A1151),2) = 0</formula>
    </cfRule>
  </conditionalFormatting>
  <conditionalFormatting sqref="A1150:I1150 K1150:N1150">
    <cfRule type="expression" dxfId="1433" priority="1434">
      <formula>MOD(ROW(A1150),2) = 0</formula>
    </cfRule>
  </conditionalFormatting>
  <conditionalFormatting sqref="A1149:I1149 K1149:N1149">
    <cfRule type="expression" dxfId="1432" priority="1433">
      <formula>MOD(ROW(A1149),2) = 0</formula>
    </cfRule>
  </conditionalFormatting>
  <conditionalFormatting sqref="A1148:I1148 K1148:N1148">
    <cfRule type="expression" dxfId="1431" priority="1432">
      <formula>MOD(ROW(A1148),2) = 0</formula>
    </cfRule>
  </conditionalFormatting>
  <conditionalFormatting sqref="A1147:I1147 K1147:N1147">
    <cfRule type="expression" dxfId="1430" priority="1431">
      <formula>MOD(ROW(A1147),2) = 0</formula>
    </cfRule>
  </conditionalFormatting>
  <conditionalFormatting sqref="A1146:I1146 K1146:N1146">
    <cfRule type="expression" dxfId="1429" priority="1430">
      <formula>MOD(ROW(A1146),2) = 0</formula>
    </cfRule>
  </conditionalFormatting>
  <conditionalFormatting sqref="A1145:I1145 K1145:N1145">
    <cfRule type="expression" dxfId="1428" priority="1429">
      <formula>MOD(ROW(A1145),2) = 0</formula>
    </cfRule>
  </conditionalFormatting>
  <conditionalFormatting sqref="A1144:F1144 K1144:N1144 H1144:I1144">
    <cfRule type="expression" dxfId="1427" priority="1428">
      <formula>MOD(ROW(A1144),2) = 0</formula>
    </cfRule>
  </conditionalFormatting>
  <conditionalFormatting sqref="A1143:I1143 K1143:N1143">
    <cfRule type="expression" dxfId="1426" priority="1427">
      <formula>MOD(ROW(A1143),2) = 0</formula>
    </cfRule>
  </conditionalFormatting>
  <conditionalFormatting sqref="A1142:I1142 K1142:N1142">
    <cfRule type="expression" dxfId="1425" priority="1426">
      <formula>MOD(ROW(A1142),2) = 0</formula>
    </cfRule>
  </conditionalFormatting>
  <conditionalFormatting sqref="A1141:I1141 K1141:N1141">
    <cfRule type="expression" dxfId="1424" priority="1425">
      <formula>MOD(ROW(A1141),2) = 0</formula>
    </cfRule>
  </conditionalFormatting>
  <conditionalFormatting sqref="A1140:I1140 K1140:N1140">
    <cfRule type="expression" dxfId="1423" priority="1424">
      <formula>MOD(ROW(A1140),2) = 0</formula>
    </cfRule>
  </conditionalFormatting>
  <conditionalFormatting sqref="A1139:I1139 K1139:N1139">
    <cfRule type="expression" dxfId="1422" priority="1423">
      <formula>MOD(ROW(A1139),2) = 0</formula>
    </cfRule>
  </conditionalFormatting>
  <conditionalFormatting sqref="A1138:I1138 K1138:N1138">
    <cfRule type="expression" dxfId="1421" priority="1422">
      <formula>MOD(ROW(A1138),2) = 0</formula>
    </cfRule>
  </conditionalFormatting>
  <conditionalFormatting sqref="A1137:I1137 K1137:N1137">
    <cfRule type="expression" dxfId="1420" priority="1421">
      <formula>MOD(ROW(A1137),2) = 0</formula>
    </cfRule>
  </conditionalFormatting>
  <conditionalFormatting sqref="A1136:F1136 K1136:N1136 H1136:I1136">
    <cfRule type="expression" dxfId="1419" priority="1420">
      <formula>MOD(ROW(A1136),2) = 0</formula>
    </cfRule>
  </conditionalFormatting>
  <conditionalFormatting sqref="A1135:I1135 K1135:N1135">
    <cfRule type="expression" dxfId="1418" priority="1419">
      <formula>MOD(ROW(A1135),2) = 0</formula>
    </cfRule>
  </conditionalFormatting>
  <conditionalFormatting sqref="A1134:I1134 K1134:N1134">
    <cfRule type="expression" dxfId="1417" priority="1418">
      <formula>MOD(ROW(A1134),2) = 0</formula>
    </cfRule>
  </conditionalFormatting>
  <conditionalFormatting sqref="A1133:I1133 K1133:N1133">
    <cfRule type="expression" dxfId="1416" priority="1417">
      <formula>MOD(ROW(A1133),2) = 0</formula>
    </cfRule>
  </conditionalFormatting>
  <conditionalFormatting sqref="A1132:I1132 K1132:N1132">
    <cfRule type="expression" dxfId="1415" priority="1416">
      <formula>MOD(ROW(A1132),2) = 0</formula>
    </cfRule>
  </conditionalFormatting>
  <conditionalFormatting sqref="A1131:I1131 K1131:N1131">
    <cfRule type="expression" dxfId="1414" priority="1415">
      <formula>MOD(ROW(A1131),2) = 0</formula>
    </cfRule>
  </conditionalFormatting>
  <conditionalFormatting sqref="A1130:I1130 K1130:N1130">
    <cfRule type="expression" dxfId="1413" priority="1414">
      <formula>MOD(ROW(A1130),2) = 0</formula>
    </cfRule>
  </conditionalFormatting>
  <conditionalFormatting sqref="A1129:I1129 K1129:N1129">
    <cfRule type="expression" dxfId="1412" priority="1413">
      <formula>MOD(ROW(A1129),2) = 0</formula>
    </cfRule>
  </conditionalFormatting>
  <conditionalFormatting sqref="A1128:I1128 K1128:N1128">
    <cfRule type="expression" dxfId="1411" priority="1412">
      <formula>MOD(ROW(A1128),2) = 0</formula>
    </cfRule>
  </conditionalFormatting>
  <conditionalFormatting sqref="A1127:I1127 K1127:N1127">
    <cfRule type="expression" dxfId="1410" priority="1411">
      <formula>MOD(ROW(A1127),2) = 0</formula>
    </cfRule>
  </conditionalFormatting>
  <conditionalFormatting sqref="A1126:I1126 K1126:N1126">
    <cfRule type="expression" dxfId="1409" priority="1410">
      <formula>MOD(ROW(A1126),2) = 0</formula>
    </cfRule>
  </conditionalFormatting>
  <conditionalFormatting sqref="A1125:I1125 K1125:N1125">
    <cfRule type="expression" dxfId="1408" priority="1409">
      <formula>MOD(ROW(A1125),2) = 0</formula>
    </cfRule>
  </conditionalFormatting>
  <conditionalFormatting sqref="A1124:I1124 K1124:N1124">
    <cfRule type="expression" dxfId="1407" priority="1408">
      <formula>MOD(ROW(A1124),2) = 0</formula>
    </cfRule>
  </conditionalFormatting>
  <conditionalFormatting sqref="A1123:I1123 K1123:N1123">
    <cfRule type="expression" dxfId="1406" priority="1407">
      <formula>MOD(ROW(A1123),2) = 0</formula>
    </cfRule>
  </conditionalFormatting>
  <conditionalFormatting sqref="A1122:I1122 K1122:N1122">
    <cfRule type="expression" dxfId="1405" priority="1406">
      <formula>MOD(ROW(A1122),2) = 0</formula>
    </cfRule>
  </conditionalFormatting>
  <conditionalFormatting sqref="A1121:I1121 K1121:N1121">
    <cfRule type="expression" dxfId="1404" priority="1405">
      <formula>MOD(ROW(A1121),2) = 0</formula>
    </cfRule>
  </conditionalFormatting>
  <conditionalFormatting sqref="A1120:I1120 K1120:N1120">
    <cfRule type="expression" dxfId="1403" priority="1404">
      <formula>MOD(ROW(A1120),2) = 0</formula>
    </cfRule>
  </conditionalFormatting>
  <conditionalFormatting sqref="A1119:I1119 K1119:N1119">
    <cfRule type="expression" dxfId="1402" priority="1403">
      <formula>MOD(ROW(A1119),2) = 0</formula>
    </cfRule>
  </conditionalFormatting>
  <conditionalFormatting sqref="A1118:I1118 K1118:N1118">
    <cfRule type="expression" dxfId="1401" priority="1402">
      <formula>MOD(ROW(A1118),2) = 0</formula>
    </cfRule>
  </conditionalFormatting>
  <conditionalFormatting sqref="A1117:I1117 K1117:N1117">
    <cfRule type="expression" dxfId="1400" priority="1401">
      <formula>MOD(ROW(A1117),2) = 0</formula>
    </cfRule>
  </conditionalFormatting>
  <conditionalFormatting sqref="A1116:I1116 K1116:N1116">
    <cfRule type="expression" dxfId="1399" priority="1400">
      <formula>MOD(ROW(A1116),2) = 0</formula>
    </cfRule>
  </conditionalFormatting>
  <conditionalFormatting sqref="A1115:I1115 K1115:N1115">
    <cfRule type="expression" dxfId="1398" priority="1399">
      <formula>MOD(ROW(A1115),2) = 0</formula>
    </cfRule>
  </conditionalFormatting>
  <conditionalFormatting sqref="A1114:I1114 K1114:N1114">
    <cfRule type="expression" dxfId="1397" priority="1398">
      <formula>MOD(ROW(A1114),2) = 0</formula>
    </cfRule>
  </conditionalFormatting>
  <conditionalFormatting sqref="A1113:I1113 K1113:N1113">
    <cfRule type="expression" dxfId="1396" priority="1397">
      <formula>MOD(ROW(A1113),2) = 0</formula>
    </cfRule>
  </conditionalFormatting>
  <conditionalFormatting sqref="A1112:I1112 K1112:N1112">
    <cfRule type="expression" dxfId="1395" priority="1396">
      <formula>MOD(ROW(A1112),2) = 0</formula>
    </cfRule>
  </conditionalFormatting>
  <conditionalFormatting sqref="A1111:I1111 K1111:N1111">
    <cfRule type="expression" dxfId="1394" priority="1395">
      <formula>MOD(ROW(A1111),2) = 0</formula>
    </cfRule>
  </conditionalFormatting>
  <conditionalFormatting sqref="A1110:I1110 K1110:N1110">
    <cfRule type="expression" dxfId="1393" priority="1394">
      <formula>MOD(ROW(A1110),2) = 0</formula>
    </cfRule>
  </conditionalFormatting>
  <conditionalFormatting sqref="A1109:I1109 K1109:N1109">
    <cfRule type="expression" dxfId="1392" priority="1393">
      <formula>MOD(ROW(A1109),2) = 0</formula>
    </cfRule>
  </conditionalFormatting>
  <conditionalFormatting sqref="A1108:I1108 K1108:N1108">
    <cfRule type="expression" dxfId="1391" priority="1392">
      <formula>MOD(ROW(A1108),2) = 0</formula>
    </cfRule>
  </conditionalFormatting>
  <conditionalFormatting sqref="A1107:I1107 K1107:N1107">
    <cfRule type="expression" dxfId="1390" priority="1391">
      <formula>MOD(ROW(A1107),2) = 0</formula>
    </cfRule>
  </conditionalFormatting>
  <conditionalFormatting sqref="A1106:I1106 K1106:N1106">
    <cfRule type="expression" dxfId="1389" priority="1390">
      <formula>MOD(ROW(A1106),2) = 0</formula>
    </cfRule>
  </conditionalFormatting>
  <conditionalFormatting sqref="A1105:I1105 K1105:N1105">
    <cfRule type="expression" dxfId="1388" priority="1389">
      <formula>MOD(ROW(A1105),2) = 0</formula>
    </cfRule>
  </conditionalFormatting>
  <conditionalFormatting sqref="A1104:I1104 K1104:N1104">
    <cfRule type="expression" dxfId="1387" priority="1388">
      <formula>MOD(ROW(A1104),2) = 0</formula>
    </cfRule>
  </conditionalFormatting>
  <conditionalFormatting sqref="A1103:I1103 K1103:N1103">
    <cfRule type="expression" dxfId="1386" priority="1387">
      <formula>MOD(ROW(A1103),2) = 0</formula>
    </cfRule>
  </conditionalFormatting>
  <conditionalFormatting sqref="A1102:I1102 K1102:N1102">
    <cfRule type="expression" dxfId="1385" priority="1386">
      <formula>MOD(ROW(A1102),2) = 0</formula>
    </cfRule>
  </conditionalFormatting>
  <conditionalFormatting sqref="A1101:I1101 K1101:N1101">
    <cfRule type="expression" dxfId="1384" priority="1385">
      <formula>MOD(ROW(A1101),2) = 0</formula>
    </cfRule>
  </conditionalFormatting>
  <conditionalFormatting sqref="A1100:I1100 K1100:N1100">
    <cfRule type="expression" dxfId="1383" priority="1384">
      <formula>MOD(ROW(A1100),2) = 0</formula>
    </cfRule>
  </conditionalFormatting>
  <conditionalFormatting sqref="A1099:I1099 K1099:N1099">
    <cfRule type="expression" dxfId="1382" priority="1383">
      <formula>MOD(ROW(A1099),2) = 0</formula>
    </cfRule>
  </conditionalFormatting>
  <conditionalFormatting sqref="A1098:I1098 K1098:N1098">
    <cfRule type="expression" dxfId="1381" priority="1382">
      <formula>MOD(ROW(A1098),2) = 0</formula>
    </cfRule>
  </conditionalFormatting>
  <conditionalFormatting sqref="A1097:I1097 K1097:N1097">
    <cfRule type="expression" dxfId="1380" priority="1381">
      <formula>MOD(ROW(A1097),2) = 0</formula>
    </cfRule>
  </conditionalFormatting>
  <conditionalFormatting sqref="A1096:I1096 K1096:N1096">
    <cfRule type="expression" dxfId="1379" priority="1380">
      <formula>MOD(ROW(A1096),2) = 0</formula>
    </cfRule>
  </conditionalFormatting>
  <conditionalFormatting sqref="A1095:I1095 K1095:N1095">
    <cfRule type="expression" dxfId="1378" priority="1379">
      <formula>MOD(ROW(A1095),2) = 0</formula>
    </cfRule>
  </conditionalFormatting>
  <conditionalFormatting sqref="A1094:I1094 K1094:N1094">
    <cfRule type="expression" dxfId="1377" priority="1378">
      <formula>MOD(ROW(A1094),2) = 0</formula>
    </cfRule>
  </conditionalFormatting>
  <conditionalFormatting sqref="A1093:I1093 K1093:N1093">
    <cfRule type="expression" dxfId="1376" priority="1377">
      <formula>MOD(ROW(A1093),2) = 0</formula>
    </cfRule>
  </conditionalFormatting>
  <conditionalFormatting sqref="A1092:I1092 K1092:N1092">
    <cfRule type="expression" dxfId="1375" priority="1376">
      <formula>MOD(ROW(A1092),2) = 0</formula>
    </cfRule>
  </conditionalFormatting>
  <conditionalFormatting sqref="A1091:I1091 K1091:N1091">
    <cfRule type="expression" dxfId="1374" priority="1375">
      <formula>MOD(ROW(A1091),2) = 0</formula>
    </cfRule>
  </conditionalFormatting>
  <conditionalFormatting sqref="A1090:I1090 K1090:N1090">
    <cfRule type="expression" dxfId="1373" priority="1374">
      <formula>MOD(ROW(A1090),2) = 0</formula>
    </cfRule>
  </conditionalFormatting>
  <conditionalFormatting sqref="A1089:I1089 K1089:N1089">
    <cfRule type="expression" dxfId="1372" priority="1373">
      <formula>MOD(ROW(A1089),2) = 0</formula>
    </cfRule>
  </conditionalFormatting>
  <conditionalFormatting sqref="A1088:I1088 K1088:N1088">
    <cfRule type="expression" dxfId="1371" priority="1372">
      <formula>MOD(ROW(A1088),2) = 0</formula>
    </cfRule>
  </conditionalFormatting>
  <conditionalFormatting sqref="A1087:I1087 K1087:N1087">
    <cfRule type="expression" dxfId="1370" priority="1371">
      <formula>MOD(ROW(A1087),2) = 0</formula>
    </cfRule>
  </conditionalFormatting>
  <conditionalFormatting sqref="A1086:I1086 K1086:N1086">
    <cfRule type="expression" dxfId="1369" priority="1370">
      <formula>MOD(ROW(A1086),2) = 0</formula>
    </cfRule>
  </conditionalFormatting>
  <conditionalFormatting sqref="A1085:I1085 K1085:N1085">
    <cfRule type="expression" dxfId="1368" priority="1369">
      <formula>MOD(ROW(A1085),2) = 0</formula>
    </cfRule>
  </conditionalFormatting>
  <conditionalFormatting sqref="A1084:I1084 K1084:N1084">
    <cfRule type="expression" dxfId="1367" priority="1368">
      <formula>MOD(ROW(A1084),2) = 0</formula>
    </cfRule>
  </conditionalFormatting>
  <conditionalFormatting sqref="A1083:I1083 K1083:N1083">
    <cfRule type="expression" dxfId="1366" priority="1367">
      <formula>MOD(ROW(A1083),2) = 0</formula>
    </cfRule>
  </conditionalFormatting>
  <conditionalFormatting sqref="A1082:I1082 K1082:N1082">
    <cfRule type="expression" dxfId="1365" priority="1366">
      <formula>MOD(ROW(A1082),2) = 0</formula>
    </cfRule>
  </conditionalFormatting>
  <conditionalFormatting sqref="A1081:I1081 K1081:N1081">
    <cfRule type="expression" dxfId="1364" priority="1365">
      <formula>MOD(ROW(A1081),2) = 0</formula>
    </cfRule>
  </conditionalFormatting>
  <conditionalFormatting sqref="A1080:I1080 K1080:N1080">
    <cfRule type="expression" dxfId="1363" priority="1364">
      <formula>MOD(ROW(A1080),2) = 0</formula>
    </cfRule>
  </conditionalFormatting>
  <conditionalFormatting sqref="A1079:I1079 K1079:N1079">
    <cfRule type="expression" dxfId="1362" priority="1363">
      <formula>MOD(ROW(A1079),2) = 0</formula>
    </cfRule>
  </conditionalFormatting>
  <conditionalFormatting sqref="A1078:I1078 K1078:N1078">
    <cfRule type="expression" dxfId="1361" priority="1362">
      <formula>MOD(ROW(A1078),2) = 0</formula>
    </cfRule>
  </conditionalFormatting>
  <conditionalFormatting sqref="A1077:I1077 K1077:N1077">
    <cfRule type="expression" dxfId="1360" priority="1361">
      <formula>MOD(ROW(A1077),2) = 0</formula>
    </cfRule>
  </conditionalFormatting>
  <conditionalFormatting sqref="A1076:I1076 K1076:N1076">
    <cfRule type="expression" dxfId="1359" priority="1360">
      <formula>MOD(ROW(A1076),2) = 0</formula>
    </cfRule>
  </conditionalFormatting>
  <conditionalFormatting sqref="A1075:I1075 K1075:N1075">
    <cfRule type="expression" dxfId="1358" priority="1359">
      <formula>MOD(ROW(A1075),2) = 0</formula>
    </cfRule>
  </conditionalFormatting>
  <conditionalFormatting sqref="A1074:I1074 K1074:N1074">
    <cfRule type="expression" dxfId="1357" priority="1358">
      <formula>MOD(ROW(A1074),2) = 0</formula>
    </cfRule>
  </conditionalFormatting>
  <conditionalFormatting sqref="A1073:I1073 K1073:N1073">
    <cfRule type="expression" dxfId="1356" priority="1357">
      <formula>MOD(ROW(A1073),2) = 0</formula>
    </cfRule>
  </conditionalFormatting>
  <conditionalFormatting sqref="A1072:I1072 K1072:N1072">
    <cfRule type="expression" dxfId="1355" priority="1356">
      <formula>MOD(ROW(A1072),2) = 0</formula>
    </cfRule>
  </conditionalFormatting>
  <conditionalFormatting sqref="A1071:I1071 K1071:N1071">
    <cfRule type="expression" dxfId="1354" priority="1355">
      <formula>MOD(ROW(A1071),2) = 0</formula>
    </cfRule>
  </conditionalFormatting>
  <conditionalFormatting sqref="A1070:I1070 K1070:N1070">
    <cfRule type="expression" dxfId="1353" priority="1354">
      <formula>MOD(ROW(A1070),2) = 0</formula>
    </cfRule>
  </conditionalFormatting>
  <conditionalFormatting sqref="A1069:I1069 K1069:N1069">
    <cfRule type="expression" dxfId="1352" priority="1353">
      <formula>MOD(ROW(A1069),2) = 0</formula>
    </cfRule>
  </conditionalFormatting>
  <conditionalFormatting sqref="A1068:I1068 K1068:N1068">
    <cfRule type="expression" dxfId="1351" priority="1352">
      <formula>MOD(ROW(A1068),2) = 0</formula>
    </cfRule>
  </conditionalFormatting>
  <conditionalFormatting sqref="A1067:I1067 K1067:N1067">
    <cfRule type="expression" dxfId="1350" priority="1351">
      <formula>MOD(ROW(A1067),2) = 0</formula>
    </cfRule>
  </conditionalFormatting>
  <conditionalFormatting sqref="A1066:I1066 K1066:N1066">
    <cfRule type="expression" dxfId="1349" priority="1350">
      <formula>MOD(ROW(A1066),2) = 0</formula>
    </cfRule>
  </conditionalFormatting>
  <conditionalFormatting sqref="A1065:I1065 K1065:N1065">
    <cfRule type="expression" dxfId="1348" priority="1349">
      <formula>MOD(ROW(A1065),2) = 0</formula>
    </cfRule>
  </conditionalFormatting>
  <conditionalFormatting sqref="A1064:I1064 K1064:N1064">
    <cfRule type="expression" dxfId="1347" priority="1348">
      <formula>MOD(ROW(A1064),2) = 0</formula>
    </cfRule>
  </conditionalFormatting>
  <conditionalFormatting sqref="A1063:I1063 K1063:N1063">
    <cfRule type="expression" dxfId="1346" priority="1347">
      <formula>MOD(ROW(A1063),2) = 0</formula>
    </cfRule>
  </conditionalFormatting>
  <conditionalFormatting sqref="A1062:I1062 K1062:N1062">
    <cfRule type="expression" dxfId="1345" priority="1346">
      <formula>MOD(ROW(A1062),2) = 0</formula>
    </cfRule>
  </conditionalFormatting>
  <conditionalFormatting sqref="A1061:I1061 K1061:N1061">
    <cfRule type="expression" dxfId="1344" priority="1345">
      <formula>MOD(ROW(A1061),2) = 0</formula>
    </cfRule>
  </conditionalFormatting>
  <conditionalFormatting sqref="A1060:I1060 K1060:N1060">
    <cfRule type="expression" dxfId="1343" priority="1344">
      <formula>MOD(ROW(A1060),2) = 0</formula>
    </cfRule>
  </conditionalFormatting>
  <conditionalFormatting sqref="A1059:F1059 K1059:N1059 H1059:I1059">
    <cfRule type="expression" dxfId="1342" priority="1343">
      <formula>MOD(ROW(A1059),2) = 0</formula>
    </cfRule>
  </conditionalFormatting>
  <conditionalFormatting sqref="A1058:I1058 K1058:N1058">
    <cfRule type="expression" dxfId="1341" priority="1342">
      <formula>MOD(ROW(A1058),2) = 0</formula>
    </cfRule>
  </conditionalFormatting>
  <conditionalFormatting sqref="A1057:I1057 K1057:N1057">
    <cfRule type="expression" dxfId="1340" priority="1341">
      <formula>MOD(ROW(A1057),2) = 0</formula>
    </cfRule>
  </conditionalFormatting>
  <conditionalFormatting sqref="A1056:I1056 K1056:N1056">
    <cfRule type="expression" dxfId="1339" priority="1340">
      <formula>MOD(ROW(A1056),2) = 0</formula>
    </cfRule>
  </conditionalFormatting>
  <conditionalFormatting sqref="A1055:I1055 K1055:N1055">
    <cfRule type="expression" dxfId="1338" priority="1339">
      <formula>MOD(ROW(A1055),2) = 0</formula>
    </cfRule>
  </conditionalFormatting>
  <conditionalFormatting sqref="A1054:I1054 K1054:N1054">
    <cfRule type="expression" dxfId="1337" priority="1338">
      <formula>MOD(ROW(A1054),2) = 0</formula>
    </cfRule>
  </conditionalFormatting>
  <conditionalFormatting sqref="A1053:I1053 K1053:N1053">
    <cfRule type="expression" dxfId="1336" priority="1337">
      <formula>MOD(ROW(A1053),2) = 0</formula>
    </cfRule>
  </conditionalFormatting>
  <conditionalFormatting sqref="A1052:I1052 K1052:N1052">
    <cfRule type="expression" dxfId="1335" priority="1336">
      <formula>MOD(ROW(A1052),2) = 0</formula>
    </cfRule>
  </conditionalFormatting>
  <conditionalFormatting sqref="A1051:F1051 K1051:N1051 H1051:I1051">
    <cfRule type="expression" dxfId="1334" priority="1335">
      <formula>MOD(ROW(A1051),2) = 0</formula>
    </cfRule>
  </conditionalFormatting>
  <conditionalFormatting sqref="A1050:I1050 K1050:N1050">
    <cfRule type="expression" dxfId="1333" priority="1334">
      <formula>MOD(ROW(A1050),2) = 0</formula>
    </cfRule>
  </conditionalFormatting>
  <conditionalFormatting sqref="A1049:I1049 K1049:N1049">
    <cfRule type="expression" dxfId="1332" priority="1333">
      <formula>MOD(ROW(A1049),2) = 0</formula>
    </cfRule>
  </conditionalFormatting>
  <conditionalFormatting sqref="A1048:F1048 K1048:N1048 H1048:I1048">
    <cfRule type="expression" dxfId="1331" priority="1332">
      <formula>MOD(ROW(A1048),2) = 0</formula>
    </cfRule>
  </conditionalFormatting>
  <conditionalFormatting sqref="A1047:I1047 K1047:N1047">
    <cfRule type="expression" dxfId="1330" priority="1331">
      <formula>MOD(ROW(A1047),2) = 0</formula>
    </cfRule>
  </conditionalFormatting>
  <conditionalFormatting sqref="A1046:I1046 K1046:N1046">
    <cfRule type="expression" dxfId="1329" priority="1330">
      <formula>MOD(ROW(A1046),2) = 0</formula>
    </cfRule>
  </conditionalFormatting>
  <conditionalFormatting sqref="A1045:I1045 K1045:N1045">
    <cfRule type="expression" dxfId="1328" priority="1329">
      <formula>MOD(ROW(A1045),2) = 0</formula>
    </cfRule>
  </conditionalFormatting>
  <conditionalFormatting sqref="A1044:I1044 K1044:N1044">
    <cfRule type="expression" dxfId="1327" priority="1328">
      <formula>MOD(ROW(A1044),2) = 0</formula>
    </cfRule>
  </conditionalFormatting>
  <conditionalFormatting sqref="A1043:F1043 K1043:N1043 H1043:I1043">
    <cfRule type="expression" dxfId="1326" priority="1327">
      <formula>MOD(ROW(A1043),2) = 0</formula>
    </cfRule>
  </conditionalFormatting>
  <conditionalFormatting sqref="A1042:I1042 K1042:N1042">
    <cfRule type="expression" dxfId="1325" priority="1326">
      <formula>MOD(ROW(A1042),2) = 0</formula>
    </cfRule>
  </conditionalFormatting>
  <conditionalFormatting sqref="A1041:F1041 K1041:N1041 H1041:I1041">
    <cfRule type="expression" dxfId="1324" priority="1325">
      <formula>MOD(ROW(A1041),2) = 0</formula>
    </cfRule>
  </conditionalFormatting>
  <conditionalFormatting sqref="A1040:I1040 K1040:N1040">
    <cfRule type="expression" dxfId="1323" priority="1324">
      <formula>MOD(ROW(A1040),2) = 0</formula>
    </cfRule>
  </conditionalFormatting>
  <conditionalFormatting sqref="A1039:I1039 K1039:N1039">
    <cfRule type="expression" dxfId="1322" priority="1323">
      <formula>MOD(ROW(A1039),2) = 0</formula>
    </cfRule>
  </conditionalFormatting>
  <conditionalFormatting sqref="A1038:I1038 K1038:N1038">
    <cfRule type="expression" dxfId="1321" priority="1322">
      <formula>MOD(ROW(A1038),2) = 0</formula>
    </cfRule>
  </conditionalFormatting>
  <conditionalFormatting sqref="A1037:I1037 K1037:N1037">
    <cfRule type="expression" dxfId="1320" priority="1321">
      <formula>MOD(ROW(A1037),2) = 0</formula>
    </cfRule>
  </conditionalFormatting>
  <conditionalFormatting sqref="A1036:I1036 K1036:N1036">
    <cfRule type="expression" dxfId="1319" priority="1320">
      <formula>MOD(ROW(A1036),2) = 0</formula>
    </cfRule>
  </conditionalFormatting>
  <conditionalFormatting sqref="A1035:I1035 K1035:N1035">
    <cfRule type="expression" dxfId="1318" priority="1319">
      <formula>MOD(ROW(A1035),2) = 0</formula>
    </cfRule>
  </conditionalFormatting>
  <conditionalFormatting sqref="A1034:I1034 K1034:N1034">
    <cfRule type="expression" dxfId="1317" priority="1318">
      <formula>MOD(ROW(A1034),2) = 0</formula>
    </cfRule>
  </conditionalFormatting>
  <conditionalFormatting sqref="A1033:I1033 K1033:N1033">
    <cfRule type="expression" dxfId="1316" priority="1317">
      <formula>MOD(ROW(A1033),2) = 0</formula>
    </cfRule>
  </conditionalFormatting>
  <conditionalFormatting sqref="A1032:I1032 K1032:N1032">
    <cfRule type="expression" dxfId="1315" priority="1316">
      <formula>MOD(ROW(A1032),2) = 0</formula>
    </cfRule>
  </conditionalFormatting>
  <conditionalFormatting sqref="A1031:I1031 K1031:N1031">
    <cfRule type="expression" dxfId="1314" priority="1315">
      <formula>MOD(ROW(A1031),2) = 0</formula>
    </cfRule>
  </conditionalFormatting>
  <conditionalFormatting sqref="A1030:I1030 K1030:N1030">
    <cfRule type="expression" dxfId="1313" priority="1314">
      <formula>MOD(ROW(A1030),2) = 0</formula>
    </cfRule>
  </conditionalFormatting>
  <conditionalFormatting sqref="A1029:I1029 K1029:N1029">
    <cfRule type="expression" dxfId="1312" priority="1313">
      <formula>MOD(ROW(A1029),2) = 0</formula>
    </cfRule>
  </conditionalFormatting>
  <conditionalFormatting sqref="A1028:I1028 K1028:N1028">
    <cfRule type="expression" dxfId="1311" priority="1312">
      <formula>MOD(ROW(A1028),2) = 0</formula>
    </cfRule>
  </conditionalFormatting>
  <conditionalFormatting sqref="A1027:I1027 K1027:N1027">
    <cfRule type="expression" dxfId="1310" priority="1311">
      <formula>MOD(ROW(A1027),2) = 0</formula>
    </cfRule>
  </conditionalFormatting>
  <conditionalFormatting sqref="A1026:F1026 H1026:I1026 K1026:N1026">
    <cfRule type="expression" dxfId="1309" priority="1310">
      <formula>MOD(ROW(A1026),2) = 0</formula>
    </cfRule>
  </conditionalFormatting>
  <conditionalFormatting sqref="A1025:I1025 K1025:N1025">
    <cfRule type="expression" dxfId="1308" priority="1309">
      <formula>MOD(ROW(A1025),2) = 0</formula>
    </cfRule>
  </conditionalFormatting>
  <conditionalFormatting sqref="A1024:I1024 K1024:N1024">
    <cfRule type="expression" dxfId="1307" priority="1308">
      <formula>MOD(ROW(A1024),2) = 0</formula>
    </cfRule>
  </conditionalFormatting>
  <conditionalFormatting sqref="A1023:I1023 K1023:N1023">
    <cfRule type="expression" dxfId="1306" priority="1307">
      <formula>MOD(ROW(A1023),2) = 0</formula>
    </cfRule>
  </conditionalFormatting>
  <conditionalFormatting sqref="A1022:I1022 K1022:N1022">
    <cfRule type="expression" dxfId="1305" priority="1306">
      <formula>MOD(ROW(A1022),2) = 0</formula>
    </cfRule>
  </conditionalFormatting>
  <conditionalFormatting sqref="A1021:I1021 K1021:N1021">
    <cfRule type="expression" dxfId="1304" priority="1305">
      <formula>MOD(ROW(A1021),2) = 0</formula>
    </cfRule>
  </conditionalFormatting>
  <conditionalFormatting sqref="A1020:F1020 K1020:N1020 H1020:I1020">
    <cfRule type="expression" dxfId="1303" priority="1304">
      <formula>MOD(ROW(A1020),2) = 0</formula>
    </cfRule>
  </conditionalFormatting>
  <conditionalFormatting sqref="A1019:I1019 K1019:N1019">
    <cfRule type="expression" dxfId="1302" priority="1303">
      <formula>MOD(ROW(A1019),2) = 0</formula>
    </cfRule>
  </conditionalFormatting>
  <conditionalFormatting sqref="A1018:I1018 K1018:N1018">
    <cfRule type="expression" dxfId="1301" priority="1302">
      <formula>MOD(ROW(A1018),2) = 0</formula>
    </cfRule>
  </conditionalFormatting>
  <conditionalFormatting sqref="A1017:I1017 K1017:N1017">
    <cfRule type="expression" dxfId="1300" priority="1301">
      <formula>MOD(ROW(A1017),2) = 0</formula>
    </cfRule>
  </conditionalFormatting>
  <conditionalFormatting sqref="A1016:I1016 K1016:N1016">
    <cfRule type="expression" dxfId="1299" priority="1300">
      <formula>MOD(ROW(A1016),2) = 0</formula>
    </cfRule>
  </conditionalFormatting>
  <conditionalFormatting sqref="A1015:I1015 K1015:N1015">
    <cfRule type="expression" dxfId="1298" priority="1299">
      <formula>MOD(ROW(A1015),2) = 0</formula>
    </cfRule>
  </conditionalFormatting>
  <conditionalFormatting sqref="A1014:I1014 K1014:N1014">
    <cfRule type="expression" dxfId="1297" priority="1298">
      <formula>MOD(ROW(A1014),2) = 0</formula>
    </cfRule>
  </conditionalFormatting>
  <conditionalFormatting sqref="A1013:I1013 K1013:N1013">
    <cfRule type="expression" dxfId="1296" priority="1297">
      <formula>MOD(ROW(A1013),2) = 0</formula>
    </cfRule>
  </conditionalFormatting>
  <conditionalFormatting sqref="A1012:I1012 K1012:N1012">
    <cfRule type="expression" dxfId="1295" priority="1296">
      <formula>MOD(ROW(A1012),2) = 0</formula>
    </cfRule>
  </conditionalFormatting>
  <conditionalFormatting sqref="A1011:I1011 K1011:N1011">
    <cfRule type="expression" dxfId="1294" priority="1295">
      <formula>MOD(ROW(A1011),2) = 0</formula>
    </cfRule>
  </conditionalFormatting>
  <conditionalFormatting sqref="A1010:I1010 K1010:N1010">
    <cfRule type="expression" dxfId="1293" priority="1294">
      <formula>MOD(ROW(A1010),2) = 0</formula>
    </cfRule>
  </conditionalFormatting>
  <conditionalFormatting sqref="A1009:I1009 K1009:N1009">
    <cfRule type="expression" dxfId="1292" priority="1293">
      <formula>MOD(ROW(A1009),2) = 0</formula>
    </cfRule>
  </conditionalFormatting>
  <conditionalFormatting sqref="A1008:I1008 K1008:N1008">
    <cfRule type="expression" dxfId="1291" priority="1292">
      <formula>MOD(ROW(A1008),2) = 0</formula>
    </cfRule>
  </conditionalFormatting>
  <conditionalFormatting sqref="A1007:I1007 K1007:N1007">
    <cfRule type="expression" dxfId="1290" priority="1291">
      <formula>MOD(ROW(A1007),2) = 0</formula>
    </cfRule>
  </conditionalFormatting>
  <conditionalFormatting sqref="A1006:I1006 K1006:N1006">
    <cfRule type="expression" dxfId="1289" priority="1290">
      <formula>MOD(ROW(A1006),2) = 0</formula>
    </cfRule>
  </conditionalFormatting>
  <conditionalFormatting sqref="A1005:I1005 K1005:N1005">
    <cfRule type="expression" dxfId="1288" priority="1289">
      <formula>MOD(ROW(A1005),2) = 0</formula>
    </cfRule>
  </conditionalFormatting>
  <conditionalFormatting sqref="A1004:I1004 K1004:N1004">
    <cfRule type="expression" dxfId="1287" priority="1288">
      <formula>MOD(ROW(A1004),2) = 0</formula>
    </cfRule>
  </conditionalFormatting>
  <conditionalFormatting sqref="A1003:I1003 K1003:N1003">
    <cfRule type="expression" dxfId="1286" priority="1287">
      <formula>MOD(ROW(A1003),2) = 0</formula>
    </cfRule>
  </conditionalFormatting>
  <conditionalFormatting sqref="A1002:I1002 K1002:N1002">
    <cfRule type="expression" dxfId="1285" priority="1286">
      <formula>MOD(ROW(A1002),2) = 0</formula>
    </cfRule>
  </conditionalFormatting>
  <conditionalFormatting sqref="A1001:I1001 K1001:N1001">
    <cfRule type="expression" dxfId="1284" priority="1285">
      <formula>MOD(ROW(A1001),2) = 0</formula>
    </cfRule>
  </conditionalFormatting>
  <conditionalFormatting sqref="A1000:I1000 K1000:N1000">
    <cfRule type="expression" dxfId="1283" priority="1284">
      <formula>MOD(ROW(A1000),2) = 0</formula>
    </cfRule>
  </conditionalFormatting>
  <conditionalFormatting sqref="A999:I999 K999:N999">
    <cfRule type="expression" dxfId="1282" priority="1283">
      <formula>MOD(ROW(A999),2) = 0</formula>
    </cfRule>
  </conditionalFormatting>
  <conditionalFormatting sqref="A998:I998 K998:N998">
    <cfRule type="expression" dxfId="1281" priority="1282">
      <formula>MOD(ROW(A998),2) = 0</formula>
    </cfRule>
  </conditionalFormatting>
  <conditionalFormatting sqref="A997:I997 K997:N997">
    <cfRule type="expression" dxfId="1280" priority="1281">
      <formula>MOD(ROW(A997),2) = 0</formula>
    </cfRule>
  </conditionalFormatting>
  <conditionalFormatting sqref="A996:I996 K996:N996">
    <cfRule type="expression" dxfId="1279" priority="1280">
      <formula>MOD(ROW(A996),2) = 0</formula>
    </cfRule>
  </conditionalFormatting>
  <conditionalFormatting sqref="A995:F995 K995:N995 H995:I995">
    <cfRule type="expression" dxfId="1278" priority="1279">
      <formula>MOD(ROW(A995),2) = 0</formula>
    </cfRule>
  </conditionalFormatting>
  <conditionalFormatting sqref="A994:F994 K994:N994 H994:I994">
    <cfRule type="expression" dxfId="1277" priority="1278">
      <formula>MOD(ROW(A994),2) = 0</formula>
    </cfRule>
  </conditionalFormatting>
  <conditionalFormatting sqref="A993:F993 K993:N993 H993:I993">
    <cfRule type="expression" dxfId="1276" priority="1277">
      <formula>MOD(ROW(A993),2) = 0</formula>
    </cfRule>
  </conditionalFormatting>
  <conditionalFormatting sqref="A992:F992 K992:N992 H992:I992">
    <cfRule type="expression" dxfId="1275" priority="1276">
      <formula>MOD(ROW(A992),2) = 0</formula>
    </cfRule>
  </conditionalFormatting>
  <conditionalFormatting sqref="A991:I991 K991:N991">
    <cfRule type="expression" dxfId="1274" priority="1275">
      <formula>MOD(ROW(A991),2) = 0</formula>
    </cfRule>
  </conditionalFormatting>
  <conditionalFormatting sqref="A990:I990 K990:N990">
    <cfRule type="expression" dxfId="1273" priority="1274">
      <formula>MOD(ROW(A990),2) = 0</formula>
    </cfRule>
  </conditionalFormatting>
  <conditionalFormatting sqref="A989:F989 K989:N989 H989:I989">
    <cfRule type="expression" dxfId="1272" priority="1273">
      <formula>MOD(ROW(A989),2) = 0</formula>
    </cfRule>
  </conditionalFormatting>
  <conditionalFormatting sqref="A988:I988 K988:N988">
    <cfRule type="expression" dxfId="1271" priority="1272">
      <formula>MOD(ROW(A988),2) = 0</formula>
    </cfRule>
  </conditionalFormatting>
  <conditionalFormatting sqref="A987:I987 K987:N987">
    <cfRule type="expression" dxfId="1270" priority="1271">
      <formula>MOD(ROW(A987),2) = 0</formula>
    </cfRule>
  </conditionalFormatting>
  <conditionalFormatting sqref="A986:I986 K986:N986">
    <cfRule type="expression" dxfId="1269" priority="1270">
      <formula>MOD(ROW(A986),2) = 0</formula>
    </cfRule>
  </conditionalFormatting>
  <conditionalFormatting sqref="A985:I985 K985:N985 G1048">
    <cfRule type="expression" dxfId="1268" priority="1269">
      <formula>MOD(ROW(A985),2) = 0</formula>
    </cfRule>
  </conditionalFormatting>
  <conditionalFormatting sqref="A984:I984 K984:N984">
    <cfRule type="expression" dxfId="1267" priority="1268">
      <formula>MOD(ROW(A984),2) = 0</formula>
    </cfRule>
  </conditionalFormatting>
  <conditionalFormatting sqref="A983:I983 K983:N983">
    <cfRule type="expression" dxfId="1266" priority="1267">
      <formula>MOD(ROW(A983),2) = 0</formula>
    </cfRule>
  </conditionalFormatting>
  <conditionalFormatting sqref="A982:I982 K982:N982">
    <cfRule type="expression" dxfId="1265" priority="1266">
      <formula>MOD(ROW(A982),2) = 0</formula>
    </cfRule>
  </conditionalFormatting>
  <conditionalFormatting sqref="A981:I981 K981:N981">
    <cfRule type="expression" dxfId="1264" priority="1265">
      <formula>MOD(ROW(A981),2) = 0</formula>
    </cfRule>
  </conditionalFormatting>
  <conditionalFormatting sqref="A980:I980 K980:N980">
    <cfRule type="expression" dxfId="1263" priority="1264">
      <formula>MOD(ROW(A980),2) = 0</formula>
    </cfRule>
  </conditionalFormatting>
  <conditionalFormatting sqref="A979:I979 K979:N979">
    <cfRule type="expression" dxfId="1262" priority="1263">
      <formula>MOD(ROW(A979),2) = 0</formula>
    </cfRule>
  </conditionalFormatting>
  <conditionalFormatting sqref="A978:F978 K978:N978 H978:I978">
    <cfRule type="expression" dxfId="1261" priority="1262">
      <formula>MOD(ROW(A978),2) = 0</formula>
    </cfRule>
  </conditionalFormatting>
  <conditionalFormatting sqref="A977:I977 K977:N977">
    <cfRule type="expression" dxfId="1260" priority="1261">
      <formula>MOD(ROW(A977),2) = 0</formula>
    </cfRule>
  </conditionalFormatting>
  <conditionalFormatting sqref="A976:I976 K976:N976">
    <cfRule type="expression" dxfId="1259" priority="1260">
      <formula>MOD(ROW(A976),2) = 0</formula>
    </cfRule>
  </conditionalFormatting>
  <conditionalFormatting sqref="A975:I975 K975:N975">
    <cfRule type="expression" dxfId="1258" priority="1259">
      <formula>MOD(ROW(A975),2) = 0</formula>
    </cfRule>
  </conditionalFormatting>
  <conditionalFormatting sqref="A974:I974 K974:N974">
    <cfRule type="expression" dxfId="1257" priority="1258">
      <formula>MOD(ROW(A974),2) = 0</formula>
    </cfRule>
  </conditionalFormatting>
  <conditionalFormatting sqref="A973:I973 K973:N973">
    <cfRule type="expression" dxfId="1256" priority="1257">
      <formula>MOD(ROW(A973),2) = 0</formula>
    </cfRule>
  </conditionalFormatting>
  <conditionalFormatting sqref="A972:I972 K972:N972">
    <cfRule type="expression" dxfId="1255" priority="1256">
      <formula>MOD(ROW(A972),2) = 0</formula>
    </cfRule>
  </conditionalFormatting>
  <conditionalFormatting sqref="A971:I971 K971:N971">
    <cfRule type="expression" dxfId="1254" priority="1255">
      <formula>MOD(ROW(A971),2) = 0</formula>
    </cfRule>
  </conditionalFormatting>
  <conditionalFormatting sqref="A970:I970 K970:N970">
    <cfRule type="expression" dxfId="1253" priority="1254">
      <formula>MOD(ROW(A970),2) = 0</formula>
    </cfRule>
  </conditionalFormatting>
  <conditionalFormatting sqref="A969:F969 K969:N969 H969:I969">
    <cfRule type="expression" dxfId="1252" priority="1253">
      <formula>MOD(ROW(A969),2) = 0</formula>
    </cfRule>
  </conditionalFormatting>
  <conditionalFormatting sqref="A968:I968 K968:N968">
    <cfRule type="expression" dxfId="1251" priority="1252">
      <formula>MOD(ROW(A968),2) = 0</formula>
    </cfRule>
  </conditionalFormatting>
  <conditionalFormatting sqref="A967:I967 K967:N967">
    <cfRule type="expression" dxfId="1250" priority="1251">
      <formula>MOD(ROW(A967),2) = 0</formula>
    </cfRule>
  </conditionalFormatting>
  <conditionalFormatting sqref="A966:I966 K966:N966">
    <cfRule type="expression" dxfId="1249" priority="1250">
      <formula>MOD(ROW(A966),2) = 0</formula>
    </cfRule>
  </conditionalFormatting>
  <conditionalFormatting sqref="A965:I965 K965:N965">
    <cfRule type="expression" dxfId="1248" priority="1249">
      <formula>MOD(ROW(A965),2) = 0</formula>
    </cfRule>
  </conditionalFormatting>
  <conditionalFormatting sqref="A964:I964 K964:N964">
    <cfRule type="expression" dxfId="1247" priority="1248">
      <formula>MOD(ROW(A964),2) = 0</formula>
    </cfRule>
  </conditionalFormatting>
  <conditionalFormatting sqref="A963:I963 K963:N963">
    <cfRule type="expression" dxfId="1246" priority="1247">
      <formula>MOD(ROW(A963),2) = 0</formula>
    </cfRule>
  </conditionalFormatting>
  <conditionalFormatting sqref="A962:I962 K962:N962">
    <cfRule type="expression" dxfId="1245" priority="1246">
      <formula>MOD(ROW(A962),2) = 0</formula>
    </cfRule>
  </conditionalFormatting>
  <conditionalFormatting sqref="A961:F961 K961:N961 H961:I961">
    <cfRule type="expression" dxfId="1244" priority="1245">
      <formula>MOD(ROW(A961),2) = 0</formula>
    </cfRule>
  </conditionalFormatting>
  <conditionalFormatting sqref="A960:F960 K960:N960 H960:I960">
    <cfRule type="expression" dxfId="1243" priority="1244">
      <formula>MOD(ROW(A960),2) = 0</formula>
    </cfRule>
  </conditionalFormatting>
  <conditionalFormatting sqref="A959:F959 K959:N959 H959:I959">
    <cfRule type="expression" dxfId="1242" priority="1243">
      <formula>MOD(ROW(A959),2) = 0</formula>
    </cfRule>
  </conditionalFormatting>
  <conditionalFormatting sqref="A958:F958 K958:N958 H958:I958">
    <cfRule type="expression" dxfId="1241" priority="1242">
      <formula>MOD(ROW(A958),2) = 0</formula>
    </cfRule>
  </conditionalFormatting>
  <conditionalFormatting sqref="A957:I957 K957:N957">
    <cfRule type="expression" dxfId="1240" priority="1241">
      <formula>MOD(ROW(A957),2) = 0</formula>
    </cfRule>
  </conditionalFormatting>
  <conditionalFormatting sqref="A956:F956 K956:N956 H956:I956">
    <cfRule type="expression" dxfId="1239" priority="1240">
      <formula>MOD(ROW(A956),2) = 0</formula>
    </cfRule>
  </conditionalFormatting>
  <conditionalFormatting sqref="A955:I955 K955:N955">
    <cfRule type="expression" dxfId="1238" priority="1239">
      <formula>MOD(ROW(A955),2) = 0</formula>
    </cfRule>
  </conditionalFormatting>
  <conditionalFormatting sqref="A954:I954 K954:N954">
    <cfRule type="expression" dxfId="1237" priority="1238">
      <formula>MOD(ROW(A954),2) = 0</formula>
    </cfRule>
  </conditionalFormatting>
  <conditionalFormatting sqref="A953:I953 K953:N953">
    <cfRule type="expression" dxfId="1236" priority="1237">
      <formula>MOD(ROW(A953),2) = 0</formula>
    </cfRule>
  </conditionalFormatting>
  <conditionalFormatting sqref="A952:I952 K952:N952">
    <cfRule type="expression" dxfId="1235" priority="1236">
      <formula>MOD(ROW(A952),2) = 0</formula>
    </cfRule>
  </conditionalFormatting>
  <conditionalFormatting sqref="A951:I951 K951:N951">
    <cfRule type="expression" dxfId="1234" priority="1235">
      <formula>MOD(ROW(A951),2) = 0</formula>
    </cfRule>
  </conditionalFormatting>
  <conditionalFormatting sqref="A950:I950 K950:N950">
    <cfRule type="expression" dxfId="1233" priority="1234">
      <formula>MOD(ROW(A950),2) = 0</formula>
    </cfRule>
  </conditionalFormatting>
  <conditionalFormatting sqref="A949:I949 K949:N949">
    <cfRule type="expression" dxfId="1232" priority="1233">
      <formula>MOD(ROW(A949),2) = 0</formula>
    </cfRule>
  </conditionalFormatting>
  <conditionalFormatting sqref="A948:I948 K948:N948">
    <cfRule type="expression" dxfId="1231" priority="1232">
      <formula>MOD(ROW(A948),2) = 0</formula>
    </cfRule>
  </conditionalFormatting>
  <conditionalFormatting sqref="A947:I947 K947:N947">
    <cfRule type="expression" dxfId="1230" priority="1231">
      <formula>MOD(ROW(A947),2) = 0</formula>
    </cfRule>
  </conditionalFormatting>
  <conditionalFormatting sqref="A946:I946 K946:N946">
    <cfRule type="expression" dxfId="1229" priority="1230">
      <formula>MOD(ROW(A946),2) = 0</formula>
    </cfRule>
  </conditionalFormatting>
  <conditionalFormatting sqref="A945:I945 K945:N945">
    <cfRule type="expression" dxfId="1228" priority="1229">
      <formula>MOD(ROW(A945),2) = 0</formula>
    </cfRule>
  </conditionalFormatting>
  <conditionalFormatting sqref="A944:I944 K944:N944">
    <cfRule type="expression" dxfId="1227" priority="1228">
      <formula>MOD(ROW(A944),2) = 0</formula>
    </cfRule>
  </conditionalFormatting>
  <conditionalFormatting sqref="A943:I943 K943:N943">
    <cfRule type="expression" dxfId="1226" priority="1227">
      <formula>MOD(ROW(A943),2) = 0</formula>
    </cfRule>
  </conditionalFormatting>
  <conditionalFormatting sqref="A942:I942 K942:N942">
    <cfRule type="expression" dxfId="1225" priority="1226">
      <formula>MOD(ROW(A942),2) = 0</formula>
    </cfRule>
  </conditionalFormatting>
  <conditionalFormatting sqref="A941:F941 K941:N941 H941:I941">
    <cfRule type="expression" dxfId="1224" priority="1225">
      <formula>MOD(ROW(A941),2) = 0</formula>
    </cfRule>
  </conditionalFormatting>
  <conditionalFormatting sqref="A940:I940 K940:N940 G885">
    <cfRule type="expression" dxfId="1223" priority="1224">
      <formula>MOD(ROW(A885),2) = 0</formula>
    </cfRule>
  </conditionalFormatting>
  <conditionalFormatting sqref="A939:I939 K939:N939">
    <cfRule type="expression" dxfId="1222" priority="1223">
      <formula>MOD(ROW(A939),2) = 0</formula>
    </cfRule>
  </conditionalFormatting>
  <conditionalFormatting sqref="A938:I938 K938:N938">
    <cfRule type="expression" dxfId="1221" priority="1222">
      <formula>MOD(ROW(A938),2) = 0</formula>
    </cfRule>
  </conditionalFormatting>
  <conditionalFormatting sqref="A937:I937 K937:N937">
    <cfRule type="expression" dxfId="1220" priority="1221">
      <formula>MOD(ROW(A937),2) = 0</formula>
    </cfRule>
  </conditionalFormatting>
  <conditionalFormatting sqref="A936:I936 K936:N936">
    <cfRule type="expression" dxfId="1219" priority="1220">
      <formula>MOD(ROW(A936),2) = 0</formula>
    </cfRule>
  </conditionalFormatting>
  <conditionalFormatting sqref="A935:I935 K935:N935">
    <cfRule type="expression" dxfId="1218" priority="1219">
      <formula>MOD(ROW(A935),2) = 0</formula>
    </cfRule>
  </conditionalFormatting>
  <conditionalFormatting sqref="A934:I934 K934:N934">
    <cfRule type="expression" dxfId="1217" priority="1218">
      <formula>MOD(ROW(A934),2) = 0</formula>
    </cfRule>
  </conditionalFormatting>
  <conditionalFormatting sqref="A933:I933 K933:N933">
    <cfRule type="expression" dxfId="1216" priority="1217">
      <formula>MOD(ROW(A933),2) = 0</formula>
    </cfRule>
  </conditionalFormatting>
  <conditionalFormatting sqref="A932:I932 K932:N932">
    <cfRule type="expression" dxfId="1215" priority="1216">
      <formula>MOD(ROW(A932),2) = 0</formula>
    </cfRule>
  </conditionalFormatting>
  <conditionalFormatting sqref="A931:I931 K931:N931">
    <cfRule type="expression" dxfId="1214" priority="1215">
      <formula>MOD(ROW(A931),2) = 0</formula>
    </cfRule>
  </conditionalFormatting>
  <conditionalFormatting sqref="A930:I930 K930:N930">
    <cfRule type="expression" dxfId="1213" priority="1214">
      <formula>MOD(ROW(A930),2) = 0</formula>
    </cfRule>
  </conditionalFormatting>
  <conditionalFormatting sqref="A929:I929 K929:N929">
    <cfRule type="expression" dxfId="1212" priority="1213">
      <formula>MOD(ROW(A929),2) = 0</formula>
    </cfRule>
  </conditionalFormatting>
  <conditionalFormatting sqref="A928:I928 K928:N928">
    <cfRule type="expression" dxfId="1211" priority="1212">
      <formula>MOD(ROW(A928),2) = 0</formula>
    </cfRule>
  </conditionalFormatting>
  <conditionalFormatting sqref="A927:F927 K927:N927 H927:I927">
    <cfRule type="expression" dxfId="1210" priority="1211">
      <formula>MOD(ROW(A927),2) = 0</formula>
    </cfRule>
  </conditionalFormatting>
  <conditionalFormatting sqref="A926:I926 K926:N926">
    <cfRule type="expression" dxfId="1209" priority="1210">
      <formula>MOD(ROW(A926),2) = 0</formula>
    </cfRule>
  </conditionalFormatting>
  <conditionalFormatting sqref="A925:I925 K925:N925">
    <cfRule type="expression" dxfId="1208" priority="1209">
      <formula>MOD(ROW(A925),2) = 0</formula>
    </cfRule>
  </conditionalFormatting>
  <conditionalFormatting sqref="A924:I924 K924:N924">
    <cfRule type="expression" dxfId="1207" priority="1208">
      <formula>MOD(ROW(A924),2) = 0</formula>
    </cfRule>
  </conditionalFormatting>
  <conditionalFormatting sqref="A923:I923 K923:N923">
    <cfRule type="expression" dxfId="1206" priority="1207">
      <formula>MOD(ROW(A923),2) = 0</formula>
    </cfRule>
  </conditionalFormatting>
  <conditionalFormatting sqref="A922:I922 K922:N922">
    <cfRule type="expression" dxfId="1205" priority="1206">
      <formula>MOD(ROW(A922),2) = 0</formula>
    </cfRule>
  </conditionalFormatting>
  <conditionalFormatting sqref="A921:I921 K921:N921">
    <cfRule type="expression" dxfId="1204" priority="1205">
      <formula>MOD(ROW(A921),2) = 0</formula>
    </cfRule>
  </conditionalFormatting>
  <conditionalFormatting sqref="A920:I920 K920:N920">
    <cfRule type="expression" dxfId="1203" priority="1204">
      <formula>MOD(ROW(A920),2) = 0</formula>
    </cfRule>
  </conditionalFormatting>
  <conditionalFormatting sqref="A919:I919 K919:N919">
    <cfRule type="expression" dxfId="1202" priority="1203">
      <formula>MOD(ROW(A919),2) = 0</formula>
    </cfRule>
  </conditionalFormatting>
  <conditionalFormatting sqref="A918:I918 K918:N918">
    <cfRule type="expression" dxfId="1201" priority="1202">
      <formula>MOD(ROW(A918),2) = 0</formula>
    </cfRule>
  </conditionalFormatting>
  <conditionalFormatting sqref="A917:I917 K917:N917">
    <cfRule type="expression" dxfId="1200" priority="1201">
      <formula>MOD(ROW(A917),2) = 0</formula>
    </cfRule>
  </conditionalFormatting>
  <conditionalFormatting sqref="A916:I916 K916:N916">
    <cfRule type="expression" dxfId="1199" priority="1200">
      <formula>MOD(ROW(A916),2) = 0</formula>
    </cfRule>
  </conditionalFormatting>
  <conditionalFormatting sqref="A915:I915 K915:N915">
    <cfRule type="expression" dxfId="1198" priority="1199">
      <formula>MOD(ROW(A915),2) = 0</formula>
    </cfRule>
  </conditionalFormatting>
  <conditionalFormatting sqref="A914:I914 K914:N914">
    <cfRule type="expression" dxfId="1197" priority="1198">
      <formula>MOD(ROW(A914),2) = 0</formula>
    </cfRule>
  </conditionalFormatting>
  <conditionalFormatting sqref="A913:I913 K913:N913">
    <cfRule type="expression" dxfId="1196" priority="1197">
      <formula>MOD(ROW(A913),2) = 0</formula>
    </cfRule>
  </conditionalFormatting>
  <conditionalFormatting sqref="A912:I912 K912:N912">
    <cfRule type="expression" dxfId="1195" priority="1196">
      <formula>MOD(ROW(A912),2) = 0</formula>
    </cfRule>
  </conditionalFormatting>
  <conditionalFormatting sqref="A911:F911 K911:N911 H911:I911">
    <cfRule type="expression" dxfId="1194" priority="1195">
      <formula>MOD(ROW(A911),2) = 0</formula>
    </cfRule>
  </conditionalFormatting>
  <conditionalFormatting sqref="A910:I910 K910:N910">
    <cfRule type="expression" dxfId="1193" priority="1194">
      <formula>MOD(ROW(A910),2) = 0</formula>
    </cfRule>
  </conditionalFormatting>
  <conditionalFormatting sqref="A909:I909 K909:N909">
    <cfRule type="expression" dxfId="1192" priority="1193">
      <formula>MOD(ROW(A909),2) = 0</formula>
    </cfRule>
  </conditionalFormatting>
  <conditionalFormatting sqref="A908:I908 K908:N908">
    <cfRule type="expression" dxfId="1191" priority="1192">
      <formula>MOD(ROW(A908),2) = 0</formula>
    </cfRule>
  </conditionalFormatting>
  <conditionalFormatting sqref="A907:I907 K907:N907">
    <cfRule type="expression" dxfId="1190" priority="1191">
      <formula>MOD(ROW(A907),2) = 0</formula>
    </cfRule>
  </conditionalFormatting>
  <conditionalFormatting sqref="A906:I906 K906:N906">
    <cfRule type="expression" dxfId="1189" priority="1190">
      <formula>MOD(ROW(A906),2) = 0</formula>
    </cfRule>
  </conditionalFormatting>
  <conditionalFormatting sqref="A905:I905 K905:N905">
    <cfRule type="expression" dxfId="1188" priority="1189">
      <formula>MOD(ROW(A905),2) = 0</formula>
    </cfRule>
  </conditionalFormatting>
  <conditionalFormatting sqref="A904:I904 K904:N904">
    <cfRule type="expression" dxfId="1187" priority="1188">
      <formula>MOD(ROW(A904),2) = 0</formula>
    </cfRule>
  </conditionalFormatting>
  <conditionalFormatting sqref="A903:I903 K903:N903">
    <cfRule type="expression" dxfId="1186" priority="1187">
      <formula>MOD(ROW(A903),2) = 0</formula>
    </cfRule>
  </conditionalFormatting>
  <conditionalFormatting sqref="A902:I902 K902:N902">
    <cfRule type="expression" dxfId="1185" priority="1186">
      <formula>MOD(ROW(A902),2) = 0</formula>
    </cfRule>
  </conditionalFormatting>
  <conditionalFormatting sqref="A901:I901 K901:N901">
    <cfRule type="expression" dxfId="1184" priority="1185">
      <formula>MOD(ROW(A901),2) = 0</formula>
    </cfRule>
  </conditionalFormatting>
  <conditionalFormatting sqref="A900:I900 K900:N900">
    <cfRule type="expression" dxfId="1183" priority="1184">
      <formula>MOD(ROW(A900),2) = 0</formula>
    </cfRule>
  </conditionalFormatting>
  <conditionalFormatting sqref="A899:I899 K899:N899">
    <cfRule type="expression" dxfId="1182" priority="1183">
      <formula>MOD(ROW(A899),2) = 0</formula>
    </cfRule>
  </conditionalFormatting>
  <conditionalFormatting sqref="A898:I898 K898:N898">
    <cfRule type="expression" dxfId="1181" priority="1182">
      <formula>MOD(ROW(A898),2) = 0</formula>
    </cfRule>
  </conditionalFormatting>
  <conditionalFormatting sqref="A897:I897 K897:N897">
    <cfRule type="expression" dxfId="1180" priority="1181">
      <formula>MOD(ROW(A897),2) = 0</formula>
    </cfRule>
  </conditionalFormatting>
  <conditionalFormatting sqref="A896:F896 K896:N896 H896:I896">
    <cfRule type="expression" dxfId="1179" priority="1180">
      <formula>MOD(ROW(A896),2) = 0</formula>
    </cfRule>
  </conditionalFormatting>
  <conditionalFormatting sqref="A895:I895 K895:N895">
    <cfRule type="expression" dxfId="1178" priority="1179">
      <formula>MOD(ROW(A895),2) = 0</formula>
    </cfRule>
  </conditionalFormatting>
  <conditionalFormatting sqref="A894:I894 K894:N894">
    <cfRule type="expression" dxfId="1177" priority="1178">
      <formula>MOD(ROW(A894),2) = 0</formula>
    </cfRule>
  </conditionalFormatting>
  <conditionalFormatting sqref="A893:I893 K893:N893">
    <cfRule type="expression" dxfId="1176" priority="1177">
      <formula>MOD(ROW(A893),2) = 0</formula>
    </cfRule>
  </conditionalFormatting>
  <conditionalFormatting sqref="A892:I892 K892:N892">
    <cfRule type="expression" dxfId="1175" priority="1176">
      <formula>MOD(ROW(A892),2) = 0</formula>
    </cfRule>
  </conditionalFormatting>
  <conditionalFormatting sqref="A891:I891 K891:N891">
    <cfRule type="expression" dxfId="1174" priority="1175">
      <formula>MOD(ROW(A891),2) = 0</formula>
    </cfRule>
  </conditionalFormatting>
  <conditionalFormatting sqref="A890:I890 K890:N890">
    <cfRule type="expression" dxfId="1173" priority="1174">
      <formula>MOD(ROW(A890),2) = 0</formula>
    </cfRule>
  </conditionalFormatting>
  <conditionalFormatting sqref="A889:I889 K889:N889">
    <cfRule type="expression" dxfId="1172" priority="1173">
      <formula>MOD(ROW(A889),2) = 0</formula>
    </cfRule>
  </conditionalFormatting>
  <conditionalFormatting sqref="A888:I888 K888:N888">
    <cfRule type="expression" dxfId="1171" priority="1172">
      <formula>MOD(ROW(A888),2) = 0</formula>
    </cfRule>
  </conditionalFormatting>
  <conditionalFormatting sqref="A887:I887 K887:N887">
    <cfRule type="expression" dxfId="1170" priority="1171">
      <formula>MOD(ROW(A887),2) = 0</formula>
    </cfRule>
  </conditionalFormatting>
  <conditionalFormatting sqref="A886:I886 K886:N886">
    <cfRule type="expression" dxfId="1169" priority="1170">
      <formula>MOD(ROW(A886),2) = 0</formula>
    </cfRule>
  </conditionalFormatting>
  <conditionalFormatting sqref="A885:F885 K885:N885 H885:I885">
    <cfRule type="expression" dxfId="1168" priority="1169">
      <formula>MOD(ROW(A885),2) = 0</formula>
    </cfRule>
  </conditionalFormatting>
  <conditionalFormatting sqref="A884:I884 K884:N884">
    <cfRule type="expression" dxfId="1167" priority="1168">
      <formula>MOD(ROW(A884),2) = 0</formula>
    </cfRule>
  </conditionalFormatting>
  <conditionalFormatting sqref="A883:I883 K883:N883">
    <cfRule type="expression" dxfId="1166" priority="1167">
      <formula>MOD(ROW(A883),2) = 0</formula>
    </cfRule>
  </conditionalFormatting>
  <conditionalFormatting sqref="A882:I882 K882:N882">
    <cfRule type="expression" dxfId="1165" priority="1166">
      <formula>MOD(ROW(A882),2) = 0</formula>
    </cfRule>
  </conditionalFormatting>
  <conditionalFormatting sqref="A881:I881 K881:N881">
    <cfRule type="expression" dxfId="1164" priority="1165">
      <formula>MOD(ROW(A881),2) = 0</formula>
    </cfRule>
  </conditionalFormatting>
  <conditionalFormatting sqref="A880:I880 K880:N880">
    <cfRule type="expression" dxfId="1163" priority="1164">
      <formula>MOD(ROW(A880),2) = 0</formula>
    </cfRule>
  </conditionalFormatting>
  <conditionalFormatting sqref="A879:F879 K879:N879 H879:I879">
    <cfRule type="expression" dxfId="1162" priority="1163">
      <formula>MOD(ROW(A879),2) = 0</formula>
    </cfRule>
  </conditionalFormatting>
  <conditionalFormatting sqref="A878:I878 K878:N878">
    <cfRule type="expression" dxfId="1161" priority="1162">
      <formula>MOD(ROW(A878),2) = 0</formula>
    </cfRule>
  </conditionalFormatting>
  <conditionalFormatting sqref="A877:I877 K877:N877">
    <cfRule type="expression" dxfId="1160" priority="1161">
      <formula>MOD(ROW(A877),2) = 0</formula>
    </cfRule>
  </conditionalFormatting>
  <conditionalFormatting sqref="A876:I876 K876:N876">
    <cfRule type="expression" dxfId="1159" priority="1160">
      <formula>MOD(ROW(A876),2) = 0</formula>
    </cfRule>
  </conditionalFormatting>
  <conditionalFormatting sqref="A875:I875 K875:N875">
    <cfRule type="expression" dxfId="1158" priority="1159">
      <formula>MOD(ROW(A875),2) = 0</formula>
    </cfRule>
  </conditionalFormatting>
  <conditionalFormatting sqref="A874:I874 K874:N874">
    <cfRule type="expression" dxfId="1157" priority="1158">
      <formula>MOD(ROW(A874),2) = 0</formula>
    </cfRule>
  </conditionalFormatting>
  <conditionalFormatting sqref="A873:I873 K873:N873">
    <cfRule type="expression" dxfId="1156" priority="1157">
      <formula>MOD(ROW(A873),2) = 0</formula>
    </cfRule>
  </conditionalFormatting>
  <conditionalFormatting sqref="A872:I872 K872:N872">
    <cfRule type="expression" dxfId="1155" priority="1156">
      <formula>MOD(ROW(A872),2) = 0</formula>
    </cfRule>
  </conditionalFormatting>
  <conditionalFormatting sqref="A871:F871 K871:N871 H871:I871">
    <cfRule type="expression" dxfId="1154" priority="1155">
      <formula>MOD(ROW(A871),2) = 0</formula>
    </cfRule>
  </conditionalFormatting>
  <conditionalFormatting sqref="A870:I870 K870:N870">
    <cfRule type="expression" dxfId="1153" priority="1154">
      <formula>MOD(ROW(A870),2) = 0</formula>
    </cfRule>
  </conditionalFormatting>
  <conditionalFormatting sqref="A869:F869 K869:N869 H869:I869">
    <cfRule type="expression" dxfId="1152" priority="1153">
      <formula>MOD(ROW(A869),2) = 0</formula>
    </cfRule>
  </conditionalFormatting>
  <conditionalFormatting sqref="A868:I868 K868:N868">
    <cfRule type="expression" dxfId="1151" priority="1152">
      <formula>MOD(ROW(A868),2) = 0</formula>
    </cfRule>
  </conditionalFormatting>
  <conditionalFormatting sqref="A867:I867 K867:N867">
    <cfRule type="expression" dxfId="1150" priority="1151">
      <formula>MOD(ROW(A867),2) = 0</formula>
    </cfRule>
  </conditionalFormatting>
  <conditionalFormatting sqref="A866:I866 K866:N866">
    <cfRule type="expression" dxfId="1149" priority="1150">
      <formula>MOD(ROW(A866),2) = 0</formula>
    </cfRule>
  </conditionalFormatting>
  <conditionalFormatting sqref="A865:I865 K865:N865">
    <cfRule type="expression" dxfId="1148" priority="1149">
      <formula>MOD(ROW(A865),2) = 0</formula>
    </cfRule>
  </conditionalFormatting>
  <conditionalFormatting sqref="A864:I864 K864:N864">
    <cfRule type="expression" dxfId="1147" priority="1148">
      <formula>MOD(ROW(A864),2) = 0</formula>
    </cfRule>
  </conditionalFormatting>
  <conditionalFormatting sqref="A863:F863 K863:N863 H863:I863">
    <cfRule type="expression" dxfId="1146" priority="1147">
      <formula>MOD(ROW(A863),2) = 0</formula>
    </cfRule>
  </conditionalFormatting>
  <conditionalFormatting sqref="A862:I862 K862:N862">
    <cfRule type="expression" dxfId="1145" priority="1146">
      <formula>MOD(ROW(A862),2) = 0</formula>
    </cfRule>
  </conditionalFormatting>
  <conditionalFormatting sqref="A861:F861 K861:N861 H861:I861">
    <cfRule type="expression" dxfId="1144" priority="1145">
      <formula>MOD(ROW(A861),2) = 0</formula>
    </cfRule>
  </conditionalFormatting>
  <conditionalFormatting sqref="A860:I860 K860:N860">
    <cfRule type="expression" dxfId="1143" priority="1144">
      <formula>MOD(ROW(A860),2) = 0</formula>
    </cfRule>
  </conditionalFormatting>
  <conditionalFormatting sqref="A859:I859 K859:N859">
    <cfRule type="expression" dxfId="1142" priority="1143">
      <formula>MOD(ROW(A859),2) = 0</formula>
    </cfRule>
  </conditionalFormatting>
  <conditionalFormatting sqref="A858:I858 K858:N858">
    <cfRule type="expression" dxfId="1141" priority="1142">
      <formula>MOD(ROW(A858),2) = 0</formula>
    </cfRule>
  </conditionalFormatting>
  <conditionalFormatting sqref="A857:F857 K857:N857 H857:I857">
    <cfRule type="expression" dxfId="1140" priority="1141">
      <formula>MOD(ROW(A857),2) = 0</formula>
    </cfRule>
  </conditionalFormatting>
  <conditionalFormatting sqref="A856:I856 K856:N856">
    <cfRule type="expression" dxfId="1139" priority="1140">
      <formula>MOD(ROW(A856),2) = 0</formula>
    </cfRule>
  </conditionalFormatting>
  <conditionalFormatting sqref="A855:I855 K855:N855">
    <cfRule type="expression" dxfId="1138" priority="1139">
      <formula>MOD(ROW(A855),2) = 0</formula>
    </cfRule>
  </conditionalFormatting>
  <conditionalFormatting sqref="A854:I854 K854:N854">
    <cfRule type="expression" dxfId="1137" priority="1138">
      <formula>MOD(ROW(A854),2) = 0</formula>
    </cfRule>
  </conditionalFormatting>
  <conditionalFormatting sqref="A853:I853 K853:N853">
    <cfRule type="expression" dxfId="1136" priority="1137">
      <formula>MOD(ROW(A853),2) = 0</formula>
    </cfRule>
  </conditionalFormatting>
  <conditionalFormatting sqref="A852:I852 K852:N852">
    <cfRule type="expression" dxfId="1135" priority="1136">
      <formula>MOD(ROW(A852),2) = 0</formula>
    </cfRule>
  </conditionalFormatting>
  <conditionalFormatting sqref="A851:I851 K851:N851">
    <cfRule type="expression" dxfId="1134" priority="1135">
      <formula>MOD(ROW(A851),2) = 0</formula>
    </cfRule>
  </conditionalFormatting>
  <conditionalFormatting sqref="A850:I850 K850:N850">
    <cfRule type="expression" dxfId="1133" priority="1134">
      <formula>MOD(ROW(A850),2) = 0</formula>
    </cfRule>
  </conditionalFormatting>
  <conditionalFormatting sqref="A849:F849 K849:N849 H849:I849">
    <cfRule type="expression" dxfId="1132" priority="1133">
      <formula>MOD(ROW(A849),2) = 0</formula>
    </cfRule>
  </conditionalFormatting>
  <conditionalFormatting sqref="A848:I848 K848:N848">
    <cfRule type="expression" dxfId="1131" priority="1132">
      <formula>MOD(ROW(A848),2) = 0</formula>
    </cfRule>
  </conditionalFormatting>
  <conditionalFormatting sqref="A847:I847 K847:N847">
    <cfRule type="expression" dxfId="1130" priority="1131">
      <formula>MOD(ROW(A847),2) = 0</formula>
    </cfRule>
  </conditionalFormatting>
  <conditionalFormatting sqref="A846:I846 K846:N846">
    <cfRule type="expression" dxfId="1129" priority="1130">
      <formula>MOD(ROW(A846),2) = 0</formula>
    </cfRule>
  </conditionalFormatting>
  <conditionalFormatting sqref="A845:I845 K845:N845">
    <cfRule type="expression" dxfId="1128" priority="1129">
      <formula>MOD(ROW(A845),2) = 0</formula>
    </cfRule>
  </conditionalFormatting>
  <conditionalFormatting sqref="A844:I844 K844:N844">
    <cfRule type="expression" dxfId="1127" priority="1128">
      <formula>MOD(ROW(A844),2) = 0</formula>
    </cfRule>
  </conditionalFormatting>
  <conditionalFormatting sqref="A843:I843 K843:N843">
    <cfRule type="expression" dxfId="1126" priority="1127">
      <formula>MOD(ROW(A843),2) = 0</formula>
    </cfRule>
  </conditionalFormatting>
  <conditionalFormatting sqref="A842:I842 K842:N842">
    <cfRule type="expression" dxfId="1125" priority="1126">
      <formula>MOD(ROW(A842),2) = 0</formula>
    </cfRule>
  </conditionalFormatting>
  <conditionalFormatting sqref="A841:I841 K841:N841">
    <cfRule type="expression" dxfId="1124" priority="1125">
      <formula>MOD(ROW(A841),2) = 0</formula>
    </cfRule>
  </conditionalFormatting>
  <conditionalFormatting sqref="A840:I840 K840:N840">
    <cfRule type="expression" dxfId="1123" priority="1124">
      <formula>MOD(ROW(A840),2) = 0</formula>
    </cfRule>
  </conditionalFormatting>
  <conditionalFormatting sqref="A839:I839 K839:N839">
    <cfRule type="expression" dxfId="1122" priority="1123">
      <formula>MOD(ROW(A839),2) = 0</formula>
    </cfRule>
  </conditionalFormatting>
  <conditionalFormatting sqref="A838:I838 K838:N838">
    <cfRule type="expression" dxfId="1121" priority="1122">
      <formula>MOD(ROW(A838),2) = 0</formula>
    </cfRule>
  </conditionalFormatting>
  <conditionalFormatting sqref="A837:I837 K837:N837">
    <cfRule type="expression" dxfId="1120" priority="1121">
      <formula>MOD(ROW(A837),2) = 0</formula>
    </cfRule>
  </conditionalFormatting>
  <conditionalFormatting sqref="A836:I836 K836:N836">
    <cfRule type="expression" dxfId="1119" priority="1120">
      <formula>MOD(ROW(A836),2) = 0</formula>
    </cfRule>
  </conditionalFormatting>
  <conditionalFormatting sqref="A835:I835 K835:N835">
    <cfRule type="expression" dxfId="1118" priority="1119">
      <formula>MOD(ROW(A835),2) = 0</formula>
    </cfRule>
  </conditionalFormatting>
  <conditionalFormatting sqref="A834:I834 K834:N834">
    <cfRule type="expression" dxfId="1117" priority="1118">
      <formula>MOD(ROW(A834),2) = 0</formula>
    </cfRule>
  </conditionalFormatting>
  <conditionalFormatting sqref="A833:I833 K833:N833">
    <cfRule type="expression" dxfId="1116" priority="1117">
      <formula>MOD(ROW(A833),2) = 0</formula>
    </cfRule>
  </conditionalFormatting>
  <conditionalFormatting sqref="A832:I832 K832:N832">
    <cfRule type="expression" dxfId="1115" priority="1116">
      <formula>MOD(ROW(A832),2) = 0</formula>
    </cfRule>
  </conditionalFormatting>
  <conditionalFormatting sqref="A831:I831 K831:N831">
    <cfRule type="expression" dxfId="1114" priority="1115">
      <formula>MOD(ROW(A831),2) = 0</formula>
    </cfRule>
  </conditionalFormatting>
  <conditionalFormatting sqref="A830:I830 K830:N830">
    <cfRule type="expression" dxfId="1113" priority="1114">
      <formula>MOD(ROW(A830),2) = 0</formula>
    </cfRule>
  </conditionalFormatting>
  <conditionalFormatting sqref="A829:I829 K829:N829">
    <cfRule type="expression" dxfId="1112" priority="1113">
      <formula>MOD(ROW(A829),2) = 0</formula>
    </cfRule>
  </conditionalFormatting>
  <conditionalFormatting sqref="A828:I828 K828:N828">
    <cfRule type="expression" dxfId="1111" priority="1112">
      <formula>MOD(ROW(A828),2) = 0</formula>
    </cfRule>
  </conditionalFormatting>
  <conditionalFormatting sqref="A827:I827 K827:N827">
    <cfRule type="expression" dxfId="1110" priority="1111">
      <formula>MOD(ROW(A827),2) = 0</formula>
    </cfRule>
  </conditionalFormatting>
  <conditionalFormatting sqref="A826:I826 K826:N826">
    <cfRule type="expression" dxfId="1109" priority="1110">
      <formula>MOD(ROW(A826),2) = 0</formula>
    </cfRule>
  </conditionalFormatting>
  <conditionalFormatting sqref="A825:I825 K825:N825">
    <cfRule type="expression" dxfId="1108" priority="1109">
      <formula>MOD(ROW(A825),2) = 0</formula>
    </cfRule>
  </conditionalFormatting>
  <conditionalFormatting sqref="A824:I824 K824:N824">
    <cfRule type="expression" dxfId="1107" priority="1108">
      <formula>MOD(ROW(A824),2) = 0</formula>
    </cfRule>
  </conditionalFormatting>
  <conditionalFormatting sqref="A823:I823 K823:N823 G849">
    <cfRule type="expression" dxfId="1106" priority="1107">
      <formula>MOD(ROW(A823),2) = 0</formula>
    </cfRule>
  </conditionalFormatting>
  <conditionalFormatting sqref="A822:I822 K822:N822">
    <cfRule type="expression" dxfId="1105" priority="1106">
      <formula>MOD(ROW(A822),2) = 0</formula>
    </cfRule>
  </conditionalFormatting>
  <conditionalFormatting sqref="A821:I821 K821:N821">
    <cfRule type="expression" dxfId="1104" priority="1105">
      <formula>MOD(ROW(A821),2) = 0</formula>
    </cfRule>
  </conditionalFormatting>
  <conditionalFormatting sqref="A820:I820 K820:N820">
    <cfRule type="expression" dxfId="1103" priority="1104">
      <formula>MOD(ROW(A820),2) = 0</formula>
    </cfRule>
  </conditionalFormatting>
  <conditionalFormatting sqref="A819:I819 K819:N819">
    <cfRule type="expression" dxfId="1102" priority="1103">
      <formula>MOD(ROW(A819),2) = 0</formula>
    </cfRule>
  </conditionalFormatting>
  <conditionalFormatting sqref="A818:I818 K818:N818">
    <cfRule type="expression" dxfId="1101" priority="1102">
      <formula>MOD(ROW(A818),2) = 0</formula>
    </cfRule>
  </conditionalFormatting>
  <conditionalFormatting sqref="A817:I817 K817:N817">
    <cfRule type="expression" dxfId="1100" priority="1101">
      <formula>MOD(ROW(A817),2) = 0</formula>
    </cfRule>
  </conditionalFormatting>
  <conditionalFormatting sqref="A816:I816 K816:N816">
    <cfRule type="expression" dxfId="1099" priority="1100">
      <formula>MOD(ROW(A816),2) = 0</formula>
    </cfRule>
  </conditionalFormatting>
  <conditionalFormatting sqref="A815:I815 K815:N815">
    <cfRule type="expression" dxfId="1098" priority="1099">
      <formula>MOD(ROW(A815),2) = 0</formula>
    </cfRule>
  </conditionalFormatting>
  <conditionalFormatting sqref="A814:F814 K814:N814 H814:I814">
    <cfRule type="expression" dxfId="1097" priority="1098">
      <formula>MOD(ROW(A814),2) = 0</formula>
    </cfRule>
  </conditionalFormatting>
  <conditionalFormatting sqref="A813:I813 K813:N813">
    <cfRule type="expression" dxfId="1096" priority="1097">
      <formula>MOD(ROW(A813),2) = 0</formula>
    </cfRule>
  </conditionalFormatting>
  <conditionalFormatting sqref="A812:I812 K812:N812">
    <cfRule type="expression" dxfId="1095" priority="1096">
      <formula>MOD(ROW(A812),2) = 0</formula>
    </cfRule>
  </conditionalFormatting>
  <conditionalFormatting sqref="A811:I811 K811:N811">
    <cfRule type="expression" dxfId="1094" priority="1095">
      <formula>MOD(ROW(A811),2) = 0</formula>
    </cfRule>
  </conditionalFormatting>
  <conditionalFormatting sqref="A810:I810 K810:N810">
    <cfRule type="expression" dxfId="1093" priority="1094">
      <formula>MOD(ROW(A810),2) = 0</formula>
    </cfRule>
  </conditionalFormatting>
  <conditionalFormatting sqref="A809:I809 K809:N809">
    <cfRule type="expression" dxfId="1092" priority="1093">
      <formula>MOD(ROW(A809),2) = 0</formula>
    </cfRule>
  </conditionalFormatting>
  <conditionalFormatting sqref="A808:I808 K808:N808">
    <cfRule type="expression" dxfId="1091" priority="1092">
      <formula>MOD(ROW(A808),2) = 0</formula>
    </cfRule>
  </conditionalFormatting>
  <conditionalFormatting sqref="A807:F807 K807:N807 H807:I807">
    <cfRule type="expression" dxfId="1090" priority="1091">
      <formula>MOD(ROW(A807),2) = 0</formula>
    </cfRule>
  </conditionalFormatting>
  <conditionalFormatting sqref="A806:I806 K806:N806">
    <cfRule type="expression" dxfId="1089" priority="1090">
      <formula>MOD(ROW(A806),2) = 0</formula>
    </cfRule>
  </conditionalFormatting>
  <conditionalFormatting sqref="A805:I805 K805:N805">
    <cfRule type="expression" dxfId="1088" priority="1089">
      <formula>MOD(ROW(A805),2) = 0</formula>
    </cfRule>
  </conditionalFormatting>
  <conditionalFormatting sqref="A804:I804 K804:N804">
    <cfRule type="expression" dxfId="1087" priority="1088">
      <formula>MOD(ROW(A804),2) = 0</formula>
    </cfRule>
  </conditionalFormatting>
  <conditionalFormatting sqref="A803:I803 K803:N803">
    <cfRule type="expression" dxfId="1086" priority="1087">
      <formula>MOD(ROW(A803),2) = 0</formula>
    </cfRule>
  </conditionalFormatting>
  <conditionalFormatting sqref="A802:I802 K802:N802">
    <cfRule type="expression" dxfId="1085" priority="1086">
      <formula>MOD(ROW(A802),2) = 0</formula>
    </cfRule>
  </conditionalFormatting>
  <conditionalFormatting sqref="A801:F801 K801:N801 H801:I801">
    <cfRule type="expression" dxfId="1084" priority="1085">
      <formula>MOD(ROW(A801),2) = 0</formula>
    </cfRule>
  </conditionalFormatting>
  <conditionalFormatting sqref="A800:I800 K800:N800">
    <cfRule type="expression" dxfId="1083" priority="1084">
      <formula>MOD(ROW(A800),2) = 0</formula>
    </cfRule>
  </conditionalFormatting>
  <conditionalFormatting sqref="A799:I799 K799:N799">
    <cfRule type="expression" dxfId="1082" priority="1083">
      <formula>MOD(ROW(A799),2) = 0</formula>
    </cfRule>
  </conditionalFormatting>
  <conditionalFormatting sqref="A798:F798 K798:N798 H798:I798">
    <cfRule type="expression" dxfId="1081" priority="1082">
      <formula>MOD(ROW(A798),2) = 0</formula>
    </cfRule>
  </conditionalFormatting>
  <conditionalFormatting sqref="A797:I797 K797:N797">
    <cfRule type="expression" dxfId="1080" priority="1081">
      <formula>MOD(ROW(A797),2) = 0</formula>
    </cfRule>
  </conditionalFormatting>
  <conditionalFormatting sqref="A796:F796 K796:N796 H796:I796">
    <cfRule type="expression" dxfId="1079" priority="1080">
      <formula>MOD(ROW(A796),2) = 0</formula>
    </cfRule>
  </conditionalFormatting>
  <conditionalFormatting sqref="A795:I795 K795:N795">
    <cfRule type="expression" dxfId="1078" priority="1079">
      <formula>MOD(ROW(A795),2) = 0</formula>
    </cfRule>
  </conditionalFormatting>
  <conditionalFormatting sqref="A794:I794 K794:N794">
    <cfRule type="expression" dxfId="1077" priority="1078">
      <formula>MOD(ROW(A794),2) = 0</formula>
    </cfRule>
  </conditionalFormatting>
  <conditionalFormatting sqref="A793:I793 K793:N793">
    <cfRule type="expression" dxfId="1076" priority="1077">
      <formula>MOD(ROW(A793),2) = 0</formula>
    </cfRule>
  </conditionalFormatting>
  <conditionalFormatting sqref="A792:I792 K792:N792">
    <cfRule type="expression" dxfId="1075" priority="1076">
      <formula>MOD(ROW(A792),2) = 0</formula>
    </cfRule>
  </conditionalFormatting>
  <conditionalFormatting sqref="A791:I791 K791:N791">
    <cfRule type="expression" dxfId="1074" priority="1075">
      <formula>MOD(ROW(A791),2) = 0</formula>
    </cfRule>
  </conditionalFormatting>
  <conditionalFormatting sqref="A790:I790 K790:N790">
    <cfRule type="expression" dxfId="1073" priority="1074">
      <formula>MOD(ROW(A790),2) = 0</formula>
    </cfRule>
  </conditionalFormatting>
  <conditionalFormatting sqref="A789:I789 K789:N789">
    <cfRule type="expression" dxfId="1072" priority="1073">
      <formula>MOD(ROW(A789),2) = 0</formula>
    </cfRule>
  </conditionalFormatting>
  <conditionalFormatting sqref="A788:I788 K788:N788">
    <cfRule type="expression" dxfId="1071" priority="1072">
      <formula>MOD(ROW(A788),2) = 0</formula>
    </cfRule>
  </conditionalFormatting>
  <conditionalFormatting sqref="A787:I787 K787:N787 G871">
    <cfRule type="expression" dxfId="1070" priority="1071">
      <formula>MOD(ROW(A787),2) = 0</formula>
    </cfRule>
  </conditionalFormatting>
  <conditionalFormatting sqref="A786:I786 K786:N786">
    <cfRule type="expression" dxfId="1069" priority="1070">
      <formula>MOD(ROW(A786),2) = 0</formula>
    </cfRule>
  </conditionalFormatting>
  <conditionalFormatting sqref="A785:I785 K785:N785">
    <cfRule type="expression" dxfId="1068" priority="1069">
      <formula>MOD(ROW(A785),2) = 0</formula>
    </cfRule>
  </conditionalFormatting>
  <conditionalFormatting sqref="A784:I784 K784:N784">
    <cfRule type="expression" dxfId="1067" priority="1068">
      <formula>MOD(ROW(A784),2) = 0</formula>
    </cfRule>
  </conditionalFormatting>
  <conditionalFormatting sqref="A783:I783 K783:N783">
    <cfRule type="expression" dxfId="1066" priority="1067">
      <formula>MOD(ROW(A783),2) = 0</formula>
    </cfRule>
  </conditionalFormatting>
  <conditionalFormatting sqref="A782:I782 K782:N782">
    <cfRule type="expression" dxfId="1065" priority="1066">
      <formula>MOD(ROW(A782),2) = 0</formula>
    </cfRule>
  </conditionalFormatting>
  <conditionalFormatting sqref="A781:I781 K781:N781">
    <cfRule type="expression" dxfId="1064" priority="1065">
      <formula>MOD(ROW(A781),2) = 0</formula>
    </cfRule>
  </conditionalFormatting>
  <conditionalFormatting sqref="A780:I780 K780:N780">
    <cfRule type="expression" dxfId="1063" priority="1064">
      <formula>MOD(ROW(A780),2) = 0</formula>
    </cfRule>
  </conditionalFormatting>
  <conditionalFormatting sqref="A779:I779 K779:N779">
    <cfRule type="expression" dxfId="1062" priority="1063">
      <formula>MOD(ROW(A779),2) = 0</formula>
    </cfRule>
  </conditionalFormatting>
  <conditionalFormatting sqref="A778:I778 K778:N778">
    <cfRule type="expression" dxfId="1061" priority="1062">
      <formula>MOD(ROW(A778),2) = 0</formula>
    </cfRule>
  </conditionalFormatting>
  <conditionalFormatting sqref="A777:I777 K777:N777">
    <cfRule type="expression" dxfId="1060" priority="1061">
      <formula>MOD(ROW(A777),2) = 0</formula>
    </cfRule>
  </conditionalFormatting>
  <conditionalFormatting sqref="A776:I776 K776:N776">
    <cfRule type="expression" dxfId="1059" priority="1060">
      <formula>MOD(ROW(A776),2) = 0</formula>
    </cfRule>
  </conditionalFormatting>
  <conditionalFormatting sqref="A775:I775 K775:N775">
    <cfRule type="expression" dxfId="1058" priority="1059">
      <formula>MOD(ROW(A775),2) = 0</formula>
    </cfRule>
  </conditionalFormatting>
  <conditionalFormatting sqref="A774:I774 K774:N774">
    <cfRule type="expression" dxfId="1057" priority="1058">
      <formula>MOD(ROW(A774),2) = 0</formula>
    </cfRule>
  </conditionalFormatting>
  <conditionalFormatting sqref="A773:I773 K773:N773">
    <cfRule type="expression" dxfId="1056" priority="1057">
      <formula>MOD(ROW(A773),2) = 0</formula>
    </cfRule>
  </conditionalFormatting>
  <conditionalFormatting sqref="A772:I772 K772:N772">
    <cfRule type="expression" dxfId="1055" priority="1056">
      <formula>MOD(ROW(A772),2) = 0</formula>
    </cfRule>
  </conditionalFormatting>
  <conditionalFormatting sqref="A771:I771 K771:N771">
    <cfRule type="expression" dxfId="1054" priority="1055">
      <formula>MOD(ROW(A771),2) = 0</formula>
    </cfRule>
  </conditionalFormatting>
  <conditionalFormatting sqref="A770:I770 K770:N770">
    <cfRule type="expression" dxfId="1053" priority="1054">
      <formula>MOD(ROW(A770),2) = 0</formula>
    </cfRule>
  </conditionalFormatting>
  <conditionalFormatting sqref="A769:I769 K769:N769">
    <cfRule type="expression" dxfId="1052" priority="1053">
      <formula>MOD(ROW(A769),2) = 0</formula>
    </cfRule>
  </conditionalFormatting>
  <conditionalFormatting sqref="A768:F768 K768:N768 H768:I768">
    <cfRule type="expression" dxfId="1051" priority="1052">
      <formula>MOD(ROW(A768),2) = 0</formula>
    </cfRule>
  </conditionalFormatting>
  <conditionalFormatting sqref="A767:I767 K767:N767">
    <cfRule type="expression" dxfId="1050" priority="1051">
      <formula>MOD(ROW(A767),2) = 0</formula>
    </cfRule>
  </conditionalFormatting>
  <conditionalFormatting sqref="A766:I766 K766:N766">
    <cfRule type="expression" dxfId="1049" priority="1050">
      <formula>MOD(ROW(A766),2) = 0</formula>
    </cfRule>
  </conditionalFormatting>
  <conditionalFormatting sqref="A765:F765 K765:N765 H765:I765">
    <cfRule type="expression" dxfId="1048" priority="1049">
      <formula>MOD(ROW(A765),2) = 0</formula>
    </cfRule>
  </conditionalFormatting>
  <conditionalFormatting sqref="A764:I764 K764:N764">
    <cfRule type="expression" dxfId="1047" priority="1048">
      <formula>MOD(ROW(A764),2) = 0</formula>
    </cfRule>
  </conditionalFormatting>
  <conditionalFormatting sqref="A763:F763 K763:N763 H763:I763">
    <cfRule type="expression" dxfId="1046" priority="1047">
      <formula>MOD(ROW(A763),2) = 0</formula>
    </cfRule>
  </conditionalFormatting>
  <conditionalFormatting sqref="A762:I762 K762:N762">
    <cfRule type="expression" dxfId="1045" priority="1046">
      <formula>MOD(ROW(A762),2) = 0</formula>
    </cfRule>
  </conditionalFormatting>
  <conditionalFormatting sqref="A761:F761 K761:N761 H761:I761">
    <cfRule type="expression" dxfId="1044" priority="1045">
      <formula>MOD(ROW(A761),2) = 0</formula>
    </cfRule>
  </conditionalFormatting>
  <conditionalFormatting sqref="A760:F760 K760:N760 H760:I760">
    <cfRule type="expression" dxfId="1043" priority="1044">
      <formula>MOD(ROW(A760),2) = 0</formula>
    </cfRule>
  </conditionalFormatting>
  <conditionalFormatting sqref="A759:I759 K759:N759">
    <cfRule type="expression" dxfId="1042" priority="1043">
      <formula>MOD(ROW(A759),2) = 0</formula>
    </cfRule>
  </conditionalFormatting>
  <conditionalFormatting sqref="A758:I758 K758:N758">
    <cfRule type="expression" dxfId="1041" priority="1042">
      <formula>MOD(ROW(A758),2) = 0</formula>
    </cfRule>
  </conditionalFormatting>
  <conditionalFormatting sqref="A757:I757 K757:N757">
    <cfRule type="expression" dxfId="1040" priority="1041">
      <formula>MOD(ROW(A757),2) = 0</formula>
    </cfRule>
  </conditionalFormatting>
  <conditionalFormatting sqref="A756:I756 K756:N756">
    <cfRule type="expression" dxfId="1039" priority="1040">
      <formula>MOD(ROW(A756),2) = 0</formula>
    </cfRule>
  </conditionalFormatting>
  <conditionalFormatting sqref="A755:I755 K755:N755">
    <cfRule type="expression" dxfId="1038" priority="1039">
      <formula>MOD(ROW(A755),2) = 0</formula>
    </cfRule>
  </conditionalFormatting>
  <conditionalFormatting sqref="A754:I754 K754:N754">
    <cfRule type="expression" dxfId="1037" priority="1038">
      <formula>MOD(ROW(A754),2) = 0</formula>
    </cfRule>
  </conditionalFormatting>
  <conditionalFormatting sqref="A753:I753 K753:N753">
    <cfRule type="expression" dxfId="1036" priority="1037">
      <formula>MOD(ROW(A753),2) = 0</formula>
    </cfRule>
  </conditionalFormatting>
  <conditionalFormatting sqref="A752:I752 K752:N752">
    <cfRule type="expression" dxfId="1035" priority="1036">
      <formula>MOD(ROW(A752),2) = 0</formula>
    </cfRule>
  </conditionalFormatting>
  <conditionalFormatting sqref="A751:I751 K751:N751">
    <cfRule type="expression" dxfId="1034" priority="1035">
      <formula>MOD(ROW(A751),2) = 0</formula>
    </cfRule>
  </conditionalFormatting>
  <conditionalFormatting sqref="A750:I750 K750:N750">
    <cfRule type="expression" dxfId="1033" priority="1034">
      <formula>MOD(ROW(A750),2) = 0</formula>
    </cfRule>
  </conditionalFormatting>
  <conditionalFormatting sqref="A749:I749 K749:N749">
    <cfRule type="expression" dxfId="1032" priority="1033">
      <formula>MOD(ROW(A749),2) = 0</formula>
    </cfRule>
  </conditionalFormatting>
  <conditionalFormatting sqref="A748:I748 K748:N748">
    <cfRule type="expression" dxfId="1031" priority="1032">
      <formula>MOD(ROW(A748),2) = 0</formula>
    </cfRule>
  </conditionalFormatting>
  <conditionalFormatting sqref="A747:I747 K747:N747">
    <cfRule type="expression" dxfId="1030" priority="1031">
      <formula>MOD(ROW(A747),2) = 0</formula>
    </cfRule>
  </conditionalFormatting>
  <conditionalFormatting sqref="A746:I746 K746:N746">
    <cfRule type="expression" dxfId="1029" priority="1030">
      <formula>MOD(ROW(A746),2) = 0</formula>
    </cfRule>
  </conditionalFormatting>
  <conditionalFormatting sqref="A745:I745 K745:N745">
    <cfRule type="expression" dxfId="1028" priority="1029">
      <formula>MOD(ROW(A745),2) = 0</formula>
    </cfRule>
  </conditionalFormatting>
  <conditionalFormatting sqref="A744:I744 K744:N744">
    <cfRule type="expression" dxfId="1027" priority="1028">
      <formula>MOD(ROW(A744),2) = 0</formula>
    </cfRule>
  </conditionalFormatting>
  <conditionalFormatting sqref="A743:I743 K743:N743">
    <cfRule type="expression" dxfId="1026" priority="1027">
      <formula>MOD(ROW(A743),2) = 0</formula>
    </cfRule>
  </conditionalFormatting>
  <conditionalFormatting sqref="A742:I742 K742:N742">
    <cfRule type="expression" dxfId="1025" priority="1026">
      <formula>MOD(ROW(A742),2) = 0</formula>
    </cfRule>
  </conditionalFormatting>
  <conditionalFormatting sqref="A741:I741 K741:N741">
    <cfRule type="expression" dxfId="1024" priority="1025">
      <formula>MOD(ROW(A741),2) = 0</formula>
    </cfRule>
  </conditionalFormatting>
  <conditionalFormatting sqref="A740:I740 K740:N740">
    <cfRule type="expression" dxfId="1023" priority="1024">
      <formula>MOD(ROW(A740),2) = 0</formula>
    </cfRule>
  </conditionalFormatting>
  <conditionalFormatting sqref="A739:I739 K739:N739">
    <cfRule type="expression" dxfId="1022" priority="1023">
      <formula>MOD(ROW(A739),2) = 0</formula>
    </cfRule>
  </conditionalFormatting>
  <conditionalFormatting sqref="A738:I738 K738:N738">
    <cfRule type="expression" dxfId="1021" priority="1022">
      <formula>MOD(ROW(A738),2) = 0</formula>
    </cfRule>
  </conditionalFormatting>
  <conditionalFormatting sqref="A737:F737 K737:N737 H737:I737">
    <cfRule type="expression" dxfId="1020" priority="1021">
      <formula>MOD(ROW(A737),2) = 0</formula>
    </cfRule>
  </conditionalFormatting>
  <conditionalFormatting sqref="A736:I736 K736:N736">
    <cfRule type="expression" dxfId="1019" priority="1020">
      <formula>MOD(ROW(A736),2) = 0</formula>
    </cfRule>
  </conditionalFormatting>
  <conditionalFormatting sqref="A735:I735 K735:N735">
    <cfRule type="expression" dxfId="1018" priority="1019">
      <formula>MOD(ROW(A735),2) = 0</formula>
    </cfRule>
  </conditionalFormatting>
  <conditionalFormatting sqref="A734:I734 K734:N734">
    <cfRule type="expression" dxfId="1017" priority="1018">
      <formula>MOD(ROW(A734),2) = 0</formula>
    </cfRule>
  </conditionalFormatting>
  <conditionalFormatting sqref="A733:I733 K733:N733">
    <cfRule type="expression" dxfId="1016" priority="1017">
      <formula>MOD(ROW(A733),2) = 0</formula>
    </cfRule>
  </conditionalFormatting>
  <conditionalFormatting sqref="A732:I732 K732:N732">
    <cfRule type="expression" dxfId="1015" priority="1016">
      <formula>MOD(ROW(A732),2) = 0</formula>
    </cfRule>
  </conditionalFormatting>
  <conditionalFormatting sqref="A731:I731 K731:N731">
    <cfRule type="expression" dxfId="1014" priority="1015">
      <formula>MOD(ROW(A731),2) = 0</formula>
    </cfRule>
  </conditionalFormatting>
  <conditionalFormatting sqref="A730:I730 K730:N730">
    <cfRule type="expression" dxfId="1013" priority="1014">
      <formula>MOD(ROW(A730),2) = 0</formula>
    </cfRule>
  </conditionalFormatting>
  <conditionalFormatting sqref="A729:I729 K729:N729">
    <cfRule type="expression" dxfId="1012" priority="1013">
      <formula>MOD(ROW(A729),2) = 0</formula>
    </cfRule>
  </conditionalFormatting>
  <conditionalFormatting sqref="A728:I728 K728:N728">
    <cfRule type="expression" dxfId="1011" priority="1012">
      <formula>MOD(ROW(A728),2) = 0</formula>
    </cfRule>
  </conditionalFormatting>
  <conditionalFormatting sqref="A727:I727 K727:N727">
    <cfRule type="expression" dxfId="1010" priority="1011">
      <formula>MOD(ROW(A727),2) = 0</formula>
    </cfRule>
  </conditionalFormatting>
  <conditionalFormatting sqref="A726:I726 K726:N726">
    <cfRule type="expression" dxfId="1009" priority="1010">
      <formula>MOD(ROW(A726),2) = 0</formula>
    </cfRule>
  </conditionalFormatting>
  <conditionalFormatting sqref="A725:I725 K725:N725">
    <cfRule type="expression" dxfId="1008" priority="1009">
      <formula>MOD(ROW(A725),2) = 0</formula>
    </cfRule>
  </conditionalFormatting>
  <conditionalFormatting sqref="A724:I724 K724:N724">
    <cfRule type="expression" dxfId="1007" priority="1008">
      <formula>MOD(ROW(A724),2) = 0</formula>
    </cfRule>
  </conditionalFormatting>
  <conditionalFormatting sqref="A723:I723 K723:N723">
    <cfRule type="expression" dxfId="1006" priority="1007">
      <formula>MOD(ROW(A723),2) = 0</formula>
    </cfRule>
  </conditionalFormatting>
  <conditionalFormatting sqref="A722:I722 K722:N722">
    <cfRule type="expression" dxfId="1005" priority="1006">
      <formula>MOD(ROW(A722),2) = 0</formula>
    </cfRule>
  </conditionalFormatting>
  <conditionalFormatting sqref="A721:I721 K721:N721">
    <cfRule type="expression" dxfId="1004" priority="1005">
      <formula>MOD(ROW(A721),2) = 0</formula>
    </cfRule>
  </conditionalFormatting>
  <conditionalFormatting sqref="A720:I720 K720:N720">
    <cfRule type="expression" dxfId="1003" priority="1004">
      <formula>MOD(ROW(A720),2) = 0</formula>
    </cfRule>
  </conditionalFormatting>
  <conditionalFormatting sqref="A719:I719 K719:N719">
    <cfRule type="expression" dxfId="1002" priority="1003">
      <formula>MOD(ROW(A719),2) = 0</formula>
    </cfRule>
  </conditionalFormatting>
  <conditionalFormatting sqref="A718:F718 K718:N718 H718:I718">
    <cfRule type="expression" dxfId="1001" priority="1002">
      <formula>MOD(ROW(A718),2) = 0</formula>
    </cfRule>
  </conditionalFormatting>
  <conditionalFormatting sqref="A717:F717 K717:N717 H717:I717">
    <cfRule type="expression" dxfId="1000" priority="1001">
      <formula>MOD(ROW(A717),2) = 0</formula>
    </cfRule>
  </conditionalFormatting>
  <conditionalFormatting sqref="A716:I716 K716:N716">
    <cfRule type="expression" dxfId="999" priority="1000">
      <formula>MOD(ROW(A716),2) = 0</formula>
    </cfRule>
  </conditionalFormatting>
  <conditionalFormatting sqref="A715:F715 K715:N715 H715:I715">
    <cfRule type="expression" dxfId="998" priority="999">
      <formula>MOD(ROW(A715),2) = 0</formula>
    </cfRule>
  </conditionalFormatting>
  <conditionalFormatting sqref="A714:I714 K714:N714">
    <cfRule type="expression" dxfId="997" priority="998">
      <formula>MOD(ROW(A714),2) = 0</formula>
    </cfRule>
  </conditionalFormatting>
  <conditionalFormatting sqref="A713:I713 K713:N713">
    <cfRule type="expression" dxfId="996" priority="997">
      <formula>MOD(ROW(A713),2) = 0</formula>
    </cfRule>
  </conditionalFormatting>
  <conditionalFormatting sqref="A712:I712 K712:N712">
    <cfRule type="expression" dxfId="995" priority="996">
      <formula>MOD(ROW(A712),2) = 0</formula>
    </cfRule>
  </conditionalFormatting>
  <conditionalFormatting sqref="A711:I711 K711:N711">
    <cfRule type="expression" dxfId="994" priority="995">
      <formula>MOD(ROW(A711),2) = 0</formula>
    </cfRule>
  </conditionalFormatting>
  <conditionalFormatting sqref="A710:I710 K710:N710">
    <cfRule type="expression" dxfId="993" priority="994">
      <formula>MOD(ROW(A710),2) = 0</formula>
    </cfRule>
  </conditionalFormatting>
  <conditionalFormatting sqref="A709:I709 K709:N709">
    <cfRule type="expression" dxfId="992" priority="993">
      <formula>MOD(ROW(A709),2) = 0</formula>
    </cfRule>
  </conditionalFormatting>
  <conditionalFormatting sqref="A708:I708 L708:N708">
    <cfRule type="expression" dxfId="991" priority="992">
      <formula>MOD(ROW(A708),2) = 0</formula>
    </cfRule>
  </conditionalFormatting>
  <conditionalFormatting sqref="A707:I707 K707:N707">
    <cfRule type="expression" dxfId="990" priority="991">
      <formula>MOD(ROW(A707),2) = 0</formula>
    </cfRule>
  </conditionalFormatting>
  <conditionalFormatting sqref="A706:I706 K706:N706">
    <cfRule type="expression" dxfId="989" priority="990">
      <formula>MOD(ROW(A706),2) = 0</formula>
    </cfRule>
  </conditionalFormatting>
  <conditionalFormatting sqref="A705:F705 K705:N705 H705:I705">
    <cfRule type="expression" dxfId="988" priority="989">
      <formula>MOD(ROW(A705),2) = 0</formula>
    </cfRule>
  </conditionalFormatting>
  <conditionalFormatting sqref="A704:I704 K704:N704">
    <cfRule type="expression" dxfId="987" priority="988">
      <formula>MOD(ROW(A704),2) = 0</formula>
    </cfRule>
  </conditionalFormatting>
  <conditionalFormatting sqref="A703:I703 K703:N703">
    <cfRule type="expression" dxfId="986" priority="987">
      <formula>MOD(ROW(A703),2) = 0</formula>
    </cfRule>
  </conditionalFormatting>
  <conditionalFormatting sqref="A702:I702 K702:N702">
    <cfRule type="expression" dxfId="985" priority="986">
      <formula>MOD(ROW(A702),2) = 0</formula>
    </cfRule>
  </conditionalFormatting>
  <conditionalFormatting sqref="A701:I701 K701:N701">
    <cfRule type="expression" dxfId="984" priority="985">
      <formula>MOD(ROW(A701),2) = 0</formula>
    </cfRule>
  </conditionalFormatting>
  <conditionalFormatting sqref="A700:I700 K700:N700">
    <cfRule type="expression" dxfId="983" priority="984">
      <formula>MOD(ROW(A700),2) = 0</formula>
    </cfRule>
  </conditionalFormatting>
  <conditionalFormatting sqref="A699:I699 K699:N699">
    <cfRule type="expression" dxfId="982" priority="983">
      <formula>MOD(ROW(A699),2) = 0</formula>
    </cfRule>
  </conditionalFormatting>
  <conditionalFormatting sqref="A698:I698 K698:N698">
    <cfRule type="expression" dxfId="981" priority="982">
      <formula>MOD(ROW(A698),2) = 0</formula>
    </cfRule>
  </conditionalFormatting>
  <conditionalFormatting sqref="A697:I697 K697:N697">
    <cfRule type="expression" dxfId="980" priority="981">
      <formula>MOD(ROW(A697),2) = 0</formula>
    </cfRule>
  </conditionalFormatting>
  <conditionalFormatting sqref="A696:F696 K696:N696 H696:I696">
    <cfRule type="expression" dxfId="979" priority="980">
      <formula>MOD(ROW(A696),2) = 0</formula>
    </cfRule>
  </conditionalFormatting>
  <conditionalFormatting sqref="A695:I695 K695:N695">
    <cfRule type="expression" dxfId="978" priority="979">
      <formula>MOD(ROW(A695),2) = 0</formula>
    </cfRule>
  </conditionalFormatting>
  <conditionalFormatting sqref="A694:I694 K694:N694">
    <cfRule type="expression" dxfId="977" priority="978">
      <formula>MOD(ROW(A694),2) = 0</formula>
    </cfRule>
  </conditionalFormatting>
  <conditionalFormatting sqref="K708">
    <cfRule type="expression" dxfId="976" priority="977">
      <formula>MOD(ROW(K708),2) = 0</formula>
    </cfRule>
  </conditionalFormatting>
  <conditionalFormatting sqref="A693:I693 K693:N693">
    <cfRule type="expression" dxfId="975" priority="976">
      <formula>MOD(ROW(A693),2) = 0</formula>
    </cfRule>
  </conditionalFormatting>
  <conditionalFormatting sqref="A692:F692 K692:N692 H692:I692">
    <cfRule type="expression" dxfId="974" priority="975">
      <formula>MOD(ROW(A692),2) = 0</formula>
    </cfRule>
  </conditionalFormatting>
  <conditionalFormatting sqref="A691:F691 K691:N691 H691:I691">
    <cfRule type="expression" dxfId="973" priority="974">
      <formula>MOD(ROW(A691),2) = 0</formula>
    </cfRule>
  </conditionalFormatting>
  <conditionalFormatting sqref="A690:I690 K690:N690">
    <cfRule type="expression" dxfId="972" priority="973">
      <formula>MOD(ROW(A690),2) = 0</formula>
    </cfRule>
  </conditionalFormatting>
  <conditionalFormatting sqref="A689:I689 K689:N689">
    <cfRule type="expression" dxfId="971" priority="972">
      <formula>MOD(ROW(A689),2) = 0</formula>
    </cfRule>
  </conditionalFormatting>
  <conditionalFormatting sqref="A688:I688 K688:N688">
    <cfRule type="expression" dxfId="970" priority="971">
      <formula>MOD(ROW(A688),2) = 0</formula>
    </cfRule>
  </conditionalFormatting>
  <conditionalFormatting sqref="A687:I687 K687:N687">
    <cfRule type="expression" dxfId="969" priority="970">
      <formula>MOD(ROW(A687),2) = 0</formula>
    </cfRule>
  </conditionalFormatting>
  <conditionalFormatting sqref="A686:I686 K686:N686">
    <cfRule type="expression" dxfId="968" priority="969">
      <formula>MOD(ROW(A686),2) = 0</formula>
    </cfRule>
  </conditionalFormatting>
  <conditionalFormatting sqref="A685:I685 K685:N685">
    <cfRule type="expression" dxfId="967" priority="968">
      <formula>MOD(ROW(A685),2) = 0</formula>
    </cfRule>
  </conditionalFormatting>
  <conditionalFormatting sqref="A684:I684 K684:N684">
    <cfRule type="expression" dxfId="966" priority="967">
      <formula>MOD(ROW(A684),2) = 0</formula>
    </cfRule>
  </conditionalFormatting>
  <conditionalFormatting sqref="A683:F683 K683:N683 H683:I683">
    <cfRule type="expression" dxfId="965" priority="966">
      <formula>MOD(ROW(A683),2) = 0</formula>
    </cfRule>
  </conditionalFormatting>
  <conditionalFormatting sqref="A682:I682 K682:N682">
    <cfRule type="expression" dxfId="964" priority="965">
      <formula>MOD(ROW(A682),2) = 0</formula>
    </cfRule>
  </conditionalFormatting>
  <conditionalFormatting sqref="A681:I681 K681:N681">
    <cfRule type="expression" dxfId="963" priority="964">
      <formula>MOD(ROW(A681),2) = 0</formula>
    </cfRule>
  </conditionalFormatting>
  <conditionalFormatting sqref="A680:I680 K680:N680">
    <cfRule type="expression" dxfId="962" priority="963">
      <formula>MOD(ROW(A680),2) = 0</formula>
    </cfRule>
  </conditionalFormatting>
  <conditionalFormatting sqref="A679:I679 K679:N679">
    <cfRule type="expression" dxfId="961" priority="962">
      <formula>MOD(ROW(A679),2) = 0</formula>
    </cfRule>
  </conditionalFormatting>
  <conditionalFormatting sqref="A678:I678 K678:N678">
    <cfRule type="expression" dxfId="960" priority="961">
      <formula>MOD(ROW(A678),2) = 0</formula>
    </cfRule>
  </conditionalFormatting>
  <conditionalFormatting sqref="A677:I677 K677:N677">
    <cfRule type="expression" dxfId="959" priority="960">
      <formula>MOD(ROW(A677),2) = 0</formula>
    </cfRule>
  </conditionalFormatting>
  <conditionalFormatting sqref="A676:I676 K676:N676">
    <cfRule type="expression" dxfId="958" priority="959">
      <formula>MOD(ROW(A676),2) = 0</formula>
    </cfRule>
  </conditionalFormatting>
  <conditionalFormatting sqref="A675:I675 K675:N675">
    <cfRule type="expression" dxfId="957" priority="958">
      <formula>MOD(ROW(A675),2) = 0</formula>
    </cfRule>
  </conditionalFormatting>
  <conditionalFormatting sqref="A674:I674 K674:N674">
    <cfRule type="expression" dxfId="956" priority="957">
      <formula>MOD(ROW(A674),2) = 0</formula>
    </cfRule>
  </conditionalFormatting>
  <conditionalFormatting sqref="A673:I673 K673:N673">
    <cfRule type="expression" dxfId="955" priority="956">
      <formula>MOD(ROW(A673),2) = 0</formula>
    </cfRule>
  </conditionalFormatting>
  <conditionalFormatting sqref="A672:I672 K672:N672">
    <cfRule type="expression" dxfId="954" priority="955">
      <formula>MOD(ROW(A672),2) = 0</formula>
    </cfRule>
  </conditionalFormatting>
  <conditionalFormatting sqref="A671:I671 K671:N671">
    <cfRule type="expression" dxfId="953" priority="954">
      <formula>MOD(ROW(A671),2) = 0</formula>
    </cfRule>
  </conditionalFormatting>
  <conditionalFormatting sqref="A670:I670 L670:N670">
    <cfRule type="expression" dxfId="952" priority="953">
      <formula>MOD(ROW(A670),2) = 0</formula>
    </cfRule>
  </conditionalFormatting>
  <conditionalFormatting sqref="A669:I669 K669:N669">
    <cfRule type="expression" dxfId="951" priority="952">
      <formula>MOD(ROW(A669),2) = 0</formula>
    </cfRule>
  </conditionalFormatting>
  <conditionalFormatting sqref="A668:I668 K668:N668">
    <cfRule type="expression" dxfId="950" priority="951">
      <formula>MOD(ROW(A668),2) = 0</formula>
    </cfRule>
  </conditionalFormatting>
  <conditionalFormatting sqref="A667:I667 K667:N667">
    <cfRule type="expression" dxfId="949" priority="950">
      <formula>MOD(ROW(A667),2) = 0</formula>
    </cfRule>
  </conditionalFormatting>
  <conditionalFormatting sqref="A666:I666 K666:N666">
    <cfRule type="expression" dxfId="948" priority="949">
      <formula>MOD(ROW(A666),2) = 0</formula>
    </cfRule>
  </conditionalFormatting>
  <conditionalFormatting sqref="A665:I665 K665:N665">
    <cfRule type="expression" dxfId="947" priority="948">
      <formula>MOD(ROW(A665),2) = 0</formula>
    </cfRule>
  </conditionalFormatting>
  <conditionalFormatting sqref="A664:I664 K664:N664">
    <cfRule type="expression" dxfId="946" priority="947">
      <formula>MOD(ROW(A664),2) = 0</formula>
    </cfRule>
  </conditionalFormatting>
  <conditionalFormatting sqref="A663:I663 K663:N663">
    <cfRule type="expression" dxfId="945" priority="946">
      <formula>MOD(ROW(A663),2) = 0</formula>
    </cfRule>
  </conditionalFormatting>
  <conditionalFormatting sqref="A662:I662 K662:N662">
    <cfRule type="expression" dxfId="944" priority="945">
      <formula>MOD(ROW(A662),2) = 0</formula>
    </cfRule>
  </conditionalFormatting>
  <conditionalFormatting sqref="K670">
    <cfRule type="expression" dxfId="943" priority="944">
      <formula>MOD(ROW(K670),2) = 0</formula>
    </cfRule>
  </conditionalFormatting>
  <conditionalFormatting sqref="A661:I661 K661:N661">
    <cfRule type="expression" dxfId="942" priority="943">
      <formula>MOD(ROW(A661),2) = 0</formula>
    </cfRule>
  </conditionalFormatting>
  <conditionalFormatting sqref="A660:F660 K660:N660 H660:I660">
    <cfRule type="expression" dxfId="941" priority="942">
      <formula>MOD(ROW(A660),2) = 0</formula>
    </cfRule>
  </conditionalFormatting>
  <conditionalFormatting sqref="A659:F659 K659:N659 H659:I659">
    <cfRule type="expression" dxfId="940" priority="941">
      <formula>MOD(ROW(A659),2) = 0</formula>
    </cfRule>
  </conditionalFormatting>
  <conditionalFormatting sqref="A658:I658 K658:N658">
    <cfRule type="expression" dxfId="939" priority="940">
      <formula>MOD(ROW(A658),2) = 0</formula>
    </cfRule>
  </conditionalFormatting>
  <conditionalFormatting sqref="A657:I657 K657:N657">
    <cfRule type="expression" dxfId="938" priority="939">
      <formula>MOD(ROW(A657),2) = 0</formula>
    </cfRule>
  </conditionalFormatting>
  <conditionalFormatting sqref="A656:I656 K656:N656">
    <cfRule type="expression" dxfId="937" priority="938">
      <formula>MOD(ROW(A656),2) = 0</formula>
    </cfRule>
  </conditionalFormatting>
  <conditionalFormatting sqref="A655:I655 K655:N655">
    <cfRule type="expression" dxfId="936" priority="937">
      <formula>MOD(ROW(A655),2) = 0</formula>
    </cfRule>
  </conditionalFormatting>
  <conditionalFormatting sqref="A654:I654 K654:N654">
    <cfRule type="expression" dxfId="935" priority="936">
      <formula>MOD(ROW(A654),2) = 0</formula>
    </cfRule>
  </conditionalFormatting>
  <conditionalFormatting sqref="A653:I653 K653:N653">
    <cfRule type="expression" dxfId="934" priority="935">
      <formula>MOD(ROW(A653),2) = 0</formula>
    </cfRule>
  </conditionalFormatting>
  <conditionalFormatting sqref="A652:I652 K652:N652">
    <cfRule type="expression" dxfId="933" priority="934">
      <formula>MOD(ROW(A652),2) = 0</formula>
    </cfRule>
  </conditionalFormatting>
  <conditionalFormatting sqref="A651:F651 K651:N651 H651:I651">
    <cfRule type="expression" dxfId="932" priority="933">
      <formula>MOD(ROW(A651),2) = 0</formula>
    </cfRule>
  </conditionalFormatting>
  <conditionalFormatting sqref="A650:I650 K650:N650">
    <cfRule type="expression" dxfId="931" priority="932">
      <formula>MOD(ROW(A650),2) = 0</formula>
    </cfRule>
  </conditionalFormatting>
  <conditionalFormatting sqref="A649:I649 K649:N649">
    <cfRule type="expression" dxfId="930" priority="931">
      <formula>MOD(ROW(A649),2) = 0</formula>
    </cfRule>
  </conditionalFormatting>
  <conditionalFormatting sqref="A648:I648 K648:N648">
    <cfRule type="expression" dxfId="929" priority="930">
      <formula>MOD(ROW(A648),2) = 0</formula>
    </cfRule>
  </conditionalFormatting>
  <conditionalFormatting sqref="A647:I647 K647:N647">
    <cfRule type="expression" dxfId="928" priority="929">
      <formula>MOD(ROW(A647),2) = 0</formula>
    </cfRule>
  </conditionalFormatting>
  <conditionalFormatting sqref="A646:I646 K646:N646">
    <cfRule type="expression" dxfId="927" priority="928">
      <formula>MOD(ROW(A646),2) = 0</formula>
    </cfRule>
  </conditionalFormatting>
  <conditionalFormatting sqref="A645:I645 K645:N645">
    <cfRule type="expression" dxfId="926" priority="927">
      <formula>MOD(ROW(A645),2) = 0</formula>
    </cfRule>
  </conditionalFormatting>
  <conditionalFormatting sqref="A644:I644 K644:N644">
    <cfRule type="expression" dxfId="925" priority="926">
      <formula>MOD(ROW(A644),2) = 0</formula>
    </cfRule>
  </conditionalFormatting>
  <conditionalFormatting sqref="A643:I643 K643:N643">
    <cfRule type="expression" dxfId="924" priority="925">
      <formula>MOD(ROW(A643),2) = 0</formula>
    </cfRule>
  </conditionalFormatting>
  <conditionalFormatting sqref="A642:I642 K642:N642">
    <cfRule type="expression" dxfId="923" priority="924">
      <formula>MOD(ROW(A642),2) = 0</formula>
    </cfRule>
  </conditionalFormatting>
  <conditionalFormatting sqref="A641:I641 K641:N641">
    <cfRule type="expression" dxfId="922" priority="923">
      <formula>MOD(ROW(A641),2) = 0</formula>
    </cfRule>
  </conditionalFormatting>
  <conditionalFormatting sqref="A640:I640 K640:N640">
    <cfRule type="expression" dxfId="921" priority="922">
      <formula>MOD(ROW(A640),2) = 0</formula>
    </cfRule>
  </conditionalFormatting>
  <conditionalFormatting sqref="A639:I639 K639:N639">
    <cfRule type="expression" dxfId="920" priority="921">
      <formula>MOD(ROW(A639),2) = 0</formula>
    </cfRule>
  </conditionalFormatting>
  <conditionalFormatting sqref="A638:I638 K638:N638">
    <cfRule type="expression" dxfId="919" priority="920">
      <formula>MOD(ROW(A638),2) = 0</formula>
    </cfRule>
  </conditionalFormatting>
  <conditionalFormatting sqref="A637:I637 K637:N637">
    <cfRule type="expression" dxfId="918" priority="919">
      <formula>MOD(ROW(A637),2) = 0</formula>
    </cfRule>
  </conditionalFormatting>
  <conditionalFormatting sqref="A636:I636 K636:N636">
    <cfRule type="expression" dxfId="917" priority="918">
      <formula>MOD(ROW(A636),2) = 0</formula>
    </cfRule>
  </conditionalFormatting>
  <conditionalFormatting sqref="A635:I635 K635:N635">
    <cfRule type="expression" dxfId="916" priority="917">
      <formula>MOD(ROW(A635),2) = 0</formula>
    </cfRule>
  </conditionalFormatting>
  <conditionalFormatting sqref="A634:F634 K634:N634 H634:I634">
    <cfRule type="expression" dxfId="915" priority="916">
      <formula>MOD(ROW(A634),2) = 0</formula>
    </cfRule>
  </conditionalFormatting>
  <conditionalFormatting sqref="A633:F633 K633:N633 H633:I633">
    <cfRule type="expression" dxfId="914" priority="915">
      <formula>MOD(ROW(A633),2) = 0</formula>
    </cfRule>
  </conditionalFormatting>
  <conditionalFormatting sqref="A632:F632 K632:N632 H632:I632">
    <cfRule type="expression" dxfId="913" priority="914">
      <formula>MOD(ROW(A632),2) = 0</formula>
    </cfRule>
  </conditionalFormatting>
  <conditionalFormatting sqref="A631:I631 K631:N631">
    <cfRule type="expression" dxfId="912" priority="913">
      <formula>MOD(ROW(A631),2) = 0</formula>
    </cfRule>
  </conditionalFormatting>
  <conditionalFormatting sqref="A630:I630 K630:N630">
    <cfRule type="expression" dxfId="911" priority="912">
      <formula>MOD(ROW(A630),2) = 0</formula>
    </cfRule>
  </conditionalFormatting>
  <conditionalFormatting sqref="A629:I629 K629:N629">
    <cfRule type="expression" dxfId="910" priority="911">
      <formula>MOD(ROW(A629),2) = 0</formula>
    </cfRule>
  </conditionalFormatting>
  <conditionalFormatting sqref="A628:F628 K628:N628 H628:I628">
    <cfRule type="expression" dxfId="909" priority="910">
      <formula>MOD(ROW(A628),2) = 0</formula>
    </cfRule>
  </conditionalFormatting>
  <conditionalFormatting sqref="A627:I627 K627:N627">
    <cfRule type="expression" dxfId="908" priority="909">
      <formula>MOD(ROW(A627),2) = 0</formula>
    </cfRule>
  </conditionalFormatting>
  <conditionalFormatting sqref="A626:I626 K626:N626">
    <cfRule type="expression" dxfId="907" priority="908">
      <formula>MOD(ROW(A626),2) = 0</formula>
    </cfRule>
  </conditionalFormatting>
  <conditionalFormatting sqref="A625:I625 K625:N625">
    <cfRule type="expression" dxfId="906" priority="907">
      <formula>MOD(ROW(A625),2) = 0</formula>
    </cfRule>
  </conditionalFormatting>
  <conditionalFormatting sqref="A624:I624 K624:N624">
    <cfRule type="expression" dxfId="905" priority="906">
      <formula>MOD(ROW(A624),2) = 0</formula>
    </cfRule>
  </conditionalFormatting>
  <conditionalFormatting sqref="A623:I623 K623:N623">
    <cfRule type="expression" dxfId="904" priority="905">
      <formula>MOD(ROW(A623),2) = 0</formula>
    </cfRule>
  </conditionalFormatting>
  <conditionalFormatting sqref="A622:I622 K622:N622">
    <cfRule type="expression" dxfId="903" priority="904">
      <formula>MOD(ROW(A622),2) = 0</formula>
    </cfRule>
  </conditionalFormatting>
  <conditionalFormatting sqref="A621:I621 K621:N621">
    <cfRule type="expression" dxfId="902" priority="903">
      <formula>MOD(ROW(A621),2) = 0</formula>
    </cfRule>
  </conditionalFormatting>
  <conditionalFormatting sqref="A620:F620 K620:N620 H620:I620">
    <cfRule type="expression" dxfId="901" priority="902">
      <formula>MOD(ROW(A620),2) = 0</formula>
    </cfRule>
  </conditionalFormatting>
  <conditionalFormatting sqref="A619:I619 K619:N619">
    <cfRule type="expression" dxfId="900" priority="901">
      <formula>MOD(ROW(A619),2) = 0</formula>
    </cfRule>
  </conditionalFormatting>
  <conditionalFormatting sqref="A618:I618 K618:N618">
    <cfRule type="expression" dxfId="899" priority="900">
      <formula>MOD(ROW(A618),2) = 0</formula>
    </cfRule>
  </conditionalFormatting>
  <conditionalFormatting sqref="A617:I617 K617:N617">
    <cfRule type="expression" dxfId="898" priority="899">
      <formula>MOD(ROW(A617),2) = 0</formula>
    </cfRule>
  </conditionalFormatting>
  <conditionalFormatting sqref="A616:I616 K616:N616">
    <cfRule type="expression" dxfId="897" priority="898">
      <formula>MOD(ROW(A616),2) = 0</formula>
    </cfRule>
  </conditionalFormatting>
  <conditionalFormatting sqref="A615:I615 K615:N615">
    <cfRule type="expression" dxfId="896" priority="897">
      <formula>MOD(ROW(A615),2) = 0</formula>
    </cfRule>
  </conditionalFormatting>
  <conditionalFormatting sqref="A614:I614 K614:N614">
    <cfRule type="expression" dxfId="895" priority="896">
      <formula>MOD(ROW(A614),2) = 0</formula>
    </cfRule>
  </conditionalFormatting>
  <conditionalFormatting sqref="A613:I613 K613:N613">
    <cfRule type="expression" dxfId="894" priority="895">
      <formula>MOD(ROW(A613),2) = 0</formula>
    </cfRule>
  </conditionalFormatting>
  <conditionalFormatting sqref="A612:F612 K612:N612 H612:I612">
    <cfRule type="expression" dxfId="893" priority="894">
      <formula>MOD(ROW(A612),2) = 0</formula>
    </cfRule>
  </conditionalFormatting>
  <conditionalFormatting sqref="A611:I611 K611:N611">
    <cfRule type="expression" dxfId="892" priority="893">
      <formula>MOD(ROW(A611),2) = 0</formula>
    </cfRule>
  </conditionalFormatting>
  <conditionalFormatting sqref="A610:I610 K610:N610">
    <cfRule type="expression" dxfId="891" priority="892">
      <formula>MOD(ROW(A610),2) = 0</formula>
    </cfRule>
  </conditionalFormatting>
  <conditionalFormatting sqref="A609:I609 K609:N609">
    <cfRule type="expression" dxfId="890" priority="891">
      <formula>MOD(ROW(A609),2) = 0</formula>
    </cfRule>
  </conditionalFormatting>
  <conditionalFormatting sqref="A608:I608 K608:N608">
    <cfRule type="expression" dxfId="889" priority="890">
      <formula>MOD(ROW(A608),2) = 0</formula>
    </cfRule>
  </conditionalFormatting>
  <conditionalFormatting sqref="A607:I607 K607:N607">
    <cfRule type="expression" dxfId="888" priority="889">
      <formula>MOD(ROW(A607),2) = 0</formula>
    </cfRule>
  </conditionalFormatting>
  <conditionalFormatting sqref="A606:I606 K606:N606">
    <cfRule type="expression" dxfId="887" priority="888">
      <formula>MOD(ROW(A606),2) = 0</formula>
    </cfRule>
  </conditionalFormatting>
  <conditionalFormatting sqref="A605:I605 K605:N605">
    <cfRule type="expression" dxfId="886" priority="887">
      <formula>MOD(ROW(A605),2) = 0</formula>
    </cfRule>
  </conditionalFormatting>
  <conditionalFormatting sqref="A604:I604 K604:N604">
    <cfRule type="expression" dxfId="885" priority="886">
      <formula>MOD(ROW(A604),2) = 0</formula>
    </cfRule>
  </conditionalFormatting>
  <conditionalFormatting sqref="A603:I603 K603:N603">
    <cfRule type="expression" dxfId="884" priority="885">
      <formula>MOD(ROW(A603),2) = 0</formula>
    </cfRule>
  </conditionalFormatting>
  <conditionalFormatting sqref="A602:I602 K602:N602">
    <cfRule type="expression" dxfId="883" priority="884">
      <formula>MOD(ROW(A602),2) = 0</formula>
    </cfRule>
  </conditionalFormatting>
  <conditionalFormatting sqref="A601:I601 K601:N601">
    <cfRule type="expression" dxfId="882" priority="883">
      <formula>MOD(ROW(A601),2) = 0</formula>
    </cfRule>
  </conditionalFormatting>
  <conditionalFormatting sqref="A600:I600 K600:N600">
    <cfRule type="expression" dxfId="881" priority="882">
      <formula>MOD(ROW(A600),2) = 0</formula>
    </cfRule>
  </conditionalFormatting>
  <conditionalFormatting sqref="A599:F599 K599:N599 H599:I599">
    <cfRule type="expression" dxfId="880" priority="881">
      <formula>MOD(ROW(A599),2) = 0</formula>
    </cfRule>
  </conditionalFormatting>
  <conditionalFormatting sqref="A598:I598 K598:N598">
    <cfRule type="expression" dxfId="879" priority="880">
      <formula>MOD(ROW(A598),2) = 0</formula>
    </cfRule>
  </conditionalFormatting>
  <conditionalFormatting sqref="A597:I597 K597:N597">
    <cfRule type="expression" dxfId="878" priority="879">
      <formula>MOD(ROW(A597),2) = 0</formula>
    </cfRule>
  </conditionalFormatting>
  <conditionalFormatting sqref="A596:I596 K596:N596">
    <cfRule type="expression" dxfId="877" priority="878">
      <formula>MOD(ROW(A596),2) = 0</formula>
    </cfRule>
  </conditionalFormatting>
  <conditionalFormatting sqref="A595:I595 K595:N595">
    <cfRule type="expression" dxfId="876" priority="877">
      <formula>MOD(ROW(A595),2) = 0</formula>
    </cfRule>
  </conditionalFormatting>
  <conditionalFormatting sqref="A594:I594 K594:N594">
    <cfRule type="expression" dxfId="875" priority="876">
      <formula>MOD(ROW(A594),2) = 0</formula>
    </cfRule>
  </conditionalFormatting>
  <conditionalFormatting sqref="A593:I593 K593:N593">
    <cfRule type="expression" dxfId="874" priority="875">
      <formula>MOD(ROW(A593),2) = 0</formula>
    </cfRule>
  </conditionalFormatting>
  <conditionalFormatting sqref="A592:F592 K592:N592 H592:I592">
    <cfRule type="expression" dxfId="873" priority="874">
      <formula>MOD(ROW(A592),2) = 0</formula>
    </cfRule>
  </conditionalFormatting>
  <conditionalFormatting sqref="A591:I591 K591:N591">
    <cfRule type="expression" dxfId="872" priority="873">
      <formula>MOD(ROW(A591),2) = 0</formula>
    </cfRule>
  </conditionalFormatting>
  <conditionalFormatting sqref="A590:I590 K590:N590">
    <cfRule type="expression" dxfId="871" priority="872">
      <formula>MOD(ROW(A590),2) = 0</formula>
    </cfRule>
  </conditionalFormatting>
  <conditionalFormatting sqref="A589:I589 K589:N589">
    <cfRule type="expression" dxfId="870" priority="871">
      <formula>MOD(ROW(A589),2) = 0</formula>
    </cfRule>
  </conditionalFormatting>
  <conditionalFormatting sqref="A588:I588 K588:N588">
    <cfRule type="expression" dxfId="869" priority="870">
      <formula>MOD(ROW(A588),2) = 0</formula>
    </cfRule>
  </conditionalFormatting>
  <conditionalFormatting sqref="A587:I587 K587:N587">
    <cfRule type="expression" dxfId="868" priority="869">
      <formula>MOD(ROW(A587),2) = 0</formula>
    </cfRule>
  </conditionalFormatting>
  <conditionalFormatting sqref="A586:I586 K586:N586">
    <cfRule type="expression" dxfId="867" priority="868">
      <formula>MOD(ROW(A586),2) = 0</formula>
    </cfRule>
  </conditionalFormatting>
  <conditionalFormatting sqref="A585:I585 K585:N585">
    <cfRule type="expression" dxfId="866" priority="867">
      <formula>MOD(ROW(A585),2) = 0</formula>
    </cfRule>
  </conditionalFormatting>
  <conditionalFormatting sqref="A584:I584 K584:N584">
    <cfRule type="expression" dxfId="865" priority="866">
      <formula>MOD(ROW(A584),2) = 0</formula>
    </cfRule>
  </conditionalFormatting>
  <conditionalFormatting sqref="A583:I583 K583:N583">
    <cfRule type="expression" dxfId="864" priority="865">
      <formula>MOD(ROW(A583),2) = 0</formula>
    </cfRule>
  </conditionalFormatting>
  <conditionalFormatting sqref="A582:I582 K582:N582">
    <cfRule type="expression" dxfId="863" priority="864">
      <formula>MOD(ROW(A582),2) = 0</formula>
    </cfRule>
  </conditionalFormatting>
  <conditionalFormatting sqref="A581:I581 K581:N581">
    <cfRule type="expression" dxfId="862" priority="863">
      <formula>MOD(ROW(A581),2) = 0</formula>
    </cfRule>
  </conditionalFormatting>
  <conditionalFormatting sqref="A580:I580 K580:N580">
    <cfRule type="expression" dxfId="861" priority="862">
      <formula>MOD(ROW(A580),2) = 0</formula>
    </cfRule>
  </conditionalFormatting>
  <conditionalFormatting sqref="A579:I579 K579:N579">
    <cfRule type="expression" dxfId="860" priority="861">
      <formula>MOD(ROW(A579),2) = 0</formula>
    </cfRule>
  </conditionalFormatting>
  <conditionalFormatting sqref="A578:I578 K578:N578">
    <cfRule type="expression" dxfId="859" priority="860">
      <formula>MOD(ROW(A578),2) = 0</formula>
    </cfRule>
  </conditionalFormatting>
  <conditionalFormatting sqref="A577:I577 K577:N577">
    <cfRule type="expression" dxfId="858" priority="859">
      <formula>MOD(ROW(A577),2) = 0</formula>
    </cfRule>
  </conditionalFormatting>
  <conditionalFormatting sqref="A576:I576 K576:N576">
    <cfRule type="expression" dxfId="857" priority="858">
      <formula>MOD(ROW(A576),2) = 0</formula>
    </cfRule>
  </conditionalFormatting>
  <conditionalFormatting sqref="A575:I575 K575:N575">
    <cfRule type="expression" dxfId="856" priority="857">
      <formula>MOD(ROW(A575),2) = 0</formula>
    </cfRule>
  </conditionalFormatting>
  <conditionalFormatting sqref="A574:N574">
    <cfRule type="expression" dxfId="855" priority="856">
      <formula>MOD(ROW(A574),2) = 0</formula>
    </cfRule>
  </conditionalFormatting>
  <conditionalFormatting sqref="J575:J2649">
    <cfRule type="expression" dxfId="854" priority="855">
      <formula>MOD(ROW(J575),2) = 0</formula>
    </cfRule>
  </conditionalFormatting>
  <conditionalFormatting sqref="A573:N573">
    <cfRule type="expression" dxfId="853" priority="854">
      <formula>MOD(ROW(A573),2) = 0</formula>
    </cfRule>
  </conditionalFormatting>
  <conditionalFormatting sqref="A572:N572">
    <cfRule type="expression" dxfId="852" priority="853">
      <formula>MOD(ROW(A572),2) = 0</formula>
    </cfRule>
  </conditionalFormatting>
  <conditionalFormatting sqref="A571:N571">
    <cfRule type="expression" dxfId="851" priority="852">
      <formula>MOD(ROW(A571),2) = 0</formula>
    </cfRule>
  </conditionalFormatting>
  <conditionalFormatting sqref="A570:N570">
    <cfRule type="expression" dxfId="850" priority="851">
      <formula>MOD(ROW(A570),2) = 0</formula>
    </cfRule>
  </conditionalFormatting>
  <conditionalFormatting sqref="A569:N569">
    <cfRule type="expression" dxfId="849" priority="850">
      <formula>MOD(ROW(A569),2) = 0</formula>
    </cfRule>
  </conditionalFormatting>
  <conditionalFormatting sqref="A568:F568 H568:N568">
    <cfRule type="expression" dxfId="848" priority="849">
      <formula>MOD(ROW(A568),2) = 0</formula>
    </cfRule>
  </conditionalFormatting>
  <conditionalFormatting sqref="A567:N567">
    <cfRule type="expression" dxfId="847" priority="848">
      <formula>MOD(ROW(A567),2) = 0</formula>
    </cfRule>
  </conditionalFormatting>
  <conditionalFormatting sqref="A566:N566">
    <cfRule type="expression" dxfId="846" priority="847">
      <formula>MOD(ROW(A566),2) = 0</formula>
    </cfRule>
  </conditionalFormatting>
  <conditionalFormatting sqref="A565:N565">
    <cfRule type="expression" dxfId="845" priority="846">
      <formula>MOD(ROW(A565),2) = 0</formula>
    </cfRule>
  </conditionalFormatting>
  <conditionalFormatting sqref="A564:N564">
    <cfRule type="expression" dxfId="844" priority="845">
      <formula>MOD(ROW(A564),2) = 0</formula>
    </cfRule>
  </conditionalFormatting>
  <conditionalFormatting sqref="A563:F563 H563:N563">
    <cfRule type="expression" dxfId="843" priority="844">
      <formula>MOD(ROW(A563),2) = 0</formula>
    </cfRule>
  </conditionalFormatting>
  <conditionalFormatting sqref="A562:N562">
    <cfRule type="expression" dxfId="842" priority="843">
      <formula>MOD(ROW(A562),2) = 0</formula>
    </cfRule>
  </conditionalFormatting>
  <conditionalFormatting sqref="A561:N561">
    <cfRule type="expression" dxfId="841" priority="842">
      <formula>MOD(ROW(A561),2) = 0</formula>
    </cfRule>
  </conditionalFormatting>
  <conditionalFormatting sqref="A560:N560">
    <cfRule type="expression" dxfId="840" priority="841">
      <formula>MOD(ROW(A560),2) = 0</formula>
    </cfRule>
  </conditionalFormatting>
  <conditionalFormatting sqref="A559:N559">
    <cfRule type="expression" dxfId="839" priority="840">
      <formula>MOD(ROW(A559),2) = 0</formula>
    </cfRule>
  </conditionalFormatting>
  <conditionalFormatting sqref="A558:N558">
    <cfRule type="expression" dxfId="838" priority="839">
      <formula>MOD(ROW(A558),2) = 0</formula>
    </cfRule>
  </conditionalFormatting>
  <conditionalFormatting sqref="A557:N557">
    <cfRule type="expression" dxfId="837" priority="838">
      <formula>MOD(ROW(A557),2) = 0</formula>
    </cfRule>
  </conditionalFormatting>
  <conditionalFormatting sqref="A556:N556">
    <cfRule type="expression" dxfId="836" priority="837">
      <formula>MOD(ROW(A556),2) = 0</formula>
    </cfRule>
  </conditionalFormatting>
  <conditionalFormatting sqref="A555:N555">
    <cfRule type="expression" dxfId="835" priority="836">
      <formula>MOD(ROW(A555),2) = 0</formula>
    </cfRule>
  </conditionalFormatting>
  <conditionalFormatting sqref="A554:F554 H554:N554">
    <cfRule type="expression" dxfId="834" priority="835">
      <formula>MOD(ROW(A554),2) = 0</formula>
    </cfRule>
  </conditionalFormatting>
  <conditionalFormatting sqref="A553:N553">
    <cfRule type="expression" dxfId="833" priority="834">
      <formula>MOD(ROW(A553),2) = 0</formula>
    </cfRule>
  </conditionalFormatting>
  <conditionalFormatting sqref="A552:N552">
    <cfRule type="expression" dxfId="832" priority="833">
      <formula>MOD(ROW(A552),2) = 0</formula>
    </cfRule>
  </conditionalFormatting>
  <conditionalFormatting sqref="A551:N551">
    <cfRule type="expression" dxfId="831" priority="832">
      <formula>MOD(ROW(A551),2) = 0</formula>
    </cfRule>
  </conditionalFormatting>
  <conditionalFormatting sqref="A550:N550">
    <cfRule type="expression" dxfId="830" priority="831">
      <formula>MOD(ROW(A550),2) = 0</formula>
    </cfRule>
  </conditionalFormatting>
  <conditionalFormatting sqref="A549:N549">
    <cfRule type="expression" dxfId="829" priority="830">
      <formula>MOD(ROW(A549),2) = 0</formula>
    </cfRule>
  </conditionalFormatting>
  <conditionalFormatting sqref="A548:N548">
    <cfRule type="expression" dxfId="828" priority="829">
      <formula>MOD(ROW(A548),2) = 0</formula>
    </cfRule>
  </conditionalFormatting>
  <conditionalFormatting sqref="A547:N547">
    <cfRule type="expression" dxfId="827" priority="828">
      <formula>MOD(ROW(A547),2) = 0</formula>
    </cfRule>
  </conditionalFormatting>
  <conditionalFormatting sqref="A546:F546 H546:N546">
    <cfRule type="expression" dxfId="826" priority="827">
      <formula>MOD(ROW(A546),2) = 0</formula>
    </cfRule>
  </conditionalFormatting>
  <conditionalFormatting sqref="A545:N545">
    <cfRule type="expression" dxfId="825" priority="826">
      <formula>MOD(ROW(A545),2) = 0</formula>
    </cfRule>
  </conditionalFormatting>
  <conditionalFormatting sqref="A544:N544">
    <cfRule type="expression" dxfId="824" priority="825">
      <formula>MOD(ROW(A544),2) = 0</formula>
    </cfRule>
  </conditionalFormatting>
  <conditionalFormatting sqref="A543:N543">
    <cfRule type="expression" dxfId="823" priority="824">
      <formula>MOD(ROW(A543),2) = 0</formula>
    </cfRule>
  </conditionalFormatting>
  <conditionalFormatting sqref="A542:N542">
    <cfRule type="expression" dxfId="822" priority="823">
      <formula>MOD(ROW(A542),2) = 0</formula>
    </cfRule>
  </conditionalFormatting>
  <conditionalFormatting sqref="A541:N541">
    <cfRule type="expression" dxfId="821" priority="822">
      <formula>MOD(ROW(A541),2) = 0</formula>
    </cfRule>
  </conditionalFormatting>
  <conditionalFormatting sqref="A540:N540">
    <cfRule type="expression" dxfId="820" priority="821">
      <formula>MOD(ROW(A540),2) = 0</formula>
    </cfRule>
  </conditionalFormatting>
  <conditionalFormatting sqref="A539:N539">
    <cfRule type="expression" dxfId="819" priority="820">
      <formula>MOD(ROW(A539),2) = 0</formula>
    </cfRule>
  </conditionalFormatting>
  <conditionalFormatting sqref="A538:N538">
    <cfRule type="expression" dxfId="818" priority="819">
      <formula>MOD(ROW(A538),2) = 0</formula>
    </cfRule>
  </conditionalFormatting>
  <conditionalFormatting sqref="A537:N537">
    <cfRule type="expression" dxfId="817" priority="818">
      <formula>MOD(ROW(A537),2) = 0</formula>
    </cfRule>
  </conditionalFormatting>
  <conditionalFormatting sqref="A536:N536">
    <cfRule type="expression" dxfId="816" priority="817">
      <formula>MOD(ROW(A536),2) = 0</formula>
    </cfRule>
  </conditionalFormatting>
  <conditionalFormatting sqref="A535:N535">
    <cfRule type="expression" dxfId="815" priority="816">
      <formula>MOD(ROW(A535),2) = 0</formula>
    </cfRule>
  </conditionalFormatting>
  <conditionalFormatting sqref="A534:N534">
    <cfRule type="expression" dxfId="814" priority="815">
      <formula>MOD(ROW(A534),2) = 0</formula>
    </cfRule>
  </conditionalFormatting>
  <conditionalFormatting sqref="A533:N533">
    <cfRule type="expression" dxfId="813" priority="814">
      <formula>MOD(ROW(A533),2) = 0</formula>
    </cfRule>
  </conditionalFormatting>
  <conditionalFormatting sqref="A532:N532">
    <cfRule type="expression" dxfId="812" priority="813">
      <formula>MOD(ROW(A532),2) = 0</formula>
    </cfRule>
  </conditionalFormatting>
  <conditionalFormatting sqref="A531:N531">
    <cfRule type="expression" dxfId="811" priority="812">
      <formula>MOD(ROW(A531),2) = 0</formula>
    </cfRule>
  </conditionalFormatting>
  <conditionalFormatting sqref="A530:N530">
    <cfRule type="expression" dxfId="810" priority="811">
      <formula>MOD(ROW(A530),2) = 0</formula>
    </cfRule>
  </conditionalFormatting>
  <conditionalFormatting sqref="A529:N529">
    <cfRule type="expression" dxfId="809" priority="810">
      <formula>MOD(ROW(A529),2) = 0</formula>
    </cfRule>
  </conditionalFormatting>
  <conditionalFormatting sqref="A528:N528">
    <cfRule type="expression" dxfId="808" priority="809">
      <formula>MOD(ROW(A528),2) = 0</formula>
    </cfRule>
  </conditionalFormatting>
  <conditionalFormatting sqref="A527:N527">
    <cfRule type="expression" dxfId="807" priority="808">
      <formula>MOD(ROW(A527),2) = 0</formula>
    </cfRule>
  </conditionalFormatting>
  <conditionalFormatting sqref="A526:F526 H526:N526">
    <cfRule type="expression" dxfId="806" priority="807">
      <formula>MOD(ROW(A526),2) = 0</formula>
    </cfRule>
  </conditionalFormatting>
  <conditionalFormatting sqref="A525:N525">
    <cfRule type="expression" dxfId="805" priority="806">
      <formula>MOD(ROW(A525),2) = 0</formula>
    </cfRule>
  </conditionalFormatting>
  <conditionalFormatting sqref="A524:N524">
    <cfRule type="expression" dxfId="804" priority="805">
      <formula>MOD(ROW(A524),2) = 0</formula>
    </cfRule>
  </conditionalFormatting>
  <conditionalFormatting sqref="A523:N523">
    <cfRule type="expression" dxfId="803" priority="804">
      <formula>MOD(ROW(A523),2) = 0</formula>
    </cfRule>
  </conditionalFormatting>
  <conditionalFormatting sqref="A522:N522">
    <cfRule type="expression" dxfId="802" priority="803">
      <formula>MOD(ROW(A522),2) = 0</formula>
    </cfRule>
  </conditionalFormatting>
  <conditionalFormatting sqref="A521:N521">
    <cfRule type="expression" dxfId="801" priority="802">
      <formula>MOD(ROW(A521),2) = 0</formula>
    </cfRule>
  </conditionalFormatting>
  <conditionalFormatting sqref="A520:N520">
    <cfRule type="expression" dxfId="800" priority="801">
      <formula>MOD(ROW(A520),2) = 0</formula>
    </cfRule>
  </conditionalFormatting>
  <conditionalFormatting sqref="A519:N519">
    <cfRule type="expression" dxfId="799" priority="800">
      <formula>MOD(ROW(A519),2) = 0</formula>
    </cfRule>
  </conditionalFormatting>
  <conditionalFormatting sqref="A518:N518">
    <cfRule type="expression" dxfId="798" priority="799">
      <formula>MOD(ROW(A518),2) = 0</formula>
    </cfRule>
  </conditionalFormatting>
  <conditionalFormatting sqref="A517:N517">
    <cfRule type="expression" dxfId="797" priority="798">
      <formula>MOD(ROW(A517),2) = 0</formula>
    </cfRule>
  </conditionalFormatting>
  <conditionalFormatting sqref="A516:N516">
    <cfRule type="expression" dxfId="796" priority="797">
      <formula>MOD(ROW(A516),2) = 0</formula>
    </cfRule>
  </conditionalFormatting>
  <conditionalFormatting sqref="A515:N515">
    <cfRule type="expression" dxfId="795" priority="796">
      <formula>MOD(ROW(A515),2) = 0</formula>
    </cfRule>
  </conditionalFormatting>
  <conditionalFormatting sqref="A514:N514">
    <cfRule type="expression" dxfId="794" priority="795">
      <formula>MOD(ROW(A514),2) = 0</formula>
    </cfRule>
  </conditionalFormatting>
  <conditionalFormatting sqref="A513:F513 H513:N513">
    <cfRule type="expression" dxfId="793" priority="794">
      <formula>MOD(ROW(A513),2) = 0</formula>
    </cfRule>
  </conditionalFormatting>
  <conditionalFormatting sqref="A512:N512">
    <cfRule type="expression" dxfId="792" priority="793">
      <formula>MOD(ROW(A512),2) = 0</formula>
    </cfRule>
  </conditionalFormatting>
  <conditionalFormatting sqref="A511:F511 H511:N511">
    <cfRule type="expression" dxfId="791" priority="792">
      <formula>MOD(ROW(A511),2) = 0</formula>
    </cfRule>
  </conditionalFormatting>
  <conditionalFormatting sqref="A510:N510">
    <cfRule type="expression" dxfId="790" priority="791">
      <formula>MOD(ROW(A510),2) = 0</formula>
    </cfRule>
  </conditionalFormatting>
  <conditionalFormatting sqref="A509:N509">
    <cfRule type="expression" dxfId="789" priority="790">
      <formula>MOD(ROW(A509),2) = 0</formula>
    </cfRule>
  </conditionalFormatting>
  <conditionalFormatting sqref="A508:N508">
    <cfRule type="expression" dxfId="788" priority="789">
      <formula>MOD(ROW(A508),2) = 0</formula>
    </cfRule>
  </conditionalFormatting>
  <conditionalFormatting sqref="A507:N507">
    <cfRule type="expression" dxfId="787" priority="788">
      <formula>MOD(ROW(A507),2) = 0</formula>
    </cfRule>
  </conditionalFormatting>
  <conditionalFormatting sqref="A506:N506">
    <cfRule type="expression" dxfId="786" priority="787">
      <formula>MOD(ROW(A506),2) = 0</formula>
    </cfRule>
  </conditionalFormatting>
  <conditionalFormatting sqref="A505:N505">
    <cfRule type="expression" dxfId="785" priority="786">
      <formula>MOD(ROW(A505),2) = 0</formula>
    </cfRule>
  </conditionalFormatting>
  <conditionalFormatting sqref="A504:N504">
    <cfRule type="expression" dxfId="784" priority="785">
      <formula>MOD(ROW(A504),2) = 0</formula>
    </cfRule>
  </conditionalFormatting>
  <conditionalFormatting sqref="A503:N503">
    <cfRule type="expression" dxfId="783" priority="784">
      <formula>MOD(ROW(A503),2) = 0</formula>
    </cfRule>
  </conditionalFormatting>
  <conditionalFormatting sqref="A502:N502">
    <cfRule type="expression" dxfId="782" priority="783">
      <formula>MOD(ROW(A502),2) = 0</formula>
    </cfRule>
  </conditionalFormatting>
  <conditionalFormatting sqref="A501:N501">
    <cfRule type="expression" dxfId="781" priority="782">
      <formula>MOD(ROW(A501),2) = 0</formula>
    </cfRule>
  </conditionalFormatting>
  <conditionalFormatting sqref="A500:N500">
    <cfRule type="expression" dxfId="780" priority="781">
      <formula>MOD(ROW(A500),2) = 0</formula>
    </cfRule>
  </conditionalFormatting>
  <conditionalFormatting sqref="A499:N499">
    <cfRule type="expression" dxfId="779" priority="780">
      <formula>MOD(ROW(A499),2) = 0</formula>
    </cfRule>
  </conditionalFormatting>
  <conditionalFormatting sqref="A498:N498">
    <cfRule type="expression" dxfId="778" priority="779">
      <formula>MOD(ROW(A498),2) = 0</formula>
    </cfRule>
  </conditionalFormatting>
  <conditionalFormatting sqref="A497:N497">
    <cfRule type="expression" dxfId="777" priority="778">
      <formula>MOD(ROW(A497),2) = 0</formula>
    </cfRule>
  </conditionalFormatting>
  <conditionalFormatting sqref="A496:F496 H496:N496">
    <cfRule type="expression" dxfId="776" priority="777">
      <formula>MOD(ROW(A496),2) = 0</formula>
    </cfRule>
  </conditionalFormatting>
  <conditionalFormatting sqref="A495:N495">
    <cfRule type="expression" dxfId="775" priority="776">
      <formula>MOD(ROW(A495),2) = 0</formula>
    </cfRule>
  </conditionalFormatting>
  <conditionalFormatting sqref="A494:N494 G496">
    <cfRule type="expression" dxfId="774" priority="775">
      <formula>MOD(ROW(A494),2) = 0</formula>
    </cfRule>
  </conditionalFormatting>
  <conditionalFormatting sqref="A493:N493">
    <cfRule type="expression" dxfId="773" priority="774">
      <formula>MOD(ROW(A493),2) = 0</formula>
    </cfRule>
  </conditionalFormatting>
  <conditionalFormatting sqref="A492:N492">
    <cfRule type="expression" dxfId="772" priority="773">
      <formula>MOD(ROW(A492),2) = 0</formula>
    </cfRule>
  </conditionalFormatting>
  <conditionalFormatting sqref="A491:N491">
    <cfRule type="expression" dxfId="771" priority="772">
      <formula>MOD(ROW(A491),2) = 0</formula>
    </cfRule>
  </conditionalFormatting>
  <conditionalFormatting sqref="A490:N490">
    <cfRule type="expression" dxfId="770" priority="771">
      <formula>MOD(ROW(A490),2) = 0</formula>
    </cfRule>
  </conditionalFormatting>
  <conditionalFormatting sqref="A489:N489">
    <cfRule type="expression" dxfId="769" priority="770">
      <formula>MOD(ROW(A489),2) = 0</formula>
    </cfRule>
  </conditionalFormatting>
  <conditionalFormatting sqref="A488:N488">
    <cfRule type="expression" dxfId="768" priority="769">
      <formula>MOD(ROW(A488),2) = 0</formula>
    </cfRule>
  </conditionalFormatting>
  <conditionalFormatting sqref="A487:N487">
    <cfRule type="expression" dxfId="767" priority="768">
      <formula>MOD(ROW(A487),2) = 0</formula>
    </cfRule>
  </conditionalFormatting>
  <conditionalFormatting sqref="A486:F486 H486:N486">
    <cfRule type="expression" dxfId="766" priority="767">
      <formula>MOD(ROW(A486),2) = 0</formula>
    </cfRule>
  </conditionalFormatting>
  <conditionalFormatting sqref="A485:N485">
    <cfRule type="expression" dxfId="765" priority="766">
      <formula>MOD(ROW(A485),2) = 0</formula>
    </cfRule>
  </conditionalFormatting>
  <conditionalFormatting sqref="A484:N484">
    <cfRule type="expression" dxfId="764" priority="765">
      <formula>MOD(ROW(A484),2) = 0</formula>
    </cfRule>
  </conditionalFormatting>
  <conditionalFormatting sqref="A483:F483 H483:N483">
    <cfRule type="expression" dxfId="763" priority="764">
      <formula>MOD(ROW(A483),2) = 0</formula>
    </cfRule>
  </conditionalFormatting>
  <conditionalFormatting sqref="A482:N482">
    <cfRule type="expression" dxfId="762" priority="763">
      <formula>MOD(ROW(A482),2) = 0</formula>
    </cfRule>
  </conditionalFormatting>
  <conditionalFormatting sqref="A481:N481">
    <cfRule type="expression" dxfId="761" priority="762">
      <formula>MOD(ROW(A481),2) = 0</formula>
    </cfRule>
  </conditionalFormatting>
  <conditionalFormatting sqref="A480:N480">
    <cfRule type="expression" dxfId="760" priority="761">
      <formula>MOD(ROW(A480),2) = 0</formula>
    </cfRule>
  </conditionalFormatting>
  <conditionalFormatting sqref="A479:N479">
    <cfRule type="expression" dxfId="759" priority="760">
      <formula>MOD(ROW(A479),2) = 0</formula>
    </cfRule>
  </conditionalFormatting>
  <conditionalFormatting sqref="A478:N478">
    <cfRule type="expression" dxfId="758" priority="759">
      <formula>MOD(ROW(A478),2) = 0</formula>
    </cfRule>
  </conditionalFormatting>
  <conditionalFormatting sqref="A477:N477">
    <cfRule type="expression" dxfId="757" priority="758">
      <formula>MOD(ROW(A477),2) = 0</formula>
    </cfRule>
  </conditionalFormatting>
  <conditionalFormatting sqref="A476:N476">
    <cfRule type="expression" dxfId="756" priority="757">
      <formula>MOD(ROW(A476),2) = 0</formula>
    </cfRule>
  </conditionalFormatting>
  <conditionalFormatting sqref="A475:F475 H475:N475">
    <cfRule type="expression" dxfId="755" priority="756">
      <formula>MOD(ROW(A475),2) = 0</formula>
    </cfRule>
  </conditionalFormatting>
  <conditionalFormatting sqref="A474:F474 H474:N474">
    <cfRule type="expression" dxfId="754" priority="755">
      <formula>MOD(ROW(A474),2) = 0</formula>
    </cfRule>
  </conditionalFormatting>
  <conditionalFormatting sqref="A473:N473">
    <cfRule type="expression" dxfId="753" priority="754">
      <formula>MOD(ROW(A473),2) = 0</formula>
    </cfRule>
  </conditionalFormatting>
  <conditionalFormatting sqref="A472:N472">
    <cfRule type="expression" dxfId="752" priority="753">
      <formula>MOD(ROW(A472),2) = 0</formula>
    </cfRule>
  </conditionalFormatting>
  <conditionalFormatting sqref="A471:N471">
    <cfRule type="expression" dxfId="751" priority="752">
      <formula>MOD(ROW(A471),2) = 0</formula>
    </cfRule>
  </conditionalFormatting>
  <conditionalFormatting sqref="A470:N470">
    <cfRule type="expression" dxfId="750" priority="751">
      <formula>MOD(ROW(A470),2) = 0</formula>
    </cfRule>
  </conditionalFormatting>
  <conditionalFormatting sqref="A469:N469">
    <cfRule type="expression" dxfId="749" priority="750">
      <formula>MOD(ROW(A469),2) = 0</formula>
    </cfRule>
  </conditionalFormatting>
  <conditionalFormatting sqref="A468:N468">
    <cfRule type="expression" dxfId="748" priority="749">
      <formula>MOD(ROW(A468),2) = 0</formula>
    </cfRule>
  </conditionalFormatting>
  <conditionalFormatting sqref="A467:N467">
    <cfRule type="expression" dxfId="747" priority="748">
      <formula>MOD(ROW(A467),2) = 0</formula>
    </cfRule>
  </conditionalFormatting>
  <conditionalFormatting sqref="A466:F466 H466:N466">
    <cfRule type="expression" dxfId="746" priority="747">
      <formula>MOD(ROW(A466),2) = 0</formula>
    </cfRule>
  </conditionalFormatting>
  <conditionalFormatting sqref="A465:N465">
    <cfRule type="expression" dxfId="745" priority="746">
      <formula>MOD(ROW(A465),2) = 0</formula>
    </cfRule>
  </conditionalFormatting>
  <conditionalFormatting sqref="A464:N464">
    <cfRule type="expression" dxfId="744" priority="745">
      <formula>MOD(ROW(A464),2) = 0</formula>
    </cfRule>
  </conditionalFormatting>
  <conditionalFormatting sqref="A463:N463">
    <cfRule type="expression" dxfId="743" priority="744">
      <formula>MOD(ROW(A463),2) = 0</formula>
    </cfRule>
  </conditionalFormatting>
  <conditionalFormatting sqref="A462:N462">
    <cfRule type="expression" dxfId="742" priority="743">
      <formula>MOD(ROW(A462),2) = 0</formula>
    </cfRule>
  </conditionalFormatting>
  <conditionalFormatting sqref="A461:N461">
    <cfRule type="expression" dxfId="741" priority="742">
      <formula>MOD(ROW(A461),2) = 0</formula>
    </cfRule>
  </conditionalFormatting>
  <conditionalFormatting sqref="A460:F460 H460:N460">
    <cfRule type="expression" dxfId="740" priority="741">
      <formula>MOD(ROW(A460),2) = 0</formula>
    </cfRule>
  </conditionalFormatting>
  <conditionalFormatting sqref="A459:N459">
    <cfRule type="expression" dxfId="739" priority="740">
      <formula>MOD(ROW(A459),2) = 0</formula>
    </cfRule>
  </conditionalFormatting>
  <conditionalFormatting sqref="A458:N458">
    <cfRule type="expression" dxfId="738" priority="739">
      <formula>MOD(ROW(A458),2) = 0</formula>
    </cfRule>
  </conditionalFormatting>
  <conditionalFormatting sqref="A457:N457">
    <cfRule type="expression" dxfId="737" priority="738">
      <formula>MOD(ROW(A457),2) = 0</formula>
    </cfRule>
  </conditionalFormatting>
  <conditionalFormatting sqref="A456:N456">
    <cfRule type="expression" dxfId="736" priority="737">
      <formula>MOD(ROW(A456),2) = 0</formula>
    </cfRule>
  </conditionalFormatting>
  <conditionalFormatting sqref="A455:N455">
    <cfRule type="expression" dxfId="735" priority="736">
      <formula>MOD(ROW(A455),2) = 0</formula>
    </cfRule>
  </conditionalFormatting>
  <conditionalFormatting sqref="A454:N454 G513 G705 G801 G896 G1059">
    <cfRule type="expression" dxfId="734" priority="735">
      <formula>MOD(ROW(A454),2) = 0</formula>
    </cfRule>
  </conditionalFormatting>
  <conditionalFormatting sqref="A453:N453">
    <cfRule type="expression" dxfId="733" priority="734">
      <formula>MOD(ROW(A453),2) = 0</formula>
    </cfRule>
  </conditionalFormatting>
  <conditionalFormatting sqref="A452:F452 H452:N452">
    <cfRule type="expression" dxfId="732" priority="733">
      <formula>MOD(ROW(A452),2) = 0</formula>
    </cfRule>
  </conditionalFormatting>
  <conditionalFormatting sqref="A451:N451">
    <cfRule type="expression" dxfId="731" priority="732">
      <formula>MOD(ROW(A451),2) = 0</formula>
    </cfRule>
  </conditionalFormatting>
  <conditionalFormatting sqref="A450:N450">
    <cfRule type="expression" dxfId="730" priority="731">
      <formula>MOD(ROW(A450),2) = 0</formula>
    </cfRule>
  </conditionalFormatting>
  <conditionalFormatting sqref="A449:N449">
    <cfRule type="expression" dxfId="729" priority="730">
      <formula>MOD(ROW(A449),2) = 0</formula>
    </cfRule>
  </conditionalFormatting>
  <conditionalFormatting sqref="A448:N448">
    <cfRule type="expression" dxfId="728" priority="729">
      <formula>MOD(ROW(A448),2) = 0</formula>
    </cfRule>
  </conditionalFormatting>
  <conditionalFormatting sqref="A447:F447 H447:N447">
    <cfRule type="expression" dxfId="727" priority="728">
      <formula>MOD(ROW(A447),2) = 0</formula>
    </cfRule>
  </conditionalFormatting>
  <conditionalFormatting sqref="A446:N446">
    <cfRule type="expression" dxfId="726" priority="727">
      <formula>MOD(ROW(A446),2) = 0</formula>
    </cfRule>
  </conditionalFormatting>
  <conditionalFormatting sqref="A445:N445">
    <cfRule type="expression" dxfId="725" priority="726">
      <formula>MOD(ROW(A445),2) = 0</formula>
    </cfRule>
  </conditionalFormatting>
  <conditionalFormatting sqref="A444:N444">
    <cfRule type="expression" dxfId="724" priority="725">
      <formula>MOD(ROW(A444),2) = 0</formula>
    </cfRule>
  </conditionalFormatting>
  <conditionalFormatting sqref="A443:N443">
    <cfRule type="expression" dxfId="723" priority="724">
      <formula>MOD(ROW(A443),2) = 0</formula>
    </cfRule>
  </conditionalFormatting>
  <conditionalFormatting sqref="A442:F442 H442:N442">
    <cfRule type="expression" dxfId="722" priority="723">
      <formula>MOD(ROW(A442),2) = 0</formula>
    </cfRule>
  </conditionalFormatting>
  <conditionalFormatting sqref="A441:N441">
    <cfRule type="expression" dxfId="721" priority="722">
      <formula>MOD(ROW(A441),2) = 0</formula>
    </cfRule>
  </conditionalFormatting>
  <conditionalFormatting sqref="A440:N440">
    <cfRule type="expression" dxfId="720" priority="721">
      <formula>MOD(ROW(A440),2) = 0</formula>
    </cfRule>
  </conditionalFormatting>
  <conditionalFormatting sqref="A439:N439">
    <cfRule type="expression" dxfId="719" priority="720">
      <formula>MOD(ROW(A439),2) = 0</formula>
    </cfRule>
  </conditionalFormatting>
  <conditionalFormatting sqref="A438:N438">
    <cfRule type="expression" dxfId="718" priority="719">
      <formula>MOD(ROW(A438),2) = 0</formula>
    </cfRule>
  </conditionalFormatting>
  <conditionalFormatting sqref="A437:N437">
    <cfRule type="expression" dxfId="717" priority="718">
      <formula>MOD(ROW(A437),2) = 0</formula>
    </cfRule>
  </conditionalFormatting>
  <conditionalFormatting sqref="A436:N436">
    <cfRule type="expression" dxfId="716" priority="717">
      <formula>MOD(ROW(A436),2) = 0</formula>
    </cfRule>
  </conditionalFormatting>
  <conditionalFormatting sqref="A435:F435 H435:N435">
    <cfRule type="expression" dxfId="715" priority="716">
      <formula>MOD(ROW(A435),2) = 0</formula>
    </cfRule>
  </conditionalFormatting>
  <conditionalFormatting sqref="A434:F434 H434:N434">
    <cfRule type="expression" dxfId="714" priority="715">
      <formula>MOD(ROW(A434),2) = 0</formula>
    </cfRule>
  </conditionalFormatting>
  <conditionalFormatting sqref="A433:N433">
    <cfRule type="expression" dxfId="713" priority="714">
      <formula>MOD(ROW(A433),2) = 0</formula>
    </cfRule>
  </conditionalFormatting>
  <conditionalFormatting sqref="A432:N432">
    <cfRule type="expression" dxfId="712" priority="713">
      <formula>MOD(ROW(A432),2) = 0</formula>
    </cfRule>
  </conditionalFormatting>
  <conditionalFormatting sqref="A431:N431 G814 G911 G941">
    <cfRule type="expression" dxfId="711" priority="712">
      <formula>MOD(ROW(A431),2) = 0</formula>
    </cfRule>
  </conditionalFormatting>
  <conditionalFormatting sqref="A430:N430">
    <cfRule type="expression" dxfId="710" priority="711">
      <formula>MOD(ROW(A430),2) = 0</formula>
    </cfRule>
  </conditionalFormatting>
  <conditionalFormatting sqref="A429:N429">
    <cfRule type="expression" dxfId="709" priority="710">
      <formula>MOD(ROW(A429),2) = 0</formula>
    </cfRule>
  </conditionalFormatting>
  <conditionalFormatting sqref="A428:F428 H428:N428">
    <cfRule type="expression" dxfId="708" priority="709">
      <formula>MOD(ROW(A428),2) = 0</formula>
    </cfRule>
  </conditionalFormatting>
  <conditionalFormatting sqref="A427:F427 H427:N427">
    <cfRule type="expression" dxfId="707" priority="708">
      <formula>MOD(ROW(A427),2) = 0</formula>
    </cfRule>
  </conditionalFormatting>
  <conditionalFormatting sqref="A426:N426">
    <cfRule type="expression" dxfId="706" priority="707">
      <formula>MOD(ROW(A426),2) = 0</formula>
    </cfRule>
  </conditionalFormatting>
  <conditionalFormatting sqref="A425:N425">
    <cfRule type="expression" dxfId="705" priority="706">
      <formula>MOD(ROW(A425),2) = 0</formula>
    </cfRule>
  </conditionalFormatting>
  <conditionalFormatting sqref="A424:N424">
    <cfRule type="expression" dxfId="704" priority="705">
      <formula>MOD(ROW(A424),2) = 0</formula>
    </cfRule>
  </conditionalFormatting>
  <conditionalFormatting sqref="A423:N423">
    <cfRule type="expression" dxfId="703" priority="704">
      <formula>MOD(ROW(A423),2) = 0</formula>
    </cfRule>
  </conditionalFormatting>
  <conditionalFormatting sqref="A422:F422 H422:N422">
    <cfRule type="expression" dxfId="702" priority="703">
      <formula>MOD(ROW(A422),2) = 0</formula>
    </cfRule>
  </conditionalFormatting>
  <conditionalFormatting sqref="A421:N421">
    <cfRule type="expression" dxfId="701" priority="702">
      <formula>MOD(ROW(A421),2) = 0</formula>
    </cfRule>
  </conditionalFormatting>
  <conditionalFormatting sqref="A420:N420">
    <cfRule type="expression" dxfId="700" priority="701">
      <formula>MOD(ROW(A420),2) = 0</formula>
    </cfRule>
  </conditionalFormatting>
  <conditionalFormatting sqref="A419:F419 H419:N419">
    <cfRule type="expression" dxfId="699" priority="700">
      <formula>MOD(ROW(A419),2) = 0</formula>
    </cfRule>
  </conditionalFormatting>
  <conditionalFormatting sqref="A418:N418">
    <cfRule type="expression" dxfId="698" priority="699">
      <formula>MOD(ROW(A418),2) = 0</formula>
    </cfRule>
  </conditionalFormatting>
  <conditionalFormatting sqref="A417:F417 H417:N417">
    <cfRule type="expression" dxfId="697" priority="698">
      <formula>MOD(ROW(A417),2) = 0</formula>
    </cfRule>
  </conditionalFormatting>
  <conditionalFormatting sqref="A416:N416">
    <cfRule type="expression" dxfId="696" priority="697">
      <formula>MOD(ROW(A416),2) = 0</formula>
    </cfRule>
  </conditionalFormatting>
  <conditionalFormatting sqref="A415:N415">
    <cfRule type="expression" dxfId="695" priority="696">
      <formula>MOD(ROW(A415),2) = 0</formula>
    </cfRule>
  </conditionalFormatting>
  <conditionalFormatting sqref="A414:N414">
    <cfRule type="expression" dxfId="694" priority="695">
      <formula>MOD(ROW(A414),2) = 0</formula>
    </cfRule>
  </conditionalFormatting>
  <conditionalFormatting sqref="A413:N413">
    <cfRule type="expression" dxfId="693" priority="694">
      <formula>MOD(ROW(A413),2) = 0</formula>
    </cfRule>
  </conditionalFormatting>
  <conditionalFormatting sqref="A412:N412">
    <cfRule type="expression" dxfId="692" priority="693">
      <formula>MOD(ROW(A412),2) = 0</formula>
    </cfRule>
  </conditionalFormatting>
  <conditionalFormatting sqref="A411:F411 H411:N411">
    <cfRule type="expression" dxfId="691" priority="692">
      <formula>MOD(ROW(A411),2) = 0</formula>
    </cfRule>
  </conditionalFormatting>
  <conditionalFormatting sqref="A410:N410">
    <cfRule type="expression" dxfId="690" priority="691">
      <formula>MOD(ROW(A410),2) = 0</formula>
    </cfRule>
  </conditionalFormatting>
  <conditionalFormatting sqref="A409:N409">
    <cfRule type="expression" dxfId="689" priority="690">
      <formula>MOD(ROW(A409),2) = 0</formula>
    </cfRule>
  </conditionalFormatting>
  <conditionalFormatting sqref="A408:N408">
    <cfRule type="expression" dxfId="688" priority="689">
      <formula>MOD(ROW(A408),2) = 0</formula>
    </cfRule>
  </conditionalFormatting>
  <conditionalFormatting sqref="A407:N407">
    <cfRule type="expression" dxfId="687" priority="688">
      <formula>MOD(ROW(A407),2) = 0</formula>
    </cfRule>
  </conditionalFormatting>
  <conditionalFormatting sqref="A406:F406 H406:N406">
    <cfRule type="expression" dxfId="686" priority="687">
      <formula>MOD(ROW(A406),2) = 0</formula>
    </cfRule>
  </conditionalFormatting>
  <conditionalFormatting sqref="A405:N405">
    <cfRule type="expression" dxfId="685" priority="686">
      <formula>MOD(ROW(A405),2) = 0</formula>
    </cfRule>
  </conditionalFormatting>
  <conditionalFormatting sqref="A404:F404 H404:N404">
    <cfRule type="expression" dxfId="684" priority="685">
      <formula>MOD(ROW(A404),2) = 0</formula>
    </cfRule>
  </conditionalFormatting>
  <conditionalFormatting sqref="A403:N403">
    <cfRule type="expression" dxfId="683" priority="684">
      <formula>MOD(ROW(A403),2) = 0</formula>
    </cfRule>
  </conditionalFormatting>
  <conditionalFormatting sqref="A402:N402">
    <cfRule type="expression" dxfId="682" priority="683">
      <formula>MOD(ROW(A402),2) = 0</formula>
    </cfRule>
  </conditionalFormatting>
  <conditionalFormatting sqref="A401:N401">
    <cfRule type="expression" dxfId="681" priority="682">
      <formula>MOD(ROW(A401),2) = 0</formula>
    </cfRule>
  </conditionalFormatting>
  <conditionalFormatting sqref="A400:F400 H400:N400">
    <cfRule type="expression" dxfId="680" priority="681">
      <formula>MOD(ROW(A400),2) = 0</formula>
    </cfRule>
  </conditionalFormatting>
  <conditionalFormatting sqref="A399:F399 H399:N399">
    <cfRule type="expression" dxfId="679" priority="680">
      <formula>MOD(ROW(A399),2) = 0</formula>
    </cfRule>
  </conditionalFormatting>
  <conditionalFormatting sqref="A398:N398">
    <cfRule type="expression" dxfId="678" priority="679">
      <formula>MOD(ROW(A398),2) = 0</formula>
    </cfRule>
  </conditionalFormatting>
  <conditionalFormatting sqref="A397:F397 H397:N397">
    <cfRule type="expression" dxfId="677" priority="678">
      <formula>MOD(ROW(A397),2) = 0</formula>
    </cfRule>
  </conditionalFormatting>
  <conditionalFormatting sqref="A396:N396">
    <cfRule type="expression" dxfId="676" priority="677">
      <formula>MOD(ROW(A396),2) = 0</formula>
    </cfRule>
  </conditionalFormatting>
  <conditionalFormatting sqref="A395:N395">
    <cfRule type="expression" dxfId="675" priority="676">
      <formula>MOD(ROW(A395),2) = 0</formula>
    </cfRule>
  </conditionalFormatting>
  <conditionalFormatting sqref="A394:N394">
    <cfRule type="expression" dxfId="674" priority="675">
      <formula>MOD(ROW(A394),2) = 0</formula>
    </cfRule>
  </conditionalFormatting>
  <conditionalFormatting sqref="A393:N393">
    <cfRule type="expression" dxfId="673" priority="674">
      <formula>MOD(ROW(A393),2) = 0</formula>
    </cfRule>
  </conditionalFormatting>
  <conditionalFormatting sqref="A392:N392">
    <cfRule type="expression" dxfId="672" priority="673">
      <formula>MOD(ROW(A392),2) = 0</formula>
    </cfRule>
  </conditionalFormatting>
  <conditionalFormatting sqref="A391:N391">
    <cfRule type="expression" dxfId="671" priority="672">
      <formula>MOD(ROW(A391),2) = 0</formula>
    </cfRule>
  </conditionalFormatting>
  <conditionalFormatting sqref="A390:N390">
    <cfRule type="expression" dxfId="670" priority="671">
      <formula>MOD(ROW(A390),2) = 0</formula>
    </cfRule>
  </conditionalFormatting>
  <conditionalFormatting sqref="A389:F389 H389:N389">
    <cfRule type="expression" dxfId="669" priority="670">
      <formula>MOD(ROW(A389),2) = 0</formula>
    </cfRule>
  </conditionalFormatting>
  <conditionalFormatting sqref="A388:N388">
    <cfRule type="expression" dxfId="668" priority="669">
      <formula>MOD(ROW(A388),2) = 0</formula>
    </cfRule>
  </conditionalFormatting>
  <conditionalFormatting sqref="A387:N387">
    <cfRule type="expression" dxfId="667" priority="668">
      <formula>MOD(ROW(A387),2) = 0</formula>
    </cfRule>
  </conditionalFormatting>
  <conditionalFormatting sqref="A386:N386">
    <cfRule type="expression" dxfId="666" priority="667">
      <formula>MOD(ROW(A386),2) = 0</formula>
    </cfRule>
  </conditionalFormatting>
  <conditionalFormatting sqref="A385:F385 H385:N385">
    <cfRule type="expression" dxfId="665" priority="666">
      <formula>MOD(ROW(A385),2) = 0</formula>
    </cfRule>
  </conditionalFormatting>
  <conditionalFormatting sqref="A384:N384">
    <cfRule type="expression" dxfId="664" priority="665">
      <formula>MOD(ROW(A384),2) = 0</formula>
    </cfRule>
  </conditionalFormatting>
  <conditionalFormatting sqref="A383:N383">
    <cfRule type="expression" dxfId="663" priority="664">
      <formula>MOD(ROW(A383),2) = 0</formula>
    </cfRule>
  </conditionalFormatting>
  <conditionalFormatting sqref="A382:F382 H382:N382">
    <cfRule type="expression" dxfId="662" priority="663">
      <formula>MOD(ROW(A382),2) = 0</formula>
    </cfRule>
  </conditionalFormatting>
  <conditionalFormatting sqref="A381:N381">
    <cfRule type="expression" dxfId="661" priority="662">
      <formula>MOD(ROW(A381),2) = 0</formula>
    </cfRule>
  </conditionalFormatting>
  <conditionalFormatting sqref="A380:N380">
    <cfRule type="expression" dxfId="660" priority="661">
      <formula>MOD(ROW(A380),2) = 0</formula>
    </cfRule>
  </conditionalFormatting>
  <conditionalFormatting sqref="A379:N379">
    <cfRule type="expression" dxfId="659" priority="660">
      <formula>MOD(ROW(A379),2) = 0</formula>
    </cfRule>
  </conditionalFormatting>
  <conditionalFormatting sqref="A378:N378">
    <cfRule type="expression" dxfId="658" priority="659">
      <formula>MOD(ROW(A378),2) = 0</formula>
    </cfRule>
  </conditionalFormatting>
  <conditionalFormatting sqref="A377:N377">
    <cfRule type="expression" dxfId="657" priority="658">
      <formula>MOD(ROW(A377),2) = 0</formula>
    </cfRule>
  </conditionalFormatting>
  <conditionalFormatting sqref="A376:N376">
    <cfRule type="expression" dxfId="656" priority="657">
      <formula>MOD(ROW(A376),2) = 0</formula>
    </cfRule>
  </conditionalFormatting>
  <conditionalFormatting sqref="A375:N375">
    <cfRule type="expression" dxfId="655" priority="656">
      <formula>MOD(ROW(A375),2) = 0</formula>
    </cfRule>
  </conditionalFormatting>
  <conditionalFormatting sqref="A374:N374">
    <cfRule type="expression" dxfId="654" priority="655">
      <formula>MOD(ROW(A374),2) = 0</formula>
    </cfRule>
  </conditionalFormatting>
  <conditionalFormatting sqref="A373:N373">
    <cfRule type="expression" dxfId="653" priority="654">
      <formula>MOD(ROW(A373),2) = 0</formula>
    </cfRule>
  </conditionalFormatting>
  <conditionalFormatting sqref="A372:F372 H372:N372">
    <cfRule type="expression" dxfId="652" priority="653">
      <formula>MOD(ROW(A372),2) = 0</formula>
    </cfRule>
  </conditionalFormatting>
  <conditionalFormatting sqref="A371:F371 H371:N371">
    <cfRule type="expression" dxfId="651" priority="652">
      <formula>MOD(ROW(A371),2) = 0</formula>
    </cfRule>
  </conditionalFormatting>
  <conditionalFormatting sqref="A370:F370 H370:N370">
    <cfRule type="expression" dxfId="650" priority="651">
      <formula>MOD(ROW(A370),2) = 0</formula>
    </cfRule>
  </conditionalFormatting>
  <conditionalFormatting sqref="A369:N369">
    <cfRule type="expression" dxfId="649" priority="650">
      <formula>MOD(ROW(A369),2) = 0</formula>
    </cfRule>
  </conditionalFormatting>
  <conditionalFormatting sqref="A368:N368 G370:G371 G385 G406 G417 G419 G422 G427:G428 G434:G435 G466 G592 G612 G620 G628 G807 G1051 G1227 G1286 G1337 G1365 G1426 G1434 G1517 G2009">
    <cfRule type="expression" dxfId="648" priority="649">
      <formula>MOD(ROW(A368),2) = 0</formula>
    </cfRule>
  </conditionalFormatting>
  <conditionalFormatting sqref="A367:F367 H367:N367">
    <cfRule type="expression" dxfId="647" priority="648">
      <formula>MOD(ROW(A367),2) = 0</formula>
    </cfRule>
  </conditionalFormatting>
  <conditionalFormatting sqref="A366:N366">
    <cfRule type="expression" dxfId="646" priority="647">
      <formula>MOD(ROW(A366),2) = 0</formula>
    </cfRule>
  </conditionalFormatting>
  <conditionalFormatting sqref="A365:F365 H365:N365">
    <cfRule type="expression" dxfId="645" priority="646">
      <formula>MOD(ROW(A365),2) = 0</formula>
    </cfRule>
  </conditionalFormatting>
  <conditionalFormatting sqref="A364:N364">
    <cfRule type="expression" dxfId="644" priority="645">
      <formula>MOD(ROW(A364),2) = 0</formula>
    </cfRule>
  </conditionalFormatting>
  <conditionalFormatting sqref="A363:N363">
    <cfRule type="expression" dxfId="643" priority="644">
      <formula>MOD(ROW(A363),2) = 0</formula>
    </cfRule>
  </conditionalFormatting>
  <conditionalFormatting sqref="A362:N362">
    <cfRule type="expression" dxfId="642" priority="643">
      <formula>MOD(ROW(A362),2) = 0</formula>
    </cfRule>
  </conditionalFormatting>
  <conditionalFormatting sqref="A361:N361">
    <cfRule type="expression" dxfId="641" priority="642">
      <formula>MOD(ROW(A361),2) = 0</formula>
    </cfRule>
  </conditionalFormatting>
  <conditionalFormatting sqref="A360:N360">
    <cfRule type="expression" dxfId="640" priority="641">
      <formula>MOD(ROW(A360),2) = 0</formula>
    </cfRule>
  </conditionalFormatting>
  <conditionalFormatting sqref="A359:N359">
    <cfRule type="expression" dxfId="639" priority="640">
      <formula>MOD(ROW(A359),2) = 0</formula>
    </cfRule>
  </conditionalFormatting>
  <conditionalFormatting sqref="A358:F358 H358:N358">
    <cfRule type="expression" dxfId="638" priority="639">
      <formula>MOD(ROW(A358),2) = 0</formula>
    </cfRule>
  </conditionalFormatting>
  <conditionalFormatting sqref="A357:N357 G358 G367 G382 G399:G400 G411">
    <cfRule type="expression" dxfId="637" priority="638">
      <formula>MOD(ROW(A357),2) = 0</formula>
    </cfRule>
  </conditionalFormatting>
  <conditionalFormatting sqref="A356:N356">
    <cfRule type="expression" dxfId="636" priority="637">
      <formula>MOD(ROW(A356),2) = 0</formula>
    </cfRule>
  </conditionalFormatting>
  <conditionalFormatting sqref="A355:N355">
    <cfRule type="expression" dxfId="635" priority="636">
      <formula>MOD(ROW(A355),2) = 0</formula>
    </cfRule>
  </conditionalFormatting>
  <conditionalFormatting sqref="A354:N354">
    <cfRule type="expression" dxfId="634" priority="635">
      <formula>MOD(ROW(A354),2) = 0</formula>
    </cfRule>
  </conditionalFormatting>
  <conditionalFormatting sqref="A353:N353">
    <cfRule type="expression" dxfId="633" priority="634">
      <formula>MOD(ROW(A353),2) = 0</formula>
    </cfRule>
  </conditionalFormatting>
  <conditionalFormatting sqref="A352:N352">
    <cfRule type="expression" dxfId="632" priority="633">
      <formula>MOD(ROW(A352),2) = 0</formula>
    </cfRule>
  </conditionalFormatting>
  <conditionalFormatting sqref="A351:N351">
    <cfRule type="expression" dxfId="631" priority="632">
      <formula>MOD(ROW(A351),2) = 0</formula>
    </cfRule>
  </conditionalFormatting>
  <conditionalFormatting sqref="A350:F350 H350:N350">
    <cfRule type="expression" dxfId="630" priority="631">
      <formula>MOD(ROW(A350),2) = 0</formula>
    </cfRule>
  </conditionalFormatting>
  <conditionalFormatting sqref="A349:F349 H349:N349">
    <cfRule type="expression" dxfId="629" priority="630">
      <formula>MOD(ROW(A349),2) = 0</formula>
    </cfRule>
  </conditionalFormatting>
  <conditionalFormatting sqref="A348:N348">
    <cfRule type="expression" dxfId="628" priority="629">
      <formula>MOD(ROW(A348),2) = 0</formula>
    </cfRule>
  </conditionalFormatting>
  <conditionalFormatting sqref="A347:N347">
    <cfRule type="expression" dxfId="627" priority="628">
      <formula>MOD(ROW(A347),2) = 0</formula>
    </cfRule>
  </conditionalFormatting>
  <conditionalFormatting sqref="A346:N346">
    <cfRule type="expression" dxfId="626" priority="627">
      <formula>MOD(ROW(A346),2) = 0</formula>
    </cfRule>
  </conditionalFormatting>
  <conditionalFormatting sqref="A345:N345">
    <cfRule type="expression" dxfId="625" priority="626">
      <formula>MOD(ROW(A345),2) = 0</formula>
    </cfRule>
  </conditionalFormatting>
  <conditionalFormatting sqref="A344:N344">
    <cfRule type="expression" dxfId="624" priority="625">
      <formula>MOD(ROW(A344),2) = 0</formula>
    </cfRule>
  </conditionalFormatting>
  <conditionalFormatting sqref="A343:N343">
    <cfRule type="expression" dxfId="623" priority="624">
      <formula>MOD(ROW(A343),2) = 0</formula>
    </cfRule>
  </conditionalFormatting>
  <conditionalFormatting sqref="A342:N342 G349:G350 G365 G372 G389 G397 G404 G442 G447 G452 G460 G474:G475 G483 G486 G511 G526 G546 G554 G563 G568 G599 G632:G634 G651 G659:G660 G683 G691:G692 G696 G715 G717:G718 G737 G760:G761 G763 G765 G768 G796 G798 G857 G861 G863 G869 G879 G927 G956 G958:G961 G969 G978 G989 G992:G995 G1020 G1041 G1043 G1136 G1144 G1153 G1159 G1168 G1184 G1192 G1223 G1251 G1270 G1306 G1388 G1390 G1401 G1485 G1498 G1658:G1659 G1663:G1664 G1675 G1723 G1748 G1834 G1839 G1860 G1891 G1922 G1924 G1930 G1962 G2008 G2019 G2021 G2064 G2125 G2146 G2167 G2321:G2322">
    <cfRule type="expression" dxfId="622" priority="623">
      <formula>MOD(ROW(A342),2) = 0</formula>
    </cfRule>
  </conditionalFormatting>
  <conditionalFormatting sqref="A341:N341">
    <cfRule type="expression" dxfId="621" priority="622">
      <formula>MOD(ROW(A341),2) = 0</formula>
    </cfRule>
  </conditionalFormatting>
  <conditionalFormatting sqref="A340:N340">
    <cfRule type="expression" dxfId="620" priority="621">
      <formula>MOD(ROW(A340),2) = 0</formula>
    </cfRule>
  </conditionalFormatting>
  <conditionalFormatting sqref="A339:N339">
    <cfRule type="expression" dxfId="619" priority="620">
      <formula>MOD(ROW(A339),2) = 0</formula>
    </cfRule>
  </conditionalFormatting>
  <conditionalFormatting sqref="A338:N338">
    <cfRule type="expression" dxfId="618" priority="619">
      <formula>MOD(ROW(A338),2) = 0</formula>
    </cfRule>
  </conditionalFormatting>
  <conditionalFormatting sqref="A337:N337">
    <cfRule type="expression" dxfId="617" priority="618">
      <formula>MOD(ROW(A337),2) = 0</formula>
    </cfRule>
  </conditionalFormatting>
  <conditionalFormatting sqref="A336:N336">
    <cfRule type="expression" dxfId="616" priority="617">
      <formula>MOD(ROW(A336),2) = 0</formula>
    </cfRule>
  </conditionalFormatting>
  <conditionalFormatting sqref="A335:N335">
    <cfRule type="expression" dxfId="615" priority="616">
      <formula>MOD(ROW(A335),2) = 0</formula>
    </cfRule>
  </conditionalFormatting>
  <conditionalFormatting sqref="A334:N334">
    <cfRule type="expression" dxfId="614" priority="615">
      <formula>MOD(ROW(A334),2) = 0</formula>
    </cfRule>
  </conditionalFormatting>
  <conditionalFormatting sqref="A333:N333">
    <cfRule type="expression" dxfId="613" priority="614">
      <formula>MOD(ROW(A333),2) = 0</formula>
    </cfRule>
  </conditionalFormatting>
  <conditionalFormatting sqref="A332:N332">
    <cfRule type="expression" dxfId="612" priority="613">
      <formula>MOD(ROW(A332),2) = 0</formula>
    </cfRule>
  </conditionalFormatting>
  <conditionalFormatting sqref="A331:N331">
    <cfRule type="expression" dxfId="611" priority="612">
      <formula>MOD(ROW(A331),2) = 0</formula>
    </cfRule>
  </conditionalFormatting>
  <conditionalFormatting sqref="A330:N330">
    <cfRule type="expression" dxfId="610" priority="611">
      <formula>MOD(ROW(A330),2) = 0</formula>
    </cfRule>
  </conditionalFormatting>
  <conditionalFormatting sqref="A329:N329">
    <cfRule type="expression" dxfId="609" priority="610">
      <formula>MOD(ROW(A329),2) = 0</formula>
    </cfRule>
  </conditionalFormatting>
  <conditionalFormatting sqref="A328:N328">
    <cfRule type="expression" dxfId="608" priority="609">
      <formula>MOD(ROW(A328),2) = 0</formula>
    </cfRule>
  </conditionalFormatting>
  <conditionalFormatting sqref="A327:N327">
    <cfRule type="expression" dxfId="607" priority="608">
      <formula>MOD(ROW(A327),2) = 0</formula>
    </cfRule>
  </conditionalFormatting>
  <conditionalFormatting sqref="A326:N326">
    <cfRule type="expression" dxfId="606" priority="607">
      <formula>MOD(ROW(A326),2) = 0</formula>
    </cfRule>
  </conditionalFormatting>
  <conditionalFormatting sqref="A325:N325">
    <cfRule type="expression" dxfId="605" priority="606">
      <formula>MOD(ROW(A325),2) = 0</formula>
    </cfRule>
  </conditionalFormatting>
  <conditionalFormatting sqref="A324:N324">
    <cfRule type="expression" dxfId="604" priority="605">
      <formula>MOD(ROW(A324),2) = 0</formula>
    </cfRule>
  </conditionalFormatting>
  <conditionalFormatting sqref="A323:N323">
    <cfRule type="expression" dxfId="603" priority="604">
      <formula>MOD(ROW(A323),2) = 0</formula>
    </cfRule>
  </conditionalFormatting>
  <conditionalFormatting sqref="A322:N322">
    <cfRule type="expression" dxfId="602" priority="603">
      <formula>MOD(ROW(A322),2) = 0</formula>
    </cfRule>
  </conditionalFormatting>
  <conditionalFormatting sqref="A321:N321">
    <cfRule type="expression" dxfId="601" priority="602">
      <formula>MOD(ROW(A321),2) = 0</formula>
    </cfRule>
  </conditionalFormatting>
  <conditionalFormatting sqref="A320:N320">
    <cfRule type="expression" dxfId="600" priority="601">
      <formula>MOD(ROW(A320),2) = 0</formula>
    </cfRule>
  </conditionalFormatting>
  <conditionalFormatting sqref="A319:N319">
    <cfRule type="expression" dxfId="599" priority="600">
      <formula>MOD(ROW(A319),2) = 0</formula>
    </cfRule>
  </conditionalFormatting>
  <conditionalFormatting sqref="A318:N318">
    <cfRule type="expression" dxfId="598" priority="599">
      <formula>MOD(ROW(A318),2) = 0</formula>
    </cfRule>
  </conditionalFormatting>
  <conditionalFormatting sqref="A317:N317">
    <cfRule type="expression" dxfId="597" priority="598">
      <formula>MOD(ROW(A317),2) = 0</formula>
    </cfRule>
  </conditionalFormatting>
  <conditionalFormatting sqref="A316:N316">
    <cfRule type="expression" dxfId="596" priority="597">
      <formula>MOD(ROW(A316),2) = 0</formula>
    </cfRule>
  </conditionalFormatting>
  <conditionalFormatting sqref="A315:N315">
    <cfRule type="expression" dxfId="595" priority="596">
      <formula>MOD(ROW(A315),2) = 0</formula>
    </cfRule>
  </conditionalFormatting>
  <conditionalFormatting sqref="A314:N314">
    <cfRule type="expression" dxfId="594" priority="595">
      <formula>MOD(ROW(A314),2) = 0</formula>
    </cfRule>
  </conditionalFormatting>
  <conditionalFormatting sqref="A313:N313">
    <cfRule type="expression" dxfId="593" priority="594">
      <formula>MOD(ROW(A313),2) = 0</formula>
    </cfRule>
  </conditionalFormatting>
  <conditionalFormatting sqref="A312:N312">
    <cfRule type="expression" dxfId="592" priority="593">
      <formula>MOD(ROW(A312),2) = 0</formula>
    </cfRule>
  </conditionalFormatting>
  <conditionalFormatting sqref="A311:N311">
    <cfRule type="expression" dxfId="591" priority="592">
      <formula>MOD(ROW(A311),2) = 0</formula>
    </cfRule>
  </conditionalFormatting>
  <conditionalFormatting sqref="A310:N310">
    <cfRule type="expression" dxfId="590" priority="591">
      <formula>MOD(ROW(A310),2) = 0</formula>
    </cfRule>
  </conditionalFormatting>
  <conditionalFormatting sqref="A309:N309">
    <cfRule type="expression" dxfId="589" priority="590">
      <formula>MOD(ROW(A309),2) = 0</formula>
    </cfRule>
  </conditionalFormatting>
  <conditionalFormatting sqref="A308:N308">
    <cfRule type="expression" dxfId="588" priority="589">
      <formula>MOD(ROW(A308),2) = 0</formula>
    </cfRule>
  </conditionalFormatting>
  <conditionalFormatting sqref="A307:N307">
    <cfRule type="expression" dxfId="587" priority="588">
      <formula>MOD(ROW(A307),2) = 0</formula>
    </cfRule>
  </conditionalFormatting>
  <conditionalFormatting sqref="A306:N306">
    <cfRule type="expression" dxfId="586" priority="587">
      <formula>MOD(ROW(A306),2) = 0</formula>
    </cfRule>
  </conditionalFormatting>
  <conditionalFormatting sqref="A305:N305">
    <cfRule type="expression" dxfId="585" priority="586">
      <formula>MOD(ROW(A305),2) = 0</formula>
    </cfRule>
  </conditionalFormatting>
  <conditionalFormatting sqref="A304:N304">
    <cfRule type="expression" dxfId="584" priority="585">
      <formula>MOD(ROW(A304),2) = 0</formula>
    </cfRule>
  </conditionalFormatting>
  <conditionalFormatting sqref="A303:N303">
    <cfRule type="expression" dxfId="583" priority="584">
      <formula>MOD(ROW(A303),2) = 0</formula>
    </cfRule>
  </conditionalFormatting>
  <conditionalFormatting sqref="A302:N302">
    <cfRule type="expression" dxfId="582" priority="583">
      <formula>MOD(ROW(A302),2) = 0</formula>
    </cfRule>
  </conditionalFormatting>
  <conditionalFormatting sqref="A301:N301">
    <cfRule type="expression" dxfId="581" priority="582">
      <formula>MOD(ROW(A301),2) = 0</formula>
    </cfRule>
  </conditionalFormatting>
  <conditionalFormatting sqref="A300:N300">
    <cfRule type="expression" dxfId="580" priority="581">
      <formula>MOD(ROW(A300),2) = 0</formula>
    </cfRule>
  </conditionalFormatting>
  <conditionalFormatting sqref="A299:N299">
    <cfRule type="expression" dxfId="579" priority="580">
      <formula>MOD(ROW(A299),2) = 0</formula>
    </cfRule>
  </conditionalFormatting>
  <conditionalFormatting sqref="A298:N298">
    <cfRule type="expression" dxfId="578" priority="579">
      <formula>MOD(ROW(A298),2) = 0</formula>
    </cfRule>
  </conditionalFormatting>
  <conditionalFormatting sqref="A297:N297">
    <cfRule type="expression" dxfId="577" priority="578">
      <formula>MOD(ROW(A297),2) = 0</formula>
    </cfRule>
  </conditionalFormatting>
  <conditionalFormatting sqref="A296:N296">
    <cfRule type="expression" dxfId="576" priority="577">
      <formula>MOD(ROW(A296),2) = 0</formula>
    </cfRule>
  </conditionalFormatting>
  <conditionalFormatting sqref="A295:N295">
    <cfRule type="expression" dxfId="575" priority="576">
      <formula>MOD(ROW(A295),2) = 0</formula>
    </cfRule>
  </conditionalFormatting>
  <conditionalFormatting sqref="A294:N294">
    <cfRule type="expression" dxfId="574" priority="575">
      <formula>MOD(ROW(A294),2) = 0</formula>
    </cfRule>
  </conditionalFormatting>
  <conditionalFormatting sqref="A293:N293">
    <cfRule type="expression" dxfId="573" priority="574">
      <formula>MOD(ROW(A293),2) = 0</formula>
    </cfRule>
  </conditionalFormatting>
  <conditionalFormatting sqref="A292:N292">
    <cfRule type="expression" dxfId="572" priority="573">
      <formula>MOD(ROW(A292),2) = 0</formula>
    </cfRule>
  </conditionalFormatting>
  <conditionalFormatting sqref="A291:N291">
    <cfRule type="expression" dxfId="571" priority="572">
      <formula>MOD(ROW(A291),2) = 0</formula>
    </cfRule>
  </conditionalFormatting>
  <conditionalFormatting sqref="A290:N290">
    <cfRule type="expression" dxfId="570" priority="571">
      <formula>MOD(ROW(A290),2) = 0</formula>
    </cfRule>
  </conditionalFormatting>
  <conditionalFormatting sqref="A289:N289">
    <cfRule type="expression" dxfId="569" priority="570">
      <formula>MOD(ROW(A289),2) = 0</formula>
    </cfRule>
  </conditionalFormatting>
  <conditionalFormatting sqref="A288:N288">
    <cfRule type="expression" dxfId="568" priority="569">
      <formula>MOD(ROW(A288),2) = 0</formula>
    </cfRule>
  </conditionalFormatting>
  <conditionalFormatting sqref="A287:N287">
    <cfRule type="expression" dxfId="567" priority="568">
      <formula>MOD(ROW(A287),2) = 0</formula>
    </cfRule>
  </conditionalFormatting>
  <conditionalFormatting sqref="A286:N286">
    <cfRule type="expression" dxfId="566" priority="567">
      <formula>MOD(ROW(A286),2) = 0</formula>
    </cfRule>
  </conditionalFormatting>
  <conditionalFormatting sqref="A285:N285">
    <cfRule type="expression" dxfId="565" priority="566">
      <formula>MOD(ROW(A285),2) = 0</formula>
    </cfRule>
  </conditionalFormatting>
  <conditionalFormatting sqref="A284:N284">
    <cfRule type="expression" dxfId="564" priority="565">
      <formula>MOD(ROW(A284),2) = 0</formula>
    </cfRule>
  </conditionalFormatting>
  <conditionalFormatting sqref="A283:N283">
    <cfRule type="expression" dxfId="563" priority="564">
      <formula>MOD(ROW(A283),2) = 0</formula>
    </cfRule>
  </conditionalFormatting>
  <conditionalFormatting sqref="A282:N282">
    <cfRule type="expression" dxfId="562" priority="563">
      <formula>MOD(ROW(A282),2) = 0</formula>
    </cfRule>
  </conditionalFormatting>
  <conditionalFormatting sqref="A281:N281">
    <cfRule type="expression" dxfId="561" priority="562">
      <formula>MOD(ROW(A281),2) = 0</formula>
    </cfRule>
  </conditionalFormatting>
  <conditionalFormatting sqref="A280:N280">
    <cfRule type="expression" dxfId="560" priority="561">
      <formula>MOD(ROW(A280),2) = 0</formula>
    </cfRule>
  </conditionalFormatting>
  <conditionalFormatting sqref="A279:N279">
    <cfRule type="expression" dxfId="559" priority="560">
      <formula>MOD(ROW(A279),2) = 0</formula>
    </cfRule>
  </conditionalFormatting>
  <conditionalFormatting sqref="A278:N278">
    <cfRule type="expression" dxfId="558" priority="559">
      <formula>MOD(ROW(A278),2) = 0</formula>
    </cfRule>
  </conditionalFormatting>
  <conditionalFormatting sqref="A277:N277">
    <cfRule type="expression" dxfId="557" priority="558">
      <formula>MOD(ROW(A277),2) = 0</formula>
    </cfRule>
  </conditionalFormatting>
  <conditionalFormatting sqref="A276:N276">
    <cfRule type="expression" dxfId="556" priority="557">
      <formula>MOD(ROW(A276),2) = 0</formula>
    </cfRule>
  </conditionalFormatting>
  <conditionalFormatting sqref="A275:N275">
    <cfRule type="expression" dxfId="555" priority="556">
      <formula>MOD(ROW(A275),2) = 0</formula>
    </cfRule>
  </conditionalFormatting>
  <conditionalFormatting sqref="A274:N274">
    <cfRule type="expression" dxfId="554" priority="555">
      <formula>MOD(ROW(A274),2) = 0</formula>
    </cfRule>
  </conditionalFormatting>
  <conditionalFormatting sqref="A273:N273">
    <cfRule type="expression" dxfId="553" priority="554">
      <formula>MOD(ROW(A273),2) = 0</formula>
    </cfRule>
  </conditionalFormatting>
  <conditionalFormatting sqref="A272:N272">
    <cfRule type="expression" dxfId="552" priority="553">
      <formula>MOD(ROW(A272),2) = 0</formula>
    </cfRule>
  </conditionalFormatting>
  <conditionalFormatting sqref="A271:N271">
    <cfRule type="expression" dxfId="551" priority="552">
      <formula>MOD(ROW(A271),2) = 0</formula>
    </cfRule>
  </conditionalFormatting>
  <conditionalFormatting sqref="A270:N270">
    <cfRule type="expression" dxfId="550" priority="551">
      <formula>MOD(ROW(A270),2) = 0</formula>
    </cfRule>
  </conditionalFormatting>
  <conditionalFormatting sqref="A269:N269">
    <cfRule type="expression" dxfId="549" priority="550">
      <formula>MOD(ROW(A269),2) = 0</formula>
    </cfRule>
  </conditionalFormatting>
  <conditionalFormatting sqref="A268:N268">
    <cfRule type="expression" dxfId="548" priority="549">
      <formula>MOD(ROW(A268),2) = 0</formula>
    </cfRule>
  </conditionalFormatting>
  <conditionalFormatting sqref="A267:N267">
    <cfRule type="expression" dxfId="547" priority="548">
      <formula>MOD(ROW(A267),2) = 0</formula>
    </cfRule>
  </conditionalFormatting>
  <conditionalFormatting sqref="A266:N266">
    <cfRule type="expression" dxfId="546" priority="547">
      <formula>MOD(ROW(A266),2) = 0</formula>
    </cfRule>
  </conditionalFormatting>
  <conditionalFormatting sqref="A265:N265">
    <cfRule type="expression" dxfId="545" priority="546">
      <formula>MOD(ROW(A265),2) = 0</formula>
    </cfRule>
  </conditionalFormatting>
  <conditionalFormatting sqref="A264:N264">
    <cfRule type="expression" dxfId="544" priority="545">
      <formula>MOD(ROW(A264),2) = 0</formula>
    </cfRule>
  </conditionalFormatting>
  <conditionalFormatting sqref="A263:N263">
    <cfRule type="expression" dxfId="543" priority="544">
      <formula>MOD(ROW(A263),2) = 0</formula>
    </cfRule>
  </conditionalFormatting>
  <conditionalFormatting sqref="A262:I262 K262:N262">
    <cfRule type="expression" dxfId="542" priority="543">
      <formula>MOD(ROW(A262),2) = 0</formula>
    </cfRule>
  </conditionalFormatting>
  <conditionalFormatting sqref="A261:I261 K261:N261">
    <cfRule type="expression" dxfId="541" priority="542">
      <formula>MOD(ROW(A261),2) = 0</formula>
    </cfRule>
  </conditionalFormatting>
  <conditionalFormatting sqref="A260:I260 K260:N260">
    <cfRule type="expression" dxfId="540" priority="541">
      <formula>MOD(ROW(A260),2) = 0</formula>
    </cfRule>
  </conditionalFormatting>
  <conditionalFormatting sqref="A259:I259 K259:N259">
    <cfRule type="expression" dxfId="539" priority="540">
      <formula>MOD(ROW(A259),2) = 0</formula>
    </cfRule>
  </conditionalFormatting>
  <conditionalFormatting sqref="A258:I258 K258:N258">
    <cfRule type="expression" dxfId="538" priority="539">
      <formula>MOD(ROW(A258),2) = 0</formula>
    </cfRule>
  </conditionalFormatting>
  <conditionalFormatting sqref="A257:I257 K257:N257">
    <cfRule type="expression" dxfId="537" priority="538">
      <formula>MOD(ROW(A257),2) = 0</formula>
    </cfRule>
  </conditionalFormatting>
  <conditionalFormatting sqref="A256:I256 K256:N256">
    <cfRule type="expression" dxfId="536" priority="537">
      <formula>MOD(ROW(A256),2) = 0</formula>
    </cfRule>
  </conditionalFormatting>
  <conditionalFormatting sqref="A255:I255 K255:N255">
    <cfRule type="expression" dxfId="535" priority="536">
      <formula>MOD(ROW(A255),2) = 0</formula>
    </cfRule>
  </conditionalFormatting>
  <conditionalFormatting sqref="A254:I254 K254:N254">
    <cfRule type="expression" dxfId="534" priority="535">
      <formula>MOD(ROW(A254),2) = 0</formula>
    </cfRule>
  </conditionalFormatting>
  <conditionalFormatting sqref="A253:I253 K253:N253">
    <cfRule type="expression" dxfId="533" priority="534">
      <formula>MOD(ROW(A253),2) = 0</formula>
    </cfRule>
  </conditionalFormatting>
  <conditionalFormatting sqref="A252:I252 K252:N252">
    <cfRule type="expression" dxfId="532" priority="533">
      <formula>MOD(ROW(A252),2) = 0</formula>
    </cfRule>
  </conditionalFormatting>
  <conditionalFormatting sqref="A251:I251 K251:N251">
    <cfRule type="expression" dxfId="531" priority="532">
      <formula>MOD(ROW(A251),2) = 0</formula>
    </cfRule>
  </conditionalFormatting>
  <conditionalFormatting sqref="J251:J262">
    <cfRule type="expression" dxfId="530" priority="531">
      <formula>MOD(ROW(J251),2) = 0</formula>
    </cfRule>
  </conditionalFormatting>
  <conditionalFormatting sqref="A250:I250 K250:N250">
    <cfRule type="expression" dxfId="529" priority="530">
      <formula>MOD(ROW(A250),2) = 0</formula>
    </cfRule>
  </conditionalFormatting>
  <conditionalFormatting sqref="J250">
    <cfRule type="expression" dxfId="528" priority="529">
      <formula>MOD(ROW(J250),2) = 0</formula>
    </cfRule>
  </conditionalFormatting>
  <conditionalFormatting sqref="A249:I249 K249:N249">
    <cfRule type="expression" dxfId="527" priority="528">
      <formula>MOD(ROW(A249),2) = 0</formula>
    </cfRule>
  </conditionalFormatting>
  <conditionalFormatting sqref="J249">
    <cfRule type="expression" dxfId="526" priority="527">
      <formula>MOD(ROW(J249),2) = 0</formula>
    </cfRule>
  </conditionalFormatting>
  <conditionalFormatting sqref="A248:I248 K248:N248">
    <cfRule type="expression" dxfId="525" priority="526">
      <formula>MOD(ROW(A248),2) = 0</formula>
    </cfRule>
  </conditionalFormatting>
  <conditionalFormatting sqref="J248">
    <cfRule type="expression" dxfId="524" priority="525">
      <formula>MOD(ROW(J248),2) = 0</formula>
    </cfRule>
  </conditionalFormatting>
  <conditionalFormatting sqref="A247:I247 K247:N247">
    <cfRule type="expression" dxfId="523" priority="524">
      <formula>MOD(ROW(A247),2) = 0</formula>
    </cfRule>
  </conditionalFormatting>
  <conditionalFormatting sqref="J247">
    <cfRule type="expression" dxfId="522" priority="523">
      <formula>MOD(ROW(J247),2) = 0</formula>
    </cfRule>
  </conditionalFormatting>
  <conditionalFormatting sqref="A246:I246 K246:N246">
    <cfRule type="expression" dxfId="521" priority="522">
      <formula>MOD(ROW(A246),2) = 0</formula>
    </cfRule>
  </conditionalFormatting>
  <conditionalFormatting sqref="J246">
    <cfRule type="expression" dxfId="520" priority="521">
      <formula>MOD(ROW(J246),2) = 0</formula>
    </cfRule>
  </conditionalFormatting>
  <conditionalFormatting sqref="A245:I245 K245:N245">
    <cfRule type="expression" dxfId="519" priority="520">
      <formula>MOD(ROW(A245),2) = 0</formula>
    </cfRule>
  </conditionalFormatting>
  <conditionalFormatting sqref="J245">
    <cfRule type="expression" dxfId="518" priority="519">
      <formula>MOD(ROW(J245),2) = 0</formula>
    </cfRule>
  </conditionalFormatting>
  <conditionalFormatting sqref="A244:I244 K244:N244">
    <cfRule type="expression" dxfId="517" priority="518">
      <formula>MOD(ROW(A244),2) = 0</formula>
    </cfRule>
  </conditionalFormatting>
  <conditionalFormatting sqref="J244">
    <cfRule type="expression" dxfId="516" priority="517">
      <formula>MOD(ROW(J244),2) = 0</formula>
    </cfRule>
  </conditionalFormatting>
  <conditionalFormatting sqref="A243:I243 K243:N243">
    <cfRule type="expression" dxfId="515" priority="516">
      <formula>MOD(ROW(A243),2) = 0</formula>
    </cfRule>
  </conditionalFormatting>
  <conditionalFormatting sqref="J243">
    <cfRule type="expression" dxfId="514" priority="515">
      <formula>MOD(ROW(J243),2) = 0</formula>
    </cfRule>
  </conditionalFormatting>
  <conditionalFormatting sqref="A242:I242 K242:N242">
    <cfRule type="expression" dxfId="513" priority="514">
      <formula>MOD(ROW(A242),2) = 0</formula>
    </cfRule>
  </conditionalFormatting>
  <conditionalFormatting sqref="J242">
    <cfRule type="expression" dxfId="512" priority="513">
      <formula>MOD(ROW(J242),2) = 0</formula>
    </cfRule>
  </conditionalFormatting>
  <conditionalFormatting sqref="A241:I241 K241:N241">
    <cfRule type="expression" dxfId="511" priority="512">
      <formula>MOD(ROW(A241),2) = 0</formula>
    </cfRule>
  </conditionalFormatting>
  <conditionalFormatting sqref="J241">
    <cfRule type="expression" dxfId="510" priority="511">
      <formula>MOD(ROW(J241),2) = 0</formula>
    </cfRule>
  </conditionalFormatting>
  <conditionalFormatting sqref="A240:I240 K240:N240">
    <cfRule type="expression" dxfId="509" priority="510">
      <formula>MOD(ROW(A240),2) = 0</formula>
    </cfRule>
  </conditionalFormatting>
  <conditionalFormatting sqref="J240">
    <cfRule type="expression" dxfId="508" priority="509">
      <formula>MOD(ROW(J240),2) = 0</formula>
    </cfRule>
  </conditionalFormatting>
  <conditionalFormatting sqref="A239:I239 K239:N239">
    <cfRule type="expression" dxfId="507" priority="508">
      <formula>MOD(ROW(A239),2) = 0</formula>
    </cfRule>
  </conditionalFormatting>
  <conditionalFormatting sqref="J239">
    <cfRule type="expression" dxfId="506" priority="507">
      <formula>MOD(ROW(J239),2) = 0</formula>
    </cfRule>
  </conditionalFormatting>
  <conditionalFormatting sqref="A238:I238 K238:N238">
    <cfRule type="expression" dxfId="505" priority="506">
      <formula>MOD(ROW(A238),2) = 0</formula>
    </cfRule>
  </conditionalFormatting>
  <conditionalFormatting sqref="J238">
    <cfRule type="expression" dxfId="504" priority="505">
      <formula>MOD(ROW(J238),2) = 0</formula>
    </cfRule>
  </conditionalFormatting>
  <conditionalFormatting sqref="A237:I237 K237:N237">
    <cfRule type="expression" dxfId="503" priority="504">
      <formula>MOD(ROW(A237),2) = 0</formula>
    </cfRule>
  </conditionalFormatting>
  <conditionalFormatting sqref="J237">
    <cfRule type="expression" dxfId="502" priority="503">
      <formula>MOD(ROW(J237),2) = 0</formula>
    </cfRule>
  </conditionalFormatting>
  <conditionalFormatting sqref="A236:I236 K236:N236">
    <cfRule type="expression" dxfId="501" priority="502">
      <formula>MOD(ROW(A236),2) = 0</formula>
    </cfRule>
  </conditionalFormatting>
  <conditionalFormatting sqref="J236">
    <cfRule type="expression" dxfId="500" priority="501">
      <formula>MOD(ROW(J236),2) = 0</formula>
    </cfRule>
  </conditionalFormatting>
  <conditionalFormatting sqref="A235:I235 K235:N235">
    <cfRule type="expression" dxfId="499" priority="500">
      <formula>MOD(ROW(A235),2) = 0</formula>
    </cfRule>
  </conditionalFormatting>
  <conditionalFormatting sqref="J235">
    <cfRule type="expression" dxfId="498" priority="499">
      <formula>MOD(ROW(J235),2) = 0</formula>
    </cfRule>
  </conditionalFormatting>
  <conditionalFormatting sqref="A234:I234 K234:N234">
    <cfRule type="expression" dxfId="497" priority="498">
      <formula>MOD(ROW(A234),2) = 0</formula>
    </cfRule>
  </conditionalFormatting>
  <conditionalFormatting sqref="J234">
    <cfRule type="expression" dxfId="496" priority="497">
      <formula>MOD(ROW(J234),2) = 0</formula>
    </cfRule>
  </conditionalFormatting>
  <conditionalFormatting sqref="A233:I233 K233:N233">
    <cfRule type="expression" dxfId="495" priority="496">
      <formula>MOD(ROW(A233),2) = 0</formula>
    </cfRule>
  </conditionalFormatting>
  <conditionalFormatting sqref="J233">
    <cfRule type="expression" dxfId="494" priority="495">
      <formula>MOD(ROW(J233),2) = 0</formula>
    </cfRule>
  </conditionalFormatting>
  <conditionalFormatting sqref="A232:I232 K232:N232">
    <cfRule type="expression" dxfId="493" priority="494">
      <formula>MOD(ROW(A232),2) = 0</formula>
    </cfRule>
  </conditionalFormatting>
  <conditionalFormatting sqref="J232">
    <cfRule type="expression" dxfId="492" priority="493">
      <formula>MOD(ROW(J232),2) = 0</formula>
    </cfRule>
  </conditionalFormatting>
  <conditionalFormatting sqref="A231:I231 K231:N231">
    <cfRule type="expression" dxfId="491" priority="492">
      <formula>MOD(ROW(A231),2) = 0</formula>
    </cfRule>
  </conditionalFormatting>
  <conditionalFormatting sqref="J231">
    <cfRule type="expression" dxfId="490" priority="491">
      <formula>MOD(ROW(J231),2) = 0</formula>
    </cfRule>
  </conditionalFormatting>
  <conditionalFormatting sqref="A230:I230 K230:N230">
    <cfRule type="expression" dxfId="489" priority="490">
      <formula>MOD(ROW(A230),2) = 0</formula>
    </cfRule>
  </conditionalFormatting>
  <conditionalFormatting sqref="J230">
    <cfRule type="expression" dxfId="488" priority="489">
      <formula>MOD(ROW(J230),2) = 0</formula>
    </cfRule>
  </conditionalFormatting>
  <conditionalFormatting sqref="A229:I229 K229:N229">
    <cfRule type="expression" dxfId="487" priority="488">
      <formula>MOD(ROW(A229),2) = 0</formula>
    </cfRule>
  </conditionalFormatting>
  <conditionalFormatting sqref="J229">
    <cfRule type="expression" dxfId="486" priority="487">
      <formula>MOD(ROW(J229),2) = 0</formula>
    </cfRule>
  </conditionalFormatting>
  <conditionalFormatting sqref="A228:I228 K228:N228">
    <cfRule type="expression" dxfId="485" priority="486">
      <formula>MOD(ROW(A228),2) = 0</formula>
    </cfRule>
  </conditionalFormatting>
  <conditionalFormatting sqref="J228">
    <cfRule type="expression" dxfId="484" priority="485">
      <formula>MOD(ROW(J228),2) = 0</formula>
    </cfRule>
  </conditionalFormatting>
  <conditionalFormatting sqref="A227:I227 K227:N227">
    <cfRule type="expression" dxfId="483" priority="484">
      <formula>MOD(ROW(A227),2) = 0</formula>
    </cfRule>
  </conditionalFormatting>
  <conditionalFormatting sqref="J227">
    <cfRule type="expression" dxfId="482" priority="483">
      <formula>MOD(ROW(J227),2) = 0</formula>
    </cfRule>
  </conditionalFormatting>
  <conditionalFormatting sqref="A226:I226 K226:N226">
    <cfRule type="expression" dxfId="481" priority="482">
      <formula>MOD(ROW(A226),2) = 0</formula>
    </cfRule>
  </conditionalFormatting>
  <conditionalFormatting sqref="J226">
    <cfRule type="expression" dxfId="480" priority="481">
      <formula>MOD(ROW(J226),2) = 0</formula>
    </cfRule>
  </conditionalFormatting>
  <conditionalFormatting sqref="A225:I225 K225:N225">
    <cfRule type="expression" dxfId="479" priority="480">
      <formula>MOD(ROW(A225),2) = 0</formula>
    </cfRule>
  </conditionalFormatting>
  <conditionalFormatting sqref="J225">
    <cfRule type="expression" dxfId="478" priority="479">
      <formula>MOD(ROW(J225),2) = 0</formula>
    </cfRule>
  </conditionalFormatting>
  <conditionalFormatting sqref="A224:I224 K224:N224">
    <cfRule type="expression" dxfId="477" priority="478">
      <formula>MOD(ROW(A224),2) = 0</formula>
    </cfRule>
  </conditionalFormatting>
  <conditionalFormatting sqref="J224">
    <cfRule type="expression" dxfId="476" priority="477">
      <formula>MOD(ROW(J224),2) = 0</formula>
    </cfRule>
  </conditionalFormatting>
  <conditionalFormatting sqref="A223:I223 K223:N223">
    <cfRule type="expression" dxfId="475" priority="476">
      <formula>MOD(ROW(A223),2) = 0</formula>
    </cfRule>
  </conditionalFormatting>
  <conditionalFormatting sqref="J223">
    <cfRule type="expression" dxfId="474" priority="475">
      <formula>MOD(ROW(J223),2) = 0</formula>
    </cfRule>
  </conditionalFormatting>
  <conditionalFormatting sqref="A222:I222 K222:N222">
    <cfRule type="expression" dxfId="473" priority="474">
      <formula>MOD(ROW(A222),2) = 0</formula>
    </cfRule>
  </conditionalFormatting>
  <conditionalFormatting sqref="J222">
    <cfRule type="expression" dxfId="472" priority="473">
      <formula>MOD(ROW(J222),2) = 0</formula>
    </cfRule>
  </conditionalFormatting>
  <conditionalFormatting sqref="A221:I221 K221:N221">
    <cfRule type="expression" dxfId="471" priority="472">
      <formula>MOD(ROW(A221),2) = 0</formula>
    </cfRule>
  </conditionalFormatting>
  <conditionalFormatting sqref="J221">
    <cfRule type="expression" dxfId="470" priority="471">
      <formula>MOD(ROW(J221),2) = 0</formula>
    </cfRule>
  </conditionalFormatting>
  <conditionalFormatting sqref="A220:I220 K220:N220">
    <cfRule type="expression" dxfId="469" priority="470">
      <formula>MOD(ROW(A220),2) = 0</formula>
    </cfRule>
  </conditionalFormatting>
  <conditionalFormatting sqref="J220">
    <cfRule type="expression" dxfId="468" priority="469">
      <formula>MOD(ROW(J220),2) = 0</formula>
    </cfRule>
  </conditionalFormatting>
  <conditionalFormatting sqref="A219:I219 K219:N219">
    <cfRule type="expression" dxfId="467" priority="468">
      <formula>MOD(ROW(A219),2) = 0</formula>
    </cfRule>
  </conditionalFormatting>
  <conditionalFormatting sqref="J219">
    <cfRule type="expression" dxfId="466" priority="467">
      <formula>MOD(ROW(J219),2) = 0</formula>
    </cfRule>
  </conditionalFormatting>
  <conditionalFormatting sqref="A218:I218 K218:N218">
    <cfRule type="expression" dxfId="465" priority="466">
      <formula>MOD(ROW(A218),2) = 0</formula>
    </cfRule>
  </conditionalFormatting>
  <conditionalFormatting sqref="J218">
    <cfRule type="expression" dxfId="464" priority="465">
      <formula>MOD(ROW(J218),2) = 0</formula>
    </cfRule>
  </conditionalFormatting>
  <conditionalFormatting sqref="A217:I217 K217:N217">
    <cfRule type="expression" dxfId="463" priority="464">
      <formula>MOD(ROW(A217),2) = 0</formula>
    </cfRule>
  </conditionalFormatting>
  <conditionalFormatting sqref="J217">
    <cfRule type="expression" dxfId="462" priority="463">
      <formula>MOD(ROW(J217),2) = 0</formula>
    </cfRule>
  </conditionalFormatting>
  <conditionalFormatting sqref="A216:I216 K216:N216">
    <cfRule type="expression" dxfId="461" priority="462">
      <formula>MOD(ROW(A216),2) = 0</formula>
    </cfRule>
  </conditionalFormatting>
  <conditionalFormatting sqref="J216">
    <cfRule type="expression" dxfId="460" priority="461">
      <formula>MOD(ROW(J216),2) = 0</formula>
    </cfRule>
  </conditionalFormatting>
  <conditionalFormatting sqref="A215:I215 K215:N215">
    <cfRule type="expression" dxfId="459" priority="460">
      <formula>MOD(ROW(A215),2) = 0</formula>
    </cfRule>
  </conditionalFormatting>
  <conditionalFormatting sqref="J215">
    <cfRule type="expression" dxfId="458" priority="459">
      <formula>MOD(ROW(J215),2) = 0</formula>
    </cfRule>
  </conditionalFormatting>
  <conditionalFormatting sqref="A214:I214 K214:N214">
    <cfRule type="expression" dxfId="457" priority="458">
      <formula>MOD(ROW(A214),2) = 0</formula>
    </cfRule>
  </conditionalFormatting>
  <conditionalFormatting sqref="J214">
    <cfRule type="expression" dxfId="456" priority="457">
      <formula>MOD(ROW(J214),2) = 0</formula>
    </cfRule>
  </conditionalFormatting>
  <conditionalFormatting sqref="A213:I213 K213:N213">
    <cfRule type="expression" dxfId="455" priority="456">
      <formula>MOD(ROW(A213),2) = 0</formula>
    </cfRule>
  </conditionalFormatting>
  <conditionalFormatting sqref="J213">
    <cfRule type="expression" dxfId="454" priority="455">
      <formula>MOD(ROW(J213),2) = 0</formula>
    </cfRule>
  </conditionalFormatting>
  <conditionalFormatting sqref="A212:I212 K212:N212">
    <cfRule type="expression" dxfId="453" priority="454">
      <formula>MOD(ROW(A212),2) = 0</formula>
    </cfRule>
  </conditionalFormatting>
  <conditionalFormatting sqref="J212">
    <cfRule type="expression" dxfId="452" priority="453">
      <formula>MOD(ROW(J212),2) = 0</formula>
    </cfRule>
  </conditionalFormatting>
  <conditionalFormatting sqref="A211:I211 K211:N211">
    <cfRule type="expression" dxfId="451" priority="452">
      <formula>MOD(ROW(A211),2) = 0</formula>
    </cfRule>
  </conditionalFormatting>
  <conditionalFormatting sqref="J211">
    <cfRule type="expression" dxfId="450" priority="451">
      <formula>MOD(ROW(J211),2) = 0</formula>
    </cfRule>
  </conditionalFormatting>
  <conditionalFormatting sqref="A210:I210 K210:N210">
    <cfRule type="expression" dxfId="449" priority="450">
      <formula>MOD(ROW(A210),2) = 0</formula>
    </cfRule>
  </conditionalFormatting>
  <conditionalFormatting sqref="J210">
    <cfRule type="expression" dxfId="448" priority="449">
      <formula>MOD(ROW(J210),2) = 0</formula>
    </cfRule>
  </conditionalFormatting>
  <conditionalFormatting sqref="A209:I209 K209:N209">
    <cfRule type="expression" dxfId="447" priority="448">
      <formula>MOD(ROW(A209),2) = 0</formula>
    </cfRule>
  </conditionalFormatting>
  <conditionalFormatting sqref="J209">
    <cfRule type="expression" dxfId="446" priority="447">
      <formula>MOD(ROW(J209),2) = 0</formula>
    </cfRule>
  </conditionalFormatting>
  <conditionalFormatting sqref="A208:I208 K208:N208">
    <cfRule type="expression" dxfId="445" priority="446">
      <formula>MOD(ROW(A208),2) = 0</formula>
    </cfRule>
  </conditionalFormatting>
  <conditionalFormatting sqref="J208">
    <cfRule type="expression" dxfId="444" priority="445">
      <formula>MOD(ROW(J208),2) = 0</formula>
    </cfRule>
  </conditionalFormatting>
  <conditionalFormatting sqref="A207:I207 K207:N207">
    <cfRule type="expression" dxfId="443" priority="444">
      <formula>MOD(ROW(A207),2) = 0</formula>
    </cfRule>
  </conditionalFormatting>
  <conditionalFormatting sqref="J207">
    <cfRule type="expression" dxfId="442" priority="443">
      <formula>MOD(ROW(J207),2) = 0</formula>
    </cfRule>
  </conditionalFormatting>
  <conditionalFormatting sqref="A206:I206 K206:N206">
    <cfRule type="expression" dxfId="441" priority="442">
      <formula>MOD(ROW(A206),2) = 0</formula>
    </cfRule>
  </conditionalFormatting>
  <conditionalFormatting sqref="J206">
    <cfRule type="expression" dxfId="440" priority="441">
      <formula>MOD(ROW(J206),2) = 0</formula>
    </cfRule>
  </conditionalFormatting>
  <conditionalFormatting sqref="A205:I205 K205:N205">
    <cfRule type="expression" dxfId="439" priority="440">
      <formula>MOD(ROW(A205),2) = 0</formula>
    </cfRule>
  </conditionalFormatting>
  <conditionalFormatting sqref="J205">
    <cfRule type="expression" dxfId="438" priority="439">
      <formula>MOD(ROW(J205),2) = 0</formula>
    </cfRule>
  </conditionalFormatting>
  <conditionalFormatting sqref="A204:I204 K204:N204">
    <cfRule type="expression" dxfId="437" priority="438">
      <formula>MOD(ROW(A204),2) = 0</formula>
    </cfRule>
  </conditionalFormatting>
  <conditionalFormatting sqref="J204">
    <cfRule type="expression" dxfId="436" priority="437">
      <formula>MOD(ROW(J204),2) = 0</formula>
    </cfRule>
  </conditionalFormatting>
  <conditionalFormatting sqref="A203:I203 K203:N203">
    <cfRule type="expression" dxfId="435" priority="436">
      <formula>MOD(ROW(A203),2) = 0</formula>
    </cfRule>
  </conditionalFormatting>
  <conditionalFormatting sqref="J203">
    <cfRule type="expression" dxfId="434" priority="435">
      <formula>MOD(ROW(J203),2) = 0</formula>
    </cfRule>
  </conditionalFormatting>
  <conditionalFormatting sqref="A202:I202 K202:N202">
    <cfRule type="expression" dxfId="433" priority="434">
      <formula>MOD(ROW(A202),2) = 0</formula>
    </cfRule>
  </conditionalFormatting>
  <conditionalFormatting sqref="J202">
    <cfRule type="expression" dxfId="432" priority="433">
      <formula>MOD(ROW(J202),2) = 0</formula>
    </cfRule>
  </conditionalFormatting>
  <conditionalFormatting sqref="A201:I201 K201:N201">
    <cfRule type="expression" dxfId="431" priority="432">
      <formula>MOD(ROW(A201),2) = 0</formula>
    </cfRule>
  </conditionalFormatting>
  <conditionalFormatting sqref="J201">
    <cfRule type="expression" dxfId="430" priority="431">
      <formula>MOD(ROW(J201),2) = 0</formula>
    </cfRule>
  </conditionalFormatting>
  <conditionalFormatting sqref="A200:I200 K200:N200">
    <cfRule type="expression" dxfId="429" priority="430">
      <formula>MOD(ROW(A200),2) = 0</formula>
    </cfRule>
  </conditionalFormatting>
  <conditionalFormatting sqref="J200">
    <cfRule type="expression" dxfId="428" priority="429">
      <formula>MOD(ROW(J200),2) = 0</formula>
    </cfRule>
  </conditionalFormatting>
  <conditionalFormatting sqref="A199:I199 K199:N199">
    <cfRule type="expression" dxfId="427" priority="428">
      <formula>MOD(ROW(A199),2) = 0</formula>
    </cfRule>
  </conditionalFormatting>
  <conditionalFormatting sqref="J199">
    <cfRule type="expression" dxfId="426" priority="427">
      <formula>MOD(ROW(J199),2) = 0</formula>
    </cfRule>
  </conditionalFormatting>
  <conditionalFormatting sqref="A198:I198 K198:N198">
    <cfRule type="expression" dxfId="425" priority="426">
      <formula>MOD(ROW(A198),2) = 0</formula>
    </cfRule>
  </conditionalFormatting>
  <conditionalFormatting sqref="J198">
    <cfRule type="expression" dxfId="424" priority="425">
      <formula>MOD(ROW(J198),2) = 0</formula>
    </cfRule>
  </conditionalFormatting>
  <conditionalFormatting sqref="A197:I197 K197:N197">
    <cfRule type="expression" dxfId="423" priority="424">
      <formula>MOD(ROW(A197),2) = 0</formula>
    </cfRule>
  </conditionalFormatting>
  <conditionalFormatting sqref="J197">
    <cfRule type="expression" dxfId="422" priority="423">
      <formula>MOD(ROW(J197),2) = 0</formula>
    </cfRule>
  </conditionalFormatting>
  <conditionalFormatting sqref="A196:I196 K196:N196">
    <cfRule type="expression" dxfId="421" priority="422">
      <formula>MOD(ROW(A196),2) = 0</formula>
    </cfRule>
  </conditionalFormatting>
  <conditionalFormatting sqref="J196">
    <cfRule type="expression" dxfId="420" priority="421">
      <formula>MOD(ROW(J196),2) = 0</formula>
    </cfRule>
  </conditionalFormatting>
  <conditionalFormatting sqref="A195:I195 K195:N195">
    <cfRule type="expression" dxfId="419" priority="420">
      <formula>MOD(ROW(A195),2) = 0</formula>
    </cfRule>
  </conditionalFormatting>
  <conditionalFormatting sqref="J195">
    <cfRule type="expression" dxfId="418" priority="419">
      <formula>MOD(ROW(J195),2) = 0</formula>
    </cfRule>
  </conditionalFormatting>
  <conditionalFormatting sqref="A194:I194 K194:N194">
    <cfRule type="expression" dxfId="417" priority="418">
      <formula>MOD(ROW(A194),2) = 0</formula>
    </cfRule>
  </conditionalFormatting>
  <conditionalFormatting sqref="J194">
    <cfRule type="expression" dxfId="416" priority="417">
      <formula>MOD(ROW(J194),2) = 0</formula>
    </cfRule>
  </conditionalFormatting>
  <conditionalFormatting sqref="A193:I193 K193:N193">
    <cfRule type="expression" dxfId="415" priority="416">
      <formula>MOD(ROW(A193),2) = 0</formula>
    </cfRule>
  </conditionalFormatting>
  <conditionalFormatting sqref="J193">
    <cfRule type="expression" dxfId="414" priority="415">
      <formula>MOD(ROW(J193),2) = 0</formula>
    </cfRule>
  </conditionalFormatting>
  <conditionalFormatting sqref="A192:I192 K192:N192">
    <cfRule type="expression" dxfId="413" priority="414">
      <formula>MOD(ROW(A192),2) = 0</formula>
    </cfRule>
  </conditionalFormatting>
  <conditionalFormatting sqref="J192">
    <cfRule type="expression" dxfId="412" priority="413">
      <formula>MOD(ROW(J192),2) = 0</formula>
    </cfRule>
  </conditionalFormatting>
  <conditionalFormatting sqref="A191:I191 K191:N191">
    <cfRule type="expression" dxfId="411" priority="412">
      <formula>MOD(ROW(A191),2) = 0</formula>
    </cfRule>
  </conditionalFormatting>
  <conditionalFormatting sqref="J191">
    <cfRule type="expression" dxfId="410" priority="411">
      <formula>MOD(ROW(J191),2) = 0</formula>
    </cfRule>
  </conditionalFormatting>
  <conditionalFormatting sqref="A190:I190 K190:N190">
    <cfRule type="expression" dxfId="409" priority="410">
      <formula>MOD(ROW(A190),2) = 0</formula>
    </cfRule>
  </conditionalFormatting>
  <conditionalFormatting sqref="J190">
    <cfRule type="expression" dxfId="408" priority="409">
      <formula>MOD(ROW(J190),2) = 0</formula>
    </cfRule>
  </conditionalFormatting>
  <conditionalFormatting sqref="A189:I189 K189:N189">
    <cfRule type="expression" dxfId="407" priority="408">
      <formula>MOD(ROW(A189),2) = 0</formula>
    </cfRule>
  </conditionalFormatting>
  <conditionalFormatting sqref="J189">
    <cfRule type="expression" dxfId="406" priority="407">
      <formula>MOD(ROW(J189),2) = 0</formula>
    </cfRule>
  </conditionalFormatting>
  <conditionalFormatting sqref="A188:I188 K188:N188">
    <cfRule type="expression" dxfId="405" priority="406">
      <formula>MOD(ROW(A188),2) = 0</formula>
    </cfRule>
  </conditionalFormatting>
  <conditionalFormatting sqref="J188">
    <cfRule type="expression" dxfId="404" priority="405">
      <formula>MOD(ROW(J188),2) = 0</formula>
    </cfRule>
  </conditionalFormatting>
  <conditionalFormatting sqref="A187:I187 K187:N187">
    <cfRule type="expression" dxfId="403" priority="404">
      <formula>MOD(ROW(A187),2) = 0</formula>
    </cfRule>
  </conditionalFormatting>
  <conditionalFormatting sqref="J187">
    <cfRule type="expression" dxfId="402" priority="403">
      <formula>MOD(ROW(J187),2) = 0</formula>
    </cfRule>
  </conditionalFormatting>
  <conditionalFormatting sqref="A186:I186 K186:N186">
    <cfRule type="expression" dxfId="401" priority="402">
      <formula>MOD(ROW(A186),2) = 0</formula>
    </cfRule>
  </conditionalFormatting>
  <conditionalFormatting sqref="J186">
    <cfRule type="expression" dxfId="400" priority="401">
      <formula>MOD(ROW(J186),2) = 0</formula>
    </cfRule>
  </conditionalFormatting>
  <conditionalFormatting sqref="A185:I185 K185:N185">
    <cfRule type="expression" dxfId="399" priority="400">
      <formula>MOD(ROW(A185),2) = 0</formula>
    </cfRule>
  </conditionalFormatting>
  <conditionalFormatting sqref="J185">
    <cfRule type="expression" dxfId="398" priority="399">
      <formula>MOD(ROW(J185),2) = 0</formula>
    </cfRule>
  </conditionalFormatting>
  <conditionalFormatting sqref="A184:I184 K184:N184">
    <cfRule type="expression" dxfId="397" priority="398">
      <formula>MOD(ROW(A184),2) = 0</formula>
    </cfRule>
  </conditionalFormatting>
  <conditionalFormatting sqref="J184">
    <cfRule type="expression" dxfId="396" priority="397">
      <formula>MOD(ROW(J184),2) = 0</formula>
    </cfRule>
  </conditionalFormatting>
  <conditionalFormatting sqref="A183:I183 K183:N183">
    <cfRule type="expression" dxfId="395" priority="396">
      <formula>MOD(ROW(A183),2) = 0</formula>
    </cfRule>
  </conditionalFormatting>
  <conditionalFormatting sqref="J183">
    <cfRule type="expression" dxfId="394" priority="395">
      <formula>MOD(ROW(J183),2) = 0</formula>
    </cfRule>
  </conditionalFormatting>
  <conditionalFormatting sqref="A182:I182 K182:N182">
    <cfRule type="expression" dxfId="393" priority="394">
      <formula>MOD(ROW(A182),2) = 0</formula>
    </cfRule>
  </conditionalFormatting>
  <conditionalFormatting sqref="J182">
    <cfRule type="expression" dxfId="392" priority="393">
      <formula>MOD(ROW(J182),2) = 0</formula>
    </cfRule>
  </conditionalFormatting>
  <conditionalFormatting sqref="A181:I181 K181:N181">
    <cfRule type="expression" dxfId="391" priority="392">
      <formula>MOD(ROW(A181),2) = 0</formula>
    </cfRule>
  </conditionalFormatting>
  <conditionalFormatting sqref="J181">
    <cfRule type="expression" dxfId="390" priority="391">
      <formula>MOD(ROW(J181),2) = 0</formula>
    </cfRule>
  </conditionalFormatting>
  <conditionalFormatting sqref="A180:I180 K180:N180">
    <cfRule type="expression" dxfId="389" priority="390">
      <formula>MOD(ROW(A180),2) = 0</formula>
    </cfRule>
  </conditionalFormatting>
  <conditionalFormatting sqref="J180">
    <cfRule type="expression" dxfId="388" priority="389">
      <formula>MOD(ROW(J180),2) = 0</formula>
    </cfRule>
  </conditionalFormatting>
  <conditionalFormatting sqref="A179:I179 K179:N179">
    <cfRule type="expression" dxfId="387" priority="388">
      <formula>MOD(ROW(A179),2) = 0</formula>
    </cfRule>
  </conditionalFormatting>
  <conditionalFormatting sqref="J179">
    <cfRule type="expression" dxfId="386" priority="387">
      <formula>MOD(ROW(J179),2) = 0</formula>
    </cfRule>
  </conditionalFormatting>
  <conditionalFormatting sqref="A178:I178 K178:N178">
    <cfRule type="expression" dxfId="385" priority="386">
      <formula>MOD(ROW(A178),2) = 0</formula>
    </cfRule>
  </conditionalFormatting>
  <conditionalFormatting sqref="J178">
    <cfRule type="expression" dxfId="384" priority="385">
      <formula>MOD(ROW(J178),2) = 0</formula>
    </cfRule>
  </conditionalFormatting>
  <conditionalFormatting sqref="A177:I177 K177:N177">
    <cfRule type="expression" dxfId="383" priority="384">
      <formula>MOD(ROW(A177),2) = 0</formula>
    </cfRule>
  </conditionalFormatting>
  <conditionalFormatting sqref="J177">
    <cfRule type="expression" dxfId="382" priority="383">
      <formula>MOD(ROW(J177),2) = 0</formula>
    </cfRule>
  </conditionalFormatting>
  <conditionalFormatting sqref="A176:I176 K176:N176">
    <cfRule type="expression" dxfId="381" priority="382">
      <formula>MOD(ROW(A176),2) = 0</formula>
    </cfRule>
  </conditionalFormatting>
  <conditionalFormatting sqref="J176">
    <cfRule type="expression" dxfId="380" priority="381">
      <formula>MOD(ROW(J176),2) = 0</formula>
    </cfRule>
  </conditionalFormatting>
  <conditionalFormatting sqref="A175:I175 K175:N175">
    <cfRule type="expression" dxfId="379" priority="380">
      <formula>MOD(ROW(A175),2) = 0</formula>
    </cfRule>
  </conditionalFormatting>
  <conditionalFormatting sqref="J175">
    <cfRule type="expression" dxfId="378" priority="379">
      <formula>MOD(ROW(J175),2) = 0</formula>
    </cfRule>
  </conditionalFormatting>
  <conditionalFormatting sqref="A174:I174 K174:N174">
    <cfRule type="expression" dxfId="377" priority="378">
      <formula>MOD(ROW(A174),2) = 0</formula>
    </cfRule>
  </conditionalFormatting>
  <conditionalFormatting sqref="J174">
    <cfRule type="expression" dxfId="376" priority="377">
      <formula>MOD(ROW(J174),2) = 0</formula>
    </cfRule>
  </conditionalFormatting>
  <conditionalFormatting sqref="A173:I173 K173:N173">
    <cfRule type="expression" dxfId="375" priority="376">
      <formula>MOD(ROW(A173),2) = 0</formula>
    </cfRule>
  </conditionalFormatting>
  <conditionalFormatting sqref="J173">
    <cfRule type="expression" dxfId="374" priority="375">
      <formula>MOD(ROW(J173),2) = 0</formula>
    </cfRule>
  </conditionalFormatting>
  <conditionalFormatting sqref="A172:I172 K172:N172">
    <cfRule type="expression" dxfId="373" priority="374">
      <formula>MOD(ROW(A172),2) = 0</formula>
    </cfRule>
  </conditionalFormatting>
  <conditionalFormatting sqref="J172">
    <cfRule type="expression" dxfId="372" priority="373">
      <formula>MOD(ROW(J172),2) = 0</formula>
    </cfRule>
  </conditionalFormatting>
  <conditionalFormatting sqref="A171:I171 K171:N171">
    <cfRule type="expression" dxfId="371" priority="372">
      <formula>MOD(ROW(A171),2) = 0</formula>
    </cfRule>
  </conditionalFormatting>
  <conditionalFormatting sqref="J171">
    <cfRule type="expression" dxfId="370" priority="371">
      <formula>MOD(ROW(J171),2) = 0</formula>
    </cfRule>
  </conditionalFormatting>
  <conditionalFormatting sqref="A170:I170 K170:N170">
    <cfRule type="expression" dxfId="369" priority="370">
      <formula>MOD(ROW(A170),2) = 0</formula>
    </cfRule>
  </conditionalFormatting>
  <conditionalFormatting sqref="J170">
    <cfRule type="expression" dxfId="368" priority="369">
      <formula>MOD(ROW(J170),2) = 0</formula>
    </cfRule>
  </conditionalFormatting>
  <conditionalFormatting sqref="A169:I169 K169:N169">
    <cfRule type="expression" dxfId="367" priority="368">
      <formula>MOD(ROW(A169),2) = 0</formula>
    </cfRule>
  </conditionalFormatting>
  <conditionalFormatting sqref="J169">
    <cfRule type="expression" dxfId="366" priority="367">
      <formula>MOD(ROW(J169),2) = 0</formula>
    </cfRule>
  </conditionalFormatting>
  <conditionalFormatting sqref="A168:I168 K168:N168">
    <cfRule type="expression" dxfId="365" priority="366">
      <formula>MOD(ROW(A168),2) = 0</formula>
    </cfRule>
  </conditionalFormatting>
  <conditionalFormatting sqref="J168">
    <cfRule type="expression" dxfId="364" priority="365">
      <formula>MOD(ROW(J168),2) = 0</formula>
    </cfRule>
  </conditionalFormatting>
  <conditionalFormatting sqref="A167:I167 K167:N167">
    <cfRule type="expression" dxfId="363" priority="364">
      <formula>MOD(ROW(A167),2) = 0</formula>
    </cfRule>
  </conditionalFormatting>
  <conditionalFormatting sqref="J167">
    <cfRule type="expression" dxfId="362" priority="363">
      <formula>MOD(ROW(J167),2) = 0</formula>
    </cfRule>
  </conditionalFormatting>
  <conditionalFormatting sqref="A166:I166 K166:N166">
    <cfRule type="expression" dxfId="361" priority="362">
      <formula>MOD(ROW(A166),2) = 0</formula>
    </cfRule>
  </conditionalFormatting>
  <conditionalFormatting sqref="J166">
    <cfRule type="expression" dxfId="360" priority="361">
      <formula>MOD(ROW(J166),2) = 0</formula>
    </cfRule>
  </conditionalFormatting>
  <conditionalFormatting sqref="A165:I165 K165:N165">
    <cfRule type="expression" dxfId="359" priority="360">
      <formula>MOD(ROW(A165),2) = 0</formula>
    </cfRule>
  </conditionalFormatting>
  <conditionalFormatting sqref="J165">
    <cfRule type="expression" dxfId="358" priority="359">
      <formula>MOD(ROW(J165),2) = 0</formula>
    </cfRule>
  </conditionalFormatting>
  <conditionalFormatting sqref="A164:I164 K164:N164">
    <cfRule type="expression" dxfId="357" priority="358">
      <formula>MOD(ROW(A164),2) = 0</formula>
    </cfRule>
  </conditionalFormatting>
  <conditionalFormatting sqref="J164">
    <cfRule type="expression" dxfId="356" priority="357">
      <formula>MOD(ROW(J164),2) = 0</formula>
    </cfRule>
  </conditionalFormatting>
  <conditionalFormatting sqref="A163:I163 K163:N163">
    <cfRule type="expression" dxfId="355" priority="356">
      <formula>MOD(ROW(A163),2) = 0</formula>
    </cfRule>
  </conditionalFormatting>
  <conditionalFormatting sqref="J163">
    <cfRule type="expression" dxfId="354" priority="355">
      <formula>MOD(ROW(J163),2) = 0</formula>
    </cfRule>
  </conditionalFormatting>
  <conditionalFormatting sqref="A162:I162 K162:N162">
    <cfRule type="expression" dxfId="353" priority="354">
      <formula>MOD(ROW(A162),2) = 0</formula>
    </cfRule>
  </conditionalFormatting>
  <conditionalFormatting sqref="J162">
    <cfRule type="expression" dxfId="352" priority="353">
      <formula>MOD(ROW(J162),2) = 0</formula>
    </cfRule>
  </conditionalFormatting>
  <conditionalFormatting sqref="A161:I161 K161:N161">
    <cfRule type="expression" dxfId="351" priority="352">
      <formula>MOD(ROW(A161),2) = 0</formula>
    </cfRule>
  </conditionalFormatting>
  <conditionalFormatting sqref="J161">
    <cfRule type="expression" dxfId="350" priority="351">
      <formula>MOD(ROW(J161),2) = 0</formula>
    </cfRule>
  </conditionalFormatting>
  <conditionalFormatting sqref="A160:I160 K160:N160">
    <cfRule type="expression" dxfId="349" priority="350">
      <formula>MOD(ROW(A160),2) = 0</formula>
    </cfRule>
  </conditionalFormatting>
  <conditionalFormatting sqref="J160">
    <cfRule type="expression" dxfId="348" priority="349">
      <formula>MOD(ROW(J160),2) = 0</formula>
    </cfRule>
  </conditionalFormatting>
  <conditionalFormatting sqref="A159:I159 K159:N159">
    <cfRule type="expression" dxfId="347" priority="348">
      <formula>MOD(ROW(A159),2) = 0</formula>
    </cfRule>
  </conditionalFormatting>
  <conditionalFormatting sqref="J159">
    <cfRule type="expression" dxfId="346" priority="347">
      <formula>MOD(ROW(J159),2) = 0</formula>
    </cfRule>
  </conditionalFormatting>
  <conditionalFormatting sqref="A158:I158 K158:N158">
    <cfRule type="expression" dxfId="345" priority="346">
      <formula>MOD(ROW(A158),2) = 0</formula>
    </cfRule>
  </conditionalFormatting>
  <conditionalFormatting sqref="J158">
    <cfRule type="expression" dxfId="344" priority="345">
      <formula>MOD(ROW(J158),2) = 0</formula>
    </cfRule>
  </conditionalFormatting>
  <conditionalFormatting sqref="A157:I157 K157:N157">
    <cfRule type="expression" dxfId="343" priority="344">
      <formula>MOD(ROW(A157),2) = 0</formula>
    </cfRule>
  </conditionalFormatting>
  <conditionalFormatting sqref="J157">
    <cfRule type="expression" dxfId="342" priority="343">
      <formula>MOD(ROW(J157),2) = 0</formula>
    </cfRule>
  </conditionalFormatting>
  <conditionalFormatting sqref="A156:I156 K156:N156">
    <cfRule type="expression" dxfId="341" priority="342">
      <formula>MOD(ROW(A156),2) = 0</formula>
    </cfRule>
  </conditionalFormatting>
  <conditionalFormatting sqref="J156">
    <cfRule type="expression" dxfId="340" priority="341">
      <formula>MOD(ROW(J156),2) = 0</formula>
    </cfRule>
  </conditionalFormatting>
  <conditionalFormatting sqref="A155:I155 K155:N155">
    <cfRule type="expression" dxfId="339" priority="340">
      <formula>MOD(ROW(A155),2) = 0</formula>
    </cfRule>
  </conditionalFormatting>
  <conditionalFormatting sqref="J155">
    <cfRule type="expression" dxfId="338" priority="339">
      <formula>MOD(ROW(J155),2) = 0</formula>
    </cfRule>
  </conditionalFormatting>
  <conditionalFormatting sqref="A154:I154 K154:N154">
    <cfRule type="expression" dxfId="337" priority="338">
      <formula>MOD(ROW(A154),2) = 0</formula>
    </cfRule>
  </conditionalFormatting>
  <conditionalFormatting sqref="J154">
    <cfRule type="expression" dxfId="336" priority="337">
      <formula>MOD(ROW(J154),2) = 0</formula>
    </cfRule>
  </conditionalFormatting>
  <conditionalFormatting sqref="A153:I153 K153:N153">
    <cfRule type="expression" dxfId="335" priority="336">
      <formula>MOD(ROW(A153),2) = 0</formula>
    </cfRule>
  </conditionalFormatting>
  <conditionalFormatting sqref="J153">
    <cfRule type="expression" dxfId="334" priority="335">
      <formula>MOD(ROW(J153),2) = 0</formula>
    </cfRule>
  </conditionalFormatting>
  <conditionalFormatting sqref="A152:I152 K152:N152">
    <cfRule type="expression" dxfId="333" priority="334">
      <formula>MOD(ROW(A152),2) = 0</formula>
    </cfRule>
  </conditionalFormatting>
  <conditionalFormatting sqref="J152">
    <cfRule type="expression" dxfId="332" priority="333">
      <formula>MOD(ROW(J152),2) = 0</formula>
    </cfRule>
  </conditionalFormatting>
  <conditionalFormatting sqref="A151:I151 K151:N151">
    <cfRule type="expression" dxfId="331" priority="332">
      <formula>MOD(ROW(A151),2) = 0</formula>
    </cfRule>
  </conditionalFormatting>
  <conditionalFormatting sqref="J151">
    <cfRule type="expression" dxfId="330" priority="331">
      <formula>MOD(ROW(J151),2) = 0</formula>
    </cfRule>
  </conditionalFormatting>
  <conditionalFormatting sqref="A150:I150 K150:N150">
    <cfRule type="expression" dxfId="329" priority="330">
      <formula>MOD(ROW(A150),2) = 0</formula>
    </cfRule>
  </conditionalFormatting>
  <conditionalFormatting sqref="J150">
    <cfRule type="expression" dxfId="328" priority="329">
      <formula>MOD(ROW(J150),2) = 0</formula>
    </cfRule>
  </conditionalFormatting>
  <conditionalFormatting sqref="A149:I149 K149:N149">
    <cfRule type="expression" dxfId="327" priority="328">
      <formula>MOD(ROW(A149),2) = 0</formula>
    </cfRule>
  </conditionalFormatting>
  <conditionalFormatting sqref="J149">
    <cfRule type="expression" dxfId="326" priority="327">
      <formula>MOD(ROW(J149),2) = 0</formula>
    </cfRule>
  </conditionalFormatting>
  <conditionalFormatting sqref="A148:I148 K148:N148">
    <cfRule type="expression" dxfId="325" priority="326">
      <formula>MOD(ROW(A148),2) = 0</formula>
    </cfRule>
  </conditionalFormatting>
  <conditionalFormatting sqref="J148">
    <cfRule type="expression" dxfId="324" priority="325">
      <formula>MOD(ROW(J148),2) = 0</formula>
    </cfRule>
  </conditionalFormatting>
  <conditionalFormatting sqref="A147:I147 K147:N147">
    <cfRule type="expression" dxfId="323" priority="324">
      <formula>MOD(ROW(A147),2) = 0</formula>
    </cfRule>
  </conditionalFormatting>
  <conditionalFormatting sqref="J147">
    <cfRule type="expression" dxfId="322" priority="323">
      <formula>MOD(ROW(J147),2) = 0</formula>
    </cfRule>
  </conditionalFormatting>
  <conditionalFormatting sqref="A146:I146 K146:N146">
    <cfRule type="expression" dxfId="321" priority="322">
      <formula>MOD(ROW(A146),2) = 0</formula>
    </cfRule>
  </conditionalFormatting>
  <conditionalFormatting sqref="J146">
    <cfRule type="expression" dxfId="320" priority="321">
      <formula>MOD(ROW(J146),2) = 0</formula>
    </cfRule>
  </conditionalFormatting>
  <conditionalFormatting sqref="A145:I145 K145:N145">
    <cfRule type="expression" dxfId="319" priority="320">
      <formula>MOD(ROW(A145),2) = 0</formula>
    </cfRule>
  </conditionalFormatting>
  <conditionalFormatting sqref="J145">
    <cfRule type="expression" dxfId="318" priority="319">
      <formula>MOD(ROW(J145),2) = 0</formula>
    </cfRule>
  </conditionalFormatting>
  <conditionalFormatting sqref="A144:I144 K144:N144">
    <cfRule type="expression" dxfId="317" priority="318">
      <formula>MOD(ROW(A144),2) = 0</formula>
    </cfRule>
  </conditionalFormatting>
  <conditionalFormatting sqref="J144">
    <cfRule type="expression" dxfId="316" priority="317">
      <formula>MOD(ROW(J144),2) = 0</formula>
    </cfRule>
  </conditionalFormatting>
  <conditionalFormatting sqref="A143:I143 K143:N143">
    <cfRule type="expression" dxfId="315" priority="316">
      <formula>MOD(ROW(A143),2) = 0</formula>
    </cfRule>
  </conditionalFormatting>
  <conditionalFormatting sqref="J143">
    <cfRule type="expression" dxfId="314" priority="315">
      <formula>MOD(ROW(J143),2) = 0</formula>
    </cfRule>
  </conditionalFormatting>
  <conditionalFormatting sqref="A142:I142 K142:N142">
    <cfRule type="expression" dxfId="313" priority="314">
      <formula>MOD(ROW(A142),2) = 0</formula>
    </cfRule>
  </conditionalFormatting>
  <conditionalFormatting sqref="J142">
    <cfRule type="expression" dxfId="312" priority="313">
      <formula>MOD(ROW(J142),2) = 0</formula>
    </cfRule>
  </conditionalFormatting>
  <conditionalFormatting sqref="A141:I141 K141:N141">
    <cfRule type="expression" dxfId="311" priority="312">
      <formula>MOD(ROW(A141),2) = 0</formula>
    </cfRule>
  </conditionalFormatting>
  <conditionalFormatting sqref="J141">
    <cfRule type="expression" dxfId="310" priority="311">
      <formula>MOD(ROW(J141),2) = 0</formula>
    </cfRule>
  </conditionalFormatting>
  <conditionalFormatting sqref="A140:I140 K140:N140">
    <cfRule type="expression" dxfId="309" priority="310">
      <formula>MOD(ROW(A140),2) = 0</formula>
    </cfRule>
  </conditionalFormatting>
  <conditionalFormatting sqref="J140">
    <cfRule type="expression" dxfId="308" priority="309">
      <formula>MOD(ROW(J140),2) = 0</formula>
    </cfRule>
  </conditionalFormatting>
  <conditionalFormatting sqref="A139:I139 K139:N139">
    <cfRule type="expression" dxfId="307" priority="308">
      <formula>MOD(ROW(A139),2) = 0</formula>
    </cfRule>
  </conditionalFormatting>
  <conditionalFormatting sqref="J139">
    <cfRule type="expression" dxfId="306" priority="307">
      <formula>MOD(ROW(J139),2) = 0</formula>
    </cfRule>
  </conditionalFormatting>
  <conditionalFormatting sqref="A138:I138 K138:N138">
    <cfRule type="expression" dxfId="305" priority="306">
      <formula>MOD(ROW(A138),2) = 0</formula>
    </cfRule>
  </conditionalFormatting>
  <conditionalFormatting sqref="J138">
    <cfRule type="expression" dxfId="304" priority="305">
      <formula>MOD(ROW(J138),2) = 0</formula>
    </cfRule>
  </conditionalFormatting>
  <conditionalFormatting sqref="A137:I137 K137:N137">
    <cfRule type="expression" dxfId="303" priority="304">
      <formula>MOD(ROW(A137),2) = 0</formula>
    </cfRule>
  </conditionalFormatting>
  <conditionalFormatting sqref="J137">
    <cfRule type="expression" dxfId="302" priority="303">
      <formula>MOD(ROW(J137),2) = 0</formula>
    </cfRule>
  </conditionalFormatting>
  <conditionalFormatting sqref="A136:I136 K136:N136">
    <cfRule type="expression" dxfId="301" priority="302">
      <formula>MOD(ROW(A136),2) = 0</formula>
    </cfRule>
  </conditionalFormatting>
  <conditionalFormatting sqref="J136">
    <cfRule type="expression" dxfId="300" priority="301">
      <formula>MOD(ROW(J136),2) = 0</formula>
    </cfRule>
  </conditionalFormatting>
  <conditionalFormatting sqref="A135:I135 K135:N135">
    <cfRule type="expression" dxfId="299" priority="300">
      <formula>MOD(ROW(A135),2) = 0</formula>
    </cfRule>
  </conditionalFormatting>
  <conditionalFormatting sqref="J135">
    <cfRule type="expression" dxfId="298" priority="299">
      <formula>MOD(ROW(J135),2) = 0</formula>
    </cfRule>
  </conditionalFormatting>
  <conditionalFormatting sqref="A134:I134 K134:N134">
    <cfRule type="expression" dxfId="297" priority="298">
      <formula>MOD(ROW(A134),2) = 0</formula>
    </cfRule>
  </conditionalFormatting>
  <conditionalFormatting sqref="J134">
    <cfRule type="expression" dxfId="296" priority="297">
      <formula>MOD(ROW(J134),2) = 0</formula>
    </cfRule>
  </conditionalFormatting>
  <conditionalFormatting sqref="A133:I133 K133:N133">
    <cfRule type="expression" dxfId="295" priority="296">
      <formula>MOD(ROW(A133),2) = 0</formula>
    </cfRule>
  </conditionalFormatting>
  <conditionalFormatting sqref="J133">
    <cfRule type="expression" dxfId="294" priority="295">
      <formula>MOD(ROW(J133),2) = 0</formula>
    </cfRule>
  </conditionalFormatting>
  <conditionalFormatting sqref="A132:I132 K132:N132">
    <cfRule type="expression" dxfId="293" priority="294">
      <formula>MOD(ROW(A132),2) = 0</formula>
    </cfRule>
  </conditionalFormatting>
  <conditionalFormatting sqref="J132">
    <cfRule type="expression" dxfId="292" priority="293">
      <formula>MOD(ROW(J132),2) = 0</formula>
    </cfRule>
  </conditionalFormatting>
  <conditionalFormatting sqref="A131:I131 K131:N131">
    <cfRule type="expression" dxfId="291" priority="292">
      <formula>MOD(ROW(A131),2) = 0</formula>
    </cfRule>
  </conditionalFormatting>
  <conditionalFormatting sqref="J131">
    <cfRule type="expression" dxfId="290" priority="291">
      <formula>MOD(ROW(J131),2) = 0</formula>
    </cfRule>
  </conditionalFormatting>
  <conditionalFormatting sqref="A130:I130 K130:N130">
    <cfRule type="expression" dxfId="289" priority="290">
      <formula>MOD(ROW(A130),2) = 0</formula>
    </cfRule>
  </conditionalFormatting>
  <conditionalFormatting sqref="J130">
    <cfRule type="expression" dxfId="288" priority="289">
      <formula>MOD(ROW(J130),2) = 0</formula>
    </cfRule>
  </conditionalFormatting>
  <conditionalFormatting sqref="A129:I129 K129:N129">
    <cfRule type="expression" dxfId="287" priority="288">
      <formula>MOD(ROW(A129),2) = 0</formula>
    </cfRule>
  </conditionalFormatting>
  <conditionalFormatting sqref="J129">
    <cfRule type="expression" dxfId="286" priority="287">
      <formula>MOD(ROW(J129),2) = 0</formula>
    </cfRule>
  </conditionalFormatting>
  <conditionalFormatting sqref="A128:I128 K128:N128">
    <cfRule type="expression" dxfId="285" priority="286">
      <formula>MOD(ROW(A128),2) = 0</formula>
    </cfRule>
  </conditionalFormatting>
  <conditionalFormatting sqref="J128">
    <cfRule type="expression" dxfId="284" priority="285">
      <formula>MOD(ROW(J128),2) = 0</formula>
    </cfRule>
  </conditionalFormatting>
  <conditionalFormatting sqref="A127:I127 K127:N127">
    <cfRule type="expression" dxfId="283" priority="284">
      <formula>MOD(ROW(A127),2) = 0</formula>
    </cfRule>
  </conditionalFormatting>
  <conditionalFormatting sqref="J127">
    <cfRule type="expression" dxfId="282" priority="283">
      <formula>MOD(ROW(J127),2) = 0</formula>
    </cfRule>
  </conditionalFormatting>
  <conditionalFormatting sqref="A126:I126 K126:N126">
    <cfRule type="expression" dxfId="281" priority="282">
      <formula>MOD(ROW(A126),2) = 0</formula>
    </cfRule>
  </conditionalFormatting>
  <conditionalFormatting sqref="J126">
    <cfRule type="expression" dxfId="280" priority="281">
      <formula>MOD(ROW(J126),2) = 0</formula>
    </cfRule>
  </conditionalFormatting>
  <conditionalFormatting sqref="A125:I125 K125:N125">
    <cfRule type="expression" dxfId="279" priority="280">
      <formula>MOD(ROW(A125),2) = 0</formula>
    </cfRule>
  </conditionalFormatting>
  <conditionalFormatting sqref="J125">
    <cfRule type="expression" dxfId="278" priority="279">
      <formula>MOD(ROW(J125),2) = 0</formula>
    </cfRule>
  </conditionalFormatting>
  <conditionalFormatting sqref="A124:I124 K124:N124">
    <cfRule type="expression" dxfId="277" priority="278">
      <formula>MOD(ROW(A124),2) = 0</formula>
    </cfRule>
  </conditionalFormatting>
  <conditionalFormatting sqref="J124">
    <cfRule type="expression" dxfId="276" priority="277">
      <formula>MOD(ROW(J124),2) = 0</formula>
    </cfRule>
  </conditionalFormatting>
  <conditionalFormatting sqref="A123:I123 K123:N123">
    <cfRule type="expression" dxfId="275" priority="276">
      <formula>MOD(ROW(A123),2) = 0</formula>
    </cfRule>
  </conditionalFormatting>
  <conditionalFormatting sqref="J123">
    <cfRule type="expression" dxfId="274" priority="275">
      <formula>MOD(ROW(J123),2) = 0</formula>
    </cfRule>
  </conditionalFormatting>
  <conditionalFormatting sqref="A122:I122 K122:N122">
    <cfRule type="expression" dxfId="273" priority="274">
      <formula>MOD(ROW(A122),2) = 0</formula>
    </cfRule>
  </conditionalFormatting>
  <conditionalFormatting sqref="J122">
    <cfRule type="expression" dxfId="272" priority="273">
      <formula>MOD(ROW(J122),2) = 0</formula>
    </cfRule>
  </conditionalFormatting>
  <conditionalFormatting sqref="A121:I121 K121:N121">
    <cfRule type="expression" dxfId="271" priority="272">
      <formula>MOD(ROW(A121),2) = 0</formula>
    </cfRule>
  </conditionalFormatting>
  <conditionalFormatting sqref="J121">
    <cfRule type="expression" dxfId="270" priority="271">
      <formula>MOD(ROW(J121),2) = 0</formula>
    </cfRule>
  </conditionalFormatting>
  <conditionalFormatting sqref="A120:I120 K120:N120">
    <cfRule type="expression" dxfId="269" priority="270">
      <formula>MOD(ROW(A120),2) = 0</formula>
    </cfRule>
  </conditionalFormatting>
  <conditionalFormatting sqref="J120">
    <cfRule type="expression" dxfId="268" priority="269">
      <formula>MOD(ROW(J120),2) = 0</formula>
    </cfRule>
  </conditionalFormatting>
  <conditionalFormatting sqref="A119:I119 K119:N119">
    <cfRule type="expression" dxfId="267" priority="268">
      <formula>MOD(ROW(A119),2) = 0</formula>
    </cfRule>
  </conditionalFormatting>
  <conditionalFormatting sqref="J119">
    <cfRule type="expression" dxfId="266" priority="267">
      <formula>MOD(ROW(J119),2) = 0</formula>
    </cfRule>
  </conditionalFormatting>
  <conditionalFormatting sqref="A118:I118 K118:N118">
    <cfRule type="expression" dxfId="265" priority="266">
      <formula>MOD(ROW(A118),2) = 0</formula>
    </cfRule>
  </conditionalFormatting>
  <conditionalFormatting sqref="J118">
    <cfRule type="expression" dxfId="264" priority="265">
      <formula>MOD(ROW(J118),2) = 0</formula>
    </cfRule>
  </conditionalFormatting>
  <conditionalFormatting sqref="A117:I117 K117:N117">
    <cfRule type="expression" dxfId="263" priority="264">
      <formula>MOD(ROW(A117),2) = 0</formula>
    </cfRule>
  </conditionalFormatting>
  <conditionalFormatting sqref="J117">
    <cfRule type="expression" dxfId="262" priority="263">
      <formula>MOD(ROW(J117),2) = 0</formula>
    </cfRule>
  </conditionalFormatting>
  <conditionalFormatting sqref="A116:I116 K116:N116">
    <cfRule type="expression" dxfId="261" priority="262">
      <formula>MOD(ROW(A116),2) = 0</formula>
    </cfRule>
  </conditionalFormatting>
  <conditionalFormatting sqref="J116">
    <cfRule type="expression" dxfId="260" priority="261">
      <formula>MOD(ROW(J116),2) = 0</formula>
    </cfRule>
  </conditionalFormatting>
  <conditionalFormatting sqref="A115:I115 K115:N115">
    <cfRule type="expression" dxfId="259" priority="260">
      <formula>MOD(ROW(A115),2) = 0</formula>
    </cfRule>
  </conditionalFormatting>
  <conditionalFormatting sqref="J115">
    <cfRule type="expression" dxfId="258" priority="259">
      <formula>MOD(ROW(J115),2) = 0</formula>
    </cfRule>
  </conditionalFormatting>
  <conditionalFormatting sqref="A114:I114 K114:N114">
    <cfRule type="expression" dxfId="257" priority="258">
      <formula>MOD(ROW(A114),2) = 0</formula>
    </cfRule>
  </conditionalFormatting>
  <conditionalFormatting sqref="J114">
    <cfRule type="expression" dxfId="256" priority="257">
      <formula>MOD(ROW(J114),2) = 0</formula>
    </cfRule>
  </conditionalFormatting>
  <conditionalFormatting sqref="A113:I113 K113:N113">
    <cfRule type="expression" dxfId="255" priority="256">
      <formula>MOD(ROW(A113),2) = 0</formula>
    </cfRule>
  </conditionalFormatting>
  <conditionalFormatting sqref="J113">
    <cfRule type="expression" dxfId="254" priority="255">
      <formula>MOD(ROW(J113),2) = 0</formula>
    </cfRule>
  </conditionalFormatting>
  <conditionalFormatting sqref="A112:I112 K112:N112">
    <cfRule type="expression" dxfId="253" priority="254">
      <formula>MOD(ROW(A112),2) = 0</formula>
    </cfRule>
  </conditionalFormatting>
  <conditionalFormatting sqref="J112">
    <cfRule type="expression" dxfId="252" priority="253">
      <formula>MOD(ROW(J112),2) = 0</formula>
    </cfRule>
  </conditionalFormatting>
  <conditionalFormatting sqref="A111:I111 K111:N111">
    <cfRule type="expression" dxfId="251" priority="252">
      <formula>MOD(ROW(A111),2) = 0</formula>
    </cfRule>
  </conditionalFormatting>
  <conditionalFormatting sqref="J111">
    <cfRule type="expression" dxfId="250" priority="251">
      <formula>MOD(ROW(J111),2) = 0</formula>
    </cfRule>
  </conditionalFormatting>
  <conditionalFormatting sqref="A110:I110 K110:N110">
    <cfRule type="expression" dxfId="249" priority="250">
      <formula>MOD(ROW(A110),2) = 0</formula>
    </cfRule>
  </conditionalFormatting>
  <conditionalFormatting sqref="J110">
    <cfRule type="expression" dxfId="248" priority="249">
      <formula>MOD(ROW(J110),2) = 0</formula>
    </cfRule>
  </conditionalFormatting>
  <conditionalFormatting sqref="A109:I109 K109:N109">
    <cfRule type="expression" dxfId="247" priority="248">
      <formula>MOD(ROW(A109),2) = 0</formula>
    </cfRule>
  </conditionalFormatting>
  <conditionalFormatting sqref="J109">
    <cfRule type="expression" dxfId="246" priority="247">
      <formula>MOD(ROW(J109),2) = 0</formula>
    </cfRule>
  </conditionalFormatting>
  <conditionalFormatting sqref="A108:I108 K108:N108">
    <cfRule type="expression" dxfId="245" priority="246">
      <formula>MOD(ROW(A108),2) = 0</formula>
    </cfRule>
  </conditionalFormatting>
  <conditionalFormatting sqref="J108">
    <cfRule type="expression" dxfId="244" priority="245">
      <formula>MOD(ROW(J108),2) = 0</formula>
    </cfRule>
  </conditionalFormatting>
  <conditionalFormatting sqref="A107:I107 K107:N107">
    <cfRule type="expression" dxfId="243" priority="244">
      <formula>MOD(ROW(A107),2) = 0</formula>
    </cfRule>
  </conditionalFormatting>
  <conditionalFormatting sqref="J107">
    <cfRule type="expression" dxfId="242" priority="243">
      <formula>MOD(ROW(J107),2) = 0</formula>
    </cfRule>
  </conditionalFormatting>
  <conditionalFormatting sqref="A106:I106 K106:N106">
    <cfRule type="expression" dxfId="241" priority="242">
      <formula>MOD(ROW(A106),2) = 0</formula>
    </cfRule>
  </conditionalFormatting>
  <conditionalFormatting sqref="J106">
    <cfRule type="expression" dxfId="240" priority="241">
      <formula>MOD(ROW(J106),2) = 0</formula>
    </cfRule>
  </conditionalFormatting>
  <conditionalFormatting sqref="A105:I105 K105:N105">
    <cfRule type="expression" dxfId="239" priority="240">
      <formula>MOD(ROW(A105),2) = 0</formula>
    </cfRule>
  </conditionalFormatting>
  <conditionalFormatting sqref="J105">
    <cfRule type="expression" dxfId="238" priority="239">
      <formula>MOD(ROW(J105),2) = 0</formula>
    </cfRule>
  </conditionalFormatting>
  <conditionalFormatting sqref="A104:I104 K104:N104">
    <cfRule type="expression" dxfId="237" priority="238">
      <formula>MOD(ROW(A104),2) = 0</formula>
    </cfRule>
  </conditionalFormatting>
  <conditionalFormatting sqref="J104">
    <cfRule type="expression" dxfId="236" priority="237">
      <formula>MOD(ROW(J104),2) = 0</formula>
    </cfRule>
  </conditionalFormatting>
  <conditionalFormatting sqref="A103:I103 K103:N103">
    <cfRule type="expression" dxfId="235" priority="236">
      <formula>MOD(ROW(A103),2) = 0</formula>
    </cfRule>
  </conditionalFormatting>
  <conditionalFormatting sqref="J103">
    <cfRule type="expression" dxfId="234" priority="235">
      <formula>MOD(ROW(J103),2) = 0</formula>
    </cfRule>
  </conditionalFormatting>
  <conditionalFormatting sqref="A102:I102 K102:N102">
    <cfRule type="expression" dxfId="233" priority="234">
      <formula>MOD(ROW(A102),2) = 0</formula>
    </cfRule>
  </conditionalFormatting>
  <conditionalFormatting sqref="J102">
    <cfRule type="expression" dxfId="232" priority="233">
      <formula>MOD(ROW(J102),2) = 0</formula>
    </cfRule>
  </conditionalFormatting>
  <conditionalFormatting sqref="A101:I101 K101:N101">
    <cfRule type="expression" dxfId="231" priority="232">
      <formula>MOD(ROW(A101),2) = 0</formula>
    </cfRule>
  </conditionalFormatting>
  <conditionalFormatting sqref="J101">
    <cfRule type="expression" dxfId="230" priority="231">
      <formula>MOD(ROW(J101),2) = 0</formula>
    </cfRule>
  </conditionalFormatting>
  <conditionalFormatting sqref="A100:I100 K100:N100">
    <cfRule type="expression" dxfId="229" priority="230">
      <formula>MOD(ROW(A100),2) = 0</formula>
    </cfRule>
  </conditionalFormatting>
  <conditionalFormatting sqref="J100">
    <cfRule type="expression" dxfId="228" priority="229">
      <formula>MOD(ROW(J100),2) = 0</formula>
    </cfRule>
  </conditionalFormatting>
  <conditionalFormatting sqref="A99:I99 K99:N99">
    <cfRule type="expression" dxfId="227" priority="228">
      <formula>MOD(ROW(A99),2) = 0</formula>
    </cfRule>
  </conditionalFormatting>
  <conditionalFormatting sqref="J99">
    <cfRule type="expression" dxfId="226" priority="227">
      <formula>MOD(ROW(J99),2) = 0</formula>
    </cfRule>
  </conditionalFormatting>
  <conditionalFormatting sqref="A98:I98 K98:N98">
    <cfRule type="expression" dxfId="225" priority="226">
      <formula>MOD(ROW(A98),2) = 0</formula>
    </cfRule>
  </conditionalFormatting>
  <conditionalFormatting sqref="J98">
    <cfRule type="expression" dxfId="224" priority="225">
      <formula>MOD(ROW(J98),2) = 0</formula>
    </cfRule>
  </conditionalFormatting>
  <conditionalFormatting sqref="A97:I97 K97:N97">
    <cfRule type="expression" dxfId="223" priority="224">
      <formula>MOD(ROW(A97),2) = 0</formula>
    </cfRule>
  </conditionalFormatting>
  <conditionalFormatting sqref="J97">
    <cfRule type="expression" dxfId="222" priority="223">
      <formula>MOD(ROW(J97),2) = 0</formula>
    </cfRule>
  </conditionalFormatting>
  <conditionalFormatting sqref="A96:I96 K96:N96">
    <cfRule type="expression" dxfId="221" priority="222">
      <formula>MOD(ROW(A96),2) = 0</formula>
    </cfRule>
  </conditionalFormatting>
  <conditionalFormatting sqref="J96">
    <cfRule type="expression" dxfId="220" priority="221">
      <formula>MOD(ROW(J96),2) = 0</formula>
    </cfRule>
  </conditionalFormatting>
  <conditionalFormatting sqref="A95:I95 K95:N95">
    <cfRule type="expression" dxfId="219" priority="220">
      <formula>MOD(ROW(A95),2) = 0</formula>
    </cfRule>
  </conditionalFormatting>
  <conditionalFormatting sqref="J95">
    <cfRule type="expression" dxfId="218" priority="219">
      <formula>MOD(ROW(J95),2) = 0</formula>
    </cfRule>
  </conditionalFormatting>
  <conditionalFormatting sqref="A94:I94 K94:N94">
    <cfRule type="expression" dxfId="217" priority="218">
      <formula>MOD(ROW(A94),2) = 0</formula>
    </cfRule>
  </conditionalFormatting>
  <conditionalFormatting sqref="J94">
    <cfRule type="expression" dxfId="216" priority="217">
      <formula>MOD(ROW(J94),2) = 0</formula>
    </cfRule>
  </conditionalFormatting>
  <conditionalFormatting sqref="A93:I93 K93:N93">
    <cfRule type="expression" dxfId="215" priority="216">
      <formula>MOD(ROW(A93),2) = 0</formula>
    </cfRule>
  </conditionalFormatting>
  <conditionalFormatting sqref="J93">
    <cfRule type="expression" dxfId="214" priority="215">
      <formula>MOD(ROW(J93),2) = 0</formula>
    </cfRule>
  </conditionalFormatting>
  <conditionalFormatting sqref="A92:I92 K92:N92">
    <cfRule type="expression" dxfId="213" priority="214">
      <formula>MOD(ROW(A92),2) = 0</formula>
    </cfRule>
  </conditionalFormatting>
  <conditionalFormatting sqref="J92">
    <cfRule type="expression" dxfId="212" priority="213">
      <formula>MOD(ROW(J92),2) = 0</formula>
    </cfRule>
  </conditionalFormatting>
  <conditionalFormatting sqref="A91:I91 K91:N91">
    <cfRule type="expression" dxfId="211" priority="212">
      <formula>MOD(ROW(A91),2) = 0</formula>
    </cfRule>
  </conditionalFormatting>
  <conditionalFormatting sqref="J91">
    <cfRule type="expression" dxfId="210" priority="211">
      <formula>MOD(ROW(J91),2) = 0</formula>
    </cfRule>
  </conditionalFormatting>
  <conditionalFormatting sqref="A90:I90 K90:N90">
    <cfRule type="expression" dxfId="209" priority="210">
      <formula>MOD(ROW(A90),2) = 0</formula>
    </cfRule>
  </conditionalFormatting>
  <conditionalFormatting sqref="J90">
    <cfRule type="expression" dxfId="208" priority="209">
      <formula>MOD(ROW(J90),2) = 0</formula>
    </cfRule>
  </conditionalFormatting>
  <conditionalFormatting sqref="A89:I89 K89:N89">
    <cfRule type="expression" dxfId="207" priority="208">
      <formula>MOD(ROW(A89),2) = 0</formula>
    </cfRule>
  </conditionalFormatting>
  <conditionalFormatting sqref="J89">
    <cfRule type="expression" dxfId="206" priority="207">
      <formula>MOD(ROW(J89),2) = 0</formula>
    </cfRule>
  </conditionalFormatting>
  <conditionalFormatting sqref="A88:I88 K88:N88">
    <cfRule type="expression" dxfId="205" priority="206">
      <formula>MOD(ROW(A88),2) = 0</formula>
    </cfRule>
  </conditionalFormatting>
  <conditionalFormatting sqref="J88">
    <cfRule type="expression" dxfId="204" priority="205">
      <formula>MOD(ROW(J88),2) = 0</formula>
    </cfRule>
  </conditionalFormatting>
  <conditionalFormatting sqref="A87:I87 K87:N87">
    <cfRule type="expression" dxfId="203" priority="204">
      <formula>MOD(ROW(A87),2) = 0</formula>
    </cfRule>
  </conditionalFormatting>
  <conditionalFormatting sqref="J87">
    <cfRule type="expression" dxfId="202" priority="203">
      <formula>MOD(ROW(J87),2) = 0</formula>
    </cfRule>
  </conditionalFormatting>
  <conditionalFormatting sqref="A86:I86 K86:N86">
    <cfRule type="expression" dxfId="201" priority="202">
      <formula>MOD(ROW(A86),2) = 0</formula>
    </cfRule>
  </conditionalFormatting>
  <conditionalFormatting sqref="J86">
    <cfRule type="expression" dxfId="200" priority="201">
      <formula>MOD(ROW(J86),2) = 0</formula>
    </cfRule>
  </conditionalFormatting>
  <conditionalFormatting sqref="A85:I85 K85:N85">
    <cfRule type="expression" dxfId="199" priority="200">
      <formula>MOD(ROW(A85),2) = 0</formula>
    </cfRule>
  </conditionalFormatting>
  <conditionalFormatting sqref="J85">
    <cfRule type="expression" dxfId="198" priority="199">
      <formula>MOD(ROW(J85),2) = 0</formula>
    </cfRule>
  </conditionalFormatting>
  <conditionalFormatting sqref="A84:I84 K84:N84">
    <cfRule type="expression" dxfId="197" priority="198">
      <formula>MOD(ROW(A84),2) = 0</formula>
    </cfRule>
  </conditionalFormatting>
  <conditionalFormatting sqref="J84">
    <cfRule type="expression" dxfId="196" priority="197">
      <formula>MOD(ROW(J84),2) = 0</formula>
    </cfRule>
  </conditionalFormatting>
  <conditionalFormatting sqref="A83:I83 K83:N83">
    <cfRule type="expression" dxfId="195" priority="196">
      <formula>MOD(ROW(A83),2) = 0</formula>
    </cfRule>
  </conditionalFormatting>
  <conditionalFormatting sqref="J83">
    <cfRule type="expression" dxfId="194" priority="195">
      <formula>MOD(ROW(J83),2) = 0</formula>
    </cfRule>
  </conditionalFormatting>
  <conditionalFormatting sqref="A82:I82 K82:N82">
    <cfRule type="expression" dxfId="193" priority="194">
      <formula>MOD(ROW(A82),2) = 0</formula>
    </cfRule>
  </conditionalFormatting>
  <conditionalFormatting sqref="J82">
    <cfRule type="expression" dxfId="192" priority="193">
      <formula>MOD(ROW(J82),2) = 0</formula>
    </cfRule>
  </conditionalFormatting>
  <conditionalFormatting sqref="A81:I81 K81:N81">
    <cfRule type="expression" dxfId="191" priority="192">
      <formula>MOD(ROW(A81),2) = 0</formula>
    </cfRule>
  </conditionalFormatting>
  <conditionalFormatting sqref="J81">
    <cfRule type="expression" dxfId="190" priority="191">
      <formula>MOD(ROW(J81),2) = 0</formula>
    </cfRule>
  </conditionalFormatting>
  <conditionalFormatting sqref="A80:I80 K80:N80">
    <cfRule type="expression" dxfId="189" priority="190">
      <formula>MOD(ROW(A80),2) = 0</formula>
    </cfRule>
  </conditionalFormatting>
  <conditionalFormatting sqref="J80">
    <cfRule type="expression" dxfId="188" priority="189">
      <formula>MOD(ROW(J80),2) = 0</formula>
    </cfRule>
  </conditionalFormatting>
  <conditionalFormatting sqref="A79:I79 K79:N79">
    <cfRule type="expression" dxfId="187" priority="188">
      <formula>MOD(ROW(A79),2) = 0</formula>
    </cfRule>
  </conditionalFormatting>
  <conditionalFormatting sqref="J79">
    <cfRule type="expression" dxfId="186" priority="187">
      <formula>MOD(ROW(J79),2) = 0</formula>
    </cfRule>
  </conditionalFormatting>
  <conditionalFormatting sqref="A78:I78 K78:N78">
    <cfRule type="expression" dxfId="185" priority="186">
      <formula>MOD(ROW(A78),2) = 0</formula>
    </cfRule>
  </conditionalFormatting>
  <conditionalFormatting sqref="J78">
    <cfRule type="expression" dxfId="184" priority="185">
      <formula>MOD(ROW(J78),2) = 0</formula>
    </cfRule>
  </conditionalFormatting>
  <conditionalFormatting sqref="A77:I77 K77:N77">
    <cfRule type="expression" dxfId="183" priority="184">
      <formula>MOD(ROW(A77),2) = 0</formula>
    </cfRule>
  </conditionalFormatting>
  <conditionalFormatting sqref="J77">
    <cfRule type="expression" dxfId="182" priority="183">
      <formula>MOD(ROW(J77),2) = 0</formula>
    </cfRule>
  </conditionalFormatting>
  <conditionalFormatting sqref="A76:I76 K76:N76">
    <cfRule type="expression" dxfId="181" priority="182">
      <formula>MOD(ROW(A76),2) = 0</formula>
    </cfRule>
  </conditionalFormatting>
  <conditionalFormatting sqref="J76">
    <cfRule type="expression" dxfId="180" priority="181">
      <formula>MOD(ROW(J76),2) = 0</formula>
    </cfRule>
  </conditionalFormatting>
  <conditionalFormatting sqref="A75:I75 K75:N75">
    <cfRule type="expression" dxfId="179" priority="180">
      <formula>MOD(ROW(A75),2) = 0</formula>
    </cfRule>
  </conditionalFormatting>
  <conditionalFormatting sqref="J75">
    <cfRule type="expression" dxfId="178" priority="179">
      <formula>MOD(ROW(J75),2) = 0</formula>
    </cfRule>
  </conditionalFormatting>
  <conditionalFormatting sqref="A74:I74 K74:N74">
    <cfRule type="expression" dxfId="177" priority="178">
      <formula>MOD(ROW(A74),2) = 0</formula>
    </cfRule>
  </conditionalFormatting>
  <conditionalFormatting sqref="J74">
    <cfRule type="expression" dxfId="176" priority="177">
      <formula>MOD(ROW(J74),2) = 0</formula>
    </cfRule>
  </conditionalFormatting>
  <conditionalFormatting sqref="A73:I73 K73:N73">
    <cfRule type="expression" dxfId="175" priority="176">
      <formula>MOD(ROW(A73),2) = 0</formula>
    </cfRule>
  </conditionalFormatting>
  <conditionalFormatting sqref="J73">
    <cfRule type="expression" dxfId="174" priority="175">
      <formula>MOD(ROW(J73),2) = 0</formula>
    </cfRule>
  </conditionalFormatting>
  <conditionalFormatting sqref="A72:I72 K72:N72">
    <cfRule type="expression" dxfId="173" priority="174">
      <formula>MOD(ROW(A72),2) = 0</formula>
    </cfRule>
  </conditionalFormatting>
  <conditionalFormatting sqref="J72">
    <cfRule type="expression" dxfId="172" priority="173">
      <formula>MOD(ROW(J72),2) = 0</formula>
    </cfRule>
  </conditionalFormatting>
  <conditionalFormatting sqref="A71:I71 K71:N71">
    <cfRule type="expression" dxfId="171" priority="172">
      <formula>MOD(ROW(A71),2) = 0</formula>
    </cfRule>
  </conditionalFormatting>
  <conditionalFormatting sqref="J71">
    <cfRule type="expression" dxfId="170" priority="171">
      <formula>MOD(ROW(J71),2) = 0</formula>
    </cfRule>
  </conditionalFormatting>
  <conditionalFormatting sqref="A70:I70 K70:N70">
    <cfRule type="expression" dxfId="169" priority="170">
      <formula>MOD(ROW(A70),2) = 0</formula>
    </cfRule>
  </conditionalFormatting>
  <conditionalFormatting sqref="J70">
    <cfRule type="expression" dxfId="168" priority="169">
      <formula>MOD(ROW(J70),2) = 0</formula>
    </cfRule>
  </conditionalFormatting>
  <conditionalFormatting sqref="A69:I69 K69:N69">
    <cfRule type="expression" dxfId="167" priority="168">
      <formula>MOD(ROW(A69),2) = 0</formula>
    </cfRule>
  </conditionalFormatting>
  <conditionalFormatting sqref="J69">
    <cfRule type="expression" dxfId="166" priority="167">
      <formula>MOD(ROW(J69),2) = 0</formula>
    </cfRule>
  </conditionalFormatting>
  <conditionalFormatting sqref="A68:I68 K68:N68">
    <cfRule type="expression" dxfId="165" priority="166">
      <formula>MOD(ROW(A68),2) = 0</formula>
    </cfRule>
  </conditionalFormatting>
  <conditionalFormatting sqref="J68">
    <cfRule type="expression" dxfId="164" priority="165">
      <formula>MOD(ROW(J68),2) = 0</formula>
    </cfRule>
  </conditionalFormatting>
  <conditionalFormatting sqref="A67:I67 K67:N67">
    <cfRule type="expression" dxfId="163" priority="164">
      <formula>MOD(ROW(A67),2) = 0</formula>
    </cfRule>
  </conditionalFormatting>
  <conditionalFormatting sqref="J67">
    <cfRule type="expression" dxfId="162" priority="163">
      <formula>MOD(ROW(J67),2) = 0</formula>
    </cfRule>
  </conditionalFormatting>
  <conditionalFormatting sqref="A66:I66 K66:N66">
    <cfRule type="expression" dxfId="161" priority="162">
      <formula>MOD(ROW(A66),2) = 0</formula>
    </cfRule>
  </conditionalFormatting>
  <conditionalFormatting sqref="J66">
    <cfRule type="expression" dxfId="160" priority="161">
      <formula>MOD(ROW(J66),2) = 0</formula>
    </cfRule>
  </conditionalFormatting>
  <conditionalFormatting sqref="A65:I65 K65:N65">
    <cfRule type="expression" dxfId="159" priority="160">
      <formula>MOD(ROW(A65),2) = 0</formula>
    </cfRule>
  </conditionalFormatting>
  <conditionalFormatting sqref="J65">
    <cfRule type="expression" dxfId="158" priority="159">
      <formula>MOD(ROW(J65),2) = 0</formula>
    </cfRule>
  </conditionalFormatting>
  <conditionalFormatting sqref="A64:I64 K64:N64">
    <cfRule type="expression" dxfId="157" priority="158">
      <formula>MOD(ROW(A64),2) = 0</formula>
    </cfRule>
  </conditionalFormatting>
  <conditionalFormatting sqref="J64">
    <cfRule type="expression" dxfId="156" priority="157">
      <formula>MOD(ROW(J64),2) = 0</formula>
    </cfRule>
  </conditionalFormatting>
  <conditionalFormatting sqref="A63:I63 K63:N63">
    <cfRule type="expression" dxfId="155" priority="156">
      <formula>MOD(ROW(A63),2) = 0</formula>
    </cfRule>
  </conditionalFormatting>
  <conditionalFormatting sqref="J63">
    <cfRule type="expression" dxfId="154" priority="155">
      <formula>MOD(ROW(J63),2) = 0</formula>
    </cfRule>
  </conditionalFormatting>
  <conditionalFormatting sqref="A62:I62 K62:N62">
    <cfRule type="expression" dxfId="153" priority="154">
      <formula>MOD(ROW(A62),2) = 0</formula>
    </cfRule>
  </conditionalFormatting>
  <conditionalFormatting sqref="J62">
    <cfRule type="expression" dxfId="152" priority="153">
      <formula>MOD(ROW(J62),2) = 0</formula>
    </cfRule>
  </conditionalFormatting>
  <conditionalFormatting sqref="A61:I61 K61:N61">
    <cfRule type="expression" dxfId="151" priority="152">
      <formula>MOD(ROW(A61),2) = 0</formula>
    </cfRule>
  </conditionalFormatting>
  <conditionalFormatting sqref="J61">
    <cfRule type="expression" dxfId="150" priority="151">
      <formula>MOD(ROW(J61),2) = 0</formula>
    </cfRule>
  </conditionalFormatting>
  <conditionalFormatting sqref="A60:I60 K60:N60">
    <cfRule type="expression" dxfId="149" priority="150">
      <formula>MOD(ROW(A60),2) = 0</formula>
    </cfRule>
  </conditionalFormatting>
  <conditionalFormatting sqref="J60">
    <cfRule type="expression" dxfId="148" priority="149">
      <formula>MOD(ROW(J60),2) = 0</formula>
    </cfRule>
  </conditionalFormatting>
  <conditionalFormatting sqref="A59:I59 K59:N59">
    <cfRule type="expression" dxfId="147" priority="148">
      <formula>MOD(ROW(A59),2) = 0</formula>
    </cfRule>
  </conditionalFormatting>
  <conditionalFormatting sqref="J59">
    <cfRule type="expression" dxfId="146" priority="147">
      <formula>MOD(ROW(J59),2) = 0</formula>
    </cfRule>
  </conditionalFormatting>
  <conditionalFormatting sqref="A58:I58 K58:N58">
    <cfRule type="expression" dxfId="145" priority="146">
      <formula>MOD(ROW(A58),2) = 0</formula>
    </cfRule>
  </conditionalFormatting>
  <conditionalFormatting sqref="J58">
    <cfRule type="expression" dxfId="144" priority="145">
      <formula>MOD(ROW(J58),2) = 0</formula>
    </cfRule>
  </conditionalFormatting>
  <conditionalFormatting sqref="A57:I57 K57:N57">
    <cfRule type="expression" dxfId="143" priority="144">
      <formula>MOD(ROW(A57),2) = 0</formula>
    </cfRule>
  </conditionalFormatting>
  <conditionalFormatting sqref="J57">
    <cfRule type="expression" dxfId="142" priority="143">
      <formula>MOD(ROW(J57),2) = 0</formula>
    </cfRule>
  </conditionalFormatting>
  <conditionalFormatting sqref="A56:I56 K56:N56">
    <cfRule type="expression" dxfId="141" priority="142">
      <formula>MOD(ROW(A56),2) = 0</formula>
    </cfRule>
  </conditionalFormatting>
  <conditionalFormatting sqref="J56">
    <cfRule type="expression" dxfId="140" priority="141">
      <formula>MOD(ROW(J56),2) = 0</formula>
    </cfRule>
  </conditionalFormatting>
  <conditionalFormatting sqref="A55:I55 K55:N55">
    <cfRule type="expression" dxfId="139" priority="140">
      <formula>MOD(ROW(A55),2) = 0</formula>
    </cfRule>
  </conditionalFormatting>
  <conditionalFormatting sqref="J55">
    <cfRule type="expression" dxfId="138" priority="139">
      <formula>MOD(ROW(J55),2) = 0</formula>
    </cfRule>
  </conditionalFormatting>
  <conditionalFormatting sqref="A54:I54 K54:N54">
    <cfRule type="expression" dxfId="137" priority="138">
      <formula>MOD(ROW(A54),2) = 0</formula>
    </cfRule>
  </conditionalFormatting>
  <conditionalFormatting sqref="J54">
    <cfRule type="expression" dxfId="136" priority="137">
      <formula>MOD(ROW(J54),2) = 0</formula>
    </cfRule>
  </conditionalFormatting>
  <conditionalFormatting sqref="A53:I53 K53:N53">
    <cfRule type="expression" dxfId="135" priority="136">
      <formula>MOD(ROW(A53),2) = 0</formula>
    </cfRule>
  </conditionalFormatting>
  <conditionalFormatting sqref="J53">
    <cfRule type="expression" dxfId="134" priority="135">
      <formula>MOD(ROW(J53),2) = 0</formula>
    </cfRule>
  </conditionalFormatting>
  <conditionalFormatting sqref="A52:I52 K52:N52">
    <cfRule type="expression" dxfId="133" priority="134">
      <formula>MOD(ROW(A52),2) = 0</formula>
    </cfRule>
  </conditionalFormatting>
  <conditionalFormatting sqref="J52">
    <cfRule type="expression" dxfId="132" priority="133">
      <formula>MOD(ROW(J52),2) = 0</formula>
    </cfRule>
  </conditionalFormatting>
  <conditionalFormatting sqref="A51:I51 K51:N51">
    <cfRule type="expression" dxfId="131" priority="132">
      <formula>MOD(ROW(A51),2) = 0</formula>
    </cfRule>
  </conditionalFormatting>
  <conditionalFormatting sqref="J51">
    <cfRule type="expression" dxfId="130" priority="131">
      <formula>MOD(ROW(J51),2) = 0</formula>
    </cfRule>
  </conditionalFormatting>
  <conditionalFormatting sqref="A50:I50 K50:N50">
    <cfRule type="expression" dxfId="129" priority="130">
      <formula>MOD(ROW(A50),2) = 0</formula>
    </cfRule>
  </conditionalFormatting>
  <conditionalFormatting sqref="J50">
    <cfRule type="expression" dxfId="128" priority="129">
      <formula>MOD(ROW(J50),2) = 0</formula>
    </cfRule>
  </conditionalFormatting>
  <conditionalFormatting sqref="A49:I49 K49:N49">
    <cfRule type="expression" dxfId="127" priority="128">
      <formula>MOD(ROW(A49),2) = 0</formula>
    </cfRule>
  </conditionalFormatting>
  <conditionalFormatting sqref="J49">
    <cfRule type="expression" dxfId="126" priority="127">
      <formula>MOD(ROW(J49),2) = 0</formula>
    </cfRule>
  </conditionalFormatting>
  <conditionalFormatting sqref="A48:I48 K48:N48">
    <cfRule type="expression" dxfId="125" priority="126">
      <formula>MOD(ROW(A48),2) = 0</formula>
    </cfRule>
  </conditionalFormatting>
  <conditionalFormatting sqref="J48">
    <cfRule type="expression" dxfId="124" priority="125">
      <formula>MOD(ROW(J48),2) = 0</formula>
    </cfRule>
  </conditionalFormatting>
  <conditionalFormatting sqref="A47:I47 K47:N47">
    <cfRule type="expression" dxfId="123" priority="124">
      <formula>MOD(ROW(A47),2) = 0</formula>
    </cfRule>
  </conditionalFormatting>
  <conditionalFormatting sqref="J47">
    <cfRule type="expression" dxfId="122" priority="123">
      <formula>MOD(ROW(J47),2) = 0</formula>
    </cfRule>
  </conditionalFormatting>
  <conditionalFormatting sqref="A46:I46 K46:N46">
    <cfRule type="expression" dxfId="121" priority="122">
      <formula>MOD(ROW(A46),2) = 0</formula>
    </cfRule>
  </conditionalFormatting>
  <conditionalFormatting sqref="J46">
    <cfRule type="expression" dxfId="120" priority="121">
      <formula>MOD(ROW(J46),2) = 0</formula>
    </cfRule>
  </conditionalFormatting>
  <conditionalFormatting sqref="A45:I45 K45:N45">
    <cfRule type="expression" dxfId="119" priority="120">
      <formula>MOD(ROW(A45),2) = 0</formula>
    </cfRule>
  </conditionalFormatting>
  <conditionalFormatting sqref="J45">
    <cfRule type="expression" dxfId="118" priority="119">
      <formula>MOD(ROW(J45),2) = 0</formula>
    </cfRule>
  </conditionalFormatting>
  <conditionalFormatting sqref="A44:I44 K44:N44">
    <cfRule type="expression" dxfId="117" priority="118">
      <formula>MOD(ROW(A44),2) = 0</formula>
    </cfRule>
  </conditionalFormatting>
  <conditionalFormatting sqref="J44">
    <cfRule type="expression" dxfId="116" priority="117">
      <formula>MOD(ROW(J44),2) = 0</formula>
    </cfRule>
  </conditionalFormatting>
  <conditionalFormatting sqref="A43:I43 K43:N43">
    <cfRule type="expression" dxfId="115" priority="116">
      <formula>MOD(ROW(A43),2) = 0</formula>
    </cfRule>
  </conditionalFormatting>
  <conditionalFormatting sqref="J43">
    <cfRule type="expression" dxfId="114" priority="115">
      <formula>MOD(ROW(J43),2) = 0</formula>
    </cfRule>
  </conditionalFormatting>
  <conditionalFormatting sqref="A42:I42 K42:N42">
    <cfRule type="expression" dxfId="113" priority="114">
      <formula>MOD(ROW(A42),2) = 0</formula>
    </cfRule>
  </conditionalFormatting>
  <conditionalFormatting sqref="J42">
    <cfRule type="expression" dxfId="112" priority="113">
      <formula>MOD(ROW(J42),2) = 0</formula>
    </cfRule>
  </conditionalFormatting>
  <conditionalFormatting sqref="A41:I41 K41:N41">
    <cfRule type="expression" dxfId="111" priority="112">
      <formula>MOD(ROW(A41),2) = 0</formula>
    </cfRule>
  </conditionalFormatting>
  <conditionalFormatting sqref="J41">
    <cfRule type="expression" dxfId="110" priority="111">
      <formula>MOD(ROW(J41),2) = 0</formula>
    </cfRule>
  </conditionalFormatting>
  <conditionalFormatting sqref="A40:I40 K40:N40">
    <cfRule type="expression" dxfId="109" priority="110">
      <formula>MOD(ROW(A40),2) = 0</formula>
    </cfRule>
  </conditionalFormatting>
  <conditionalFormatting sqref="J40">
    <cfRule type="expression" dxfId="108" priority="109">
      <formula>MOD(ROW(J40),2) = 0</formula>
    </cfRule>
  </conditionalFormatting>
  <conditionalFormatting sqref="A39:I39 K39:N39">
    <cfRule type="expression" dxfId="107" priority="108">
      <formula>MOD(ROW(A39),2) = 0</formula>
    </cfRule>
  </conditionalFormatting>
  <conditionalFormatting sqref="J39">
    <cfRule type="expression" dxfId="106" priority="107">
      <formula>MOD(ROW(J39),2) = 0</formula>
    </cfRule>
  </conditionalFormatting>
  <conditionalFormatting sqref="A38:I38 K38:N38">
    <cfRule type="expression" dxfId="105" priority="106">
      <formula>MOD(ROW(A38),2) = 0</formula>
    </cfRule>
  </conditionalFormatting>
  <conditionalFormatting sqref="J38">
    <cfRule type="expression" dxfId="104" priority="105">
      <formula>MOD(ROW(J38),2) = 0</formula>
    </cfRule>
  </conditionalFormatting>
  <conditionalFormatting sqref="A37:I37 K37:N37">
    <cfRule type="expression" dxfId="103" priority="104">
      <formula>MOD(ROW(A37),2) = 0</formula>
    </cfRule>
  </conditionalFormatting>
  <conditionalFormatting sqref="J37">
    <cfRule type="expression" dxfId="102" priority="103">
      <formula>MOD(ROW(J37),2) = 0</formula>
    </cfRule>
  </conditionalFormatting>
  <conditionalFormatting sqref="A36:I36 K36:N36">
    <cfRule type="expression" dxfId="101" priority="102">
      <formula>MOD(ROW(A36),2) = 0</formula>
    </cfRule>
  </conditionalFormatting>
  <conditionalFormatting sqref="J36">
    <cfRule type="expression" dxfId="100" priority="101">
      <formula>MOD(ROW(J36),2) = 0</formula>
    </cfRule>
  </conditionalFormatting>
  <conditionalFormatting sqref="A35:I35 K35:N35">
    <cfRule type="expression" dxfId="99" priority="100">
      <formula>MOD(ROW(A35),2) = 0</formula>
    </cfRule>
  </conditionalFormatting>
  <conditionalFormatting sqref="J35">
    <cfRule type="expression" dxfId="98" priority="99">
      <formula>MOD(ROW(J35),2) = 0</formula>
    </cfRule>
  </conditionalFormatting>
  <conditionalFormatting sqref="A34:I34 K34:N34">
    <cfRule type="expression" dxfId="97" priority="98">
      <formula>MOD(ROW(A34),2) = 0</formula>
    </cfRule>
  </conditionalFormatting>
  <conditionalFormatting sqref="J34">
    <cfRule type="expression" dxfId="96" priority="97">
      <formula>MOD(ROW(J34),2) = 0</formula>
    </cfRule>
  </conditionalFormatting>
  <conditionalFormatting sqref="O33:P33">
    <cfRule type="expression" dxfId="95" priority="96">
      <formula>MOD(ROW(O33),2) = 0</formula>
    </cfRule>
  </conditionalFormatting>
  <conditionalFormatting sqref="A33:I33 K33:N33">
    <cfRule type="expression" dxfId="94" priority="95">
      <formula>MOD(ROW(A33),2) = 0</formula>
    </cfRule>
  </conditionalFormatting>
  <conditionalFormatting sqref="J33">
    <cfRule type="expression" dxfId="93" priority="94">
      <formula>MOD(ROW(J33),2) = 0</formula>
    </cfRule>
  </conditionalFormatting>
  <conditionalFormatting sqref="O32:P32">
    <cfRule type="expression" dxfId="92" priority="93">
      <formula>MOD(ROW(O32),2) = 0</formula>
    </cfRule>
  </conditionalFormatting>
  <conditionalFormatting sqref="A32:I32 K32:N32">
    <cfRule type="expression" dxfId="91" priority="92">
      <formula>MOD(ROW(A32),2) = 0</formula>
    </cfRule>
  </conditionalFormatting>
  <conditionalFormatting sqref="J32">
    <cfRule type="expression" dxfId="90" priority="91">
      <formula>MOD(ROW(J32),2) = 0</formula>
    </cfRule>
  </conditionalFormatting>
  <conditionalFormatting sqref="O31:P31">
    <cfRule type="expression" dxfId="89" priority="90">
      <formula>MOD(ROW(O31),2) = 0</formula>
    </cfRule>
  </conditionalFormatting>
  <conditionalFormatting sqref="A31:I31 K31:N31">
    <cfRule type="expression" dxfId="88" priority="89">
      <formula>MOD(ROW(A31),2) = 0</formula>
    </cfRule>
  </conditionalFormatting>
  <conditionalFormatting sqref="J31">
    <cfRule type="expression" dxfId="87" priority="88">
      <formula>MOD(ROW(J31),2) = 0</formula>
    </cfRule>
  </conditionalFormatting>
  <conditionalFormatting sqref="O30:P30">
    <cfRule type="expression" dxfId="86" priority="87">
      <formula>MOD(ROW(O30),2) = 0</formula>
    </cfRule>
  </conditionalFormatting>
  <conditionalFormatting sqref="A30:I30 K30:N30">
    <cfRule type="expression" dxfId="85" priority="86">
      <formula>MOD(ROW(A30),2) = 0</formula>
    </cfRule>
  </conditionalFormatting>
  <conditionalFormatting sqref="J30">
    <cfRule type="expression" dxfId="84" priority="85">
      <formula>MOD(ROW(J30),2) = 0</formula>
    </cfRule>
  </conditionalFormatting>
  <conditionalFormatting sqref="O29:P29">
    <cfRule type="expression" dxfId="83" priority="84">
      <formula>MOD(ROW(O29),2) = 0</formula>
    </cfRule>
  </conditionalFormatting>
  <conditionalFormatting sqref="A29:I29 K29:N29">
    <cfRule type="expression" dxfId="82" priority="83">
      <formula>MOD(ROW(A29),2) = 0</formula>
    </cfRule>
  </conditionalFormatting>
  <conditionalFormatting sqref="J29">
    <cfRule type="expression" dxfId="81" priority="82">
      <formula>MOD(ROW(J29),2) = 0</formula>
    </cfRule>
  </conditionalFormatting>
  <conditionalFormatting sqref="O28:P28">
    <cfRule type="expression" dxfId="80" priority="81">
      <formula>MOD(ROW(O28),2) = 0</formula>
    </cfRule>
  </conditionalFormatting>
  <conditionalFormatting sqref="A28:I28 K28:N28">
    <cfRule type="expression" dxfId="79" priority="80">
      <formula>MOD(ROW(A28),2) = 0</formula>
    </cfRule>
  </conditionalFormatting>
  <conditionalFormatting sqref="J28">
    <cfRule type="expression" dxfId="78" priority="79">
      <formula>MOD(ROW(J28),2) = 0</formula>
    </cfRule>
  </conditionalFormatting>
  <conditionalFormatting sqref="O27:P27">
    <cfRule type="expression" dxfId="77" priority="78">
      <formula>MOD(ROW(O27),2) = 0</formula>
    </cfRule>
  </conditionalFormatting>
  <conditionalFormatting sqref="A27:I27 K27:N27">
    <cfRule type="expression" dxfId="76" priority="77">
      <formula>MOD(ROW(A27),2) = 0</formula>
    </cfRule>
  </conditionalFormatting>
  <conditionalFormatting sqref="J27">
    <cfRule type="expression" dxfId="75" priority="76">
      <formula>MOD(ROW(J27),2) = 0</formula>
    </cfRule>
  </conditionalFormatting>
  <conditionalFormatting sqref="O26:P26">
    <cfRule type="expression" dxfId="74" priority="75">
      <formula>MOD(ROW(O26),2) = 0</formula>
    </cfRule>
  </conditionalFormatting>
  <conditionalFormatting sqref="A26:I26 K26:N26">
    <cfRule type="expression" dxfId="73" priority="74">
      <formula>MOD(ROW(A26),2) = 0</formula>
    </cfRule>
  </conditionalFormatting>
  <conditionalFormatting sqref="J26">
    <cfRule type="expression" dxfId="72" priority="73">
      <formula>MOD(ROW(J26),2) = 0</formula>
    </cfRule>
  </conditionalFormatting>
  <conditionalFormatting sqref="O25:P25">
    <cfRule type="expression" dxfId="71" priority="72">
      <formula>MOD(ROW(O25),2) = 0</formula>
    </cfRule>
  </conditionalFormatting>
  <conditionalFormatting sqref="A25:I25 K25:N25">
    <cfRule type="expression" dxfId="70" priority="71">
      <formula>MOD(ROW(A25),2) = 0</formula>
    </cfRule>
  </conditionalFormatting>
  <conditionalFormatting sqref="J25">
    <cfRule type="expression" dxfId="69" priority="70">
      <formula>MOD(ROW(J25),2) = 0</formula>
    </cfRule>
  </conditionalFormatting>
  <conditionalFormatting sqref="O24:P24">
    <cfRule type="expression" dxfId="68" priority="69">
      <formula>MOD(ROW(O24),2) = 0</formula>
    </cfRule>
  </conditionalFormatting>
  <conditionalFormatting sqref="A24:I24 K24:N24">
    <cfRule type="expression" dxfId="67" priority="68">
      <formula>MOD(ROW(A24),2) = 0</formula>
    </cfRule>
  </conditionalFormatting>
  <conditionalFormatting sqref="J24">
    <cfRule type="expression" dxfId="66" priority="67">
      <formula>MOD(ROW(J24),2) = 0</formula>
    </cfRule>
  </conditionalFormatting>
  <conditionalFormatting sqref="O23:P23">
    <cfRule type="expression" dxfId="65" priority="66">
      <formula>MOD(ROW(O23),2) = 0</formula>
    </cfRule>
  </conditionalFormatting>
  <conditionalFormatting sqref="A23:I23 K23:N23">
    <cfRule type="expression" dxfId="64" priority="65">
      <formula>MOD(ROW(A23),2) = 0</formula>
    </cfRule>
  </conditionalFormatting>
  <conditionalFormatting sqref="J23">
    <cfRule type="expression" dxfId="63" priority="64">
      <formula>MOD(ROW(J23),2) = 0</formula>
    </cfRule>
  </conditionalFormatting>
  <conditionalFormatting sqref="O22:P22">
    <cfRule type="expression" dxfId="62" priority="63">
      <formula>MOD(ROW(O22),2) = 0</formula>
    </cfRule>
  </conditionalFormatting>
  <conditionalFormatting sqref="A22:I22 K22:N22">
    <cfRule type="expression" dxfId="61" priority="62">
      <formula>MOD(ROW(A22),2) = 0</formula>
    </cfRule>
  </conditionalFormatting>
  <conditionalFormatting sqref="J22">
    <cfRule type="expression" dxfId="60" priority="61">
      <formula>MOD(ROW(J22),2) = 0</formula>
    </cfRule>
  </conditionalFormatting>
  <conditionalFormatting sqref="O21:P21">
    <cfRule type="expression" dxfId="59" priority="60">
      <formula>MOD(ROW(O21),2) = 0</formula>
    </cfRule>
  </conditionalFormatting>
  <conditionalFormatting sqref="A21:I21 K21:N21">
    <cfRule type="expression" dxfId="58" priority="59">
      <formula>MOD(ROW(A21),2) = 0</formula>
    </cfRule>
  </conditionalFormatting>
  <conditionalFormatting sqref="J21">
    <cfRule type="expression" dxfId="57" priority="58">
      <formula>MOD(ROW(J21),2) = 0</formula>
    </cfRule>
  </conditionalFormatting>
  <conditionalFormatting sqref="O20:P20">
    <cfRule type="expression" dxfId="56" priority="57">
      <formula>MOD(ROW(O20),2) = 0</formula>
    </cfRule>
  </conditionalFormatting>
  <conditionalFormatting sqref="A20:I20 K20:N20">
    <cfRule type="expression" dxfId="55" priority="56">
      <formula>MOD(ROW(A20),2) = 0</formula>
    </cfRule>
  </conditionalFormatting>
  <conditionalFormatting sqref="J20">
    <cfRule type="expression" dxfId="54" priority="55">
      <formula>MOD(ROW(J20),2) = 0</formula>
    </cfRule>
  </conditionalFormatting>
  <conditionalFormatting sqref="O19:P19">
    <cfRule type="expression" dxfId="53" priority="54">
      <formula>MOD(ROW(O19),2) = 0</formula>
    </cfRule>
  </conditionalFormatting>
  <conditionalFormatting sqref="A19:I19 K19:N19">
    <cfRule type="expression" dxfId="52" priority="53">
      <formula>MOD(ROW(A19),2) = 0</formula>
    </cfRule>
  </conditionalFormatting>
  <conditionalFormatting sqref="J19">
    <cfRule type="expression" dxfId="51" priority="52">
      <formula>MOD(ROW(J19),2) = 0</formula>
    </cfRule>
  </conditionalFormatting>
  <conditionalFormatting sqref="O18:P18">
    <cfRule type="expression" dxfId="50" priority="51">
      <formula>MOD(ROW(O18),2) = 0</formula>
    </cfRule>
  </conditionalFormatting>
  <conditionalFormatting sqref="A18:I18 K18:N18">
    <cfRule type="expression" dxfId="49" priority="50">
      <formula>MOD(ROW(A18),2) = 0</formula>
    </cfRule>
  </conditionalFormatting>
  <conditionalFormatting sqref="J18">
    <cfRule type="expression" dxfId="48" priority="49">
      <formula>MOD(ROW(J18),2) = 0</formula>
    </cfRule>
  </conditionalFormatting>
  <conditionalFormatting sqref="O17:P17">
    <cfRule type="expression" dxfId="47" priority="48">
      <formula>MOD(ROW(O17),2) = 0</formula>
    </cfRule>
  </conditionalFormatting>
  <conditionalFormatting sqref="A17:I17 K17:N17">
    <cfRule type="expression" dxfId="46" priority="47">
      <formula>MOD(ROW(A17),2) = 0</formula>
    </cfRule>
  </conditionalFormatting>
  <conditionalFormatting sqref="J17">
    <cfRule type="expression" dxfId="45" priority="46">
      <formula>MOD(ROW(J17),2) = 0</formula>
    </cfRule>
  </conditionalFormatting>
  <conditionalFormatting sqref="O16:P16">
    <cfRule type="expression" dxfId="44" priority="45">
      <formula>MOD(ROW(O16),2) = 0</formula>
    </cfRule>
  </conditionalFormatting>
  <conditionalFormatting sqref="A16:I16 K16:N16">
    <cfRule type="expression" dxfId="43" priority="44">
      <formula>MOD(ROW(A16),2) = 0</formula>
    </cfRule>
  </conditionalFormatting>
  <conditionalFormatting sqref="J16">
    <cfRule type="expression" dxfId="42" priority="43">
      <formula>MOD(ROW(J16),2) = 0</formula>
    </cfRule>
  </conditionalFormatting>
  <conditionalFormatting sqref="O15:P15">
    <cfRule type="expression" dxfId="41" priority="42">
      <formula>MOD(ROW(O15),2) = 0</formula>
    </cfRule>
  </conditionalFormatting>
  <conditionalFormatting sqref="A15:I15 K15:N15">
    <cfRule type="expression" dxfId="40" priority="41">
      <formula>MOD(ROW(A15),2) = 0</formula>
    </cfRule>
  </conditionalFormatting>
  <conditionalFormatting sqref="J15">
    <cfRule type="expression" dxfId="39" priority="40">
      <formula>MOD(ROW(J15),2) = 0</formula>
    </cfRule>
  </conditionalFormatting>
  <conditionalFormatting sqref="O14:P14">
    <cfRule type="expression" dxfId="38" priority="39">
      <formula>MOD(ROW(O14),2) = 0</formula>
    </cfRule>
  </conditionalFormatting>
  <conditionalFormatting sqref="A14:I14 K14:N14">
    <cfRule type="expression" dxfId="37" priority="38">
      <formula>MOD(ROW(A14),2) = 0</formula>
    </cfRule>
  </conditionalFormatting>
  <conditionalFormatting sqref="J14">
    <cfRule type="expression" dxfId="36" priority="37">
      <formula>MOD(ROW(J14),2) = 0</formula>
    </cfRule>
  </conditionalFormatting>
  <conditionalFormatting sqref="O13:P13">
    <cfRule type="expression" dxfId="35" priority="36">
      <formula>MOD(ROW(O13),2) = 0</formula>
    </cfRule>
  </conditionalFormatting>
  <conditionalFormatting sqref="A13:I13 K13:N13">
    <cfRule type="expression" dxfId="34" priority="35">
      <formula>MOD(ROW(A13),2) = 0</formula>
    </cfRule>
  </conditionalFormatting>
  <conditionalFormatting sqref="J13">
    <cfRule type="expression" dxfId="33" priority="34">
      <formula>MOD(ROW(J13),2) = 0</formula>
    </cfRule>
  </conditionalFormatting>
  <conditionalFormatting sqref="O12:P12">
    <cfRule type="expression" dxfId="32" priority="33">
      <formula>MOD(ROW(O12),2) = 0</formula>
    </cfRule>
  </conditionalFormatting>
  <conditionalFormatting sqref="A12:I12 K12:N12">
    <cfRule type="expression" dxfId="31" priority="32">
      <formula>MOD(ROW(A12),2) = 0</formula>
    </cfRule>
  </conditionalFormatting>
  <conditionalFormatting sqref="J12">
    <cfRule type="expression" dxfId="30" priority="31">
      <formula>MOD(ROW(J12),2) = 0</formula>
    </cfRule>
  </conditionalFormatting>
  <conditionalFormatting sqref="O11:P11">
    <cfRule type="expression" dxfId="29" priority="30">
      <formula>MOD(ROW(O11),2) = 0</formula>
    </cfRule>
  </conditionalFormatting>
  <conditionalFormatting sqref="A11:I11 K11:N11">
    <cfRule type="expression" dxfId="28" priority="29">
      <formula>MOD(ROW(A11),2) = 0</formula>
    </cfRule>
  </conditionalFormatting>
  <conditionalFormatting sqref="J11">
    <cfRule type="expression" dxfId="27" priority="28">
      <formula>MOD(ROW(J11),2) = 0</formula>
    </cfRule>
  </conditionalFormatting>
  <conditionalFormatting sqref="O10:P10">
    <cfRule type="expression" dxfId="26" priority="27">
      <formula>MOD(ROW(O10),2) = 0</formula>
    </cfRule>
  </conditionalFormatting>
  <conditionalFormatting sqref="A10:I10 K10:N10">
    <cfRule type="expression" dxfId="25" priority="26">
      <formula>MOD(ROW(A10),2) = 0</formula>
    </cfRule>
  </conditionalFormatting>
  <conditionalFormatting sqref="J10">
    <cfRule type="expression" dxfId="24" priority="25">
      <formula>MOD(ROW(J10),2) = 0</formula>
    </cfRule>
  </conditionalFormatting>
  <conditionalFormatting sqref="O9:P9">
    <cfRule type="expression" dxfId="23" priority="24">
      <formula>MOD(ROW(O9),2) = 0</formula>
    </cfRule>
  </conditionalFormatting>
  <conditionalFormatting sqref="A9:I9 K9:N9">
    <cfRule type="expression" dxfId="22" priority="23">
      <formula>MOD(ROW(A9),2) = 0</formula>
    </cfRule>
  </conditionalFormatting>
  <conditionalFormatting sqref="J9">
    <cfRule type="expression" dxfId="21" priority="22">
      <formula>MOD(ROW(J9),2) = 0</formula>
    </cfRule>
  </conditionalFormatting>
  <conditionalFormatting sqref="O8:P8">
    <cfRule type="expression" dxfId="20" priority="21">
      <formula>MOD(ROW(O8),2) = 0</formula>
    </cfRule>
  </conditionalFormatting>
  <conditionalFormatting sqref="A8:I8 K8:N8">
    <cfRule type="expression" dxfId="19" priority="20">
      <formula>MOD(ROW(A8),2) = 0</formula>
    </cfRule>
  </conditionalFormatting>
  <conditionalFormatting sqref="J8">
    <cfRule type="expression" dxfId="18" priority="19">
      <formula>MOD(ROW(J8),2) = 0</formula>
    </cfRule>
  </conditionalFormatting>
  <conditionalFormatting sqref="O7:P7">
    <cfRule type="expression" dxfId="17" priority="18">
      <formula>MOD(ROW(O7),2) = 0</formula>
    </cfRule>
  </conditionalFormatting>
  <conditionalFormatting sqref="A7:I7 K7:N7">
    <cfRule type="expression" dxfId="16" priority="17">
      <formula>MOD(ROW(A7),2) = 0</formula>
    </cfRule>
  </conditionalFormatting>
  <conditionalFormatting sqref="J7">
    <cfRule type="expression" dxfId="15" priority="16">
      <formula>MOD(ROW(J7),2) = 0</formula>
    </cfRule>
  </conditionalFormatting>
  <conditionalFormatting sqref="O6:P6">
    <cfRule type="expression" dxfId="14" priority="15">
      <formula>MOD(ROW(O6),2) = 0</formula>
    </cfRule>
  </conditionalFormatting>
  <conditionalFormatting sqref="A6:I6 K6:N6">
    <cfRule type="expression" dxfId="13" priority="14">
      <formula>MOD(ROW(A6),2) = 0</formula>
    </cfRule>
  </conditionalFormatting>
  <conditionalFormatting sqref="J6">
    <cfRule type="expression" dxfId="12" priority="13">
      <formula>MOD(ROW(J6),2) = 0</formula>
    </cfRule>
  </conditionalFormatting>
  <conditionalFormatting sqref="O5:P5">
    <cfRule type="expression" dxfId="11" priority="12">
      <formula>MOD(ROW(O5),2) = 0</formula>
    </cfRule>
  </conditionalFormatting>
  <conditionalFormatting sqref="A5:I5 K5:N5">
    <cfRule type="expression" dxfId="10" priority="11">
      <formula>MOD(ROW(A5),2) = 0</formula>
    </cfRule>
  </conditionalFormatting>
  <conditionalFormatting sqref="J5">
    <cfRule type="expression" dxfId="9" priority="10">
      <formula>MOD(ROW(J5),2) = 0</formula>
    </cfRule>
  </conditionalFormatting>
  <conditionalFormatting sqref="O4:P4">
    <cfRule type="expression" dxfId="8" priority="9">
      <formula>MOD(ROW(O4),2) = 0</formula>
    </cfRule>
  </conditionalFormatting>
  <conditionalFormatting sqref="A4:I4 K4:N4">
    <cfRule type="expression" dxfId="7" priority="8">
      <formula>MOD(ROW(A4),2) = 0</formula>
    </cfRule>
  </conditionalFormatting>
  <conditionalFormatting sqref="J4">
    <cfRule type="expression" dxfId="6" priority="7">
      <formula>MOD(ROW(J4),2) = 0</formula>
    </cfRule>
  </conditionalFormatting>
  <conditionalFormatting sqref="O3:P3">
    <cfRule type="expression" dxfId="5" priority="6">
      <formula>MOD(ROW(O3),2) = 0</formula>
    </cfRule>
  </conditionalFormatting>
  <conditionalFormatting sqref="A3:I3 K3:N3">
    <cfRule type="expression" dxfId="4" priority="5">
      <formula>MOD(ROW(A3),2) = 0</formula>
    </cfRule>
  </conditionalFormatting>
  <conditionalFormatting sqref="J3">
    <cfRule type="expression" dxfId="3" priority="4">
      <formula>MOD(ROW(J3),2) = 0</formula>
    </cfRule>
  </conditionalFormatting>
  <conditionalFormatting sqref="O2:P2">
    <cfRule type="expression" dxfId="2" priority="3">
      <formula>MOD(ROW(O2),2) = 0</formula>
    </cfRule>
  </conditionalFormatting>
  <conditionalFormatting sqref="A2:I2 K2:N2">
    <cfRule type="expression" dxfId="1" priority="2">
      <formula>MOD(ROW(A2),2) = 0</formula>
    </cfRule>
  </conditionalFormatting>
  <conditionalFormatting sqref="J2">
    <cfRule type="expression" dxfId="0" priority="1">
      <formula>MOD(ROW(J2),2) =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29" r:id="rId4" name="cmdSortdate">
          <controlPr defaultSize="0" autoLine="0" r:id="rId5">
            <anchor moveWithCells="1">
              <from>
                <xdr:col>3</xdr:col>
                <xdr:colOff>19050</xdr:colOff>
                <xdr:row>0</xdr:row>
                <xdr:rowOff>28575</xdr:rowOff>
              </from>
              <to>
                <xdr:col>3</xdr:col>
                <xdr:colOff>314325</xdr:colOff>
                <xdr:row>0</xdr:row>
                <xdr:rowOff>342900</xdr:rowOff>
              </to>
            </anchor>
          </controlPr>
        </control>
      </mc:Choice>
      <mc:Fallback>
        <control shapeId="1029" r:id="rId4" name="cmdSortdate"/>
      </mc:Fallback>
    </mc:AlternateContent>
    <mc:AlternateContent xmlns:mc="http://schemas.openxmlformats.org/markup-compatibility/2006">
      <mc:Choice Requires="x14">
        <control shapeId="1028" r:id="rId6" name="cboSearch">
          <controlPr defaultSize="0" print="0" autoLine="0" r:id="rId7">
            <anchor moveWithCells="1">
              <from>
                <xdr:col>8</xdr:col>
                <xdr:colOff>971550</xdr:colOff>
                <xdr:row>0</xdr:row>
                <xdr:rowOff>38100</xdr:rowOff>
              </from>
              <to>
                <xdr:col>8</xdr:col>
                <xdr:colOff>2876550</xdr:colOff>
                <xdr:row>0</xdr:row>
                <xdr:rowOff>266700</xdr:rowOff>
              </to>
            </anchor>
          </controlPr>
        </control>
      </mc:Choice>
      <mc:Fallback>
        <control shapeId="1028" r:id="rId6" name="cboSearch"/>
      </mc:Fallback>
    </mc:AlternateContent>
    <mc:AlternateContent xmlns:mc="http://schemas.openxmlformats.org/markup-compatibility/2006">
      <mc:Choice Requires="x14">
        <control shapeId="1027" r:id="rId8" name="cmdOpenLocation">
          <controlPr defaultSize="0" autoLine="0" r:id="rId9">
            <anchor moveWithCells="1">
              <from>
                <xdr:col>9</xdr:col>
                <xdr:colOff>47625</xdr:colOff>
                <xdr:row>0</xdr:row>
                <xdr:rowOff>28575</xdr:rowOff>
              </from>
              <to>
                <xdr:col>9</xdr:col>
                <xdr:colOff>342900</xdr:colOff>
                <xdr:row>0</xdr:row>
                <xdr:rowOff>342900</xdr:rowOff>
              </to>
            </anchor>
          </controlPr>
        </control>
      </mc:Choice>
      <mc:Fallback>
        <control shapeId="1027" r:id="rId8" name="cmdOpenLocation"/>
      </mc:Fallback>
    </mc:AlternateContent>
    <mc:AlternateContent xmlns:mc="http://schemas.openxmlformats.org/markup-compatibility/2006">
      <mc:Choice Requires="x14">
        <control shapeId="1026" r:id="rId10" name="cmdDeleteRow">
          <controlPr defaultSize="0" autoLine="0" r:id="rId11">
            <anchor moveWithCells="1">
              <from>
                <xdr:col>0</xdr:col>
                <xdr:colOff>38100</xdr:colOff>
                <xdr:row>0</xdr:row>
                <xdr:rowOff>28575</xdr:rowOff>
              </from>
              <to>
                <xdr:col>0</xdr:col>
                <xdr:colOff>333375</xdr:colOff>
                <xdr:row>0</xdr:row>
                <xdr:rowOff>342900</xdr:rowOff>
              </to>
            </anchor>
          </controlPr>
        </control>
      </mc:Choice>
      <mc:Fallback>
        <control shapeId="1026" r:id="rId10" name="cmdDeleteRow"/>
      </mc:Fallback>
    </mc:AlternateContent>
    <mc:AlternateContent xmlns:mc="http://schemas.openxmlformats.org/markup-compatibility/2006">
      <mc:Choice Requires="x14">
        <control shapeId="1025" r:id="rId12" name="cmdCorLog">
          <controlPr defaultSize="0" autoLine="0" r:id="rId13">
            <anchor moveWithCells="1">
              <from>
                <xdr:col>8</xdr:col>
                <xdr:colOff>38100</xdr:colOff>
                <xdr:row>0</xdr:row>
                <xdr:rowOff>28575</xdr:rowOff>
              </from>
              <to>
                <xdr:col>8</xdr:col>
                <xdr:colOff>333375</xdr:colOff>
                <xdr:row>0</xdr:row>
                <xdr:rowOff>342900</xdr:rowOff>
              </to>
            </anchor>
          </controlPr>
        </control>
      </mc:Choice>
      <mc:Fallback>
        <control shapeId="1025" r:id="rId12" name="cmdCorLo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igSheet"/>
  <dimension ref="A1:B31"/>
  <sheetViews>
    <sheetView workbookViewId="0">
      <selection activeCell="B41" sqref="B41"/>
    </sheetView>
  </sheetViews>
  <sheetFormatPr defaultRowHeight="15"/>
  <cols>
    <col min="1" max="1" width="23.140625" customWidth="1"/>
    <col min="2" max="2" width="83.140625" customWidth="1"/>
  </cols>
  <sheetData>
    <row r="1" spans="1:2">
      <c r="A1" t="s">
        <v>46</v>
      </c>
      <c r="B1" s="26">
        <v>255</v>
      </c>
    </row>
    <row r="2" spans="1:2">
      <c r="A2" t="s">
        <v>47</v>
      </c>
      <c r="B2" s="26">
        <v>2</v>
      </c>
    </row>
    <row r="3" spans="1:2">
      <c r="A3" t="s">
        <v>48</v>
      </c>
      <c r="B3" s="26" t="s">
        <v>49</v>
      </c>
    </row>
    <row r="4" spans="1:2">
      <c r="A4" t="s">
        <v>50</v>
      </c>
      <c r="B4" s="26" t="b">
        <v>1</v>
      </c>
    </row>
    <row r="5" spans="1:2">
      <c r="A5" t="s">
        <v>51</v>
      </c>
      <c r="B5" s="26" t="b">
        <v>1</v>
      </c>
    </row>
    <row r="6" spans="1:2">
      <c r="A6" t="s">
        <v>52</v>
      </c>
      <c r="B6" s="26" t="s">
        <v>53</v>
      </c>
    </row>
    <row r="7" spans="1:2">
      <c r="A7" t="s">
        <v>54</v>
      </c>
      <c r="B7" s="26" t="s">
        <v>55</v>
      </c>
    </row>
    <row r="8" spans="1:2">
      <c r="A8" t="s">
        <v>56</v>
      </c>
      <c r="B8" s="26">
        <v>1</v>
      </c>
    </row>
    <row r="9" spans="1:2">
      <c r="A9" t="s">
        <v>57</v>
      </c>
      <c r="B9" s="26" t="b">
        <v>0</v>
      </c>
    </row>
    <row r="10" spans="1:2">
      <c r="A10" t="s">
        <v>58</v>
      </c>
      <c r="B10" s="26" t="s">
        <v>59</v>
      </c>
    </row>
    <row r="11" spans="1:2">
      <c r="A11" t="s">
        <v>60</v>
      </c>
      <c r="B11" s="26" t="s">
        <v>61</v>
      </c>
    </row>
    <row r="12" spans="1:2">
      <c r="A12" t="s">
        <v>62</v>
      </c>
      <c r="B12" s="26" t="s">
        <v>8150</v>
      </c>
    </row>
    <row r="13" spans="1:2">
      <c r="A13" t="s">
        <v>63</v>
      </c>
      <c r="B13" s="26" t="s">
        <v>64</v>
      </c>
    </row>
    <row r="14" spans="1:2">
      <c r="A14" t="s">
        <v>65</v>
      </c>
      <c r="B14" s="26" t="s">
        <v>66</v>
      </c>
    </row>
    <row r="15" spans="1:2">
      <c r="A15" t="s">
        <v>67</v>
      </c>
      <c r="B15" s="26">
        <v>0</v>
      </c>
    </row>
    <row r="16" spans="1:2">
      <c r="A16" t="s">
        <v>68</v>
      </c>
      <c r="B16" s="26">
        <v>0</v>
      </c>
    </row>
    <row r="17" spans="1:2">
      <c r="A17" t="s">
        <v>69</v>
      </c>
      <c r="B17" s="26" t="b">
        <v>1</v>
      </c>
    </row>
    <row r="18" spans="1:2">
      <c r="A18" t="s">
        <v>70</v>
      </c>
      <c r="B18" s="27" t="s">
        <v>71</v>
      </c>
    </row>
    <row r="19" spans="1:2">
      <c r="A19" t="s">
        <v>72</v>
      </c>
      <c r="B19" s="26" t="b">
        <v>1</v>
      </c>
    </row>
    <row r="20" spans="1:2">
      <c r="A20" t="s">
        <v>73</v>
      </c>
      <c r="B20" s="26" t="s">
        <v>91</v>
      </c>
    </row>
    <row r="21" spans="1:2">
      <c r="A21" t="s">
        <v>75</v>
      </c>
      <c r="B21" s="26">
        <v>3</v>
      </c>
    </row>
    <row r="22" spans="1:2">
      <c r="A22" t="s">
        <v>76</v>
      </c>
      <c r="B22" s="26">
        <v>6</v>
      </c>
    </row>
    <row r="23" spans="1:2">
      <c r="A23" t="s">
        <v>77</v>
      </c>
      <c r="B23" s="26" t="s">
        <v>78</v>
      </c>
    </row>
    <row r="24" spans="1:2">
      <c r="A24" t="s">
        <v>79</v>
      </c>
      <c r="B24" s="26" t="b">
        <v>1</v>
      </c>
    </row>
    <row r="25" spans="1:2">
      <c r="A25" t="s">
        <v>80</v>
      </c>
      <c r="B25" s="26" t="s">
        <v>81</v>
      </c>
    </row>
    <row r="26" spans="1:2">
      <c r="A26" t="s">
        <v>82</v>
      </c>
      <c r="B26" s="26" t="s">
        <v>83</v>
      </c>
    </row>
    <row r="27" spans="1:2">
      <c r="A27" t="s">
        <v>84</v>
      </c>
      <c r="B27" s="26" t="s">
        <v>85</v>
      </c>
    </row>
    <row r="28" spans="1:2">
      <c r="A28" t="s">
        <v>86</v>
      </c>
      <c r="B28" s="26" t="s">
        <v>87</v>
      </c>
    </row>
    <row r="29" spans="1:2">
      <c r="A29" t="s">
        <v>88</v>
      </c>
      <c r="B29" s="26">
        <v>1</v>
      </c>
    </row>
    <row r="30" spans="1:2">
      <c r="A30" t="s">
        <v>89</v>
      </c>
    </row>
    <row r="31" spans="1:2">
      <c r="A31" t="s">
        <v>90</v>
      </c>
      <c r="B31" s="26">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vConfigSheet"/>
  <dimension ref="A1:B31"/>
  <sheetViews>
    <sheetView workbookViewId="0">
      <selection activeCell="B34" sqref="B34"/>
    </sheetView>
  </sheetViews>
  <sheetFormatPr defaultRowHeight="15"/>
  <cols>
    <col min="1" max="1" width="23.140625" customWidth="1"/>
    <col min="2" max="2" width="73.85546875" customWidth="1"/>
  </cols>
  <sheetData>
    <row r="1" spans="1:2">
      <c r="A1" t="s">
        <v>46</v>
      </c>
      <c r="B1" s="26">
        <v>255</v>
      </c>
    </row>
    <row r="2" spans="1:2">
      <c r="A2" t="s">
        <v>47</v>
      </c>
      <c r="B2" s="26">
        <v>2</v>
      </c>
    </row>
    <row r="3" spans="1:2">
      <c r="A3" t="s">
        <v>48</v>
      </c>
      <c r="B3" t="s">
        <v>49</v>
      </c>
    </row>
    <row r="4" spans="1:2">
      <c r="A4" t="s">
        <v>50</v>
      </c>
      <c r="B4" s="26" t="b">
        <v>1</v>
      </c>
    </row>
    <row r="5" spans="1:2">
      <c r="A5" t="s">
        <v>51</v>
      </c>
      <c r="B5" s="26" t="b">
        <v>1</v>
      </c>
    </row>
    <row r="6" spans="1:2">
      <c r="A6" t="s">
        <v>52</v>
      </c>
      <c r="B6" t="s">
        <v>53</v>
      </c>
    </row>
    <row r="7" spans="1:2">
      <c r="A7" t="s">
        <v>54</v>
      </c>
      <c r="B7" t="s">
        <v>55</v>
      </c>
    </row>
    <row r="8" spans="1:2">
      <c r="A8" t="s">
        <v>56</v>
      </c>
      <c r="B8" s="26">
        <v>1</v>
      </c>
    </row>
    <row r="9" spans="1:2">
      <c r="A9" t="s">
        <v>57</v>
      </c>
      <c r="B9" s="26" t="b">
        <v>0</v>
      </c>
    </row>
    <row r="10" spans="1:2">
      <c r="A10" t="s">
        <v>58</v>
      </c>
      <c r="B10" t="s">
        <v>59</v>
      </c>
    </row>
    <row r="11" spans="1:2">
      <c r="A11" t="s">
        <v>60</v>
      </c>
      <c r="B11" t="s">
        <v>61</v>
      </c>
    </row>
    <row r="12" spans="1:2">
      <c r="A12" t="s">
        <v>62</v>
      </c>
      <c r="B12" t="s">
        <v>716</v>
      </c>
    </row>
    <row r="13" spans="1:2">
      <c r="A13" t="s">
        <v>63</v>
      </c>
      <c r="B13" s="26" t="s">
        <v>64</v>
      </c>
    </row>
    <row r="14" spans="1:2">
      <c r="A14" t="s">
        <v>65</v>
      </c>
      <c r="B14" s="26" t="s">
        <v>66</v>
      </c>
    </row>
    <row r="15" spans="1:2">
      <c r="A15" t="s">
        <v>67</v>
      </c>
      <c r="B15" s="26">
        <v>0</v>
      </c>
    </row>
    <row r="16" spans="1:2">
      <c r="A16" t="s">
        <v>68</v>
      </c>
      <c r="B16" s="26">
        <v>0</v>
      </c>
    </row>
    <row r="17" spans="1:2">
      <c r="A17" t="s">
        <v>69</v>
      </c>
      <c r="B17" s="26" t="b">
        <v>1</v>
      </c>
    </row>
    <row r="18" spans="1:2">
      <c r="A18" t="s">
        <v>70</v>
      </c>
      <c r="B18" s="27" t="s">
        <v>71</v>
      </c>
    </row>
    <row r="19" spans="1:2">
      <c r="A19" t="s">
        <v>72</v>
      </c>
      <c r="B19" s="26" t="b">
        <v>1</v>
      </c>
    </row>
    <row r="20" spans="1:2">
      <c r="A20" t="s">
        <v>73</v>
      </c>
      <c r="B20" s="26" t="s">
        <v>74</v>
      </c>
    </row>
    <row r="21" spans="1:2">
      <c r="A21" t="s">
        <v>75</v>
      </c>
      <c r="B21" s="26">
        <v>3</v>
      </c>
    </row>
    <row r="22" spans="1:2">
      <c r="A22" t="s">
        <v>76</v>
      </c>
      <c r="B22" s="27">
        <v>6</v>
      </c>
    </row>
    <row r="23" spans="1:2" ht="60">
      <c r="A23" t="s">
        <v>77</v>
      </c>
      <c r="B23" s="27" t="s">
        <v>78</v>
      </c>
    </row>
    <row r="24" spans="1:2">
      <c r="A24" t="s">
        <v>79</v>
      </c>
      <c r="B24" s="26" t="b">
        <v>1</v>
      </c>
    </row>
    <row r="25" spans="1:2">
      <c r="A25" t="s">
        <v>80</v>
      </c>
      <c r="B25" s="26" t="s">
        <v>81</v>
      </c>
    </row>
    <row r="26" spans="1:2">
      <c r="A26" t="s">
        <v>82</v>
      </c>
      <c r="B26" s="26" t="s">
        <v>83</v>
      </c>
    </row>
    <row r="27" spans="1:2">
      <c r="A27" t="s">
        <v>84</v>
      </c>
      <c r="B27" t="s">
        <v>85</v>
      </c>
    </row>
    <row r="28" spans="1:2">
      <c r="A28" t="s">
        <v>86</v>
      </c>
      <c r="B28" s="26" t="s">
        <v>87</v>
      </c>
    </row>
    <row r="29" spans="1:2">
      <c r="A29" t="s">
        <v>88</v>
      </c>
      <c r="B29" s="27">
        <v>1</v>
      </c>
    </row>
    <row r="30" spans="1:2">
      <c r="A30" t="s">
        <v>89</v>
      </c>
    </row>
    <row r="31" spans="1:2">
      <c r="A31" t="s">
        <v>90</v>
      </c>
      <c r="B31" s="26">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dConfigSheet"/>
  <dimension ref="A1:D29"/>
  <sheetViews>
    <sheetView workbookViewId="0">
      <selection activeCell="I11" sqref="I11"/>
    </sheetView>
  </sheetViews>
  <sheetFormatPr defaultRowHeight="15"/>
  <cols>
    <col min="1" max="1" width="23.140625" customWidth="1"/>
    <col min="2" max="2" width="47" customWidth="1"/>
    <col min="3" max="3" width="28.140625" customWidth="1"/>
    <col min="4" max="4" width="61.5703125" customWidth="1"/>
  </cols>
  <sheetData>
    <row r="1" spans="1:4">
      <c r="A1" t="s">
        <v>46</v>
      </c>
      <c r="B1" s="26">
        <v>255</v>
      </c>
      <c r="D1" s="26"/>
    </row>
    <row r="2" spans="1:4">
      <c r="A2" t="s">
        <v>47</v>
      </c>
      <c r="B2" s="26">
        <v>1</v>
      </c>
      <c r="D2" s="26"/>
    </row>
    <row r="3" spans="1:4">
      <c r="A3" t="s">
        <v>48</v>
      </c>
      <c r="B3" s="26" t="s">
        <v>92</v>
      </c>
      <c r="D3" s="26"/>
    </row>
    <row r="4" spans="1:4">
      <c r="A4" t="s">
        <v>50</v>
      </c>
      <c r="B4" s="26" t="b">
        <v>1</v>
      </c>
    </row>
    <row r="5" spans="1:4">
      <c r="A5" t="s">
        <v>51</v>
      </c>
      <c r="B5" s="26" t="b">
        <v>1</v>
      </c>
    </row>
    <row r="6" spans="1:4">
      <c r="A6" t="s">
        <v>52</v>
      </c>
      <c r="B6" s="26" t="s">
        <v>53</v>
      </c>
      <c r="D6" s="26"/>
    </row>
    <row r="7" spans="1:4">
      <c r="A7" t="s">
        <v>54</v>
      </c>
      <c r="B7" s="26" t="s">
        <v>55</v>
      </c>
      <c r="D7" s="26"/>
    </row>
    <row r="8" spans="1:4">
      <c r="A8" t="s">
        <v>56</v>
      </c>
      <c r="B8" s="26">
        <v>0</v>
      </c>
      <c r="D8" s="26"/>
    </row>
    <row r="9" spans="1:4">
      <c r="A9" t="s">
        <v>57</v>
      </c>
      <c r="B9" s="26" t="b">
        <v>0</v>
      </c>
      <c r="D9" s="26"/>
    </row>
    <row r="10" spans="1:4">
      <c r="A10" t="s">
        <v>58</v>
      </c>
      <c r="B10" s="26" t="s">
        <v>93</v>
      </c>
      <c r="D10" s="27"/>
    </row>
    <row r="11" spans="1:4">
      <c r="A11" t="s">
        <v>60</v>
      </c>
      <c r="B11" s="26" t="s">
        <v>55</v>
      </c>
      <c r="D11" s="26"/>
    </row>
    <row r="12" spans="1:4">
      <c r="A12" t="s">
        <v>62</v>
      </c>
      <c r="B12" s="26"/>
      <c r="D12" s="26"/>
    </row>
    <row r="13" spans="1:4">
      <c r="A13" t="s">
        <v>63</v>
      </c>
      <c r="B13" s="26"/>
      <c r="D13" s="26"/>
    </row>
    <row r="14" spans="1:4">
      <c r="A14" t="s">
        <v>65</v>
      </c>
      <c r="B14" s="26"/>
      <c r="D14" s="26"/>
    </row>
    <row r="15" spans="1:4">
      <c r="A15" t="s">
        <v>67</v>
      </c>
      <c r="B15" s="26">
        <v>1</v>
      </c>
      <c r="D15" s="26"/>
    </row>
    <row r="16" spans="1:4">
      <c r="A16" t="s">
        <v>68</v>
      </c>
      <c r="B16" s="26">
        <v>0</v>
      </c>
      <c r="D16" s="26"/>
    </row>
    <row r="17" spans="1:4">
      <c r="A17" t="s">
        <v>69</v>
      </c>
      <c r="B17" s="26" t="b">
        <v>1</v>
      </c>
      <c r="D17" s="26"/>
    </row>
    <row r="18" spans="1:4" ht="30">
      <c r="A18" t="s">
        <v>70</v>
      </c>
      <c r="B18" s="27" t="s">
        <v>94</v>
      </c>
      <c r="D18" s="26"/>
    </row>
    <row r="19" spans="1:4">
      <c r="A19" t="s">
        <v>72</v>
      </c>
      <c r="B19" s="26" t="b">
        <v>0</v>
      </c>
      <c r="D19" s="26"/>
    </row>
    <row r="20" spans="1:4">
      <c r="A20" t="s">
        <v>73</v>
      </c>
      <c r="B20" s="26" t="s">
        <v>91</v>
      </c>
      <c r="D20" s="26"/>
    </row>
    <row r="21" spans="1:4">
      <c r="A21" t="s">
        <v>75</v>
      </c>
      <c r="B21" s="26">
        <v>3</v>
      </c>
      <c r="D21" s="26"/>
    </row>
    <row r="22" spans="1:4">
      <c r="A22" t="s">
        <v>76</v>
      </c>
      <c r="B22" s="26">
        <v>5</v>
      </c>
      <c r="D22" s="26"/>
    </row>
    <row r="23" spans="1:4">
      <c r="A23" t="s">
        <v>77</v>
      </c>
      <c r="B23" s="26" t="s">
        <v>55</v>
      </c>
      <c r="D23" s="26"/>
    </row>
    <row r="24" spans="1:4">
      <c r="A24" t="s">
        <v>79</v>
      </c>
      <c r="B24" s="26" t="b">
        <v>1</v>
      </c>
      <c r="D24" s="26"/>
    </row>
    <row r="25" spans="1:4">
      <c r="A25" t="s">
        <v>80</v>
      </c>
      <c r="B25" s="26" t="s">
        <v>81</v>
      </c>
      <c r="D25" s="26"/>
    </row>
    <row r="26" spans="1:4">
      <c r="A26" t="s">
        <v>82</v>
      </c>
      <c r="B26" s="26" t="s">
        <v>55</v>
      </c>
      <c r="D26" s="26"/>
    </row>
    <row r="27" spans="1:4">
      <c r="A27" t="s">
        <v>84</v>
      </c>
      <c r="B27" s="26" t="s">
        <v>85</v>
      </c>
      <c r="D27" s="26"/>
    </row>
    <row r="28" spans="1:4">
      <c r="A28" t="s">
        <v>86</v>
      </c>
      <c r="B28" s="26" t="s">
        <v>55</v>
      </c>
    </row>
    <row r="29" spans="1:4">
      <c r="A29" t="s">
        <v>88</v>
      </c>
      <c r="B29" s="26">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ngSheet"/>
  <dimension ref="A1:B28"/>
  <sheetViews>
    <sheetView workbookViewId="0">
      <selection activeCell="I11" sqref="I11"/>
    </sheetView>
  </sheetViews>
  <sheetFormatPr defaultRowHeight="15"/>
  <cols>
    <col min="1" max="1" width="25.85546875" bestFit="1" customWidth="1"/>
    <col min="2" max="2" width="65.7109375" customWidth="1"/>
  </cols>
  <sheetData>
    <row r="1" spans="1:2">
      <c r="A1" t="s">
        <v>95</v>
      </c>
      <c r="B1" t="s">
        <v>96</v>
      </c>
    </row>
    <row r="2" spans="1:2">
      <c r="A2" t="s">
        <v>97</v>
      </c>
      <c r="B2" t="s">
        <v>98</v>
      </c>
    </row>
    <row r="3" spans="1:2">
      <c r="A3" t="s">
        <v>99</v>
      </c>
      <c r="B3" t="s">
        <v>100</v>
      </c>
    </row>
    <row r="4" spans="1:2">
      <c r="A4" t="s">
        <v>101</v>
      </c>
      <c r="B4" t="s">
        <v>102</v>
      </c>
    </row>
    <row r="5" spans="1:2">
      <c r="A5" t="s">
        <v>103</v>
      </c>
      <c r="B5" t="s">
        <v>104</v>
      </c>
    </row>
    <row r="6" spans="1:2">
      <c r="A6" t="s">
        <v>105</v>
      </c>
      <c r="B6" t="s">
        <v>106</v>
      </c>
    </row>
    <row r="7" spans="1:2">
      <c r="A7" t="s">
        <v>107</v>
      </c>
      <c r="B7" t="s">
        <v>108</v>
      </c>
    </row>
    <row r="8" spans="1:2">
      <c r="A8" t="s">
        <v>109</v>
      </c>
      <c r="B8" t="s">
        <v>110</v>
      </c>
    </row>
    <row r="9" spans="1:2">
      <c r="A9" t="s">
        <v>111</v>
      </c>
      <c r="B9" t="s">
        <v>112</v>
      </c>
    </row>
    <row r="10" spans="1:2">
      <c r="A10" t="s">
        <v>113</v>
      </c>
      <c r="B10" t="s">
        <v>114</v>
      </c>
    </row>
    <row r="11" spans="1:2">
      <c r="A11" t="s">
        <v>115</v>
      </c>
      <c r="B11" t="s">
        <v>116</v>
      </c>
    </row>
    <row r="12" spans="1:2">
      <c r="A12" t="s">
        <v>117</v>
      </c>
      <c r="B12" t="s">
        <v>118</v>
      </c>
    </row>
    <row r="13" spans="1:2">
      <c r="A13" t="s">
        <v>119</v>
      </c>
      <c r="B13" t="s">
        <v>120</v>
      </c>
    </row>
    <row r="14" spans="1:2">
      <c r="A14" t="s">
        <v>121</v>
      </c>
      <c r="B14" t="s">
        <v>122</v>
      </c>
    </row>
    <row r="15" spans="1:2">
      <c r="A15" t="s">
        <v>123</v>
      </c>
      <c r="B15" t="s">
        <v>124</v>
      </c>
    </row>
    <row r="16" spans="1:2">
      <c r="A16" t="s">
        <v>125</v>
      </c>
      <c r="B16" t="s">
        <v>126</v>
      </c>
    </row>
    <row r="17" spans="1:2">
      <c r="A17" t="s">
        <v>127</v>
      </c>
      <c r="B17" t="s">
        <v>128</v>
      </c>
    </row>
    <row r="18" spans="1:2">
      <c r="A18" t="s">
        <v>129</v>
      </c>
      <c r="B18" t="s">
        <v>130</v>
      </c>
    </row>
    <row r="19" spans="1:2">
      <c r="A19" t="s">
        <v>131</v>
      </c>
      <c r="B19" t="s">
        <v>132</v>
      </c>
    </row>
    <row r="20" spans="1:2">
      <c r="A20" t="s">
        <v>133</v>
      </c>
      <c r="B20" t="s">
        <v>134</v>
      </c>
    </row>
    <row r="21" spans="1:2">
      <c r="A21" t="s">
        <v>135</v>
      </c>
      <c r="B21" t="s">
        <v>136</v>
      </c>
    </row>
    <row r="22" spans="1:2">
      <c r="A22" t="s">
        <v>137</v>
      </c>
      <c r="B22" t="s">
        <v>138</v>
      </c>
    </row>
    <row r="23" spans="1:2">
      <c r="A23" t="s">
        <v>139</v>
      </c>
      <c r="B23" s="28" t="s">
        <v>140</v>
      </c>
    </row>
    <row r="24" spans="1:2">
      <c r="A24" t="s">
        <v>141</v>
      </c>
      <c r="B24" t="s">
        <v>142</v>
      </c>
    </row>
    <row r="25" spans="1:2">
      <c r="A25" t="s">
        <v>143</v>
      </c>
      <c r="B25" t="s">
        <v>144</v>
      </c>
    </row>
    <row r="26" spans="1:2">
      <c r="A26" t="s">
        <v>145</v>
      </c>
      <c r="B26" t="s">
        <v>146</v>
      </c>
    </row>
    <row r="27" spans="1:2">
      <c r="A27" t="s">
        <v>147</v>
      </c>
      <c r="B27" t="s">
        <v>148</v>
      </c>
    </row>
    <row r="28" spans="1:2">
      <c r="A28" t="s">
        <v>149</v>
      </c>
      <c r="B28" t="s">
        <v>150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untrySheet"/>
  <dimension ref="A1:B243"/>
  <sheetViews>
    <sheetView workbookViewId="0">
      <selection sqref="A1:B1"/>
    </sheetView>
  </sheetViews>
  <sheetFormatPr defaultRowHeight="15"/>
  <cols>
    <col min="1" max="1" width="5.5703125" bestFit="1" customWidth="1"/>
    <col min="2" max="2" width="49.42578125" bestFit="1" customWidth="1"/>
  </cols>
  <sheetData>
    <row r="1" spans="1:2">
      <c r="A1" s="29" t="s">
        <v>151</v>
      </c>
      <c r="B1" s="29" t="s">
        <v>152</v>
      </c>
    </row>
    <row r="2" spans="1:2">
      <c r="A2" t="s">
        <v>153</v>
      </c>
      <c r="B2" t="s">
        <v>154</v>
      </c>
    </row>
    <row r="3" spans="1:2">
      <c r="A3" t="s">
        <v>155</v>
      </c>
      <c r="B3" t="s">
        <v>156</v>
      </c>
    </row>
    <row r="4" spans="1:2">
      <c r="A4" t="s">
        <v>157</v>
      </c>
      <c r="B4" t="s">
        <v>158</v>
      </c>
    </row>
    <row r="5" spans="1:2">
      <c r="A5" t="s">
        <v>159</v>
      </c>
      <c r="B5" t="s">
        <v>160</v>
      </c>
    </row>
    <row r="6" spans="1:2">
      <c r="A6" t="s">
        <v>161</v>
      </c>
      <c r="B6" t="s">
        <v>162</v>
      </c>
    </row>
    <row r="7" spans="1:2">
      <c r="A7" t="s">
        <v>163</v>
      </c>
      <c r="B7" t="s">
        <v>164</v>
      </c>
    </row>
    <row r="8" spans="1:2">
      <c r="A8" t="s">
        <v>19</v>
      </c>
      <c r="B8" t="s">
        <v>165</v>
      </c>
    </row>
    <row r="9" spans="1:2">
      <c r="A9" t="s">
        <v>166</v>
      </c>
      <c r="B9" t="s">
        <v>167</v>
      </c>
    </row>
    <row r="10" spans="1:2">
      <c r="A10" t="s">
        <v>168</v>
      </c>
      <c r="B10" t="s">
        <v>169</v>
      </c>
    </row>
    <row r="11" spans="1:2">
      <c r="A11" t="s">
        <v>170</v>
      </c>
      <c r="B11" t="s">
        <v>171</v>
      </c>
    </row>
    <row r="12" spans="1:2">
      <c r="A12" t="s">
        <v>172</v>
      </c>
      <c r="B12" t="s">
        <v>173</v>
      </c>
    </row>
    <row r="13" spans="1:2">
      <c r="A13" t="s">
        <v>174</v>
      </c>
      <c r="B13" t="s">
        <v>175</v>
      </c>
    </row>
    <row r="14" spans="1:2">
      <c r="A14" t="s">
        <v>43</v>
      </c>
      <c r="B14" t="s">
        <v>176</v>
      </c>
    </row>
    <row r="15" spans="1:2">
      <c r="A15" t="s">
        <v>177</v>
      </c>
      <c r="B15" t="s">
        <v>178</v>
      </c>
    </row>
    <row r="16" spans="1:2">
      <c r="A16" t="s">
        <v>179</v>
      </c>
      <c r="B16" t="s">
        <v>180</v>
      </c>
    </row>
    <row r="17" spans="1:2">
      <c r="A17" t="s">
        <v>181</v>
      </c>
      <c r="B17" t="s">
        <v>182</v>
      </c>
    </row>
    <row r="18" spans="1:2">
      <c r="A18" t="s">
        <v>183</v>
      </c>
      <c r="B18" t="s">
        <v>184</v>
      </c>
    </row>
    <row r="19" spans="1:2">
      <c r="A19" t="s">
        <v>185</v>
      </c>
      <c r="B19" t="s">
        <v>186</v>
      </c>
    </row>
    <row r="20" spans="1:2">
      <c r="A20" t="s">
        <v>187</v>
      </c>
      <c r="B20" t="s">
        <v>188</v>
      </c>
    </row>
    <row r="21" spans="1:2">
      <c r="A21" t="s">
        <v>189</v>
      </c>
      <c r="B21" t="s">
        <v>190</v>
      </c>
    </row>
    <row r="22" spans="1:2">
      <c r="A22" t="s">
        <v>191</v>
      </c>
      <c r="B22" t="s">
        <v>192</v>
      </c>
    </row>
    <row r="23" spans="1:2">
      <c r="A23" t="s">
        <v>193</v>
      </c>
      <c r="B23" t="s">
        <v>194</v>
      </c>
    </row>
    <row r="24" spans="1:2">
      <c r="A24" t="s">
        <v>195</v>
      </c>
      <c r="B24" t="s">
        <v>196</v>
      </c>
    </row>
    <row r="25" spans="1:2">
      <c r="A25" t="s">
        <v>197</v>
      </c>
      <c r="B25" t="s">
        <v>198</v>
      </c>
    </row>
    <row r="26" spans="1:2">
      <c r="A26" t="s">
        <v>199</v>
      </c>
      <c r="B26" t="s">
        <v>200</v>
      </c>
    </row>
    <row r="27" spans="1:2">
      <c r="A27" t="s">
        <v>201</v>
      </c>
      <c r="B27" t="s">
        <v>202</v>
      </c>
    </row>
    <row r="28" spans="1:2">
      <c r="A28" t="s">
        <v>203</v>
      </c>
      <c r="B28" t="s">
        <v>204</v>
      </c>
    </row>
    <row r="29" spans="1:2">
      <c r="A29" t="s">
        <v>205</v>
      </c>
      <c r="B29" t="s">
        <v>206</v>
      </c>
    </row>
    <row r="30" spans="1:2">
      <c r="A30" t="s">
        <v>207</v>
      </c>
      <c r="B30" t="s">
        <v>208</v>
      </c>
    </row>
    <row r="31" spans="1:2">
      <c r="A31" t="s">
        <v>209</v>
      </c>
      <c r="B31" t="s">
        <v>210</v>
      </c>
    </row>
    <row r="32" spans="1:2">
      <c r="A32" t="s">
        <v>211</v>
      </c>
      <c r="B32" t="s">
        <v>212</v>
      </c>
    </row>
    <row r="33" spans="1:2">
      <c r="A33" t="s">
        <v>213</v>
      </c>
      <c r="B33" t="s">
        <v>214</v>
      </c>
    </row>
    <row r="34" spans="1:2">
      <c r="A34" t="s">
        <v>215</v>
      </c>
      <c r="B34" t="s">
        <v>216</v>
      </c>
    </row>
    <row r="35" spans="1:2">
      <c r="A35" t="s">
        <v>45</v>
      </c>
      <c r="B35" t="s">
        <v>217</v>
      </c>
    </row>
    <row r="36" spans="1:2">
      <c r="A36" t="s">
        <v>218</v>
      </c>
      <c r="B36" t="s">
        <v>219</v>
      </c>
    </row>
    <row r="37" spans="1:2">
      <c r="A37" t="s">
        <v>32</v>
      </c>
      <c r="B37" t="s">
        <v>220</v>
      </c>
    </row>
    <row r="38" spans="1:2">
      <c r="A38" t="s">
        <v>221</v>
      </c>
      <c r="B38" t="s">
        <v>222</v>
      </c>
    </row>
    <row r="39" spans="1:2">
      <c r="A39" t="s">
        <v>223</v>
      </c>
      <c r="B39" t="s">
        <v>224</v>
      </c>
    </row>
    <row r="40" spans="1:2">
      <c r="A40" t="s">
        <v>225</v>
      </c>
      <c r="B40" t="s">
        <v>226</v>
      </c>
    </row>
    <row r="41" spans="1:2">
      <c r="A41" t="s">
        <v>227</v>
      </c>
      <c r="B41" t="s">
        <v>228</v>
      </c>
    </row>
    <row r="42" spans="1:2">
      <c r="A42" t="s">
        <v>229</v>
      </c>
      <c r="B42" t="s">
        <v>230</v>
      </c>
    </row>
    <row r="43" spans="1:2">
      <c r="A43" t="s">
        <v>231</v>
      </c>
      <c r="B43" t="s">
        <v>232</v>
      </c>
    </row>
    <row r="44" spans="1:2">
      <c r="A44" t="s">
        <v>233</v>
      </c>
      <c r="B44" t="s">
        <v>234</v>
      </c>
    </row>
    <row r="45" spans="1:2">
      <c r="A45" t="s">
        <v>38</v>
      </c>
      <c r="B45" t="s">
        <v>235</v>
      </c>
    </row>
    <row r="46" spans="1:2">
      <c r="A46" t="s">
        <v>236</v>
      </c>
      <c r="B46" t="s">
        <v>237</v>
      </c>
    </row>
    <row r="47" spans="1:2">
      <c r="A47" t="s">
        <v>238</v>
      </c>
      <c r="B47" t="s">
        <v>239</v>
      </c>
    </row>
    <row r="48" spans="1:2">
      <c r="A48" t="s">
        <v>240</v>
      </c>
      <c r="B48" t="s">
        <v>241</v>
      </c>
    </row>
    <row r="49" spans="1:2">
      <c r="A49" t="s">
        <v>242</v>
      </c>
      <c r="B49" t="s">
        <v>243</v>
      </c>
    </row>
    <row r="50" spans="1:2">
      <c r="A50" t="s">
        <v>244</v>
      </c>
      <c r="B50" t="s">
        <v>245</v>
      </c>
    </row>
    <row r="51" spans="1:2">
      <c r="A51" t="s">
        <v>246</v>
      </c>
      <c r="B51" t="s">
        <v>247</v>
      </c>
    </row>
    <row r="52" spans="1:2">
      <c r="A52" t="s">
        <v>33</v>
      </c>
      <c r="B52" t="s">
        <v>248</v>
      </c>
    </row>
    <row r="53" spans="1:2">
      <c r="A53" t="s">
        <v>249</v>
      </c>
      <c r="B53" t="s">
        <v>250</v>
      </c>
    </row>
    <row r="54" spans="1:2">
      <c r="A54" t="s">
        <v>251</v>
      </c>
      <c r="B54" t="s">
        <v>252</v>
      </c>
    </row>
    <row r="55" spans="1:2">
      <c r="A55" t="s">
        <v>253</v>
      </c>
      <c r="B55" t="s">
        <v>254</v>
      </c>
    </row>
    <row r="56" spans="1:2">
      <c r="A56" t="s">
        <v>255</v>
      </c>
      <c r="B56" t="s">
        <v>256</v>
      </c>
    </row>
    <row r="57" spans="1:2">
      <c r="A57" t="s">
        <v>257</v>
      </c>
      <c r="B57" t="s">
        <v>258</v>
      </c>
    </row>
    <row r="58" spans="1:2">
      <c r="A58" t="s">
        <v>22</v>
      </c>
      <c r="B58" t="s">
        <v>259</v>
      </c>
    </row>
    <row r="59" spans="1:2">
      <c r="A59" t="s">
        <v>260</v>
      </c>
      <c r="B59" t="s">
        <v>261</v>
      </c>
    </row>
    <row r="60" spans="1:2">
      <c r="A60" t="s">
        <v>262</v>
      </c>
      <c r="B60" t="s">
        <v>263</v>
      </c>
    </row>
    <row r="61" spans="1:2">
      <c r="A61" t="s">
        <v>264</v>
      </c>
      <c r="B61" t="s">
        <v>265</v>
      </c>
    </row>
    <row r="62" spans="1:2">
      <c r="A62" t="s">
        <v>266</v>
      </c>
      <c r="B62" t="s">
        <v>267</v>
      </c>
    </row>
    <row r="63" spans="1:2">
      <c r="A63" t="s">
        <v>268</v>
      </c>
      <c r="B63" t="s">
        <v>269</v>
      </c>
    </row>
    <row r="64" spans="1:2">
      <c r="A64" t="s">
        <v>270</v>
      </c>
      <c r="B64" t="s">
        <v>271</v>
      </c>
    </row>
    <row r="65" spans="1:2">
      <c r="A65" t="s">
        <v>272</v>
      </c>
      <c r="B65" t="s">
        <v>273</v>
      </c>
    </row>
    <row r="66" spans="1:2">
      <c r="A66" t="s">
        <v>274</v>
      </c>
      <c r="B66" t="s">
        <v>275</v>
      </c>
    </row>
    <row r="67" spans="1:2">
      <c r="A67" t="s">
        <v>276</v>
      </c>
      <c r="B67" t="s">
        <v>277</v>
      </c>
    </row>
    <row r="68" spans="1:2">
      <c r="A68" t="s">
        <v>278</v>
      </c>
      <c r="B68" t="s">
        <v>279</v>
      </c>
    </row>
    <row r="69" spans="1:2">
      <c r="A69" t="s">
        <v>35</v>
      </c>
      <c r="B69" t="s">
        <v>280</v>
      </c>
    </row>
    <row r="70" spans="1:2">
      <c r="A70" t="s">
        <v>281</v>
      </c>
      <c r="B70" t="s">
        <v>282</v>
      </c>
    </row>
    <row r="71" spans="1:2">
      <c r="A71" t="s">
        <v>283</v>
      </c>
      <c r="B71" t="s">
        <v>284</v>
      </c>
    </row>
    <row r="72" spans="1:2">
      <c r="A72" t="s">
        <v>285</v>
      </c>
      <c r="B72" t="s">
        <v>286</v>
      </c>
    </row>
    <row r="73" spans="1:2">
      <c r="A73" t="s">
        <v>287</v>
      </c>
      <c r="B73" t="s">
        <v>288</v>
      </c>
    </row>
    <row r="74" spans="1:2">
      <c r="A74" t="s">
        <v>289</v>
      </c>
      <c r="B74" t="s">
        <v>290</v>
      </c>
    </row>
    <row r="75" spans="1:2">
      <c r="A75" t="s">
        <v>291</v>
      </c>
      <c r="B75" t="s">
        <v>292</v>
      </c>
    </row>
    <row r="76" spans="1:2">
      <c r="A76" t="s">
        <v>293</v>
      </c>
      <c r="B76" t="s">
        <v>294</v>
      </c>
    </row>
    <row r="77" spans="1:2">
      <c r="A77" t="s">
        <v>295</v>
      </c>
      <c r="B77" t="s">
        <v>296</v>
      </c>
    </row>
    <row r="78" spans="1:2">
      <c r="A78" t="s">
        <v>297</v>
      </c>
      <c r="B78" t="s">
        <v>298</v>
      </c>
    </row>
    <row r="79" spans="1:2">
      <c r="A79" t="s">
        <v>299</v>
      </c>
      <c r="B79" t="s">
        <v>300</v>
      </c>
    </row>
    <row r="80" spans="1:2">
      <c r="A80" t="s">
        <v>29</v>
      </c>
      <c r="B80" t="s">
        <v>301</v>
      </c>
    </row>
    <row r="81" spans="1:2">
      <c r="A81" t="s">
        <v>21</v>
      </c>
      <c r="B81" t="s">
        <v>302</v>
      </c>
    </row>
    <row r="82" spans="1:2">
      <c r="A82" t="s">
        <v>303</v>
      </c>
      <c r="B82" t="s">
        <v>304</v>
      </c>
    </row>
    <row r="83" spans="1:2">
      <c r="A83" t="s">
        <v>305</v>
      </c>
      <c r="B83" t="s">
        <v>306</v>
      </c>
    </row>
    <row r="84" spans="1:2">
      <c r="A84" t="s">
        <v>307</v>
      </c>
      <c r="B84" t="s">
        <v>308</v>
      </c>
    </row>
    <row r="85" spans="1:2">
      <c r="A85" t="s">
        <v>309</v>
      </c>
      <c r="B85" t="s">
        <v>310</v>
      </c>
    </row>
    <row r="86" spans="1:2">
      <c r="A86" t="s">
        <v>311</v>
      </c>
      <c r="B86" t="s">
        <v>312</v>
      </c>
    </row>
    <row r="87" spans="1:2">
      <c r="A87" t="s">
        <v>313</v>
      </c>
      <c r="B87" t="s">
        <v>314</v>
      </c>
    </row>
    <row r="88" spans="1:2">
      <c r="A88" t="s">
        <v>315</v>
      </c>
      <c r="B88" t="s">
        <v>316</v>
      </c>
    </row>
    <row r="89" spans="1:2">
      <c r="A89" t="s">
        <v>317</v>
      </c>
      <c r="B89" t="s">
        <v>318</v>
      </c>
    </row>
    <row r="90" spans="1:2">
      <c r="A90" t="s">
        <v>319</v>
      </c>
      <c r="B90" t="s">
        <v>320</v>
      </c>
    </row>
    <row r="91" spans="1:2">
      <c r="A91" t="s">
        <v>321</v>
      </c>
      <c r="B91" t="s">
        <v>322</v>
      </c>
    </row>
    <row r="92" spans="1:2">
      <c r="A92" t="s">
        <v>323</v>
      </c>
      <c r="B92" t="s">
        <v>324</v>
      </c>
    </row>
    <row r="93" spans="1:2">
      <c r="A93" t="s">
        <v>325</v>
      </c>
      <c r="B93" t="s">
        <v>326</v>
      </c>
    </row>
    <row r="94" spans="1:2">
      <c r="A94" t="s">
        <v>327</v>
      </c>
      <c r="B94" t="s">
        <v>328</v>
      </c>
    </row>
    <row r="95" spans="1:2">
      <c r="A95" t="s">
        <v>329</v>
      </c>
      <c r="B95" t="s">
        <v>330</v>
      </c>
    </row>
    <row r="96" spans="1:2">
      <c r="A96" t="s">
        <v>331</v>
      </c>
      <c r="B96" t="s">
        <v>332</v>
      </c>
    </row>
    <row r="97" spans="1:2">
      <c r="A97" t="s">
        <v>333</v>
      </c>
      <c r="B97" t="s">
        <v>334</v>
      </c>
    </row>
    <row r="98" spans="1:2">
      <c r="A98" t="s">
        <v>335</v>
      </c>
      <c r="B98" t="s">
        <v>336</v>
      </c>
    </row>
    <row r="99" spans="1:2">
      <c r="A99" t="s">
        <v>337</v>
      </c>
      <c r="B99" t="s">
        <v>338</v>
      </c>
    </row>
    <row r="100" spans="1:2">
      <c r="A100" t="s">
        <v>339</v>
      </c>
      <c r="B100" t="s">
        <v>340</v>
      </c>
    </row>
    <row r="101" spans="1:2">
      <c r="A101" t="s">
        <v>341</v>
      </c>
      <c r="B101" t="s">
        <v>342</v>
      </c>
    </row>
    <row r="102" spans="1:2">
      <c r="A102" t="s">
        <v>343</v>
      </c>
      <c r="B102" t="s">
        <v>344</v>
      </c>
    </row>
    <row r="103" spans="1:2">
      <c r="A103" t="s">
        <v>345</v>
      </c>
      <c r="B103" t="s">
        <v>346</v>
      </c>
    </row>
    <row r="104" spans="1:2">
      <c r="A104" t="s">
        <v>347</v>
      </c>
      <c r="B104" t="s">
        <v>348</v>
      </c>
    </row>
    <row r="105" spans="1:2">
      <c r="A105" t="s">
        <v>349</v>
      </c>
      <c r="B105" t="s">
        <v>350</v>
      </c>
    </row>
    <row r="106" spans="1:2">
      <c r="A106" t="s">
        <v>351</v>
      </c>
      <c r="B106" t="s">
        <v>352</v>
      </c>
    </row>
    <row r="107" spans="1:2">
      <c r="A107" t="s">
        <v>353</v>
      </c>
      <c r="B107" t="s">
        <v>354</v>
      </c>
    </row>
    <row r="108" spans="1:2">
      <c r="A108" t="s">
        <v>355</v>
      </c>
      <c r="B108" t="s">
        <v>356</v>
      </c>
    </row>
    <row r="109" spans="1:2">
      <c r="A109" t="s">
        <v>357</v>
      </c>
      <c r="B109" t="s">
        <v>358</v>
      </c>
    </row>
    <row r="110" spans="1:2">
      <c r="A110" t="s">
        <v>359</v>
      </c>
      <c r="B110" t="s">
        <v>360</v>
      </c>
    </row>
    <row r="111" spans="1:2">
      <c r="A111" t="s">
        <v>27</v>
      </c>
      <c r="B111" t="s">
        <v>361</v>
      </c>
    </row>
    <row r="112" spans="1:2">
      <c r="A112" t="s">
        <v>362</v>
      </c>
      <c r="B112" t="s">
        <v>363</v>
      </c>
    </row>
    <row r="113" spans="1:2">
      <c r="A113" t="s">
        <v>364</v>
      </c>
      <c r="B113" t="s">
        <v>365</v>
      </c>
    </row>
    <row r="114" spans="1:2">
      <c r="A114" t="s">
        <v>366</v>
      </c>
      <c r="B114" t="s">
        <v>367</v>
      </c>
    </row>
    <row r="115" spans="1:2">
      <c r="A115" t="s">
        <v>368</v>
      </c>
      <c r="B115" t="s">
        <v>369</v>
      </c>
    </row>
    <row r="116" spans="1:2">
      <c r="A116" t="s">
        <v>370</v>
      </c>
      <c r="B116" t="s">
        <v>371</v>
      </c>
    </row>
    <row r="117" spans="1:2">
      <c r="A117" t="s">
        <v>372</v>
      </c>
      <c r="B117" t="s">
        <v>373</v>
      </c>
    </row>
    <row r="118" spans="1:2">
      <c r="A118" t="s">
        <v>374</v>
      </c>
      <c r="B118" t="s">
        <v>375</v>
      </c>
    </row>
    <row r="119" spans="1:2">
      <c r="A119" t="s">
        <v>41</v>
      </c>
      <c r="B119" t="s">
        <v>376</v>
      </c>
    </row>
    <row r="120" spans="1:2">
      <c r="A120" t="s">
        <v>377</v>
      </c>
      <c r="B120" t="s">
        <v>378</v>
      </c>
    </row>
    <row r="121" spans="1:2">
      <c r="A121" t="s">
        <v>379</v>
      </c>
      <c r="B121" t="s">
        <v>380</v>
      </c>
    </row>
    <row r="122" spans="1:2">
      <c r="A122" t="s">
        <v>381</v>
      </c>
      <c r="B122" t="s">
        <v>382</v>
      </c>
    </row>
    <row r="123" spans="1:2">
      <c r="A123" t="s">
        <v>383</v>
      </c>
      <c r="B123" t="s">
        <v>384</v>
      </c>
    </row>
    <row r="124" spans="1:2">
      <c r="A124" t="s">
        <v>14</v>
      </c>
      <c r="B124" t="s">
        <v>385</v>
      </c>
    </row>
    <row r="125" spans="1:2">
      <c r="A125" t="s">
        <v>34</v>
      </c>
      <c r="B125" t="s">
        <v>386</v>
      </c>
    </row>
    <row r="126" spans="1:2">
      <c r="A126" t="s">
        <v>387</v>
      </c>
      <c r="B126" t="s">
        <v>388</v>
      </c>
    </row>
    <row r="127" spans="1:2">
      <c r="A127" t="s">
        <v>389</v>
      </c>
      <c r="B127" t="s">
        <v>390</v>
      </c>
    </row>
    <row r="128" spans="1:2">
      <c r="A128" t="s">
        <v>391</v>
      </c>
      <c r="B128" t="s">
        <v>392</v>
      </c>
    </row>
    <row r="129" spans="1:2">
      <c r="A129" t="s">
        <v>393</v>
      </c>
      <c r="B129" t="s">
        <v>394</v>
      </c>
    </row>
    <row r="130" spans="1:2">
      <c r="A130" t="s">
        <v>395</v>
      </c>
      <c r="B130" t="s">
        <v>396</v>
      </c>
    </row>
    <row r="131" spans="1:2">
      <c r="A131" t="s">
        <v>397</v>
      </c>
      <c r="B131" t="s">
        <v>398</v>
      </c>
    </row>
    <row r="132" spans="1:2">
      <c r="A132" t="s">
        <v>399</v>
      </c>
      <c r="B132" t="s">
        <v>400</v>
      </c>
    </row>
    <row r="133" spans="1:2">
      <c r="A133" t="s">
        <v>37</v>
      </c>
      <c r="B133" t="s">
        <v>401</v>
      </c>
    </row>
    <row r="134" spans="1:2">
      <c r="A134" t="s">
        <v>402</v>
      </c>
      <c r="B134" t="s">
        <v>403</v>
      </c>
    </row>
    <row r="135" spans="1:2">
      <c r="A135" t="s">
        <v>404</v>
      </c>
      <c r="B135" t="s">
        <v>405</v>
      </c>
    </row>
    <row r="136" spans="1:2">
      <c r="A136" t="s">
        <v>406</v>
      </c>
      <c r="B136" t="s">
        <v>407</v>
      </c>
    </row>
    <row r="137" spans="1:2">
      <c r="A137" t="s">
        <v>408</v>
      </c>
      <c r="B137" t="s">
        <v>409</v>
      </c>
    </row>
    <row r="138" spans="1:2">
      <c r="A138" t="s">
        <v>410</v>
      </c>
      <c r="B138" t="s">
        <v>411</v>
      </c>
    </row>
    <row r="139" spans="1:2">
      <c r="A139" t="s">
        <v>412</v>
      </c>
      <c r="B139" t="s">
        <v>413</v>
      </c>
    </row>
    <row r="140" spans="1:2">
      <c r="A140" t="s">
        <v>414</v>
      </c>
      <c r="B140" t="s">
        <v>415</v>
      </c>
    </row>
    <row r="141" spans="1:2">
      <c r="A141" t="s">
        <v>416</v>
      </c>
      <c r="B141" t="s">
        <v>417</v>
      </c>
    </row>
    <row r="142" spans="1:2">
      <c r="A142" t="s">
        <v>418</v>
      </c>
      <c r="B142" t="s">
        <v>419</v>
      </c>
    </row>
    <row r="143" spans="1:2">
      <c r="A143" t="s">
        <v>20</v>
      </c>
      <c r="B143" t="s">
        <v>420</v>
      </c>
    </row>
    <row r="144" spans="1:2">
      <c r="A144" t="s">
        <v>421</v>
      </c>
      <c r="B144" t="s">
        <v>422</v>
      </c>
    </row>
    <row r="145" spans="1:2">
      <c r="A145" t="s">
        <v>423</v>
      </c>
      <c r="B145" t="s">
        <v>424</v>
      </c>
    </row>
    <row r="146" spans="1:2">
      <c r="A146" t="s">
        <v>425</v>
      </c>
      <c r="B146" t="s">
        <v>426</v>
      </c>
    </row>
    <row r="147" spans="1:2">
      <c r="A147" t="s">
        <v>427</v>
      </c>
      <c r="B147" t="s">
        <v>428</v>
      </c>
    </row>
    <row r="148" spans="1:2">
      <c r="A148" t="s">
        <v>42</v>
      </c>
      <c r="B148" t="s">
        <v>429</v>
      </c>
    </row>
    <row r="149" spans="1:2">
      <c r="A149" t="s">
        <v>430</v>
      </c>
      <c r="B149" t="s">
        <v>431</v>
      </c>
    </row>
    <row r="150" spans="1:2">
      <c r="A150" t="s">
        <v>432</v>
      </c>
      <c r="B150" t="s">
        <v>433</v>
      </c>
    </row>
    <row r="151" spans="1:2">
      <c r="A151" t="s">
        <v>434</v>
      </c>
      <c r="B151" t="s">
        <v>435</v>
      </c>
    </row>
    <row r="152" spans="1:2">
      <c r="A152" t="s">
        <v>436</v>
      </c>
      <c r="B152" t="s">
        <v>437</v>
      </c>
    </row>
    <row r="153" spans="1:2">
      <c r="A153" t="s">
        <v>438</v>
      </c>
      <c r="B153" t="s">
        <v>439</v>
      </c>
    </row>
    <row r="154" spans="1:2">
      <c r="A154" t="s">
        <v>31</v>
      </c>
      <c r="B154" t="s">
        <v>440</v>
      </c>
    </row>
    <row r="155" spans="1:2">
      <c r="A155" t="s">
        <v>441</v>
      </c>
      <c r="B155" t="s">
        <v>442</v>
      </c>
    </row>
    <row r="156" spans="1:2">
      <c r="A156" t="s">
        <v>443</v>
      </c>
      <c r="B156" t="s">
        <v>444</v>
      </c>
    </row>
    <row r="157" spans="1:2">
      <c r="A157" t="s">
        <v>445</v>
      </c>
      <c r="B157" t="s">
        <v>446</v>
      </c>
    </row>
    <row r="158" spans="1:2">
      <c r="A158" t="s">
        <v>447</v>
      </c>
      <c r="B158" t="s">
        <v>448</v>
      </c>
    </row>
    <row r="159" spans="1:2">
      <c r="A159" t="s">
        <v>449</v>
      </c>
      <c r="B159" t="s">
        <v>450</v>
      </c>
    </row>
    <row r="160" spans="1:2">
      <c r="A160" t="s">
        <v>451</v>
      </c>
      <c r="B160" t="s">
        <v>452</v>
      </c>
    </row>
    <row r="161" spans="1:2">
      <c r="A161" t="s">
        <v>453</v>
      </c>
      <c r="B161" t="s">
        <v>454</v>
      </c>
    </row>
    <row r="162" spans="1:2">
      <c r="A162" t="s">
        <v>455</v>
      </c>
      <c r="B162" t="s">
        <v>456</v>
      </c>
    </row>
    <row r="163" spans="1:2">
      <c r="A163" t="s">
        <v>457</v>
      </c>
      <c r="B163" t="s">
        <v>458</v>
      </c>
    </row>
    <row r="164" spans="1:2">
      <c r="A164" t="s">
        <v>459</v>
      </c>
      <c r="B164" t="s">
        <v>460</v>
      </c>
    </row>
    <row r="165" spans="1:2">
      <c r="A165" t="s">
        <v>461</v>
      </c>
      <c r="B165" t="s">
        <v>462</v>
      </c>
    </row>
    <row r="166" spans="1:2">
      <c r="A166" t="s">
        <v>463</v>
      </c>
      <c r="B166" t="s">
        <v>464</v>
      </c>
    </row>
    <row r="167" spans="1:2">
      <c r="A167" t="s">
        <v>465</v>
      </c>
      <c r="B167" t="s">
        <v>466</v>
      </c>
    </row>
    <row r="168" spans="1:2">
      <c r="A168" t="s">
        <v>467</v>
      </c>
      <c r="B168" t="s">
        <v>468</v>
      </c>
    </row>
    <row r="169" spans="1:2">
      <c r="A169" t="s">
        <v>469</v>
      </c>
      <c r="B169" t="s">
        <v>470</v>
      </c>
    </row>
    <row r="170" spans="1:2">
      <c r="A170" t="s">
        <v>471</v>
      </c>
      <c r="B170" t="s">
        <v>472</v>
      </c>
    </row>
    <row r="171" spans="1:2">
      <c r="A171" t="s">
        <v>473</v>
      </c>
      <c r="B171" t="s">
        <v>474</v>
      </c>
    </row>
    <row r="172" spans="1:2">
      <c r="A172" t="s">
        <v>475</v>
      </c>
      <c r="B172" t="s">
        <v>476</v>
      </c>
    </row>
    <row r="173" spans="1:2">
      <c r="A173" t="s">
        <v>477</v>
      </c>
      <c r="B173" t="s">
        <v>478</v>
      </c>
    </row>
    <row r="174" spans="1:2">
      <c r="A174" t="s">
        <v>39</v>
      </c>
      <c r="B174" t="s">
        <v>479</v>
      </c>
    </row>
    <row r="175" spans="1:2">
      <c r="A175" t="s">
        <v>480</v>
      </c>
      <c r="B175" t="s">
        <v>481</v>
      </c>
    </row>
    <row r="176" spans="1:2">
      <c r="A176" t="s">
        <v>482</v>
      </c>
      <c r="B176" t="s">
        <v>483</v>
      </c>
    </row>
    <row r="177" spans="1:2">
      <c r="A177" t="s">
        <v>40</v>
      </c>
      <c r="B177" t="s">
        <v>484</v>
      </c>
    </row>
    <row r="178" spans="1:2">
      <c r="A178" t="s">
        <v>485</v>
      </c>
      <c r="B178" t="s">
        <v>486</v>
      </c>
    </row>
    <row r="179" spans="1:2">
      <c r="A179" t="s">
        <v>487</v>
      </c>
      <c r="B179" t="s">
        <v>488</v>
      </c>
    </row>
    <row r="180" spans="1:2">
      <c r="A180" t="s">
        <v>489</v>
      </c>
      <c r="B180" t="s">
        <v>490</v>
      </c>
    </row>
    <row r="181" spans="1:2">
      <c r="A181" t="s">
        <v>491</v>
      </c>
      <c r="B181" t="s">
        <v>492</v>
      </c>
    </row>
    <row r="182" spans="1:2">
      <c r="A182" t="s">
        <v>493</v>
      </c>
      <c r="B182" t="s">
        <v>494</v>
      </c>
    </row>
    <row r="183" spans="1:2">
      <c r="A183" t="s">
        <v>495</v>
      </c>
      <c r="B183" t="s">
        <v>496</v>
      </c>
    </row>
    <row r="184" spans="1:2">
      <c r="A184" t="s">
        <v>497</v>
      </c>
      <c r="B184" t="s">
        <v>498</v>
      </c>
    </row>
    <row r="185" spans="1:2">
      <c r="A185" t="s">
        <v>499</v>
      </c>
      <c r="B185" t="s">
        <v>500</v>
      </c>
    </row>
    <row r="186" spans="1:2">
      <c r="A186" t="s">
        <v>501</v>
      </c>
      <c r="B186" t="s">
        <v>502</v>
      </c>
    </row>
    <row r="187" spans="1:2">
      <c r="A187" t="s">
        <v>503</v>
      </c>
      <c r="B187" t="s">
        <v>504</v>
      </c>
    </row>
    <row r="188" spans="1:2">
      <c r="A188" t="s">
        <v>505</v>
      </c>
      <c r="B188" t="s">
        <v>506</v>
      </c>
    </row>
    <row r="189" spans="1:2">
      <c r="A189" t="s">
        <v>36</v>
      </c>
      <c r="B189" t="s">
        <v>507</v>
      </c>
    </row>
    <row r="190" spans="1:2">
      <c r="A190" t="s">
        <v>508</v>
      </c>
      <c r="B190" t="s">
        <v>509</v>
      </c>
    </row>
    <row r="191" spans="1:2">
      <c r="A191" t="s">
        <v>510</v>
      </c>
      <c r="B191" t="s">
        <v>511</v>
      </c>
    </row>
    <row r="192" spans="1:2">
      <c r="A192" t="s">
        <v>512</v>
      </c>
      <c r="B192" t="s">
        <v>513</v>
      </c>
    </row>
    <row r="193" spans="1:2">
      <c r="A193" t="s">
        <v>514</v>
      </c>
      <c r="B193" t="s">
        <v>515</v>
      </c>
    </row>
    <row r="194" spans="1:2">
      <c r="A194" t="s">
        <v>516</v>
      </c>
      <c r="B194" t="s">
        <v>517</v>
      </c>
    </row>
    <row r="195" spans="1:2">
      <c r="A195" t="s">
        <v>518</v>
      </c>
      <c r="B195" t="s">
        <v>519</v>
      </c>
    </row>
    <row r="196" spans="1:2">
      <c r="A196" t="s">
        <v>520</v>
      </c>
      <c r="B196" t="s">
        <v>521</v>
      </c>
    </row>
    <row r="197" spans="1:2">
      <c r="A197" t="s">
        <v>522</v>
      </c>
      <c r="B197" t="s">
        <v>523</v>
      </c>
    </row>
    <row r="198" spans="1:2">
      <c r="A198" t="s">
        <v>15</v>
      </c>
      <c r="B198" t="s">
        <v>524</v>
      </c>
    </row>
    <row r="199" spans="1:2">
      <c r="A199" t="s">
        <v>525</v>
      </c>
      <c r="B199" t="s">
        <v>526</v>
      </c>
    </row>
    <row r="200" spans="1:2">
      <c r="A200" t="s">
        <v>44</v>
      </c>
      <c r="B200" t="s">
        <v>527</v>
      </c>
    </row>
    <row r="201" spans="1:2">
      <c r="A201" t="s">
        <v>528</v>
      </c>
      <c r="B201" t="s">
        <v>529</v>
      </c>
    </row>
    <row r="202" spans="1:2">
      <c r="A202" t="s">
        <v>530</v>
      </c>
      <c r="B202" t="s">
        <v>531</v>
      </c>
    </row>
    <row r="203" spans="1:2">
      <c r="A203" t="s">
        <v>532</v>
      </c>
      <c r="B203" t="s">
        <v>533</v>
      </c>
    </row>
    <row r="204" spans="1:2">
      <c r="A204" t="s">
        <v>534</v>
      </c>
      <c r="B204" t="s">
        <v>535</v>
      </c>
    </row>
    <row r="205" spans="1:2">
      <c r="A205" t="s">
        <v>536</v>
      </c>
      <c r="B205" t="s">
        <v>537</v>
      </c>
    </row>
    <row r="206" spans="1:2">
      <c r="A206" t="s">
        <v>538</v>
      </c>
      <c r="B206" t="s">
        <v>539</v>
      </c>
    </row>
    <row r="207" spans="1:2">
      <c r="A207" t="s">
        <v>540</v>
      </c>
      <c r="B207" t="s">
        <v>541</v>
      </c>
    </row>
    <row r="208" spans="1:2">
      <c r="A208" t="s">
        <v>542</v>
      </c>
      <c r="B208" t="s">
        <v>543</v>
      </c>
    </row>
    <row r="209" spans="1:2">
      <c r="A209" t="s">
        <v>544</v>
      </c>
      <c r="B209" t="s">
        <v>545</v>
      </c>
    </row>
    <row r="210" spans="1:2">
      <c r="A210" t="s">
        <v>546</v>
      </c>
      <c r="B210" t="s">
        <v>547</v>
      </c>
    </row>
    <row r="211" spans="1:2">
      <c r="A211" t="s">
        <v>548</v>
      </c>
      <c r="B211" t="s">
        <v>549</v>
      </c>
    </row>
    <row r="212" spans="1:2">
      <c r="A212" t="s">
        <v>550</v>
      </c>
      <c r="B212" t="s">
        <v>551</v>
      </c>
    </row>
    <row r="213" spans="1:2">
      <c r="A213" t="s">
        <v>552</v>
      </c>
      <c r="B213" t="s">
        <v>553</v>
      </c>
    </row>
    <row r="214" spans="1:2">
      <c r="A214" t="s">
        <v>554</v>
      </c>
      <c r="B214" t="s">
        <v>555</v>
      </c>
    </row>
    <row r="215" spans="1:2">
      <c r="A215" t="s">
        <v>556</v>
      </c>
      <c r="B215" t="s">
        <v>557</v>
      </c>
    </row>
    <row r="216" spans="1:2">
      <c r="A216" t="s">
        <v>558</v>
      </c>
      <c r="B216" t="s">
        <v>559</v>
      </c>
    </row>
    <row r="217" spans="1:2">
      <c r="A217" t="s">
        <v>560</v>
      </c>
      <c r="B217" t="s">
        <v>561</v>
      </c>
    </row>
    <row r="218" spans="1:2">
      <c r="A218" t="s">
        <v>562</v>
      </c>
      <c r="B218" t="s">
        <v>563</v>
      </c>
    </row>
    <row r="219" spans="1:2">
      <c r="A219" t="s">
        <v>564</v>
      </c>
      <c r="B219" t="s">
        <v>565</v>
      </c>
    </row>
    <row r="220" spans="1:2">
      <c r="A220" t="s">
        <v>566</v>
      </c>
      <c r="B220" t="s">
        <v>567</v>
      </c>
    </row>
    <row r="221" spans="1:2">
      <c r="A221" t="s">
        <v>568</v>
      </c>
      <c r="B221" t="s">
        <v>569</v>
      </c>
    </row>
    <row r="222" spans="1:2">
      <c r="A222" t="s">
        <v>570</v>
      </c>
      <c r="B222" t="s">
        <v>571</v>
      </c>
    </row>
    <row r="223" spans="1:2">
      <c r="A223" t="s">
        <v>572</v>
      </c>
      <c r="B223" t="s">
        <v>573</v>
      </c>
    </row>
    <row r="224" spans="1:2">
      <c r="A224" t="s">
        <v>26</v>
      </c>
      <c r="B224" t="s">
        <v>574</v>
      </c>
    </row>
    <row r="225" spans="1:2">
      <c r="A225" t="s">
        <v>575</v>
      </c>
      <c r="B225" t="s">
        <v>576</v>
      </c>
    </row>
    <row r="226" spans="1:2">
      <c r="A226" t="s">
        <v>24</v>
      </c>
      <c r="B226" t="s">
        <v>577</v>
      </c>
    </row>
    <row r="227" spans="1:2">
      <c r="A227" t="s">
        <v>578</v>
      </c>
      <c r="B227" t="s">
        <v>579</v>
      </c>
    </row>
    <row r="228" spans="1:2">
      <c r="A228" t="s">
        <v>580</v>
      </c>
      <c r="B228" t="s">
        <v>581</v>
      </c>
    </row>
    <row r="229" spans="1:2">
      <c r="A229" t="s">
        <v>582</v>
      </c>
      <c r="B229" t="s">
        <v>583</v>
      </c>
    </row>
    <row r="230" spans="1:2">
      <c r="A230" t="s">
        <v>584</v>
      </c>
      <c r="B230" t="s">
        <v>585</v>
      </c>
    </row>
    <row r="231" spans="1:2">
      <c r="A231" t="s">
        <v>586</v>
      </c>
      <c r="B231" t="s">
        <v>587</v>
      </c>
    </row>
    <row r="232" spans="1:2">
      <c r="A232" t="s">
        <v>588</v>
      </c>
      <c r="B232" t="s">
        <v>589</v>
      </c>
    </row>
    <row r="233" spans="1:2">
      <c r="A233" t="s">
        <v>590</v>
      </c>
      <c r="B233" t="s">
        <v>591</v>
      </c>
    </row>
    <row r="234" spans="1:2">
      <c r="A234" t="s">
        <v>592</v>
      </c>
      <c r="B234" t="s">
        <v>593</v>
      </c>
    </row>
    <row r="235" spans="1:2">
      <c r="A235" t="s">
        <v>594</v>
      </c>
      <c r="B235" t="s">
        <v>595</v>
      </c>
    </row>
    <row r="236" spans="1:2">
      <c r="A236" t="s">
        <v>18</v>
      </c>
      <c r="B236" t="s">
        <v>596</v>
      </c>
    </row>
    <row r="237" spans="1:2">
      <c r="A237" t="s">
        <v>23</v>
      </c>
      <c r="B237" t="s">
        <v>597</v>
      </c>
    </row>
    <row r="238" spans="1:2">
      <c r="A238" t="s">
        <v>25</v>
      </c>
      <c r="B238" t="s">
        <v>598</v>
      </c>
    </row>
    <row r="239" spans="1:2">
      <c r="A239" t="s">
        <v>16</v>
      </c>
      <c r="B239" t="s">
        <v>599</v>
      </c>
    </row>
    <row r="240" spans="1:2">
      <c r="A240" t="s">
        <v>17</v>
      </c>
      <c r="B240" t="s">
        <v>600</v>
      </c>
    </row>
    <row r="241" spans="1:2">
      <c r="A241" t="s">
        <v>28</v>
      </c>
      <c r="B241" t="s">
        <v>601</v>
      </c>
    </row>
    <row r="242" spans="1:2">
      <c r="A242" t="s">
        <v>30</v>
      </c>
      <c r="B242" t="s">
        <v>30</v>
      </c>
    </row>
    <row r="243" spans="1:2">
      <c r="A243" t="s">
        <v>30</v>
      </c>
      <c r="B243" t="s">
        <v>602</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placeSheet"/>
  <dimension ref="A1:B6"/>
  <sheetViews>
    <sheetView workbookViewId="0">
      <selection activeCell="B9" sqref="B9"/>
    </sheetView>
  </sheetViews>
  <sheetFormatPr defaultRowHeight="15"/>
  <cols>
    <col min="1" max="1" width="13.7109375" customWidth="1"/>
    <col min="2" max="2" width="27.28515625" customWidth="1"/>
  </cols>
  <sheetData>
    <row r="1" spans="1:2">
      <c r="A1" s="29" t="s">
        <v>8092</v>
      </c>
      <c r="B1" s="29" t="s">
        <v>8093</v>
      </c>
    </row>
    <row r="2" spans="1:2">
      <c r="A2" t="s">
        <v>8094</v>
      </c>
      <c r="B2" t="s">
        <v>8085</v>
      </c>
    </row>
    <row r="3" spans="1:2">
      <c r="A3" t="s">
        <v>8095</v>
      </c>
      <c r="B3" t="s">
        <v>8086</v>
      </c>
    </row>
    <row r="4" spans="1:2">
      <c r="A4" t="s">
        <v>8096</v>
      </c>
      <c r="B4" t="s">
        <v>8087</v>
      </c>
    </row>
    <row r="5" spans="1:2">
      <c r="A5" t="s">
        <v>8088</v>
      </c>
      <c r="B5" t="s">
        <v>8089</v>
      </c>
    </row>
    <row r="6" spans="1:2">
      <c r="A6" t="s">
        <v>8090</v>
      </c>
      <c r="B6" t="s">
        <v>8091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Sheet"/>
  <dimension ref="A1:E329"/>
  <sheetViews>
    <sheetView workbookViewId="0">
      <selection activeCell="I11" sqref="I11"/>
    </sheetView>
  </sheetViews>
  <sheetFormatPr defaultRowHeight="15"/>
  <cols>
    <col min="1" max="1" width="19" customWidth="1"/>
    <col min="3" max="3" width="21" bestFit="1" customWidth="1"/>
    <col min="4" max="4" width="16.140625" customWidth="1"/>
  </cols>
  <sheetData>
    <row r="1" spans="1:5">
      <c r="A1" t="s">
        <v>4834</v>
      </c>
      <c r="B1" t="s">
        <v>16</v>
      </c>
      <c r="C1" t="s">
        <v>1706</v>
      </c>
      <c r="D1" t="s">
        <v>8051</v>
      </c>
      <c r="E1" t="s">
        <v>6611</v>
      </c>
    </row>
    <row r="2" spans="1:5">
      <c r="A2" t="s">
        <v>1653</v>
      </c>
      <c r="B2" t="s">
        <v>21</v>
      </c>
      <c r="C2" t="s">
        <v>1314</v>
      </c>
      <c r="D2" t="s">
        <v>7786</v>
      </c>
      <c r="E2" t="s">
        <v>7588</v>
      </c>
    </row>
    <row r="3" spans="1:5">
      <c r="A3" t="s">
        <v>4076</v>
      </c>
      <c r="B3" t="s">
        <v>16</v>
      </c>
      <c r="C3" t="s">
        <v>1849</v>
      </c>
      <c r="D3" t="s">
        <v>992</v>
      </c>
      <c r="E3" t="s">
        <v>6273</v>
      </c>
    </row>
    <row r="4" spans="1:5">
      <c r="A4" t="s">
        <v>901</v>
      </c>
      <c r="B4" t="s">
        <v>21</v>
      </c>
      <c r="C4" t="s">
        <v>1134</v>
      </c>
      <c r="D4" t="s">
        <v>4033</v>
      </c>
      <c r="E4" t="s">
        <v>5905</v>
      </c>
    </row>
    <row r="5" spans="1:5">
      <c r="A5" t="s">
        <v>750</v>
      </c>
      <c r="B5" t="s">
        <v>16</v>
      </c>
      <c r="C5" t="s">
        <v>744</v>
      </c>
      <c r="D5" t="s">
        <v>4656</v>
      </c>
      <c r="E5" t="s">
        <v>7548</v>
      </c>
    </row>
    <row r="6" spans="1:5">
      <c r="A6" t="s">
        <v>6448</v>
      </c>
      <c r="B6" t="s">
        <v>26</v>
      </c>
      <c r="C6" t="s">
        <v>30</v>
      </c>
      <c r="D6" t="s">
        <v>2384</v>
      </c>
      <c r="E6" t="s">
        <v>7221</v>
      </c>
    </row>
    <row r="7" spans="1:5">
      <c r="A7" t="s">
        <v>2787</v>
      </c>
      <c r="B7" t="s">
        <v>14</v>
      </c>
      <c r="C7" t="s">
        <v>7162</v>
      </c>
      <c r="D7" t="s">
        <v>1538</v>
      </c>
      <c r="E7" t="s">
        <v>8016</v>
      </c>
    </row>
    <row r="8" spans="1:5">
      <c r="A8" t="s">
        <v>3495</v>
      </c>
      <c r="B8" t="s">
        <v>21</v>
      </c>
      <c r="C8" t="s">
        <v>5026</v>
      </c>
      <c r="D8" t="s">
        <v>2025</v>
      </c>
      <c r="E8" t="s">
        <v>6457</v>
      </c>
    </row>
    <row r="9" spans="1:5">
      <c r="A9" t="s">
        <v>950</v>
      </c>
      <c r="B9" t="s">
        <v>952</v>
      </c>
      <c r="C9" t="s">
        <v>1938</v>
      </c>
      <c r="D9" t="s">
        <v>1504</v>
      </c>
      <c r="E9" t="s">
        <v>7190</v>
      </c>
    </row>
    <row r="10" spans="1:5">
      <c r="A10" t="s">
        <v>1213</v>
      </c>
      <c r="B10" t="s">
        <v>952</v>
      </c>
      <c r="C10" t="s">
        <v>2338</v>
      </c>
      <c r="D10" t="s">
        <v>858</v>
      </c>
      <c r="E10" t="s">
        <v>7069</v>
      </c>
    </row>
    <row r="11" spans="1:5">
      <c r="A11" t="s">
        <v>737</v>
      </c>
      <c r="B11" t="s">
        <v>21</v>
      </c>
      <c r="C11" t="s">
        <v>1344</v>
      </c>
      <c r="D11" t="s">
        <v>2204</v>
      </c>
      <c r="E11" t="s">
        <v>6748</v>
      </c>
    </row>
    <row r="12" spans="1:5">
      <c r="A12" t="s">
        <v>3921</v>
      </c>
      <c r="B12" t="s">
        <v>18</v>
      </c>
      <c r="C12" t="s">
        <v>1857</v>
      </c>
      <c r="D12" t="s">
        <v>1895</v>
      </c>
      <c r="E12" t="s">
        <v>6784</v>
      </c>
    </row>
    <row r="13" spans="1:5">
      <c r="A13" t="s">
        <v>3442</v>
      </c>
      <c r="B13" t="s">
        <v>29</v>
      </c>
      <c r="C13" t="s">
        <v>22</v>
      </c>
      <c r="D13" t="s">
        <v>1687</v>
      </c>
      <c r="E13" t="s">
        <v>5598</v>
      </c>
    </row>
    <row r="14" spans="1:5">
      <c r="A14" t="s">
        <v>1090</v>
      </c>
      <c r="B14" t="s">
        <v>36</v>
      </c>
      <c r="C14" t="s">
        <v>4606</v>
      </c>
      <c r="D14" t="s">
        <v>2136</v>
      </c>
      <c r="E14" t="s">
        <v>6245</v>
      </c>
    </row>
    <row r="15" spans="1:5">
      <c r="A15" t="s">
        <v>916</v>
      </c>
      <c r="B15" t="s">
        <v>16</v>
      </c>
      <c r="C15" t="s">
        <v>913</v>
      </c>
      <c r="D15" t="s">
        <v>3267</v>
      </c>
      <c r="E15" t="s">
        <v>5504</v>
      </c>
    </row>
    <row r="16" spans="1:5">
      <c r="A16" t="s">
        <v>1797</v>
      </c>
      <c r="B16" t="s">
        <v>31</v>
      </c>
      <c r="C16" t="s">
        <v>2863</v>
      </c>
      <c r="D16" t="s">
        <v>1285</v>
      </c>
      <c r="E16" t="s">
        <v>6695</v>
      </c>
    </row>
    <row r="17" spans="1:5">
      <c r="A17" t="s">
        <v>2020</v>
      </c>
      <c r="B17" t="s">
        <v>24</v>
      </c>
      <c r="C17" t="s">
        <v>864</v>
      </c>
      <c r="D17" t="s">
        <v>2713</v>
      </c>
      <c r="E17" t="s">
        <v>6865</v>
      </c>
    </row>
    <row r="18" spans="1:5">
      <c r="A18" t="s">
        <v>6034</v>
      </c>
      <c r="B18" t="s">
        <v>15</v>
      </c>
      <c r="C18" t="s">
        <v>2813</v>
      </c>
      <c r="D18" t="s">
        <v>1031</v>
      </c>
      <c r="E18" t="s">
        <v>7158</v>
      </c>
    </row>
    <row r="19" spans="1:5">
      <c r="A19" t="s">
        <v>2541</v>
      </c>
      <c r="B19" t="s">
        <v>15</v>
      </c>
      <c r="C19" t="s">
        <v>2656</v>
      </c>
      <c r="D19" t="s">
        <v>2633</v>
      </c>
      <c r="E19" t="s">
        <v>783</v>
      </c>
    </row>
    <row r="20" spans="1:5">
      <c r="A20" t="s">
        <v>718</v>
      </c>
      <c r="B20" t="s">
        <v>16</v>
      </c>
      <c r="C20" t="s">
        <v>1927</v>
      </c>
      <c r="D20" t="s">
        <v>867</v>
      </c>
      <c r="E20" t="s">
        <v>1895</v>
      </c>
    </row>
    <row r="21" spans="1:5">
      <c r="A21" t="s">
        <v>5567</v>
      </c>
      <c r="B21" t="s">
        <v>15</v>
      </c>
      <c r="C21" t="s">
        <v>2627</v>
      </c>
      <c r="D21" t="s">
        <v>6060</v>
      </c>
      <c r="E21" t="s">
        <v>4278</v>
      </c>
    </row>
    <row r="22" spans="1:5">
      <c r="A22" t="s">
        <v>1436</v>
      </c>
      <c r="B22" t="s">
        <v>22</v>
      </c>
      <c r="C22" t="s">
        <v>1169</v>
      </c>
      <c r="D22" t="s">
        <v>8055</v>
      </c>
      <c r="E22" t="s">
        <v>7484</v>
      </c>
    </row>
    <row r="23" spans="1:5">
      <c r="A23" t="s">
        <v>4752</v>
      </c>
      <c r="B23" t="s">
        <v>18</v>
      </c>
      <c r="C23" t="s">
        <v>2811</v>
      </c>
      <c r="D23" t="s">
        <v>1195</v>
      </c>
      <c r="E23" t="s">
        <v>6003</v>
      </c>
    </row>
    <row r="24" spans="1:5">
      <c r="A24" t="s">
        <v>1337</v>
      </c>
      <c r="B24" t="s">
        <v>18</v>
      </c>
      <c r="C24" t="s">
        <v>1432</v>
      </c>
      <c r="D24" t="s">
        <v>6635</v>
      </c>
      <c r="E24" t="s">
        <v>3096</v>
      </c>
    </row>
    <row r="25" spans="1:5">
      <c r="A25" t="s">
        <v>3513</v>
      </c>
      <c r="B25" t="s">
        <v>21</v>
      </c>
      <c r="C25" t="s">
        <v>1118</v>
      </c>
      <c r="D25" t="s">
        <v>947</v>
      </c>
      <c r="E25" t="s">
        <v>1809</v>
      </c>
    </row>
    <row r="26" spans="1:5">
      <c r="A26" t="s">
        <v>8039</v>
      </c>
      <c r="B26" t="s">
        <v>21</v>
      </c>
      <c r="C26" t="s">
        <v>785</v>
      </c>
      <c r="D26" t="s">
        <v>8063</v>
      </c>
      <c r="E26" t="s">
        <v>7084</v>
      </c>
    </row>
    <row r="27" spans="1:5">
      <c r="A27" t="s">
        <v>4125</v>
      </c>
      <c r="B27" t="s">
        <v>16</v>
      </c>
      <c r="C27" t="s">
        <v>3982</v>
      </c>
      <c r="D27" t="s">
        <v>2668</v>
      </c>
      <c r="E27" t="s">
        <v>3169</v>
      </c>
    </row>
    <row r="28" spans="1:5">
      <c r="A28" t="s">
        <v>2065</v>
      </c>
      <c r="B28" t="s">
        <v>21</v>
      </c>
      <c r="C28" t="s">
        <v>1941</v>
      </c>
      <c r="D28" t="s">
        <v>8077</v>
      </c>
      <c r="E28" t="s">
        <v>6549</v>
      </c>
    </row>
    <row r="29" spans="1:5">
      <c r="A29" t="s">
        <v>1046</v>
      </c>
      <c r="B29" t="s">
        <v>21</v>
      </c>
      <c r="C29" t="s">
        <v>1143</v>
      </c>
      <c r="D29" t="s">
        <v>8028</v>
      </c>
      <c r="E29" t="s">
        <v>3038</v>
      </c>
    </row>
    <row r="30" spans="1:5">
      <c r="A30" t="s">
        <v>4639</v>
      </c>
      <c r="B30" t="s">
        <v>21</v>
      </c>
      <c r="C30" t="s">
        <v>2022</v>
      </c>
      <c r="D30" t="s">
        <v>8053</v>
      </c>
      <c r="E30" t="s">
        <v>5094</v>
      </c>
    </row>
    <row r="31" spans="1:5">
      <c r="A31" t="s">
        <v>2184</v>
      </c>
      <c r="B31" t="s">
        <v>17</v>
      </c>
      <c r="C31" t="s">
        <v>7031</v>
      </c>
      <c r="D31" t="s">
        <v>791</v>
      </c>
      <c r="E31" t="s">
        <v>6259</v>
      </c>
    </row>
    <row r="32" spans="1:5">
      <c r="A32" t="s">
        <v>878</v>
      </c>
      <c r="B32" t="s">
        <v>21</v>
      </c>
      <c r="C32" t="s">
        <v>1139</v>
      </c>
      <c r="D32" t="s">
        <v>1524</v>
      </c>
      <c r="E32" t="s">
        <v>3083</v>
      </c>
    </row>
    <row r="33" spans="1:5">
      <c r="A33" t="s">
        <v>7673</v>
      </c>
      <c r="B33" t="s">
        <v>38</v>
      </c>
      <c r="C33" t="s">
        <v>763</v>
      </c>
      <c r="D33" t="s">
        <v>6013</v>
      </c>
      <c r="E33" t="s">
        <v>7696</v>
      </c>
    </row>
    <row r="34" spans="1:5">
      <c r="A34" t="s">
        <v>6057</v>
      </c>
      <c r="B34" t="s">
        <v>38</v>
      </c>
      <c r="C34" t="s">
        <v>2549</v>
      </c>
      <c r="D34" t="s">
        <v>5073</v>
      </c>
      <c r="E34" t="s">
        <v>2399</v>
      </c>
    </row>
    <row r="35" spans="1:5">
      <c r="A35" t="s">
        <v>5804</v>
      </c>
      <c r="B35" t="s">
        <v>16</v>
      </c>
      <c r="C35" t="s">
        <v>730</v>
      </c>
      <c r="D35" t="s">
        <v>3051</v>
      </c>
      <c r="E35" t="s">
        <v>5372</v>
      </c>
    </row>
    <row r="36" spans="1:5">
      <c r="A36" t="s">
        <v>5009</v>
      </c>
      <c r="B36" t="s">
        <v>34</v>
      </c>
      <c r="C36" t="s">
        <v>790</v>
      </c>
      <c r="D36" t="s">
        <v>1305</v>
      </c>
      <c r="E36" t="s">
        <v>6263</v>
      </c>
    </row>
    <row r="37" spans="1:5">
      <c r="A37" t="s">
        <v>1547</v>
      </c>
      <c r="B37" t="s">
        <v>14</v>
      </c>
      <c r="C37" t="s">
        <v>738</v>
      </c>
      <c r="D37" t="s">
        <v>1678</v>
      </c>
      <c r="E37" t="s">
        <v>7049</v>
      </c>
    </row>
    <row r="38" spans="1:5">
      <c r="A38" t="s">
        <v>1977</v>
      </c>
      <c r="B38" t="s">
        <v>19</v>
      </c>
      <c r="C38" t="s">
        <v>3193</v>
      </c>
      <c r="D38" t="s">
        <v>953</v>
      </c>
      <c r="E38" t="s">
        <v>2124</v>
      </c>
    </row>
    <row r="39" spans="1:5">
      <c r="A39" t="s">
        <v>749</v>
      </c>
      <c r="B39" t="s">
        <v>16</v>
      </c>
      <c r="C39" t="s">
        <v>807</v>
      </c>
      <c r="D39" t="s">
        <v>2573</v>
      </c>
      <c r="E39" t="s">
        <v>6836</v>
      </c>
    </row>
    <row r="40" spans="1:5">
      <c r="A40" t="s">
        <v>933</v>
      </c>
      <c r="B40" t="s">
        <v>935</v>
      </c>
      <c r="C40" t="s">
        <v>3167</v>
      </c>
      <c r="D40" t="s">
        <v>774</v>
      </c>
      <c r="E40" t="s">
        <v>1953</v>
      </c>
    </row>
    <row r="41" spans="1:5">
      <c r="A41" t="s">
        <v>1366</v>
      </c>
      <c r="B41" t="s">
        <v>16</v>
      </c>
      <c r="C41" t="s">
        <v>3211</v>
      </c>
      <c r="D41" t="s">
        <v>7347</v>
      </c>
      <c r="E41" t="s">
        <v>4822</v>
      </c>
    </row>
    <row r="42" spans="1:5">
      <c r="A42" t="s">
        <v>1343</v>
      </c>
      <c r="B42" t="s">
        <v>32</v>
      </c>
      <c r="C42" t="s">
        <v>3350</v>
      </c>
      <c r="D42" t="s">
        <v>903</v>
      </c>
      <c r="E42" t="s">
        <v>7374</v>
      </c>
    </row>
    <row r="43" spans="1:5">
      <c r="A43" t="s">
        <v>1856</v>
      </c>
      <c r="B43" t="s">
        <v>32</v>
      </c>
      <c r="C43" t="s">
        <v>857</v>
      </c>
      <c r="D43" t="s">
        <v>5625</v>
      </c>
      <c r="E43" t="s">
        <v>6353</v>
      </c>
    </row>
    <row r="44" spans="1:5">
      <c r="A44" t="s">
        <v>2605</v>
      </c>
      <c r="B44" t="s">
        <v>30</v>
      </c>
      <c r="C44" t="s">
        <v>880</v>
      </c>
      <c r="D44" t="s">
        <v>1131</v>
      </c>
      <c r="E44" t="s">
        <v>5962</v>
      </c>
    </row>
    <row r="45" spans="1:5">
      <c r="A45" t="s">
        <v>717</v>
      </c>
      <c r="B45" t="s">
        <v>16</v>
      </c>
      <c r="C45" t="s">
        <v>823</v>
      </c>
      <c r="D45" t="s">
        <v>2814</v>
      </c>
      <c r="E45" t="s">
        <v>3450</v>
      </c>
    </row>
    <row r="46" spans="1:5">
      <c r="A46" t="s">
        <v>5106</v>
      </c>
      <c r="B46" t="s">
        <v>16</v>
      </c>
      <c r="C46" t="s">
        <v>1470</v>
      </c>
      <c r="D46" t="s">
        <v>8070</v>
      </c>
      <c r="E46" t="s">
        <v>6921</v>
      </c>
    </row>
    <row r="47" spans="1:5">
      <c r="A47" t="s">
        <v>1866</v>
      </c>
      <c r="B47" t="s">
        <v>16</v>
      </c>
      <c r="C47" t="s">
        <v>3133</v>
      </c>
      <c r="D47" t="s">
        <v>731</v>
      </c>
      <c r="E47" t="s">
        <v>2177</v>
      </c>
    </row>
    <row r="48" spans="1:5">
      <c r="A48" t="s">
        <v>3215</v>
      </c>
      <c r="B48" t="s">
        <v>21</v>
      </c>
      <c r="C48" t="s">
        <v>758</v>
      </c>
      <c r="D48" t="s">
        <v>1184</v>
      </c>
      <c r="E48" t="s">
        <v>2331</v>
      </c>
    </row>
    <row r="49" spans="1:5">
      <c r="A49" t="s">
        <v>1176</v>
      </c>
      <c r="B49" t="s">
        <v>16</v>
      </c>
      <c r="C49" t="s">
        <v>2744</v>
      </c>
      <c r="D49" t="s">
        <v>8052</v>
      </c>
      <c r="E49" t="s">
        <v>3203</v>
      </c>
    </row>
    <row r="50" spans="1:5">
      <c r="A50" t="s">
        <v>3499</v>
      </c>
      <c r="B50" t="s">
        <v>26</v>
      </c>
      <c r="C50" t="s">
        <v>8007</v>
      </c>
      <c r="D50" t="s">
        <v>8071</v>
      </c>
      <c r="E50" t="s">
        <v>7471</v>
      </c>
    </row>
    <row r="51" spans="1:5">
      <c r="A51" t="s">
        <v>5035</v>
      </c>
      <c r="B51" t="s">
        <v>18</v>
      </c>
      <c r="C51" t="s">
        <v>1455</v>
      </c>
      <c r="D51" t="s">
        <v>8056</v>
      </c>
      <c r="E51" t="s">
        <v>5844</v>
      </c>
    </row>
    <row r="52" spans="1:5">
      <c r="A52" t="s">
        <v>7478</v>
      </c>
      <c r="B52" t="s">
        <v>18</v>
      </c>
      <c r="C52" t="s">
        <v>2050</v>
      </c>
      <c r="D52" t="s">
        <v>2418</v>
      </c>
      <c r="E52" t="s">
        <v>7112</v>
      </c>
    </row>
    <row r="53" spans="1:5">
      <c r="A53" t="s">
        <v>2979</v>
      </c>
      <c r="B53" t="s">
        <v>18</v>
      </c>
      <c r="C53" t="s">
        <v>4122</v>
      </c>
      <c r="D53" t="s">
        <v>5362</v>
      </c>
      <c r="E53" t="s">
        <v>3408</v>
      </c>
    </row>
    <row r="54" spans="1:5">
      <c r="A54" t="s">
        <v>1418</v>
      </c>
      <c r="B54" t="s">
        <v>16</v>
      </c>
      <c r="C54" t="s">
        <v>28</v>
      </c>
      <c r="D54" t="s">
        <v>851</v>
      </c>
      <c r="E54" t="s">
        <v>7203</v>
      </c>
    </row>
    <row r="55" spans="1:5">
      <c r="A55" t="s">
        <v>827</v>
      </c>
      <c r="B55" t="s">
        <v>21</v>
      </c>
      <c r="C55" t="s">
        <v>4854</v>
      </c>
      <c r="D55" t="s">
        <v>759</v>
      </c>
      <c r="E55" t="s">
        <v>7494</v>
      </c>
    </row>
    <row r="56" spans="1:5">
      <c r="A56" t="s">
        <v>1905</v>
      </c>
      <c r="B56" t="s">
        <v>19</v>
      </c>
      <c r="C56" t="s">
        <v>6881</v>
      </c>
      <c r="D56" t="s">
        <v>8064</v>
      </c>
      <c r="E56" t="s">
        <v>6207</v>
      </c>
    </row>
    <row r="57" spans="1:5">
      <c r="A57" t="s">
        <v>1936</v>
      </c>
      <c r="B57" t="s">
        <v>33</v>
      </c>
      <c r="C57" t="s">
        <v>6141</v>
      </c>
      <c r="D57" t="s">
        <v>2022</v>
      </c>
      <c r="E57" t="s">
        <v>7769</v>
      </c>
    </row>
    <row r="58" spans="1:5">
      <c r="A58" t="s">
        <v>971</v>
      </c>
      <c r="B58" t="s">
        <v>15</v>
      </c>
      <c r="C58" t="s">
        <v>966</v>
      </c>
      <c r="D58" t="s">
        <v>6489</v>
      </c>
      <c r="E58" t="s">
        <v>7497</v>
      </c>
    </row>
    <row r="59" spans="1:5">
      <c r="A59" t="s">
        <v>2431</v>
      </c>
      <c r="B59" t="s">
        <v>22</v>
      </c>
      <c r="C59" t="s">
        <v>3974</v>
      </c>
      <c r="D59" t="s">
        <v>8060</v>
      </c>
      <c r="E59" t="s">
        <v>7603</v>
      </c>
    </row>
    <row r="60" spans="1:5">
      <c r="A60" t="s">
        <v>1424</v>
      </c>
      <c r="B60" t="s">
        <v>26</v>
      </c>
      <c r="C60" t="s">
        <v>1320</v>
      </c>
      <c r="D60" t="s">
        <v>803</v>
      </c>
      <c r="E60" t="s">
        <v>5891</v>
      </c>
    </row>
    <row r="61" spans="1:5">
      <c r="A61" t="s">
        <v>4367</v>
      </c>
      <c r="B61" t="s">
        <v>22</v>
      </c>
      <c r="C61" t="s">
        <v>2362</v>
      </c>
      <c r="D61" t="s">
        <v>8072</v>
      </c>
      <c r="E61" t="s">
        <v>6071</v>
      </c>
    </row>
    <row r="62" spans="1:5">
      <c r="A62" t="s">
        <v>1630</v>
      </c>
      <c r="B62" t="s">
        <v>935</v>
      </c>
      <c r="C62" t="s">
        <v>1662</v>
      </c>
      <c r="D62" t="s">
        <v>5687</v>
      </c>
      <c r="E62" t="s">
        <v>7911</v>
      </c>
    </row>
    <row r="63" spans="1:5">
      <c r="A63" t="s">
        <v>3810</v>
      </c>
      <c r="B63" t="s">
        <v>15</v>
      </c>
      <c r="C63" t="s">
        <v>3421</v>
      </c>
      <c r="D63" t="s">
        <v>886</v>
      </c>
      <c r="E63" t="s">
        <v>7600</v>
      </c>
    </row>
    <row r="64" spans="1:5">
      <c r="A64" t="s">
        <v>1026</v>
      </c>
      <c r="B64" t="s">
        <v>18</v>
      </c>
      <c r="C64" t="s">
        <v>3875</v>
      </c>
      <c r="D64" t="s">
        <v>2412</v>
      </c>
      <c r="E64" t="s">
        <v>7281</v>
      </c>
    </row>
    <row r="65" spans="1:5">
      <c r="A65" t="s">
        <v>5860</v>
      </c>
      <c r="B65" t="s">
        <v>16</v>
      </c>
      <c r="C65" t="s">
        <v>7310</v>
      </c>
      <c r="D65" t="s">
        <v>3088</v>
      </c>
      <c r="E65" t="s">
        <v>7640</v>
      </c>
    </row>
    <row r="66" spans="1:5">
      <c r="A66" t="s">
        <v>1560</v>
      </c>
      <c r="B66" t="s">
        <v>15</v>
      </c>
      <c r="C66" t="s">
        <v>987</v>
      </c>
      <c r="D66" t="s">
        <v>2895</v>
      </c>
      <c r="E66" t="s">
        <v>7019</v>
      </c>
    </row>
    <row r="67" spans="1:5">
      <c r="A67" t="s">
        <v>1529</v>
      </c>
      <c r="B67" t="s">
        <v>18</v>
      </c>
      <c r="C67" t="s">
        <v>7263</v>
      </c>
      <c r="D67" t="s">
        <v>768</v>
      </c>
      <c r="E67" t="s">
        <v>7385</v>
      </c>
    </row>
    <row r="68" spans="1:5">
      <c r="A68" t="s">
        <v>6058</v>
      </c>
      <c r="B68" t="s">
        <v>18</v>
      </c>
      <c r="C68" t="s">
        <v>2406</v>
      </c>
      <c r="D68" t="s">
        <v>725</v>
      </c>
      <c r="E68" t="s">
        <v>7585</v>
      </c>
    </row>
    <row r="69" spans="1:5">
      <c r="A69" t="s">
        <v>4867</v>
      </c>
      <c r="B69" t="s">
        <v>22</v>
      </c>
      <c r="C69" t="s">
        <v>1950</v>
      </c>
      <c r="D69" t="s">
        <v>2774</v>
      </c>
      <c r="E69" t="s">
        <v>7457</v>
      </c>
    </row>
    <row r="70" spans="1:5">
      <c r="A70" t="s">
        <v>1969</v>
      </c>
      <c r="B70" t="s">
        <v>22</v>
      </c>
      <c r="C70" t="s">
        <v>3248</v>
      </c>
      <c r="D70" t="s">
        <v>914</v>
      </c>
      <c r="E70" t="s">
        <v>5911</v>
      </c>
    </row>
    <row r="71" spans="1:5">
      <c r="A71" t="s">
        <v>1796</v>
      </c>
      <c r="B71" t="s">
        <v>15</v>
      </c>
      <c r="C71" t="s">
        <v>5350</v>
      </c>
      <c r="D71" t="s">
        <v>2401</v>
      </c>
      <c r="E71" t="s">
        <v>6989</v>
      </c>
    </row>
    <row r="72" spans="1:5">
      <c r="A72" t="s">
        <v>6995</v>
      </c>
      <c r="B72" t="s">
        <v>26</v>
      </c>
      <c r="C72" t="s">
        <v>1294</v>
      </c>
      <c r="D72" t="s">
        <v>1945</v>
      </c>
      <c r="E72" t="s">
        <v>5976</v>
      </c>
    </row>
    <row r="73" spans="1:5">
      <c r="A73" t="s">
        <v>6429</v>
      </c>
      <c r="B73" t="s">
        <v>26</v>
      </c>
      <c r="C73" t="s">
        <v>2756</v>
      </c>
      <c r="D73" t="s">
        <v>2175</v>
      </c>
      <c r="E73" t="s">
        <v>6792</v>
      </c>
    </row>
    <row r="74" spans="1:5">
      <c r="A74" t="s">
        <v>7909</v>
      </c>
      <c r="B74" t="s">
        <v>29</v>
      </c>
      <c r="C74" t="s">
        <v>16</v>
      </c>
      <c r="D74" t="s">
        <v>5367</v>
      </c>
      <c r="E74" t="s">
        <v>5915</v>
      </c>
    </row>
    <row r="75" spans="1:5">
      <c r="A75" t="s">
        <v>822</v>
      </c>
      <c r="B75" t="s">
        <v>21</v>
      </c>
      <c r="C75" t="s">
        <v>719</v>
      </c>
      <c r="D75" t="s">
        <v>2119</v>
      </c>
      <c r="E75" t="s">
        <v>7608</v>
      </c>
    </row>
    <row r="76" spans="1:5">
      <c r="A76" t="s">
        <v>4258</v>
      </c>
      <c r="B76" t="s">
        <v>21</v>
      </c>
      <c r="C76" t="s">
        <v>752</v>
      </c>
      <c r="D76" t="s">
        <v>1178</v>
      </c>
      <c r="E76" t="s">
        <v>7075</v>
      </c>
    </row>
    <row r="77" spans="1:5">
      <c r="A77" t="s">
        <v>1757</v>
      </c>
      <c r="B77" t="s">
        <v>21</v>
      </c>
      <c r="C77" t="s">
        <v>979</v>
      </c>
      <c r="D77" t="s">
        <v>7342</v>
      </c>
      <c r="E77" t="s">
        <v>7398</v>
      </c>
    </row>
    <row r="78" spans="1:5">
      <c r="A78" t="s">
        <v>1601</v>
      </c>
      <c r="B78" t="s">
        <v>21</v>
      </c>
      <c r="C78" t="s">
        <v>3142</v>
      </c>
      <c r="D78" t="s">
        <v>1728</v>
      </c>
      <c r="E78" t="s">
        <v>6213</v>
      </c>
    </row>
    <row r="79" spans="1:5">
      <c r="A79" t="s">
        <v>3233</v>
      </c>
      <c r="B79" t="s">
        <v>36</v>
      </c>
      <c r="C79" t="s">
        <v>1544</v>
      </c>
      <c r="D79" t="s">
        <v>8050</v>
      </c>
      <c r="E79" t="s">
        <v>6465</v>
      </c>
    </row>
    <row r="80" spans="1:5">
      <c r="A80" t="s">
        <v>1160</v>
      </c>
      <c r="B80" t="s">
        <v>20</v>
      </c>
      <c r="C80" t="s">
        <v>767</v>
      </c>
      <c r="D80" t="s">
        <v>5574</v>
      </c>
      <c r="E80" t="s">
        <v>6008</v>
      </c>
    </row>
    <row r="81" spans="1:5">
      <c r="A81" t="s">
        <v>728</v>
      </c>
      <c r="B81" t="s">
        <v>20</v>
      </c>
      <c r="C81" t="s">
        <v>1091</v>
      </c>
      <c r="D81" t="s">
        <v>5761</v>
      </c>
      <c r="E81" t="s">
        <v>7078</v>
      </c>
    </row>
    <row r="82" spans="1:5">
      <c r="A82" t="s">
        <v>5630</v>
      </c>
      <c r="B82" t="s">
        <v>18</v>
      </c>
      <c r="C82" t="s">
        <v>2951</v>
      </c>
      <c r="D82" t="s">
        <v>8075</v>
      </c>
      <c r="E82" t="s">
        <v>6979</v>
      </c>
    </row>
    <row r="83" spans="1:5">
      <c r="A83" t="s">
        <v>3669</v>
      </c>
      <c r="B83" t="s">
        <v>18</v>
      </c>
      <c r="C83" t="s">
        <v>17</v>
      </c>
      <c r="D83" t="s">
        <v>8061</v>
      </c>
      <c r="E83" t="s">
        <v>1440</v>
      </c>
    </row>
    <row r="84" spans="1:5">
      <c r="A84" t="s">
        <v>2497</v>
      </c>
      <c r="B84" t="s">
        <v>15</v>
      </c>
      <c r="C84" t="s">
        <v>25</v>
      </c>
      <c r="D84" t="s">
        <v>1311</v>
      </c>
      <c r="E84" t="s">
        <v>6893</v>
      </c>
    </row>
    <row r="85" spans="1:5">
      <c r="A85" t="s">
        <v>6494</v>
      </c>
      <c r="B85" t="s">
        <v>26</v>
      </c>
      <c r="C85" t="s">
        <v>1152</v>
      </c>
      <c r="D85" t="s">
        <v>7336</v>
      </c>
      <c r="E85" t="s">
        <v>7286</v>
      </c>
    </row>
    <row r="86" spans="1:5">
      <c r="A86" t="s">
        <v>3292</v>
      </c>
      <c r="B86" t="s">
        <v>38</v>
      </c>
      <c r="C86" t="s">
        <v>8081</v>
      </c>
      <c r="D86" t="s">
        <v>1426</v>
      </c>
      <c r="E86" t="s">
        <v>6879</v>
      </c>
    </row>
    <row r="87" spans="1:5">
      <c r="A87" t="s">
        <v>3223</v>
      </c>
      <c r="B87" t="s">
        <v>23</v>
      </c>
      <c r="C87" t="s">
        <v>1112</v>
      </c>
      <c r="D87" t="s">
        <v>1549</v>
      </c>
      <c r="E87" t="s">
        <v>2014</v>
      </c>
    </row>
    <row r="88" spans="1:5">
      <c r="A88" t="s">
        <v>2860</v>
      </c>
      <c r="B88" t="s">
        <v>25</v>
      </c>
      <c r="C88" t="s">
        <v>999</v>
      </c>
      <c r="D88" t="s">
        <v>3075</v>
      </c>
      <c r="E88" t="s">
        <v>6520</v>
      </c>
    </row>
    <row r="89" spans="1:5">
      <c r="A89" t="s">
        <v>4550</v>
      </c>
      <c r="B89" t="s">
        <v>17</v>
      </c>
      <c r="C89" t="s">
        <v>3849</v>
      </c>
      <c r="D89" t="s">
        <v>4146</v>
      </c>
      <c r="E89" t="s">
        <v>5929</v>
      </c>
    </row>
    <row r="90" spans="1:5">
      <c r="A90" t="s">
        <v>1233</v>
      </c>
      <c r="B90" t="s">
        <v>17</v>
      </c>
      <c r="C90" t="s">
        <v>838</v>
      </c>
      <c r="D90" t="s">
        <v>8048</v>
      </c>
      <c r="E90" t="s">
        <v>7502</v>
      </c>
    </row>
    <row r="91" spans="1:5">
      <c r="A91" t="s">
        <v>4721</v>
      </c>
      <c r="B91" t="s">
        <v>25</v>
      </c>
      <c r="C91" t="s">
        <v>885</v>
      </c>
      <c r="D91" t="s">
        <v>41</v>
      </c>
      <c r="E91" t="s">
        <v>5809</v>
      </c>
    </row>
    <row r="92" spans="1:5">
      <c r="A92" t="s">
        <v>5088</v>
      </c>
      <c r="B92" t="s">
        <v>17</v>
      </c>
      <c r="C92" t="s">
        <v>2133</v>
      </c>
      <c r="D92" t="s">
        <v>28</v>
      </c>
      <c r="E92" t="s">
        <v>7344</v>
      </c>
    </row>
    <row r="93" spans="1:5">
      <c r="A93" t="s">
        <v>1043</v>
      </c>
      <c r="B93" t="s">
        <v>25</v>
      </c>
      <c r="C93" t="s">
        <v>2751</v>
      </c>
      <c r="D93" t="s">
        <v>2039</v>
      </c>
      <c r="E93" t="s">
        <v>5768</v>
      </c>
    </row>
    <row r="94" spans="1:5">
      <c r="A94" t="s">
        <v>1073</v>
      </c>
      <c r="B94" t="s">
        <v>25</v>
      </c>
      <c r="C94" t="s">
        <v>1070</v>
      </c>
      <c r="D94" t="s">
        <v>8058</v>
      </c>
      <c r="E94" t="s">
        <v>7537</v>
      </c>
    </row>
    <row r="95" spans="1:5">
      <c r="A95" t="s">
        <v>1948</v>
      </c>
      <c r="B95" t="s">
        <v>25</v>
      </c>
      <c r="C95" t="s">
        <v>780</v>
      </c>
      <c r="D95" t="s">
        <v>1762</v>
      </c>
      <c r="E95" t="s">
        <v>7265</v>
      </c>
    </row>
    <row r="96" spans="1:5">
      <c r="A96" t="s">
        <v>2740</v>
      </c>
      <c r="B96" t="s">
        <v>25</v>
      </c>
      <c r="C96" t="s">
        <v>920</v>
      </c>
      <c r="D96" t="s">
        <v>1612</v>
      </c>
      <c r="E96" t="s">
        <v>7269</v>
      </c>
    </row>
    <row r="97" spans="1:5">
      <c r="A97" t="s">
        <v>1537</v>
      </c>
      <c r="B97" t="s">
        <v>17</v>
      </c>
      <c r="C97" t="s">
        <v>946</v>
      </c>
      <c r="D97" t="s">
        <v>7426</v>
      </c>
      <c r="E97" t="s">
        <v>3881</v>
      </c>
    </row>
    <row r="98" spans="1:5">
      <c r="A98" t="s">
        <v>907</v>
      </c>
      <c r="B98" t="s">
        <v>25</v>
      </c>
      <c r="C98" t="s">
        <v>1775</v>
      </c>
      <c r="D98" t="s">
        <v>1489</v>
      </c>
      <c r="E98" t="s">
        <v>6242</v>
      </c>
    </row>
    <row r="99" spans="1:5">
      <c r="A99" t="s">
        <v>2096</v>
      </c>
      <c r="B99" t="s">
        <v>25</v>
      </c>
      <c r="C99" t="s">
        <v>1932</v>
      </c>
      <c r="D99" t="s">
        <v>1392</v>
      </c>
      <c r="E99" t="s">
        <v>8041</v>
      </c>
    </row>
    <row r="100" spans="1:5">
      <c r="A100" t="s">
        <v>4376</v>
      </c>
      <c r="B100" t="s">
        <v>25</v>
      </c>
      <c r="C100" t="s">
        <v>2127</v>
      </c>
      <c r="D100" t="s">
        <v>8062</v>
      </c>
      <c r="E100" t="s">
        <v>5331</v>
      </c>
    </row>
    <row r="101" spans="1:5">
      <c r="A101" t="s">
        <v>1018</v>
      </c>
      <c r="B101" t="s">
        <v>25</v>
      </c>
      <c r="C101" t="s">
        <v>1874</v>
      </c>
      <c r="D101" t="s">
        <v>5027</v>
      </c>
      <c r="E101" t="s">
        <v>6956</v>
      </c>
    </row>
    <row r="102" spans="1:5">
      <c r="A102" t="s">
        <v>991</v>
      </c>
      <c r="B102" t="s">
        <v>25</v>
      </c>
      <c r="C102" t="s">
        <v>1065</v>
      </c>
      <c r="D102" t="s">
        <v>3303</v>
      </c>
      <c r="E102" t="s">
        <v>7365</v>
      </c>
    </row>
    <row r="103" spans="1:5">
      <c r="A103" t="s">
        <v>1837</v>
      </c>
      <c r="B103" t="s">
        <v>17</v>
      </c>
      <c r="C103" t="s">
        <v>847</v>
      </c>
      <c r="D103" t="s">
        <v>2848</v>
      </c>
      <c r="E103" t="s">
        <v>7476</v>
      </c>
    </row>
    <row r="104" spans="1:5">
      <c r="A104" t="s">
        <v>4185</v>
      </c>
      <c r="B104" t="s">
        <v>25</v>
      </c>
      <c r="C104" t="s">
        <v>926</v>
      </c>
      <c r="D104" t="s">
        <v>7500</v>
      </c>
      <c r="E104" t="s">
        <v>5944</v>
      </c>
    </row>
    <row r="105" spans="1:5">
      <c r="A105" t="s">
        <v>1618</v>
      </c>
      <c r="B105" t="s">
        <v>25</v>
      </c>
      <c r="C105" t="s">
        <v>802</v>
      </c>
      <c r="D105" t="s">
        <v>5931</v>
      </c>
      <c r="E105" t="s">
        <v>7087</v>
      </c>
    </row>
    <row r="106" spans="1:5">
      <c r="A106" t="s">
        <v>4157</v>
      </c>
      <c r="B106" t="s">
        <v>25</v>
      </c>
      <c r="C106" t="s">
        <v>773</v>
      </c>
      <c r="D106" t="s">
        <v>8074</v>
      </c>
      <c r="E106" t="s">
        <v>7119</v>
      </c>
    </row>
    <row r="107" spans="1:5">
      <c r="A107" t="s">
        <v>4455</v>
      </c>
      <c r="B107" t="s">
        <v>41</v>
      </c>
      <c r="C107" t="s">
        <v>3749</v>
      </c>
      <c r="D107" t="s">
        <v>1347</v>
      </c>
      <c r="E107" t="s">
        <v>975</v>
      </c>
    </row>
    <row r="108" spans="1:5">
      <c r="A108" t="s">
        <v>2798</v>
      </c>
      <c r="B108" t="s">
        <v>24</v>
      </c>
      <c r="C108" t="s">
        <v>1752</v>
      </c>
      <c r="D108" t="s">
        <v>829</v>
      </c>
      <c r="E108" t="s">
        <v>2131</v>
      </c>
    </row>
    <row r="109" spans="1:5">
      <c r="A109" t="s">
        <v>1704</v>
      </c>
      <c r="B109" t="s">
        <v>19</v>
      </c>
      <c r="C109" t="s">
        <v>813</v>
      </c>
      <c r="D109" t="s">
        <v>1260</v>
      </c>
      <c r="E109" t="s">
        <v>6938</v>
      </c>
    </row>
    <row r="110" spans="1:5">
      <c r="A110" t="s">
        <v>6292</v>
      </c>
      <c r="B110" t="s">
        <v>15</v>
      </c>
      <c r="C110" t="s">
        <v>2581</v>
      </c>
      <c r="D110" t="s">
        <v>2072</v>
      </c>
      <c r="E110" t="s">
        <v>5620</v>
      </c>
    </row>
    <row r="111" spans="1:5">
      <c r="A111" t="s">
        <v>778</v>
      </c>
      <c r="B111" t="s">
        <v>17</v>
      </c>
      <c r="D111" t="s">
        <v>1066</v>
      </c>
      <c r="E111" t="s">
        <v>7324</v>
      </c>
    </row>
    <row r="112" spans="1:5">
      <c r="A112" t="s">
        <v>874</v>
      </c>
      <c r="B112" t="s">
        <v>25</v>
      </c>
      <c r="D112" t="s">
        <v>781</v>
      </c>
      <c r="E112" t="s">
        <v>4374</v>
      </c>
    </row>
    <row r="113" spans="1:5">
      <c r="A113" t="s">
        <v>1403</v>
      </c>
      <c r="B113" t="s">
        <v>25</v>
      </c>
      <c r="D113" t="s">
        <v>2242</v>
      </c>
      <c r="E113" t="s">
        <v>6248</v>
      </c>
    </row>
    <row r="114" spans="1:5">
      <c r="A114" t="s">
        <v>8044</v>
      </c>
      <c r="B114" t="s">
        <v>25</v>
      </c>
      <c r="D114" t="s">
        <v>1000</v>
      </c>
      <c r="E114" t="s">
        <v>6899</v>
      </c>
    </row>
    <row r="115" spans="1:5">
      <c r="A115" t="s">
        <v>7420</v>
      </c>
      <c r="B115" t="s">
        <v>25</v>
      </c>
      <c r="D115" t="s">
        <v>8069</v>
      </c>
      <c r="E115" t="s">
        <v>7008</v>
      </c>
    </row>
    <row r="116" spans="1:5">
      <c r="A116" t="s">
        <v>4554</v>
      </c>
      <c r="B116" t="s">
        <v>25</v>
      </c>
      <c r="D116" t="s">
        <v>7447</v>
      </c>
      <c r="E116" t="s">
        <v>6498</v>
      </c>
    </row>
    <row r="117" spans="1:5">
      <c r="A117" t="s">
        <v>3690</v>
      </c>
      <c r="B117" t="s">
        <v>25</v>
      </c>
      <c r="D117" t="s">
        <v>3908</v>
      </c>
      <c r="E117" t="s">
        <v>6267</v>
      </c>
    </row>
    <row r="118" spans="1:5">
      <c r="A118" t="s">
        <v>4621</v>
      </c>
      <c r="B118" t="s">
        <v>25</v>
      </c>
      <c r="D118" t="s">
        <v>995</v>
      </c>
      <c r="E118" t="s">
        <v>6722</v>
      </c>
    </row>
    <row r="119" spans="1:5">
      <c r="A119" t="s">
        <v>4349</v>
      </c>
      <c r="B119" t="s">
        <v>25</v>
      </c>
      <c r="D119" t="s">
        <v>8059</v>
      </c>
      <c r="E119" t="s">
        <v>6738</v>
      </c>
    </row>
    <row r="120" spans="1:5">
      <c r="A120" t="s">
        <v>6853</v>
      </c>
      <c r="B120" t="s">
        <v>17</v>
      </c>
      <c r="D120" t="s">
        <v>3501</v>
      </c>
      <c r="E120" t="s">
        <v>909</v>
      </c>
    </row>
    <row r="121" spans="1:5">
      <c r="A121" t="s">
        <v>1095</v>
      </c>
      <c r="B121" t="s">
        <v>952</v>
      </c>
      <c r="D121" t="s">
        <v>5797</v>
      </c>
      <c r="E121" t="s">
        <v>7101</v>
      </c>
    </row>
    <row r="122" spans="1:5">
      <c r="A122" t="s">
        <v>6396</v>
      </c>
      <c r="B122" t="s">
        <v>15</v>
      </c>
      <c r="D122" t="s">
        <v>1716</v>
      </c>
      <c r="E122" t="s">
        <v>7657</v>
      </c>
    </row>
    <row r="123" spans="1:5">
      <c r="A123" t="s">
        <v>6912</v>
      </c>
      <c r="B123" t="s">
        <v>952</v>
      </c>
      <c r="D123" t="s">
        <v>1603</v>
      </c>
      <c r="E123" t="s">
        <v>7671</v>
      </c>
    </row>
    <row r="124" spans="1:5">
      <c r="A124" t="s">
        <v>3625</v>
      </c>
      <c r="B124" t="s">
        <v>15</v>
      </c>
      <c r="D124" t="s">
        <v>1015</v>
      </c>
      <c r="E124" t="s">
        <v>7428</v>
      </c>
    </row>
    <row r="125" spans="1:5">
      <c r="A125" t="s">
        <v>2278</v>
      </c>
      <c r="B125" t="s">
        <v>34</v>
      </c>
      <c r="D125" t="s">
        <v>1634</v>
      </c>
      <c r="E125" t="s">
        <v>6817</v>
      </c>
    </row>
    <row r="126" spans="1:5">
      <c r="A126" t="s">
        <v>3171</v>
      </c>
      <c r="B126" t="s">
        <v>25</v>
      </c>
      <c r="D126" t="s">
        <v>871</v>
      </c>
      <c r="E126" t="s">
        <v>6786</v>
      </c>
    </row>
    <row r="127" spans="1:5">
      <c r="A127" t="s">
        <v>964</v>
      </c>
      <c r="B127" t="s">
        <v>16</v>
      </c>
      <c r="D127" t="s">
        <v>5148</v>
      </c>
      <c r="E127" t="s">
        <v>6805</v>
      </c>
    </row>
    <row r="128" spans="1:5">
      <c r="A128" t="s">
        <v>1225</v>
      </c>
      <c r="B128" t="s">
        <v>25</v>
      </c>
      <c r="D128" t="s">
        <v>8068</v>
      </c>
      <c r="E128" t="s">
        <v>6908</v>
      </c>
    </row>
    <row r="129" spans="1:5">
      <c r="A129" t="s">
        <v>7306</v>
      </c>
      <c r="B129" t="s">
        <v>21</v>
      </c>
      <c r="D129" t="s">
        <v>5568</v>
      </c>
      <c r="E129" t="s">
        <v>7575</v>
      </c>
    </row>
    <row r="130" spans="1:5">
      <c r="A130" t="s">
        <v>3864</v>
      </c>
      <c r="B130" t="s">
        <v>15</v>
      </c>
      <c r="D130" t="s">
        <v>2223</v>
      </c>
      <c r="E130" t="s">
        <v>7581</v>
      </c>
    </row>
    <row r="131" spans="1:5">
      <c r="A131" t="s">
        <v>2920</v>
      </c>
      <c r="B131" t="s">
        <v>15</v>
      </c>
      <c r="D131" t="s">
        <v>719</v>
      </c>
      <c r="E131" t="s">
        <v>1434</v>
      </c>
    </row>
    <row r="132" spans="1:5">
      <c r="A132" t="s">
        <v>3353</v>
      </c>
      <c r="B132" t="s">
        <v>15</v>
      </c>
      <c r="D132" t="s">
        <v>1140</v>
      </c>
      <c r="E132" t="s">
        <v>2841</v>
      </c>
    </row>
    <row r="133" spans="1:5">
      <c r="A133" t="s">
        <v>2034</v>
      </c>
      <c r="B133" t="s">
        <v>23</v>
      </c>
      <c r="D133" t="s">
        <v>8049</v>
      </c>
      <c r="E133" t="s">
        <v>7401</v>
      </c>
    </row>
    <row r="134" spans="1:5">
      <c r="A134" t="s">
        <v>2068</v>
      </c>
      <c r="B134" t="s">
        <v>15</v>
      </c>
      <c r="D134" t="s">
        <v>1562</v>
      </c>
      <c r="E134" t="s">
        <v>7740</v>
      </c>
    </row>
    <row r="135" spans="1:5">
      <c r="A135" t="s">
        <v>2612</v>
      </c>
      <c r="B135" t="s">
        <v>21</v>
      </c>
      <c r="D135" t="s">
        <v>2367</v>
      </c>
      <c r="E135" t="s">
        <v>6119</v>
      </c>
    </row>
    <row r="136" spans="1:5">
      <c r="A136" t="s">
        <v>1595</v>
      </c>
      <c r="B136" t="s">
        <v>18</v>
      </c>
      <c r="D136" t="s">
        <v>8073</v>
      </c>
      <c r="E136" t="s">
        <v>1777</v>
      </c>
    </row>
    <row r="137" spans="1:5">
      <c r="A137" t="s">
        <v>1530</v>
      </c>
      <c r="B137" t="s">
        <v>18</v>
      </c>
      <c r="D137" t="s">
        <v>1544</v>
      </c>
      <c r="E137" t="s">
        <v>5947</v>
      </c>
    </row>
    <row r="138" spans="1:5">
      <c r="A138" t="s">
        <v>1676</v>
      </c>
      <c r="B138" t="s">
        <v>21</v>
      </c>
      <c r="D138" t="s">
        <v>8076</v>
      </c>
      <c r="E138" t="s">
        <v>5327</v>
      </c>
    </row>
    <row r="139" spans="1:5">
      <c r="A139" t="s">
        <v>2195</v>
      </c>
      <c r="B139" t="s">
        <v>935</v>
      </c>
      <c r="D139" t="s">
        <v>5271</v>
      </c>
      <c r="E139" t="s">
        <v>825</v>
      </c>
    </row>
    <row r="140" spans="1:5">
      <c r="A140" t="s">
        <v>5954</v>
      </c>
      <c r="B140" t="s">
        <v>22</v>
      </c>
      <c r="D140" t="s">
        <v>927</v>
      </c>
      <c r="E140" t="s">
        <v>6567</v>
      </c>
    </row>
    <row r="141" spans="1:5">
      <c r="A141" t="s">
        <v>6289</v>
      </c>
      <c r="B141" t="s">
        <v>31</v>
      </c>
      <c r="D141" t="s">
        <v>1877</v>
      </c>
      <c r="E141" t="s">
        <v>4272</v>
      </c>
    </row>
    <row r="142" spans="1:5">
      <c r="A142" t="s">
        <v>2309</v>
      </c>
      <c r="B142" t="s">
        <v>36</v>
      </c>
      <c r="D142" t="s">
        <v>4364</v>
      </c>
      <c r="E142" t="s">
        <v>3808</v>
      </c>
    </row>
    <row r="143" spans="1:5">
      <c r="A143" t="s">
        <v>1224</v>
      </c>
      <c r="B143" t="s">
        <v>18</v>
      </c>
      <c r="D143" t="s">
        <v>6151</v>
      </c>
      <c r="E143" t="s">
        <v>5091</v>
      </c>
    </row>
    <row r="144" spans="1:5">
      <c r="A144" t="s">
        <v>5970</v>
      </c>
      <c r="B144" t="s">
        <v>16</v>
      </c>
      <c r="D144" t="s">
        <v>1277</v>
      </c>
      <c r="E144" t="s">
        <v>6890</v>
      </c>
    </row>
    <row r="145" spans="1:5">
      <c r="A145" t="s">
        <v>6377</v>
      </c>
      <c r="B145" t="s">
        <v>22</v>
      </c>
      <c r="D145" t="s">
        <v>1622</v>
      </c>
      <c r="E145" t="s">
        <v>7461</v>
      </c>
    </row>
    <row r="146" spans="1:5">
      <c r="A146" t="s">
        <v>4022</v>
      </c>
      <c r="B146" t="s">
        <v>29</v>
      </c>
      <c r="D146" t="s">
        <v>2379</v>
      </c>
      <c r="E146" t="s">
        <v>6304</v>
      </c>
    </row>
    <row r="147" spans="1:5">
      <c r="A147" t="s">
        <v>3854</v>
      </c>
      <c r="B147" t="s">
        <v>26</v>
      </c>
      <c r="D147" t="s">
        <v>814</v>
      </c>
      <c r="E147" t="s">
        <v>6578</v>
      </c>
    </row>
    <row r="148" spans="1:5">
      <c r="A148" t="s">
        <v>3114</v>
      </c>
      <c r="B148" t="s">
        <v>21</v>
      </c>
      <c r="D148" t="s">
        <v>4405</v>
      </c>
      <c r="E148" t="s">
        <v>5867</v>
      </c>
    </row>
    <row r="149" spans="1:5">
      <c r="A149" t="s">
        <v>3410</v>
      </c>
      <c r="B149" t="s">
        <v>38</v>
      </c>
      <c r="D149" t="s">
        <v>839</v>
      </c>
      <c r="E149" t="s">
        <v>6974</v>
      </c>
    </row>
    <row r="150" spans="1:5">
      <c r="A150" t="s">
        <v>5900</v>
      </c>
      <c r="B150" t="s">
        <v>42</v>
      </c>
      <c r="D150" t="s">
        <v>8065</v>
      </c>
      <c r="E150" t="s">
        <v>5795</v>
      </c>
    </row>
    <row r="151" spans="1:5">
      <c r="A151" t="s">
        <v>5713</v>
      </c>
      <c r="B151" t="s">
        <v>15</v>
      </c>
      <c r="D151" t="s">
        <v>1367</v>
      </c>
      <c r="E151" t="s">
        <v>7240</v>
      </c>
    </row>
    <row r="152" spans="1:5">
      <c r="A152" t="s">
        <v>5901</v>
      </c>
      <c r="B152" t="s">
        <v>18</v>
      </c>
      <c r="D152" t="s">
        <v>4622</v>
      </c>
      <c r="E152" t="s">
        <v>6960</v>
      </c>
    </row>
    <row r="153" spans="1:5">
      <c r="A153" t="s">
        <v>2631</v>
      </c>
      <c r="B153" t="s">
        <v>15</v>
      </c>
      <c r="D153" t="s">
        <v>7311</v>
      </c>
      <c r="E153" t="s">
        <v>7168</v>
      </c>
    </row>
    <row r="154" spans="1:5">
      <c r="A154" t="s">
        <v>2536</v>
      </c>
      <c r="B154" t="s">
        <v>21</v>
      </c>
      <c r="D154" t="s">
        <v>2186</v>
      </c>
      <c r="E154" t="s">
        <v>7257</v>
      </c>
    </row>
    <row r="155" spans="1:5">
      <c r="A155" t="s">
        <v>806</v>
      </c>
      <c r="B155" t="s">
        <v>15</v>
      </c>
      <c r="D155" t="s">
        <v>854</v>
      </c>
      <c r="E155" t="s">
        <v>7807</v>
      </c>
    </row>
    <row r="156" spans="1:5">
      <c r="A156" t="s">
        <v>729</v>
      </c>
      <c r="B156" t="s">
        <v>15</v>
      </c>
      <c r="D156" t="s">
        <v>1707</v>
      </c>
      <c r="E156" t="s">
        <v>6999</v>
      </c>
    </row>
    <row r="157" spans="1:5">
      <c r="A157" t="s">
        <v>2202</v>
      </c>
      <c r="B157" t="s">
        <v>24</v>
      </c>
      <c r="D157" t="s">
        <v>1758</v>
      </c>
      <c r="E157" t="s">
        <v>2336</v>
      </c>
    </row>
    <row r="158" spans="1:5">
      <c r="A158" t="s">
        <v>4810</v>
      </c>
      <c r="B158" t="s">
        <v>16</v>
      </c>
      <c r="D158" t="s">
        <v>961</v>
      </c>
      <c r="E158" t="s">
        <v>4493</v>
      </c>
    </row>
    <row r="159" spans="1:5">
      <c r="A159" t="s">
        <v>1147</v>
      </c>
      <c r="B159" t="s">
        <v>16</v>
      </c>
      <c r="D159" t="s">
        <v>8054</v>
      </c>
      <c r="E159" t="s">
        <v>1934</v>
      </c>
    </row>
    <row r="160" spans="1:5">
      <c r="A160" t="s">
        <v>965</v>
      </c>
      <c r="B160" t="s">
        <v>16</v>
      </c>
      <c r="D160" t="s">
        <v>3427</v>
      </c>
      <c r="E160" t="s">
        <v>6833</v>
      </c>
    </row>
    <row r="161" spans="1:5">
      <c r="A161" t="s">
        <v>5201</v>
      </c>
      <c r="B161" t="s">
        <v>15</v>
      </c>
      <c r="D161" t="s">
        <v>2179</v>
      </c>
      <c r="E161" t="s">
        <v>2482</v>
      </c>
    </row>
    <row r="162" spans="1:5">
      <c r="A162" t="s">
        <v>2540</v>
      </c>
      <c r="B162" t="s">
        <v>15</v>
      </c>
      <c r="D162" t="s">
        <v>8047</v>
      </c>
      <c r="E162" t="s">
        <v>6643</v>
      </c>
    </row>
    <row r="163" spans="1:5">
      <c r="A163" t="s">
        <v>1052</v>
      </c>
      <c r="B163" t="s">
        <v>17</v>
      </c>
      <c r="D163" t="s">
        <v>5903</v>
      </c>
      <c r="E163" t="s">
        <v>3627</v>
      </c>
    </row>
    <row r="164" spans="1:5">
      <c r="A164" t="s">
        <v>3792</v>
      </c>
      <c r="B164" t="s">
        <v>39</v>
      </c>
      <c r="D164" t="s">
        <v>2333</v>
      </c>
      <c r="E164" t="s">
        <v>6625</v>
      </c>
    </row>
    <row r="165" spans="1:5">
      <c r="A165" t="s">
        <v>5773</v>
      </c>
      <c r="B165" t="s">
        <v>18</v>
      </c>
      <c r="D165" t="s">
        <v>6351</v>
      </c>
      <c r="E165" t="s">
        <v>5994</v>
      </c>
    </row>
    <row r="166" spans="1:5">
      <c r="A166" t="s">
        <v>4711</v>
      </c>
      <c r="B166" t="s">
        <v>26</v>
      </c>
      <c r="D166" t="s">
        <v>4126</v>
      </c>
      <c r="E166" t="s">
        <v>7440</v>
      </c>
    </row>
    <row r="167" spans="1:5">
      <c r="A167" t="s">
        <v>4107</v>
      </c>
      <c r="B167" t="s">
        <v>26</v>
      </c>
      <c r="D167" t="s">
        <v>8066</v>
      </c>
      <c r="E167" t="s">
        <v>5568</v>
      </c>
    </row>
    <row r="168" spans="1:5">
      <c r="A168" t="s">
        <v>6830</v>
      </c>
      <c r="B168" t="s">
        <v>15</v>
      </c>
      <c r="D168" t="s">
        <v>818</v>
      </c>
      <c r="E168" t="s">
        <v>6843</v>
      </c>
    </row>
    <row r="169" spans="1:5">
      <c r="A169" t="s">
        <v>821</v>
      </c>
      <c r="B169" t="s">
        <v>21</v>
      </c>
      <c r="D169" t="s">
        <v>8067</v>
      </c>
      <c r="E169" t="s">
        <v>5896</v>
      </c>
    </row>
    <row r="170" spans="1:5">
      <c r="A170" t="s">
        <v>2155</v>
      </c>
      <c r="B170" t="s">
        <v>23</v>
      </c>
      <c r="D170" t="s">
        <v>2480</v>
      </c>
      <c r="E170" t="s">
        <v>3423</v>
      </c>
    </row>
    <row r="171" spans="1:5">
      <c r="A171" t="s">
        <v>1283</v>
      </c>
      <c r="B171" t="s">
        <v>349</v>
      </c>
      <c r="D171" t="s">
        <v>764</v>
      </c>
      <c r="E171" t="s">
        <v>7875</v>
      </c>
    </row>
    <row r="172" spans="1:5">
      <c r="A172" t="s">
        <v>2164</v>
      </c>
      <c r="B172" t="s">
        <v>15</v>
      </c>
      <c r="D172" t="s">
        <v>1477</v>
      </c>
      <c r="E172" t="s">
        <v>734</v>
      </c>
    </row>
    <row r="173" spans="1:5">
      <c r="A173" t="s">
        <v>1116</v>
      </c>
      <c r="B173" t="s">
        <v>22</v>
      </c>
      <c r="D173" t="s">
        <v>17</v>
      </c>
      <c r="E173" t="s">
        <v>7237</v>
      </c>
    </row>
    <row r="174" spans="1:5">
      <c r="A174" t="s">
        <v>1552</v>
      </c>
      <c r="B174" t="s">
        <v>18</v>
      </c>
      <c r="D174" t="s">
        <v>6782</v>
      </c>
      <c r="E174" t="s">
        <v>2010</v>
      </c>
    </row>
    <row r="175" spans="1:5">
      <c r="A175" t="s">
        <v>8078</v>
      </c>
      <c r="B175" t="s">
        <v>15</v>
      </c>
      <c r="D175" t="s">
        <v>8057</v>
      </c>
      <c r="E175" t="s">
        <v>7368</v>
      </c>
    </row>
    <row r="176" spans="1:5">
      <c r="A176" t="s">
        <v>1035</v>
      </c>
      <c r="B176" t="s">
        <v>18</v>
      </c>
      <c r="D176" t="s">
        <v>2057</v>
      </c>
      <c r="E176" t="s">
        <v>7177</v>
      </c>
    </row>
    <row r="177" spans="1:5">
      <c r="A177" t="s">
        <v>5682</v>
      </c>
      <c r="B177" t="s">
        <v>15</v>
      </c>
      <c r="E177" t="s">
        <v>6170</v>
      </c>
    </row>
    <row r="178" spans="1:5">
      <c r="A178" t="s">
        <v>6331</v>
      </c>
      <c r="B178" t="s">
        <v>15</v>
      </c>
      <c r="E178" t="s">
        <v>1883</v>
      </c>
    </row>
    <row r="179" spans="1:5">
      <c r="A179" t="s">
        <v>1484</v>
      </c>
      <c r="B179" t="s">
        <v>18</v>
      </c>
      <c r="E179" t="s">
        <v>1919</v>
      </c>
    </row>
    <row r="180" spans="1:5">
      <c r="A180" t="s">
        <v>1378</v>
      </c>
      <c r="B180" t="s">
        <v>22</v>
      </c>
      <c r="E180" t="s">
        <v>6825</v>
      </c>
    </row>
    <row r="181" spans="1:5">
      <c r="A181" t="s">
        <v>1374</v>
      </c>
      <c r="B181" t="s">
        <v>21</v>
      </c>
      <c r="E181" t="s">
        <v>6742</v>
      </c>
    </row>
    <row r="182" spans="1:5">
      <c r="A182" t="s">
        <v>7261</v>
      </c>
      <c r="B182" t="s">
        <v>37</v>
      </c>
      <c r="E182" t="s">
        <v>7140</v>
      </c>
    </row>
    <row r="183" spans="1:5">
      <c r="A183" t="s">
        <v>3105</v>
      </c>
      <c r="B183" t="s">
        <v>21</v>
      </c>
      <c r="E183" t="s">
        <v>7394</v>
      </c>
    </row>
    <row r="184" spans="1:5">
      <c r="A184" t="s">
        <v>1069</v>
      </c>
      <c r="B184" t="s">
        <v>18</v>
      </c>
      <c r="E184" t="s">
        <v>6745</v>
      </c>
    </row>
    <row r="185" spans="1:5">
      <c r="A185" t="s">
        <v>977</v>
      </c>
      <c r="B185" t="s">
        <v>15</v>
      </c>
      <c r="E185" t="s">
        <v>1422</v>
      </c>
    </row>
    <row r="186" spans="1:5">
      <c r="A186" t="s">
        <v>883</v>
      </c>
      <c r="B186" t="s">
        <v>18</v>
      </c>
      <c r="E186" t="s">
        <v>6755</v>
      </c>
    </row>
    <row r="187" spans="1:5">
      <c r="A187" t="s">
        <v>911</v>
      </c>
      <c r="B187" t="s">
        <v>25</v>
      </c>
      <c r="E187" t="s">
        <v>7858</v>
      </c>
    </row>
    <row r="188" spans="1:5">
      <c r="A188" t="s">
        <v>811</v>
      </c>
      <c r="B188" t="s">
        <v>23</v>
      </c>
      <c r="E188" t="s">
        <v>7016</v>
      </c>
    </row>
    <row r="189" spans="1:5">
      <c r="A189" t="s">
        <v>1206</v>
      </c>
      <c r="B189" t="s">
        <v>17</v>
      </c>
      <c r="E189" t="s">
        <v>6982</v>
      </c>
    </row>
    <row r="190" spans="1:5">
      <c r="A190" t="s">
        <v>1442</v>
      </c>
      <c r="B190" t="s">
        <v>21</v>
      </c>
      <c r="E190" t="s">
        <v>6650</v>
      </c>
    </row>
    <row r="191" spans="1:5">
      <c r="A191" t="s">
        <v>6487</v>
      </c>
      <c r="B191" t="s">
        <v>22</v>
      </c>
      <c r="E191" t="s">
        <v>7132</v>
      </c>
    </row>
    <row r="192" spans="1:5">
      <c r="A192" t="s">
        <v>5647</v>
      </c>
      <c r="B192" t="s">
        <v>15</v>
      </c>
      <c r="E192" t="s">
        <v>7209</v>
      </c>
    </row>
    <row r="193" spans="1:5">
      <c r="A193" t="s">
        <v>5605</v>
      </c>
      <c r="B193" t="s">
        <v>22</v>
      </c>
      <c r="E193" t="s">
        <v>6772</v>
      </c>
    </row>
    <row r="194" spans="1:5">
      <c r="A194" t="s">
        <v>6663</v>
      </c>
      <c r="B194" t="s">
        <v>21</v>
      </c>
      <c r="E194" t="s">
        <v>6763</v>
      </c>
    </row>
    <row r="195" spans="1:5">
      <c r="A195" t="s">
        <v>4121</v>
      </c>
      <c r="B195" t="s">
        <v>27</v>
      </c>
      <c r="E195" t="s">
        <v>3264</v>
      </c>
    </row>
    <row r="196" spans="1:5">
      <c r="A196" t="s">
        <v>1889</v>
      </c>
      <c r="B196" t="s">
        <v>17</v>
      </c>
      <c r="E196" t="s">
        <v>6839</v>
      </c>
    </row>
    <row r="197" spans="1:5">
      <c r="A197" t="s">
        <v>723</v>
      </c>
      <c r="B197" t="s">
        <v>16</v>
      </c>
      <c r="E197" t="s">
        <v>6813</v>
      </c>
    </row>
    <row r="198" spans="1:5">
      <c r="A198" t="s">
        <v>2673</v>
      </c>
      <c r="B198" t="s">
        <v>16</v>
      </c>
      <c r="E198" t="s">
        <v>6582</v>
      </c>
    </row>
    <row r="199" spans="1:5">
      <c r="A199" t="s">
        <v>6043</v>
      </c>
      <c r="B199" t="s">
        <v>15</v>
      </c>
      <c r="E199" t="s">
        <v>6531</v>
      </c>
    </row>
    <row r="200" spans="1:5">
      <c r="A200" t="s">
        <v>757</v>
      </c>
      <c r="B200" t="s">
        <v>21</v>
      </c>
      <c r="E200" t="s">
        <v>4641</v>
      </c>
    </row>
    <row r="201" spans="1:5">
      <c r="A201" t="s">
        <v>1181</v>
      </c>
      <c r="B201" t="s">
        <v>16</v>
      </c>
      <c r="E201" t="s">
        <v>2766</v>
      </c>
    </row>
    <row r="202" spans="1:5">
      <c r="A202" t="s">
        <v>3364</v>
      </c>
      <c r="B202" t="s">
        <v>23</v>
      </c>
      <c r="E202" t="s">
        <v>7053</v>
      </c>
    </row>
    <row r="203" spans="1:5">
      <c r="A203" t="s">
        <v>8079</v>
      </c>
      <c r="B203" t="s">
        <v>15</v>
      </c>
      <c r="E203" t="s">
        <v>1998</v>
      </c>
    </row>
    <row r="204" spans="1:5">
      <c r="A204" t="s">
        <v>7907</v>
      </c>
      <c r="B204" t="s">
        <v>18</v>
      </c>
      <c r="E204" t="s">
        <v>6886</v>
      </c>
    </row>
    <row r="205" spans="1:5">
      <c r="A205" t="s">
        <v>3873</v>
      </c>
      <c r="B205" t="s">
        <v>20</v>
      </c>
      <c r="E205" t="s">
        <v>7334</v>
      </c>
    </row>
    <row r="206" spans="1:5">
      <c r="A206" t="s">
        <v>1665</v>
      </c>
      <c r="B206" t="s">
        <v>17</v>
      </c>
      <c r="E206" t="s">
        <v>7361</v>
      </c>
    </row>
    <row r="207" spans="1:5">
      <c r="A207" t="s">
        <v>1167</v>
      </c>
      <c r="B207" t="s">
        <v>22</v>
      </c>
      <c r="E207" t="s">
        <v>7445</v>
      </c>
    </row>
    <row r="208" spans="1:5">
      <c r="A208" t="s">
        <v>4997</v>
      </c>
      <c r="B208" t="s">
        <v>21</v>
      </c>
      <c r="E208" t="s">
        <v>6382</v>
      </c>
    </row>
    <row r="209" spans="1:5">
      <c r="A209" t="s">
        <v>6714</v>
      </c>
      <c r="B209" t="s">
        <v>43</v>
      </c>
      <c r="E209" t="s">
        <v>8037</v>
      </c>
    </row>
    <row r="210" spans="1:5">
      <c r="A210" t="s">
        <v>2655</v>
      </c>
      <c r="B210" t="s">
        <v>22</v>
      </c>
      <c r="E210" t="s">
        <v>6993</v>
      </c>
    </row>
    <row r="211" spans="1:5">
      <c r="A211" t="s">
        <v>1237</v>
      </c>
      <c r="B211" t="s">
        <v>15</v>
      </c>
      <c r="E211" t="s">
        <v>7212</v>
      </c>
    </row>
    <row r="212" spans="1:5">
      <c r="A212" t="s">
        <v>3847</v>
      </c>
      <c r="B212" t="s">
        <v>18</v>
      </c>
      <c r="E212" t="s">
        <v>6356</v>
      </c>
    </row>
    <row r="213" spans="1:5">
      <c r="A213" t="s">
        <v>1357</v>
      </c>
      <c r="B213" t="s">
        <v>17</v>
      </c>
      <c r="E213" t="s">
        <v>8000</v>
      </c>
    </row>
    <row r="214" spans="1:5">
      <c r="A214" t="s">
        <v>4818</v>
      </c>
      <c r="B214" t="s">
        <v>17</v>
      </c>
      <c r="E214" t="s">
        <v>5814</v>
      </c>
    </row>
    <row r="215" spans="1:5">
      <c r="A215" t="s">
        <v>3067</v>
      </c>
      <c r="B215" t="s">
        <v>18</v>
      </c>
      <c r="E215" t="s">
        <v>818</v>
      </c>
    </row>
    <row r="216" spans="1:5">
      <c r="A216" t="s">
        <v>1447</v>
      </c>
      <c r="B216" t="s">
        <v>16</v>
      </c>
      <c r="E216" t="s">
        <v>7164</v>
      </c>
    </row>
    <row r="217" spans="1:5">
      <c r="A217" t="s">
        <v>870</v>
      </c>
      <c r="B217" t="s">
        <v>15</v>
      </c>
      <c r="E217" t="s">
        <v>8032</v>
      </c>
    </row>
    <row r="218" spans="1:5">
      <c r="A218" t="s">
        <v>1310</v>
      </c>
      <c r="B218" t="s">
        <v>16</v>
      </c>
      <c r="E218" t="s">
        <v>5369</v>
      </c>
    </row>
    <row r="219" spans="1:5">
      <c r="A219" t="s">
        <v>5693</v>
      </c>
      <c r="B219" t="s">
        <v>15</v>
      </c>
      <c r="E219" t="s">
        <v>6924</v>
      </c>
    </row>
    <row r="220" spans="1:5">
      <c r="A220" t="s">
        <v>742</v>
      </c>
      <c r="B220" t="s">
        <v>16</v>
      </c>
      <c r="E220" t="s">
        <v>7378</v>
      </c>
    </row>
    <row r="221" spans="1:5">
      <c r="A221" t="s">
        <v>756</v>
      </c>
      <c r="B221" t="s">
        <v>16</v>
      </c>
      <c r="E221" t="s">
        <v>8003</v>
      </c>
    </row>
    <row r="222" spans="1:5">
      <c r="A222" t="s">
        <v>4095</v>
      </c>
      <c r="B222" t="s">
        <v>21</v>
      </c>
      <c r="E222" t="s">
        <v>1915</v>
      </c>
    </row>
    <row r="223" spans="1:5">
      <c r="A223" t="s">
        <v>3720</v>
      </c>
      <c r="B223" t="s">
        <v>21</v>
      </c>
      <c r="E223" t="s">
        <v>5818</v>
      </c>
    </row>
    <row r="224" spans="1:5">
      <c r="A224" t="s">
        <v>5146</v>
      </c>
      <c r="B224" t="s">
        <v>25</v>
      </c>
      <c r="E224" t="s">
        <v>2781</v>
      </c>
    </row>
    <row r="225" spans="1:5">
      <c r="A225" t="s">
        <v>1451</v>
      </c>
      <c r="B225" t="s">
        <v>952</v>
      </c>
      <c r="E225" t="s">
        <v>7229</v>
      </c>
    </row>
    <row r="226" spans="1:5">
      <c r="A226" t="s">
        <v>4145</v>
      </c>
      <c r="B226" t="s">
        <v>15</v>
      </c>
      <c r="E226" t="s">
        <v>7011</v>
      </c>
    </row>
    <row r="227" spans="1:5">
      <c r="A227" t="s">
        <v>2320</v>
      </c>
      <c r="B227" t="s">
        <v>23</v>
      </c>
      <c r="E227" t="s">
        <v>7295</v>
      </c>
    </row>
    <row r="228" spans="1:5">
      <c r="A228" t="s">
        <v>1910</v>
      </c>
      <c r="B228" t="s">
        <v>29</v>
      </c>
      <c r="E228" t="s">
        <v>7090</v>
      </c>
    </row>
    <row r="229" spans="1:5">
      <c r="A229" t="s">
        <v>6623</v>
      </c>
      <c r="B229" t="s">
        <v>14</v>
      </c>
      <c r="E229" t="s">
        <v>7304</v>
      </c>
    </row>
    <row r="230" spans="1:5">
      <c r="A230" t="s">
        <v>7791</v>
      </c>
      <c r="B230" t="s">
        <v>14</v>
      </c>
      <c r="E230" t="s">
        <v>6527</v>
      </c>
    </row>
    <row r="231" spans="1:5">
      <c r="A231" t="s">
        <v>1198</v>
      </c>
      <c r="B231" t="s">
        <v>22</v>
      </c>
      <c r="E231" t="s">
        <v>7356</v>
      </c>
    </row>
    <row r="232" spans="1:5">
      <c r="A232" t="s">
        <v>6189</v>
      </c>
      <c r="B232" t="s">
        <v>15</v>
      </c>
    </row>
    <row r="233" spans="1:5">
      <c r="A233" t="s">
        <v>6463</v>
      </c>
      <c r="B233" t="s">
        <v>43</v>
      </c>
    </row>
    <row r="234" spans="1:5">
      <c r="A234" t="s">
        <v>777</v>
      </c>
      <c r="B234" t="s">
        <v>18</v>
      </c>
    </row>
    <row r="235" spans="1:5">
      <c r="A235" t="s">
        <v>5563</v>
      </c>
      <c r="B235" t="s">
        <v>18</v>
      </c>
    </row>
    <row r="236" spans="1:5">
      <c r="A236" t="s">
        <v>5413</v>
      </c>
      <c r="B236" t="s">
        <v>21</v>
      </c>
    </row>
    <row r="237" spans="1:5">
      <c r="A237" t="s">
        <v>1267</v>
      </c>
      <c r="B237" t="s">
        <v>23</v>
      </c>
    </row>
    <row r="238" spans="1:5">
      <c r="A238" t="s">
        <v>7160</v>
      </c>
      <c r="B238" t="s">
        <v>45</v>
      </c>
    </row>
    <row r="239" spans="1:5">
      <c r="A239" t="s">
        <v>2846</v>
      </c>
      <c r="B239" t="s">
        <v>15</v>
      </c>
    </row>
    <row r="240" spans="1:5">
      <c r="A240" t="s">
        <v>1172</v>
      </c>
      <c r="B240" t="s">
        <v>17</v>
      </c>
    </row>
    <row r="241" spans="1:2">
      <c r="A241" t="s">
        <v>5455</v>
      </c>
      <c r="B241" t="s">
        <v>18</v>
      </c>
    </row>
    <row r="242" spans="1:2">
      <c r="A242" t="s">
        <v>6901</v>
      </c>
      <c r="B242" t="s">
        <v>44</v>
      </c>
    </row>
    <row r="243" spans="1:2">
      <c r="A243" t="s">
        <v>5387</v>
      </c>
      <c r="B243" t="s">
        <v>14</v>
      </c>
    </row>
    <row r="244" spans="1:2">
      <c r="A244" t="s">
        <v>5003</v>
      </c>
      <c r="B244" t="s">
        <v>14</v>
      </c>
    </row>
    <row r="245" spans="1:2">
      <c r="A245" t="s">
        <v>7134</v>
      </c>
      <c r="B245" t="s">
        <v>15</v>
      </c>
    </row>
    <row r="246" spans="1:2">
      <c r="A246" t="s">
        <v>7326</v>
      </c>
      <c r="B246" t="s">
        <v>17</v>
      </c>
    </row>
    <row r="247" spans="1:2">
      <c r="A247" t="s">
        <v>1454</v>
      </c>
      <c r="B247" t="s">
        <v>15</v>
      </c>
    </row>
    <row r="248" spans="1:2">
      <c r="A248" t="s">
        <v>2101</v>
      </c>
      <c r="B248" t="s">
        <v>15</v>
      </c>
    </row>
    <row r="249" spans="1:2">
      <c r="A249" t="s">
        <v>1340</v>
      </c>
      <c r="B249" t="s">
        <v>15</v>
      </c>
    </row>
    <row r="250" spans="1:2">
      <c r="A250" t="s">
        <v>4115</v>
      </c>
      <c r="B250" t="s">
        <v>15</v>
      </c>
    </row>
    <row r="251" spans="1:2">
      <c r="A251" t="s">
        <v>3005</v>
      </c>
      <c r="B251" t="s">
        <v>15</v>
      </c>
    </row>
    <row r="252" spans="1:2">
      <c r="A252" t="s">
        <v>5329</v>
      </c>
      <c r="B252" t="s">
        <v>15</v>
      </c>
    </row>
    <row r="253" spans="1:2">
      <c r="A253" t="s">
        <v>817</v>
      </c>
      <c r="B253" t="s">
        <v>17</v>
      </c>
    </row>
    <row r="254" spans="1:2">
      <c r="A254" t="s">
        <v>2417</v>
      </c>
      <c r="B254" t="s">
        <v>15</v>
      </c>
    </row>
    <row r="255" spans="1:2">
      <c r="A255" t="s">
        <v>2100</v>
      </c>
      <c r="B255" t="s">
        <v>15</v>
      </c>
    </row>
    <row r="256" spans="1:2">
      <c r="A256" t="s">
        <v>1834</v>
      </c>
      <c r="B256" t="s">
        <v>15</v>
      </c>
    </row>
    <row r="257" spans="1:2">
      <c r="A257" t="s">
        <v>762</v>
      </c>
      <c r="B257" t="s">
        <v>16</v>
      </c>
    </row>
    <row r="258" spans="1:2">
      <c r="A258" t="s">
        <v>1431</v>
      </c>
      <c r="B258" t="s">
        <v>15</v>
      </c>
    </row>
    <row r="259" spans="1:2">
      <c r="A259" t="s">
        <v>1917</v>
      </c>
      <c r="B259" t="s">
        <v>15</v>
      </c>
    </row>
    <row r="260" spans="1:2">
      <c r="A260" t="s">
        <v>7001</v>
      </c>
      <c r="B260" t="s">
        <v>29</v>
      </c>
    </row>
    <row r="261" spans="1:2">
      <c r="A261" t="s">
        <v>3429</v>
      </c>
      <c r="B261" t="s">
        <v>15</v>
      </c>
    </row>
    <row r="262" spans="1:2">
      <c r="A262" t="s">
        <v>1784</v>
      </c>
      <c r="B262" t="s">
        <v>16</v>
      </c>
    </row>
    <row r="263" spans="1:2">
      <c r="A263" t="s">
        <v>1187</v>
      </c>
      <c r="B263" t="s">
        <v>15</v>
      </c>
    </row>
    <row r="264" spans="1:2">
      <c r="A264" t="s">
        <v>3183</v>
      </c>
      <c r="B264" t="s">
        <v>36</v>
      </c>
    </row>
    <row r="265" spans="1:2">
      <c r="A265" t="s">
        <v>5988</v>
      </c>
      <c r="B265" t="s">
        <v>15</v>
      </c>
    </row>
    <row r="266" spans="1:2">
      <c r="A266" t="s">
        <v>4070</v>
      </c>
      <c r="B266" t="s">
        <v>4072</v>
      </c>
    </row>
    <row r="267" spans="1:2">
      <c r="A267" t="s">
        <v>1610</v>
      </c>
      <c r="B267" t="s">
        <v>27</v>
      </c>
    </row>
    <row r="268" spans="1:2">
      <c r="A268" t="s">
        <v>1789</v>
      </c>
      <c r="B268" t="s">
        <v>21</v>
      </c>
    </row>
    <row r="269" spans="1:2">
      <c r="A269" t="s">
        <v>1736</v>
      </c>
      <c r="B269" t="s">
        <v>15</v>
      </c>
    </row>
    <row r="270" spans="1:2">
      <c r="A270" t="s">
        <v>832</v>
      </c>
      <c r="B270" t="s">
        <v>21</v>
      </c>
    </row>
    <row r="271" spans="1:2">
      <c r="A271" t="s">
        <v>837</v>
      </c>
      <c r="B271" t="s">
        <v>18</v>
      </c>
    </row>
    <row r="272" spans="1:2">
      <c r="A272" t="s">
        <v>2016</v>
      </c>
      <c r="B272" t="s">
        <v>16</v>
      </c>
    </row>
    <row r="273" spans="1:2">
      <c r="A273" t="s">
        <v>6165</v>
      </c>
      <c r="B273" t="s">
        <v>15</v>
      </c>
    </row>
    <row r="274" spans="1:2">
      <c r="A274" t="s">
        <v>6607</v>
      </c>
      <c r="B274" t="s">
        <v>15</v>
      </c>
    </row>
    <row r="275" spans="1:2">
      <c r="A275" t="s">
        <v>5374</v>
      </c>
      <c r="B275" t="s">
        <v>16</v>
      </c>
    </row>
    <row r="276" spans="1:2">
      <c r="A276" t="s">
        <v>736</v>
      </c>
      <c r="B276" t="s">
        <v>21</v>
      </c>
    </row>
    <row r="277" spans="1:2">
      <c r="A277" t="s">
        <v>2445</v>
      </c>
      <c r="B277" t="s">
        <v>17</v>
      </c>
    </row>
    <row r="278" spans="1:2">
      <c r="A278" t="s">
        <v>1818</v>
      </c>
      <c r="B278" t="s">
        <v>16</v>
      </c>
    </row>
    <row r="279" spans="1:2">
      <c r="A279" t="s">
        <v>7370</v>
      </c>
      <c r="B279" t="s">
        <v>15</v>
      </c>
    </row>
    <row r="280" spans="1:2">
      <c r="A280" t="s">
        <v>3631</v>
      </c>
      <c r="B280" t="s">
        <v>18</v>
      </c>
    </row>
    <row r="281" spans="1:2">
      <c r="A281" t="s">
        <v>3556</v>
      </c>
      <c r="B281" t="s">
        <v>15</v>
      </c>
    </row>
    <row r="282" spans="1:2">
      <c r="A282" t="s">
        <v>1251</v>
      </c>
      <c r="B282" t="s">
        <v>15</v>
      </c>
    </row>
    <row r="283" spans="1:2">
      <c r="A283" t="s">
        <v>2532</v>
      </c>
      <c r="B283" t="s">
        <v>15</v>
      </c>
    </row>
    <row r="284" spans="1:2">
      <c r="A284" t="s">
        <v>3266</v>
      </c>
      <c r="B284" t="s">
        <v>21</v>
      </c>
    </row>
    <row r="285" spans="1:2">
      <c r="A285" t="s">
        <v>789</v>
      </c>
      <c r="B285" t="s">
        <v>21</v>
      </c>
    </row>
    <row r="286" spans="1:2">
      <c r="A286" t="s">
        <v>3166</v>
      </c>
      <c r="B286" t="s">
        <v>25</v>
      </c>
    </row>
    <row r="287" spans="1:2">
      <c r="A287" t="s">
        <v>7963</v>
      </c>
      <c r="B287" t="s">
        <v>15</v>
      </c>
    </row>
    <row r="288" spans="1:2">
      <c r="A288" t="s">
        <v>4265</v>
      </c>
      <c r="B288" t="s">
        <v>15</v>
      </c>
    </row>
    <row r="289" spans="1:2">
      <c r="A289" t="s">
        <v>2298</v>
      </c>
      <c r="B289" t="s">
        <v>18</v>
      </c>
    </row>
    <row r="290" spans="1:2">
      <c r="A290" t="s">
        <v>842</v>
      </c>
      <c r="B290" t="s">
        <v>21</v>
      </c>
    </row>
    <row r="291" spans="1:2">
      <c r="A291" t="s">
        <v>2469</v>
      </c>
      <c r="B291" t="s">
        <v>19</v>
      </c>
    </row>
    <row r="292" spans="1:2">
      <c r="A292" t="s">
        <v>794</v>
      </c>
      <c r="B292" t="s">
        <v>15</v>
      </c>
    </row>
    <row r="293" spans="1:2">
      <c r="A293" t="s">
        <v>1014</v>
      </c>
      <c r="B293" t="s">
        <v>15</v>
      </c>
    </row>
    <row r="294" spans="1:2">
      <c r="A294" t="s">
        <v>1217</v>
      </c>
      <c r="B294" t="s">
        <v>16</v>
      </c>
    </row>
    <row r="295" spans="1:2">
      <c r="A295" t="s">
        <v>7954</v>
      </c>
      <c r="B295" t="s">
        <v>21</v>
      </c>
    </row>
    <row r="296" spans="1:2">
      <c r="A296" t="s">
        <v>895</v>
      </c>
      <c r="B296" t="s">
        <v>18</v>
      </c>
    </row>
    <row r="297" spans="1:2">
      <c r="A297" t="s">
        <v>3270</v>
      </c>
      <c r="B297" t="s">
        <v>29</v>
      </c>
    </row>
    <row r="298" spans="1:2">
      <c r="A298" t="s">
        <v>1521</v>
      </c>
      <c r="B298" t="s">
        <v>18</v>
      </c>
    </row>
    <row r="299" spans="1:2">
      <c r="A299" t="s">
        <v>2872</v>
      </c>
      <c r="B299" t="s">
        <v>17</v>
      </c>
    </row>
    <row r="300" spans="1:2">
      <c r="A300" t="s">
        <v>771</v>
      </c>
      <c r="B300" t="s">
        <v>17</v>
      </c>
    </row>
    <row r="301" spans="1:2">
      <c r="A301" t="s">
        <v>1785</v>
      </c>
      <c r="B301" t="s">
        <v>20</v>
      </c>
    </row>
    <row r="302" spans="1:2">
      <c r="A302" t="s">
        <v>1146</v>
      </c>
      <c r="B302" t="s">
        <v>18</v>
      </c>
    </row>
    <row r="303" spans="1:2">
      <c r="A303" t="s">
        <v>1258</v>
      </c>
      <c r="B303" t="s">
        <v>16</v>
      </c>
    </row>
    <row r="304" spans="1:2">
      <c r="A304" t="s">
        <v>1293</v>
      </c>
      <c r="B304" t="s">
        <v>24</v>
      </c>
    </row>
    <row r="305" spans="1:2">
      <c r="A305" t="s">
        <v>795</v>
      </c>
      <c r="B305" t="s">
        <v>16</v>
      </c>
    </row>
    <row r="306" spans="1:2">
      <c r="A306" t="s">
        <v>4751</v>
      </c>
      <c r="B306" t="s">
        <v>18</v>
      </c>
    </row>
    <row r="307" spans="1:2">
      <c r="A307" t="s">
        <v>972</v>
      </c>
      <c r="B307" t="s">
        <v>18</v>
      </c>
    </row>
    <row r="308" spans="1:2">
      <c r="A308" t="s">
        <v>4950</v>
      </c>
      <c r="B308" t="s">
        <v>18</v>
      </c>
    </row>
    <row r="309" spans="1:2">
      <c r="A309" t="s">
        <v>1138</v>
      </c>
      <c r="B309" t="s">
        <v>35</v>
      </c>
    </row>
    <row r="310" spans="1:2">
      <c r="A310" t="s">
        <v>6332</v>
      </c>
      <c r="B310" t="s">
        <v>15</v>
      </c>
    </row>
    <row r="311" spans="1:2">
      <c r="A311" t="s">
        <v>5207</v>
      </c>
      <c r="B311" t="s">
        <v>16</v>
      </c>
    </row>
    <row r="312" spans="1:2">
      <c r="A312" t="s">
        <v>3155</v>
      </c>
      <c r="B312" t="s">
        <v>15</v>
      </c>
    </row>
    <row r="313" spans="1:2">
      <c r="A313" t="s">
        <v>1150</v>
      </c>
      <c r="B313" t="s">
        <v>15</v>
      </c>
    </row>
    <row r="314" spans="1:2">
      <c r="A314" t="s">
        <v>4310</v>
      </c>
      <c r="B314" t="s">
        <v>15</v>
      </c>
    </row>
    <row r="315" spans="1:2">
      <c r="A315" t="s">
        <v>724</v>
      </c>
      <c r="B315" t="s">
        <v>16</v>
      </c>
    </row>
    <row r="316" spans="1:2">
      <c r="A316" t="s">
        <v>1514</v>
      </c>
      <c r="B316" t="s">
        <v>21</v>
      </c>
    </row>
    <row r="317" spans="1:2">
      <c r="A317" t="s">
        <v>998</v>
      </c>
      <c r="B317" t="s">
        <v>17</v>
      </c>
    </row>
    <row r="318" spans="1:2">
      <c r="A318" t="s">
        <v>6323</v>
      </c>
      <c r="B318" t="s">
        <v>15</v>
      </c>
    </row>
    <row r="319" spans="1:2">
      <c r="A319" t="s">
        <v>3296</v>
      </c>
      <c r="B319" t="s">
        <v>15</v>
      </c>
    </row>
    <row r="320" spans="1:2">
      <c r="A320" t="s">
        <v>1425</v>
      </c>
      <c r="B320" t="s">
        <v>15</v>
      </c>
    </row>
    <row r="321" spans="1:2">
      <c r="A321" t="s">
        <v>1003</v>
      </c>
      <c r="B321" t="s">
        <v>22</v>
      </c>
    </row>
    <row r="322" spans="1:2">
      <c r="A322" t="s">
        <v>1591</v>
      </c>
      <c r="B322" t="s">
        <v>24</v>
      </c>
    </row>
    <row r="323" spans="1:2">
      <c r="A323" t="s">
        <v>924</v>
      </c>
      <c r="B323" t="s">
        <v>23</v>
      </c>
    </row>
    <row r="324" spans="1:2">
      <c r="A324" t="s">
        <v>7023</v>
      </c>
      <c r="B324" t="s">
        <v>20</v>
      </c>
    </row>
    <row r="325" spans="1:2">
      <c r="A325" t="s">
        <v>1297</v>
      </c>
      <c r="B325" t="s">
        <v>18</v>
      </c>
    </row>
    <row r="326" spans="1:2">
      <c r="A326" t="s">
        <v>3354</v>
      </c>
      <c r="B326" t="s">
        <v>15</v>
      </c>
    </row>
    <row r="327" spans="1:2">
      <c r="A327" t="s">
        <v>1761</v>
      </c>
      <c r="B327" t="s">
        <v>16</v>
      </c>
    </row>
    <row r="328" spans="1:2">
      <c r="A328" t="s">
        <v>4927</v>
      </c>
      <c r="B328" t="s">
        <v>18</v>
      </c>
    </row>
    <row r="329" spans="1:2">
      <c r="B329" t="s">
        <v>30</v>
      </c>
    </row>
  </sheetData>
  <sortState ref="E1:E231">
    <sortCondition ref="E1"/>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rgetSheet"/>
  <dimension ref="A1"/>
  <sheetViews>
    <sheetView zoomScaleNormal="100" workbookViewId="0">
      <selection activeCell="I11" sqref="I11"/>
    </sheetView>
  </sheetViews>
  <sheetFormatPr defaultRowHeight="15"/>
  <cols>
    <col min="1" max="1" width="22.85546875" customWidth="1"/>
    <col min="2" max="2" width="86.140625" customWidth="1"/>
    <col min="3" max="3" width="20.85546875" customWidth="1"/>
    <col min="4" max="4" width="23" customWidth="1"/>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Sheet">
    <tabColor rgb="FFC00000"/>
  </sheetPr>
  <dimension ref="A1:A99"/>
  <sheetViews>
    <sheetView topLeftCell="A13" workbookViewId="0">
      <selection activeCell="L51" sqref="L51"/>
    </sheetView>
  </sheetViews>
  <sheetFormatPr defaultColWidth="9.140625" defaultRowHeight="15"/>
  <cols>
    <col min="1" max="1" width="9.140625" style="31"/>
    <col min="2" max="2" width="9.140625" style="31" customWidth="1"/>
    <col min="3" max="16384" width="9.140625" style="31"/>
  </cols>
  <sheetData>
    <row r="1" spans="1:1">
      <c r="A1" s="30"/>
    </row>
    <row r="2" spans="1:1">
      <c r="A2" s="30"/>
    </row>
    <row r="3" spans="1:1">
      <c r="A3" s="30"/>
    </row>
    <row r="4" spans="1:1">
      <c r="A4" s="30"/>
    </row>
    <row r="5" spans="1:1">
      <c r="A5" s="30"/>
    </row>
    <row r="6" spans="1:1">
      <c r="A6" s="30"/>
    </row>
    <row r="7" spans="1:1">
      <c r="A7" s="30"/>
    </row>
    <row r="8" spans="1:1">
      <c r="A8" s="30"/>
    </row>
    <row r="9" spans="1:1">
      <c r="A9" s="30"/>
    </row>
    <row r="10" spans="1:1">
      <c r="A10" s="30"/>
    </row>
    <row r="11" spans="1:1">
      <c r="A11" s="30"/>
    </row>
    <row r="12" spans="1:1">
      <c r="A12" s="30"/>
    </row>
    <row r="13" spans="1:1" ht="24" customHeight="1">
      <c r="A13" s="30"/>
    </row>
    <row r="14" spans="1:1" ht="24" customHeight="1">
      <c r="A14" s="30"/>
    </row>
    <row r="15" spans="1:1" ht="24" customHeight="1">
      <c r="A15" s="30"/>
    </row>
    <row r="16" spans="1:1" ht="24" customHeight="1">
      <c r="A16" s="30"/>
    </row>
    <row r="17" spans="1:1" ht="24" customHeight="1">
      <c r="A17" s="30"/>
    </row>
    <row r="18" spans="1:1" ht="24" customHeight="1">
      <c r="A18" s="30"/>
    </row>
    <row r="19" spans="1:1" ht="24" customHeight="1">
      <c r="A19" s="30"/>
    </row>
    <row r="20" spans="1:1" ht="24" customHeight="1">
      <c r="A20" s="30"/>
    </row>
    <row r="21" spans="1:1" ht="24" customHeight="1">
      <c r="A21" s="30"/>
    </row>
    <row r="22" spans="1:1" ht="24" customHeight="1">
      <c r="A22" s="30"/>
    </row>
    <row r="23" spans="1:1" ht="24" customHeight="1">
      <c r="A23" s="30"/>
    </row>
    <row r="24" spans="1:1">
      <c r="A24" s="30"/>
    </row>
    <row r="25" spans="1:1">
      <c r="A25" s="30"/>
    </row>
    <row r="26" spans="1:1">
      <c r="A26" s="30"/>
    </row>
    <row r="27" spans="1:1">
      <c r="A27" s="30"/>
    </row>
    <row r="28" spans="1:1">
      <c r="A28" s="30"/>
    </row>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s="33" customFormat="1">
      <c r="A99" s="32"/>
    </row>
  </sheetData>
  <sheetProtection sheet="1" objects="1" scenarios="1" selectLockedCells="1" selectUnlockedCells="1"/>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hangelogSheet"/>
  <dimension ref="A1:F79"/>
  <sheetViews>
    <sheetView topLeftCell="A54" workbookViewId="0">
      <selection activeCell="C67" sqref="C67"/>
    </sheetView>
  </sheetViews>
  <sheetFormatPr defaultRowHeight="15"/>
  <cols>
    <col min="1" max="1" width="12.5703125" customWidth="1"/>
    <col min="2" max="2" width="7.5703125" customWidth="1"/>
    <col min="3" max="3" width="73.85546875" customWidth="1"/>
    <col min="4" max="4" width="13.140625" customWidth="1"/>
    <col min="6" max="6" width="33" customWidth="1"/>
  </cols>
  <sheetData>
    <row r="1" spans="1:6">
      <c r="A1" s="34" t="s">
        <v>603</v>
      </c>
      <c r="B1" s="34" t="s">
        <v>604</v>
      </c>
      <c r="C1" s="35" t="s">
        <v>605</v>
      </c>
      <c r="D1" s="34" t="s">
        <v>606</v>
      </c>
      <c r="E1" s="36">
        <f>COUNTA(D:D)</f>
        <v>67</v>
      </c>
      <c r="F1" s="37" t="str">
        <f ca="1">"Version: " &amp; INDIRECT("D" &amp; last_row) &amp; "  " &amp; TEXT(INDIRECT("A" &amp; last_row), "yyy-mm-dd")</f>
        <v>Version: 1.2.0.0  2015-07-26</v>
      </c>
    </row>
    <row r="2" spans="1:6">
      <c r="A2" s="38">
        <v>41781.496527777781</v>
      </c>
      <c r="B2" s="38" t="s">
        <v>607</v>
      </c>
      <c r="C2" s="39" t="s">
        <v>608</v>
      </c>
      <c r="D2" s="40" t="s">
        <v>609</v>
      </c>
    </row>
    <row r="3" spans="1:6">
      <c r="A3" s="41">
        <v>41782</v>
      </c>
      <c r="B3" s="41" t="s">
        <v>607</v>
      </c>
      <c r="C3" s="39" t="s">
        <v>610</v>
      </c>
      <c r="D3" s="40" t="s">
        <v>611</v>
      </c>
    </row>
    <row r="4" spans="1:6">
      <c r="A4" s="41">
        <v>41785</v>
      </c>
      <c r="B4" s="41" t="s">
        <v>612</v>
      </c>
      <c r="C4" s="39" t="s">
        <v>613</v>
      </c>
      <c r="D4" s="40" t="s">
        <v>614</v>
      </c>
    </row>
    <row r="5" spans="1:6">
      <c r="A5" s="41">
        <v>41785</v>
      </c>
      <c r="B5" s="41" t="s">
        <v>612</v>
      </c>
      <c r="C5" s="39" t="s">
        <v>615</v>
      </c>
      <c r="D5" s="40" t="s">
        <v>614</v>
      </c>
    </row>
    <row r="6" spans="1:6">
      <c r="A6" s="41">
        <v>41787</v>
      </c>
      <c r="B6" s="41" t="s">
        <v>607</v>
      </c>
      <c r="C6" s="39" t="s">
        <v>616</v>
      </c>
      <c r="D6" s="40" t="s">
        <v>617</v>
      </c>
    </row>
    <row r="7" spans="1:6">
      <c r="A7" s="41">
        <v>41787</v>
      </c>
      <c r="B7" s="42" t="s">
        <v>612</v>
      </c>
      <c r="C7" s="39" t="s">
        <v>618</v>
      </c>
      <c r="D7" s="40" t="s">
        <v>617</v>
      </c>
    </row>
    <row r="8" spans="1:6" ht="30">
      <c r="A8" s="41">
        <v>41787</v>
      </c>
      <c r="B8" s="42" t="s">
        <v>619</v>
      </c>
      <c r="C8" s="39" t="s">
        <v>620</v>
      </c>
      <c r="D8" s="40" t="s">
        <v>617</v>
      </c>
    </row>
    <row r="9" spans="1:6">
      <c r="A9" s="41">
        <v>41788</v>
      </c>
      <c r="B9" s="41" t="s">
        <v>619</v>
      </c>
      <c r="C9" s="39" t="s">
        <v>621</v>
      </c>
      <c r="D9" s="40" t="s">
        <v>622</v>
      </c>
    </row>
    <row r="10" spans="1:6">
      <c r="A10" s="41">
        <v>41788</v>
      </c>
      <c r="B10" s="41" t="s">
        <v>612</v>
      </c>
      <c r="C10" s="39" t="s">
        <v>623</v>
      </c>
      <c r="D10" s="40" t="s">
        <v>622</v>
      </c>
    </row>
    <row r="11" spans="1:6">
      <c r="A11" s="41">
        <v>41789</v>
      </c>
      <c r="B11" s="41" t="s">
        <v>612</v>
      </c>
      <c r="C11" s="39" t="s">
        <v>624</v>
      </c>
      <c r="D11" s="40" t="s">
        <v>625</v>
      </c>
    </row>
    <row r="12" spans="1:6">
      <c r="A12" s="41">
        <v>41789</v>
      </c>
      <c r="B12" s="41" t="s">
        <v>619</v>
      </c>
      <c r="C12" s="39" t="s">
        <v>626</v>
      </c>
      <c r="D12" s="40" t="s">
        <v>625</v>
      </c>
    </row>
    <row r="13" spans="1:6">
      <c r="A13" s="41">
        <v>41789</v>
      </c>
      <c r="B13" s="41" t="s">
        <v>619</v>
      </c>
      <c r="C13" s="39" t="s">
        <v>627</v>
      </c>
      <c r="D13" s="40" t="s">
        <v>625</v>
      </c>
    </row>
    <row r="14" spans="1:6">
      <c r="A14" s="41">
        <v>41789</v>
      </c>
      <c r="B14" s="41" t="s">
        <v>619</v>
      </c>
      <c r="C14" s="39" t="s">
        <v>628</v>
      </c>
      <c r="D14" s="40" t="s">
        <v>625</v>
      </c>
    </row>
    <row r="15" spans="1:6">
      <c r="A15" s="41">
        <v>41790</v>
      </c>
      <c r="B15" s="41" t="s">
        <v>612</v>
      </c>
      <c r="C15" s="39" t="s">
        <v>629</v>
      </c>
      <c r="D15" s="40" t="s">
        <v>625</v>
      </c>
    </row>
    <row r="16" spans="1:6">
      <c r="A16" s="41">
        <v>41790</v>
      </c>
      <c r="B16" s="41" t="s">
        <v>619</v>
      </c>
      <c r="C16" s="39" t="s">
        <v>630</v>
      </c>
      <c r="D16" s="40" t="s">
        <v>625</v>
      </c>
    </row>
    <row r="17" spans="1:4">
      <c r="A17" s="41">
        <v>41790</v>
      </c>
      <c r="B17" s="41" t="s">
        <v>607</v>
      </c>
      <c r="C17" s="39" t="s">
        <v>631</v>
      </c>
      <c r="D17" s="40" t="s">
        <v>625</v>
      </c>
    </row>
    <row r="18" spans="1:4">
      <c r="A18" s="41">
        <v>41794</v>
      </c>
      <c r="B18" s="41" t="s">
        <v>612</v>
      </c>
      <c r="C18" s="39" t="s">
        <v>632</v>
      </c>
      <c r="D18" s="40" t="s">
        <v>633</v>
      </c>
    </row>
    <row r="19" spans="1:4">
      <c r="A19" s="41">
        <v>41796</v>
      </c>
      <c r="B19" s="41" t="s">
        <v>607</v>
      </c>
      <c r="C19" s="39" t="s">
        <v>634</v>
      </c>
      <c r="D19" s="40" t="s">
        <v>635</v>
      </c>
    </row>
    <row r="20" spans="1:4">
      <c r="A20" s="41">
        <v>41796</v>
      </c>
      <c r="B20" s="41" t="s">
        <v>607</v>
      </c>
      <c r="C20" s="39" t="s">
        <v>636</v>
      </c>
      <c r="D20" s="40" t="s">
        <v>635</v>
      </c>
    </row>
    <row r="21" spans="1:4">
      <c r="A21" s="41">
        <v>41796</v>
      </c>
      <c r="B21" s="41" t="s">
        <v>612</v>
      </c>
      <c r="C21" s="39" t="s">
        <v>637</v>
      </c>
      <c r="D21" s="40" t="s">
        <v>635</v>
      </c>
    </row>
    <row r="22" spans="1:4">
      <c r="A22" s="41">
        <v>41796</v>
      </c>
      <c r="B22" s="41" t="s">
        <v>619</v>
      </c>
      <c r="C22" s="39" t="s">
        <v>638</v>
      </c>
      <c r="D22" s="40" t="s">
        <v>635</v>
      </c>
    </row>
    <row r="23" spans="1:4">
      <c r="A23" s="41">
        <v>41801</v>
      </c>
      <c r="B23" s="41" t="s">
        <v>612</v>
      </c>
      <c r="C23" s="39" t="s">
        <v>639</v>
      </c>
      <c r="D23" s="40" t="s">
        <v>640</v>
      </c>
    </row>
    <row r="24" spans="1:4">
      <c r="A24" s="41">
        <v>41801</v>
      </c>
      <c r="B24" s="41" t="s">
        <v>619</v>
      </c>
      <c r="C24" s="39" t="s">
        <v>641</v>
      </c>
      <c r="D24" s="40" t="s">
        <v>640</v>
      </c>
    </row>
    <row r="25" spans="1:4">
      <c r="A25" s="41">
        <v>41801</v>
      </c>
      <c r="B25" s="41" t="s">
        <v>607</v>
      </c>
      <c r="C25" s="39" t="s">
        <v>642</v>
      </c>
      <c r="D25" s="40" t="s">
        <v>640</v>
      </c>
    </row>
    <row r="26" spans="1:4">
      <c r="A26" s="41">
        <v>41824</v>
      </c>
      <c r="B26" s="41" t="s">
        <v>612</v>
      </c>
      <c r="C26" s="39" t="s">
        <v>643</v>
      </c>
      <c r="D26" s="40" t="s">
        <v>644</v>
      </c>
    </row>
    <row r="27" spans="1:4">
      <c r="A27" s="41">
        <v>41916</v>
      </c>
      <c r="B27" s="41" t="s">
        <v>607</v>
      </c>
      <c r="C27" s="39" t="s">
        <v>645</v>
      </c>
      <c r="D27" s="40" t="s">
        <v>646</v>
      </c>
    </row>
    <row r="28" spans="1:4">
      <c r="A28" s="41">
        <v>41917</v>
      </c>
      <c r="B28" s="41" t="s">
        <v>607</v>
      </c>
      <c r="C28" s="39" t="s">
        <v>647</v>
      </c>
      <c r="D28" s="40" t="s">
        <v>646</v>
      </c>
    </row>
    <row r="29" spans="1:4">
      <c r="A29" s="41">
        <v>41918</v>
      </c>
      <c r="B29" s="41" t="s">
        <v>612</v>
      </c>
      <c r="C29" s="39" t="s">
        <v>648</v>
      </c>
      <c r="D29" s="40" t="s">
        <v>646</v>
      </c>
    </row>
    <row r="30" spans="1:4">
      <c r="A30" s="41">
        <v>41950</v>
      </c>
      <c r="B30" s="41" t="s">
        <v>607</v>
      </c>
      <c r="C30" s="39" t="s">
        <v>649</v>
      </c>
      <c r="D30" s="40" t="s">
        <v>650</v>
      </c>
    </row>
    <row r="31" spans="1:4">
      <c r="A31" s="41">
        <v>42098</v>
      </c>
      <c r="B31" s="41" t="s">
        <v>607</v>
      </c>
      <c r="C31" s="39" t="s">
        <v>651</v>
      </c>
      <c r="D31" s="40" t="s">
        <v>652</v>
      </c>
    </row>
    <row r="32" spans="1:4" ht="30">
      <c r="A32" s="41">
        <v>42098</v>
      </c>
      <c r="B32" s="41" t="s">
        <v>607</v>
      </c>
      <c r="C32" s="39" t="s">
        <v>653</v>
      </c>
      <c r="D32" s="40" t="s">
        <v>652</v>
      </c>
    </row>
    <row r="33" spans="1:4">
      <c r="A33" s="41">
        <v>42099</v>
      </c>
      <c r="B33" s="41" t="s">
        <v>607</v>
      </c>
      <c r="C33" s="39" t="s">
        <v>654</v>
      </c>
      <c r="D33" s="40" t="s">
        <v>655</v>
      </c>
    </row>
    <row r="34" spans="1:4" ht="30">
      <c r="A34" s="41">
        <v>42099</v>
      </c>
      <c r="B34" s="41" t="s">
        <v>607</v>
      </c>
      <c r="C34" s="39" t="s">
        <v>656</v>
      </c>
      <c r="D34" s="40" t="s">
        <v>655</v>
      </c>
    </row>
    <row r="35" spans="1:4" ht="30">
      <c r="A35" s="41">
        <v>42100</v>
      </c>
      <c r="B35" s="41" t="s">
        <v>612</v>
      </c>
      <c r="C35" s="39" t="s">
        <v>657</v>
      </c>
      <c r="D35" s="40" t="s">
        <v>658</v>
      </c>
    </row>
    <row r="36" spans="1:4">
      <c r="A36" s="41">
        <v>42100</v>
      </c>
      <c r="B36" s="41" t="s">
        <v>607</v>
      </c>
      <c r="C36" s="39" t="s">
        <v>659</v>
      </c>
      <c r="D36" s="40" t="s">
        <v>658</v>
      </c>
    </row>
    <row r="37" spans="1:4">
      <c r="A37" s="41">
        <v>42101</v>
      </c>
      <c r="B37" s="41" t="s">
        <v>607</v>
      </c>
      <c r="C37" s="39" t="s">
        <v>660</v>
      </c>
      <c r="D37" s="40" t="s">
        <v>661</v>
      </c>
    </row>
    <row r="38" spans="1:4">
      <c r="A38" s="41">
        <v>42102</v>
      </c>
      <c r="B38" s="41" t="s">
        <v>612</v>
      </c>
      <c r="C38" s="39" t="s">
        <v>662</v>
      </c>
      <c r="D38" s="40" t="s">
        <v>663</v>
      </c>
    </row>
    <row r="39" spans="1:4">
      <c r="A39" s="41">
        <v>42102</v>
      </c>
      <c r="B39" s="41" t="s">
        <v>607</v>
      </c>
      <c r="C39" s="39" t="s">
        <v>664</v>
      </c>
      <c r="D39" s="40" t="s">
        <v>665</v>
      </c>
    </row>
    <row r="40" spans="1:4">
      <c r="A40" s="41">
        <v>42102</v>
      </c>
      <c r="B40" s="41" t="s">
        <v>607</v>
      </c>
      <c r="C40" s="39" t="s">
        <v>666</v>
      </c>
      <c r="D40" s="40" t="s">
        <v>665</v>
      </c>
    </row>
    <row r="41" spans="1:4" ht="30">
      <c r="A41" s="41">
        <v>42124</v>
      </c>
      <c r="B41" s="41" t="s">
        <v>607</v>
      </c>
      <c r="C41" s="39" t="s">
        <v>667</v>
      </c>
      <c r="D41" s="40" t="s">
        <v>668</v>
      </c>
    </row>
    <row r="42" spans="1:4">
      <c r="A42" s="41">
        <v>42124</v>
      </c>
      <c r="B42" s="41" t="s">
        <v>607</v>
      </c>
      <c r="C42" s="39" t="s">
        <v>669</v>
      </c>
      <c r="D42" s="40" t="s">
        <v>668</v>
      </c>
    </row>
    <row r="43" spans="1:4">
      <c r="A43" s="41">
        <v>42125</v>
      </c>
      <c r="B43" s="41" t="s">
        <v>612</v>
      </c>
      <c r="C43" s="39" t="s">
        <v>670</v>
      </c>
      <c r="D43" s="40" t="s">
        <v>671</v>
      </c>
    </row>
    <row r="44" spans="1:4">
      <c r="A44" s="41">
        <v>42125</v>
      </c>
      <c r="B44" s="41" t="s">
        <v>612</v>
      </c>
      <c r="C44" s="39" t="s">
        <v>672</v>
      </c>
      <c r="D44" s="40" t="s">
        <v>671</v>
      </c>
    </row>
    <row r="45" spans="1:4">
      <c r="A45" s="41">
        <v>42125</v>
      </c>
      <c r="B45" s="41" t="s">
        <v>607</v>
      </c>
      <c r="C45" s="39" t="s">
        <v>673</v>
      </c>
      <c r="D45" s="40" t="s">
        <v>674</v>
      </c>
    </row>
    <row r="46" spans="1:4">
      <c r="A46" s="41">
        <v>42126</v>
      </c>
      <c r="B46" s="41" t="s">
        <v>619</v>
      </c>
      <c r="C46" s="39" t="s">
        <v>675</v>
      </c>
      <c r="D46" s="40" t="s">
        <v>676</v>
      </c>
    </row>
    <row r="47" spans="1:4">
      <c r="A47" s="41">
        <v>42126</v>
      </c>
      <c r="B47" s="41" t="s">
        <v>619</v>
      </c>
      <c r="C47" s="39" t="s">
        <v>677</v>
      </c>
      <c r="D47" s="40" t="s">
        <v>676</v>
      </c>
    </row>
    <row r="48" spans="1:4">
      <c r="A48" s="41">
        <v>42127</v>
      </c>
      <c r="B48" s="41" t="s">
        <v>619</v>
      </c>
      <c r="C48" s="39" t="s">
        <v>678</v>
      </c>
      <c r="D48" s="40" t="s">
        <v>679</v>
      </c>
    </row>
    <row r="49" spans="1:4">
      <c r="A49" s="41">
        <v>42137</v>
      </c>
      <c r="B49" s="41" t="s">
        <v>612</v>
      </c>
      <c r="C49" s="39" t="s">
        <v>680</v>
      </c>
      <c r="D49" s="40" t="s">
        <v>681</v>
      </c>
    </row>
    <row r="50" spans="1:4" ht="30">
      <c r="A50" s="41">
        <v>42137</v>
      </c>
      <c r="B50" s="41" t="s">
        <v>619</v>
      </c>
      <c r="C50" s="39" t="s">
        <v>682</v>
      </c>
      <c r="D50" s="40" t="s">
        <v>681</v>
      </c>
    </row>
    <row r="51" spans="1:4">
      <c r="A51" s="41">
        <v>42137</v>
      </c>
      <c r="B51" s="41" t="s">
        <v>607</v>
      </c>
      <c r="C51" s="39" t="s">
        <v>683</v>
      </c>
      <c r="D51" s="40" t="s">
        <v>681</v>
      </c>
    </row>
    <row r="52" spans="1:4">
      <c r="A52" s="41">
        <v>42137</v>
      </c>
      <c r="B52" s="41" t="s">
        <v>612</v>
      </c>
      <c r="C52" s="39" t="s">
        <v>684</v>
      </c>
      <c r="D52" s="40" t="s">
        <v>685</v>
      </c>
    </row>
    <row r="53" spans="1:4" ht="30">
      <c r="A53" s="41">
        <v>42141</v>
      </c>
      <c r="B53" s="41" t="s">
        <v>607</v>
      </c>
      <c r="C53" s="39" t="s">
        <v>686</v>
      </c>
      <c r="D53" s="40" t="s">
        <v>687</v>
      </c>
    </row>
    <row r="54" spans="1:4">
      <c r="A54" s="41">
        <v>42144</v>
      </c>
      <c r="B54" s="41" t="s">
        <v>612</v>
      </c>
      <c r="C54" s="39" t="s">
        <v>688</v>
      </c>
      <c r="D54" s="40" t="s">
        <v>689</v>
      </c>
    </row>
    <row r="55" spans="1:4">
      <c r="A55" s="41">
        <v>42145</v>
      </c>
      <c r="B55" s="41" t="s">
        <v>612</v>
      </c>
      <c r="C55" s="39" t="s">
        <v>690</v>
      </c>
      <c r="D55" s="40" t="s">
        <v>691</v>
      </c>
    </row>
    <row r="56" spans="1:4">
      <c r="A56" s="41">
        <v>42147</v>
      </c>
      <c r="B56" s="41" t="s">
        <v>607</v>
      </c>
      <c r="C56" s="39" t="s">
        <v>692</v>
      </c>
      <c r="D56" s="40" t="s">
        <v>693</v>
      </c>
    </row>
    <row r="57" spans="1:4">
      <c r="A57" s="41">
        <v>42148</v>
      </c>
      <c r="B57" s="41" t="s">
        <v>612</v>
      </c>
      <c r="C57" s="39" t="s">
        <v>694</v>
      </c>
      <c r="D57" s="40" t="s">
        <v>695</v>
      </c>
    </row>
    <row r="58" spans="1:4" ht="30">
      <c r="A58" s="41">
        <v>42154</v>
      </c>
      <c r="B58" s="41" t="s">
        <v>612</v>
      </c>
      <c r="C58" s="39" t="s">
        <v>696</v>
      </c>
      <c r="D58" s="40" t="s">
        <v>697</v>
      </c>
    </row>
    <row r="59" spans="1:4" ht="30">
      <c r="A59" s="41">
        <v>42160</v>
      </c>
      <c r="B59" s="41" t="s">
        <v>607</v>
      </c>
      <c r="C59" s="39" t="s">
        <v>698</v>
      </c>
      <c r="D59" s="40" t="s">
        <v>699</v>
      </c>
    </row>
    <row r="60" spans="1:4">
      <c r="A60" s="41">
        <v>42169</v>
      </c>
      <c r="B60" s="41" t="s">
        <v>619</v>
      </c>
      <c r="C60" s="39" t="s">
        <v>700</v>
      </c>
      <c r="D60" s="40" t="s">
        <v>701</v>
      </c>
    </row>
    <row r="61" spans="1:4">
      <c r="A61" s="41">
        <v>42185</v>
      </c>
      <c r="B61" s="41" t="s">
        <v>612</v>
      </c>
      <c r="C61" s="39" t="s">
        <v>702</v>
      </c>
      <c r="D61" s="40" t="s">
        <v>703</v>
      </c>
    </row>
    <row r="62" spans="1:4">
      <c r="A62" s="41">
        <v>42202</v>
      </c>
      <c r="B62" s="41" t="s">
        <v>612</v>
      </c>
      <c r="C62" s="39" t="s">
        <v>704</v>
      </c>
      <c r="D62" s="40" t="s">
        <v>705</v>
      </c>
    </row>
    <row r="63" spans="1:4" ht="30">
      <c r="A63" s="41">
        <v>42202</v>
      </c>
      <c r="B63" s="41" t="s">
        <v>607</v>
      </c>
      <c r="C63" s="39" t="s">
        <v>706</v>
      </c>
      <c r="D63" s="40" t="s">
        <v>705</v>
      </c>
    </row>
    <row r="64" spans="1:4">
      <c r="A64" s="41">
        <v>42202</v>
      </c>
      <c r="B64" s="41" t="s">
        <v>607</v>
      </c>
      <c r="C64" s="39" t="s">
        <v>707</v>
      </c>
      <c r="D64" s="40" t="s">
        <v>708</v>
      </c>
    </row>
    <row r="65" spans="1:4" ht="30">
      <c r="A65" s="41">
        <v>42204</v>
      </c>
      <c r="B65" s="41" t="s">
        <v>612</v>
      </c>
      <c r="C65" s="39" t="s">
        <v>709</v>
      </c>
      <c r="D65" s="40" t="s">
        <v>710</v>
      </c>
    </row>
    <row r="66" spans="1:4" ht="30">
      <c r="A66" s="41">
        <v>42211</v>
      </c>
      <c r="B66" s="41" t="s">
        <v>619</v>
      </c>
      <c r="C66" s="39" t="s">
        <v>711</v>
      </c>
      <c r="D66" s="40" t="s">
        <v>712</v>
      </c>
    </row>
    <row r="67" spans="1:4" ht="30">
      <c r="A67" s="41">
        <v>42211</v>
      </c>
      <c r="B67" s="41" t="s">
        <v>619</v>
      </c>
      <c r="C67" s="39" t="s">
        <v>715</v>
      </c>
      <c r="D67" s="40" t="s">
        <v>712</v>
      </c>
    </row>
    <row r="68" spans="1:4">
      <c r="A68" s="41"/>
      <c r="B68" s="41"/>
      <c r="C68" s="39"/>
      <c r="D68" s="40"/>
    </row>
    <row r="69" spans="1:4">
      <c r="A69" s="41"/>
      <c r="B69" s="41"/>
      <c r="C69" s="39"/>
      <c r="D69" s="40"/>
    </row>
    <row r="70" spans="1:4">
      <c r="A70" s="34"/>
      <c r="B70" s="34"/>
      <c r="C70" s="35" t="s">
        <v>713</v>
      </c>
      <c r="D70" s="34"/>
    </row>
    <row r="71" spans="1:4">
      <c r="A71" s="38">
        <v>42181</v>
      </c>
      <c r="B71" s="38" t="s">
        <v>607</v>
      </c>
      <c r="C71" s="39" t="s">
        <v>714</v>
      </c>
      <c r="D71" s="40"/>
    </row>
    <row r="72" spans="1:4">
      <c r="A72" s="41"/>
      <c r="B72" s="41"/>
      <c r="C72" s="39"/>
      <c r="D72" s="40"/>
    </row>
    <row r="73" spans="1:4">
      <c r="A73" s="41"/>
      <c r="B73" s="41"/>
      <c r="C73" s="39"/>
      <c r="D73" s="40"/>
    </row>
    <row r="74" spans="1:4">
      <c r="A74" s="41"/>
      <c r="B74" s="41"/>
      <c r="C74" s="39"/>
      <c r="D74" s="40"/>
    </row>
    <row r="75" spans="1:4">
      <c r="A75" s="41"/>
      <c r="B75" s="41"/>
      <c r="C75" s="39"/>
      <c r="D75" s="40"/>
    </row>
    <row r="76" spans="1:4">
      <c r="A76" s="38"/>
      <c r="B76" s="38"/>
      <c r="C76" s="39"/>
      <c r="D76" s="40"/>
    </row>
    <row r="77" spans="1:4">
      <c r="A77" s="43"/>
      <c r="B77" s="43"/>
      <c r="C77" s="44"/>
    </row>
    <row r="78" spans="1:4">
      <c r="A78" s="43"/>
      <c r="B78" s="43"/>
      <c r="C78" s="44"/>
    </row>
    <row r="79" spans="1:4">
      <c r="A79" s="43"/>
      <c r="B79" s="43"/>
      <c r="C79" s="44"/>
    </row>
  </sheetData>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Cor Log</vt:lpstr>
      <vt:lpstr>Config</vt:lpstr>
      <vt:lpstr>DevConfig</vt:lpstr>
      <vt:lpstr>ProdConfig</vt:lpstr>
      <vt:lpstr>Lang</vt:lpstr>
      <vt:lpstr>Countries</vt:lpstr>
      <vt:lpstr>Expansions</vt:lpstr>
      <vt:lpstr>Lists</vt:lpstr>
      <vt:lpstr>Targets</vt:lpstr>
      <vt:lpstr>Help</vt:lpstr>
      <vt:lpstr>ChangeLog</vt:lpstr>
      <vt:lpstr>action_header</vt:lpstr>
      <vt:lpstr>countries</vt:lpstr>
      <vt:lpstr>Lists!Extract</vt:lpstr>
      <vt:lpstr>last_change</vt:lpstr>
      <vt:lpstr>last_row</vt:lpstr>
      <vt:lpstr>project_header</vt:lpstr>
      <vt:lpstr>root</vt:lpstr>
    </vt:vector>
  </TitlesOfParts>
  <Company>Watchtower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Bent, Symon</dc:creator>
  <cp:lastModifiedBy>Bent, Symon</cp:lastModifiedBy>
  <dcterms:created xsi:type="dcterms:W3CDTF">2015-07-25T13:23:57Z</dcterms:created>
  <dcterms:modified xsi:type="dcterms:W3CDTF">2015-09-10T12:35:58Z</dcterms:modified>
</cp:coreProperties>
</file>