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Analyst\Projects\Excel\"/>
    </mc:Choice>
  </mc:AlternateContent>
  <xr:revisionPtr revIDLastSave="0" documentId="8_{A3849CDB-98B6-4CD6-9D4F-52CC68E0B731}" xr6:coauthVersionLast="47" xr6:coauthVersionMax="47" xr10:uidLastSave="{00000000-0000-0000-0000-000000000000}"/>
  <bookViews>
    <workbookView xWindow="51780" yWindow="-90" windowWidth="22125" windowHeight="16080" activeTab="2" xr2:uid="{A4C75D7E-1138-488E-91BB-2E7BA434D528}"/>
  </bookViews>
  <sheets>
    <sheet name="2019" sheetId="1" r:id="rId1"/>
    <sheet name="KPI Summary" sheetId="2" r:id="rId2"/>
    <sheet name="Dashbo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2" i="1"/>
  <c r="B3" i="2"/>
  <c r="B2" i="2"/>
  <c r="B5" i="3"/>
  <c r="B4" i="3"/>
  <c r="B5" i="2"/>
  <c r="B1" i="2"/>
  <c r="P3" i="1"/>
  <c r="P4" i="1"/>
  <c r="P5" i="1"/>
  <c r="P6" i="1"/>
  <c r="P7" i="1"/>
  <c r="P8" i="1"/>
  <c r="P9" i="1"/>
  <c r="P10" i="1"/>
  <c r="P11" i="1"/>
  <c r="P12" i="1"/>
  <c r="P13" i="1"/>
  <c r="P2" i="1"/>
  <c r="N3" i="1"/>
  <c r="N4" i="1"/>
  <c r="N5" i="1"/>
  <c r="N6" i="1"/>
  <c r="N7" i="1"/>
  <c r="N8" i="1"/>
  <c r="N9" i="1"/>
  <c r="N10" i="1"/>
  <c r="N11" i="1"/>
  <c r="N12" i="1"/>
  <c r="N13" i="1"/>
  <c r="N2" i="1"/>
  <c r="I3" i="1"/>
  <c r="I4" i="1"/>
  <c r="I5" i="1"/>
  <c r="I6" i="1"/>
  <c r="I7" i="1"/>
  <c r="I8" i="1"/>
  <c r="I9" i="1"/>
  <c r="I10" i="1"/>
  <c r="I11" i="1"/>
  <c r="I12" i="1"/>
  <c r="I13" i="1"/>
  <c r="H3" i="1"/>
  <c r="H4" i="1"/>
  <c r="H5" i="1"/>
  <c r="H6" i="1"/>
  <c r="H7" i="1"/>
  <c r="H8" i="1"/>
  <c r="H9" i="1"/>
  <c r="H10" i="1"/>
  <c r="H11" i="1"/>
  <c r="H12" i="1"/>
  <c r="H13" i="1"/>
  <c r="G3" i="1"/>
  <c r="G4" i="1"/>
  <c r="G5" i="1"/>
  <c r="G6" i="1"/>
  <c r="G7" i="1"/>
  <c r="G8" i="1"/>
  <c r="G9" i="1"/>
  <c r="G10" i="1"/>
  <c r="G11" i="1"/>
  <c r="G12" i="1"/>
  <c r="G13" i="1"/>
  <c r="F3" i="1"/>
  <c r="F4" i="1"/>
  <c r="F5" i="1"/>
  <c r="F6" i="1"/>
  <c r="F7" i="1"/>
  <c r="F8" i="1"/>
  <c r="F9" i="1"/>
  <c r="F10" i="1"/>
  <c r="F11" i="1"/>
  <c r="F12" i="1"/>
  <c r="F13" i="1"/>
  <c r="E3" i="1"/>
  <c r="E4" i="1"/>
  <c r="E5" i="1"/>
  <c r="E6" i="1"/>
  <c r="E7" i="1"/>
  <c r="E8" i="1"/>
  <c r="E9" i="1"/>
  <c r="E10" i="1"/>
  <c r="E11" i="1"/>
  <c r="E12" i="1"/>
  <c r="E13" i="1"/>
  <c r="I2" i="1"/>
  <c r="H2" i="1"/>
  <c r="G2" i="1"/>
  <c r="F2" i="1"/>
  <c r="E2" i="1"/>
  <c r="D4" i="1"/>
  <c r="D5" i="1"/>
  <c r="D6" i="1"/>
  <c r="D7" i="1"/>
  <c r="D8" i="1"/>
  <c r="D9" i="1"/>
  <c r="D10" i="1"/>
  <c r="D11" i="1"/>
  <c r="D12" i="1"/>
  <c r="D13" i="1"/>
  <c r="D2" i="1"/>
  <c r="D3" i="1"/>
  <c r="C3" i="1"/>
  <c r="C4" i="1"/>
  <c r="C5" i="1"/>
  <c r="C6" i="1"/>
  <c r="C7" i="1"/>
  <c r="C8" i="1"/>
  <c r="C9" i="1"/>
  <c r="C10" i="1"/>
  <c r="C11" i="1"/>
  <c r="C12" i="1"/>
  <c r="C13" i="1"/>
  <c r="C2" i="1"/>
  <c r="B4" i="2" l="1"/>
  <c r="B2" i="3"/>
  <c r="B7" i="2"/>
  <c r="B3" i="3" s="1"/>
  <c r="B6" i="2"/>
  <c r="B1" i="3"/>
</calcChain>
</file>

<file path=xl/sharedStrings.xml><?xml version="1.0" encoding="utf-8"?>
<sst xmlns="http://schemas.openxmlformats.org/spreadsheetml/2006/main" count="41" uniqueCount="40">
  <si>
    <t>Month</t>
  </si>
  <si>
    <t>Jobs</t>
  </si>
  <si>
    <t>Home Inspections</t>
  </si>
  <si>
    <t>Termite Inspections</t>
  </si>
  <si>
    <t>4 Points</t>
  </si>
  <si>
    <t>Wind Mitigations</t>
  </si>
  <si>
    <t>Water Tests</t>
  </si>
  <si>
    <t>Sewer Scopes</t>
  </si>
  <si>
    <t>Mold Tests</t>
  </si>
  <si>
    <t>Software</t>
  </si>
  <si>
    <t>Association</t>
  </si>
  <si>
    <t>Insurance</t>
  </si>
  <si>
    <t>Tolls</t>
  </si>
  <si>
    <t>Office</t>
  </si>
  <si>
    <t>Supplies</t>
  </si>
  <si>
    <t>January</t>
  </si>
  <si>
    <t>Februrary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</si>
  <si>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</si>
  <si>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</si>
  <si>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</si>
  <si>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</si>
  <si>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</si>
  <si>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</si>
  <si>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</si>
  <si>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</si>
  <si>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</si>
  <si>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Decemenber</t>
  </si>
  <si>
    <t>Travel</t>
  </si>
  <si>
    <t>Total Jobs</t>
  </si>
  <si>
    <t>Total Revenue</t>
  </si>
  <si>
    <t>Total Expenses</t>
  </si>
  <si>
    <t>Net Profit</t>
  </si>
  <si>
    <t>Profit Margin (%)</t>
  </si>
  <si>
    <t>Ave Jobs per Month</t>
  </si>
  <si>
    <t>Ave Revenue per Job</t>
  </si>
  <si>
    <t>📈 Total Revenue</t>
  </si>
  <si>
    <t>💵 Total Profit</t>
  </si>
  <si>
    <t>🧮 Profit Margin (%)</t>
  </si>
  <si>
    <t>📦 Jobs This Year</t>
  </si>
  <si>
    <t>📊 Avg Jobs/Month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</si>
</sst>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Revenue by Service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'2019'!$A$2:$A$13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Decemenber</c:v>
                </c:pt>
              </c:strCache>
            </c:strRef>
          </c:cat>
          <c:val>
            <c:numRef>
              <c:f>'2019'!$C$2:$C$13</c:f>
              <c:numCache>
                <c:formatCode>General</c:formatCode>
                <c:ptCount val="12"/>
                <c:pt idx="0">
                  <c:v>11900</c:v>
                </c:pt>
                <c:pt idx="1">
                  <c:v>9775</c:v>
                </c:pt>
                <c:pt idx="2">
                  <c:v>9775</c:v>
                </c:pt>
                <c:pt idx="3">
                  <c:v>11050</c:v>
                </c:pt>
                <c:pt idx="4">
                  <c:v>10200</c:v>
                </c:pt>
                <c:pt idx="5">
                  <c:v>7225</c:v>
                </c:pt>
                <c:pt idx="6">
                  <c:v>10200</c:v>
                </c:pt>
                <c:pt idx="7">
                  <c:v>8925</c:v>
                </c:pt>
                <c:pt idx="8">
                  <c:v>8925</c:v>
                </c:pt>
                <c:pt idx="9">
                  <c:v>8500</c:v>
                </c:pt>
                <c:pt idx="10">
                  <c:v>6800</c:v>
                </c:pt>
                <c:pt idx="11">
                  <c:v>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9-4DB0-9ADF-665B117F0B8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'2019'!$A$2:$A$13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Decemenber</c:v>
                </c:pt>
              </c:strCache>
            </c:strRef>
          </c:cat>
          <c:val>
            <c:numRef>
              <c:f>'2019'!$D$2:$D$13</c:f>
              <c:numCache>
                <c:formatCode>General</c:formatCode>
                <c:ptCount val="12"/>
                <c:pt idx="0">
                  <c:v>950</c:v>
                </c:pt>
                <c:pt idx="1">
                  <c:v>760</c:v>
                </c:pt>
                <c:pt idx="2">
                  <c:v>760</c:v>
                </c:pt>
                <c:pt idx="3">
                  <c:v>855</c:v>
                </c:pt>
                <c:pt idx="4">
                  <c:v>760</c:v>
                </c:pt>
                <c:pt idx="5">
                  <c:v>570</c:v>
                </c:pt>
                <c:pt idx="6">
                  <c:v>760</c:v>
                </c:pt>
                <c:pt idx="7">
                  <c:v>665</c:v>
                </c:pt>
                <c:pt idx="8">
                  <c:v>665</c:v>
                </c:pt>
                <c:pt idx="9">
                  <c:v>665</c:v>
                </c:pt>
                <c:pt idx="10">
                  <c:v>475</c:v>
                </c:pt>
                <c:pt idx="11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9-4DB0-9ADF-665B117F0B8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'2019'!$A$2:$A$13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Decemenber</c:v>
                </c:pt>
              </c:strCache>
            </c:strRef>
          </c:cat>
          <c:val>
            <c:numRef>
              <c:f>'2019'!$E$2:$E$13</c:f>
              <c:numCache>
                <c:formatCode>General</c:formatCode>
                <c:ptCount val="12"/>
                <c:pt idx="0">
                  <c:v>900</c:v>
                </c:pt>
                <c:pt idx="1">
                  <c:v>675</c:v>
                </c:pt>
                <c:pt idx="2">
                  <c:v>675</c:v>
                </c:pt>
                <c:pt idx="3">
                  <c:v>825</c:v>
                </c:pt>
                <c:pt idx="4">
                  <c:v>750</c:v>
                </c:pt>
                <c:pt idx="5">
                  <c:v>525</c:v>
                </c:pt>
                <c:pt idx="6">
                  <c:v>750</c:v>
                </c:pt>
                <c:pt idx="7">
                  <c:v>675</c:v>
                </c:pt>
                <c:pt idx="8">
                  <c:v>675</c:v>
                </c:pt>
                <c:pt idx="9">
                  <c:v>600</c:v>
                </c:pt>
                <c:pt idx="10">
                  <c:v>450</c:v>
                </c:pt>
                <c:pt idx="1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9-4DB0-9ADF-665B117F0B8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'2019'!$A$2:$A$13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Decemenber</c:v>
                </c:pt>
              </c:strCache>
            </c:strRef>
          </c:cat>
          <c:val>
            <c:numRef>
              <c:f>'2019'!$F$2:$F$13</c:f>
              <c:numCache>
                <c:formatCode>General</c:formatCode>
                <c:ptCount val="12"/>
                <c:pt idx="0">
                  <c:v>1300</c:v>
                </c:pt>
                <c:pt idx="1">
                  <c:v>1040</c:v>
                </c:pt>
                <c:pt idx="2">
                  <c:v>1040</c:v>
                </c:pt>
                <c:pt idx="3">
                  <c:v>1170</c:v>
                </c:pt>
                <c:pt idx="4">
                  <c:v>1105</c:v>
                </c:pt>
                <c:pt idx="5">
                  <c:v>780</c:v>
                </c:pt>
                <c:pt idx="6">
                  <c:v>1105</c:v>
                </c:pt>
                <c:pt idx="7">
                  <c:v>975</c:v>
                </c:pt>
                <c:pt idx="8">
                  <c:v>975</c:v>
                </c:pt>
                <c:pt idx="9">
                  <c:v>910</c:v>
                </c:pt>
                <c:pt idx="10">
                  <c:v>715</c:v>
                </c:pt>
                <c:pt idx="1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39-4DB0-9ADF-665B117F0B8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'2019'!$A$2:$A$13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Decemenber</c:v>
                </c:pt>
              </c:strCache>
            </c:strRef>
          </c:cat>
          <c:val>
            <c:numRef>
              <c:f>'2019'!$G$2:$G$13</c:f>
              <c:numCache>
                <c:formatCode>General</c:formatCode>
                <c:ptCount val="12"/>
                <c:pt idx="0">
                  <c:v>475</c:v>
                </c:pt>
                <c:pt idx="1">
                  <c:v>380</c:v>
                </c:pt>
                <c:pt idx="2">
                  <c:v>380</c:v>
                </c:pt>
                <c:pt idx="3">
                  <c:v>380</c:v>
                </c:pt>
                <c:pt idx="4">
                  <c:v>380</c:v>
                </c:pt>
                <c:pt idx="5">
                  <c:v>285</c:v>
                </c:pt>
                <c:pt idx="6">
                  <c:v>380</c:v>
                </c:pt>
                <c:pt idx="7">
                  <c:v>285</c:v>
                </c:pt>
                <c:pt idx="8">
                  <c:v>285</c:v>
                </c:pt>
                <c:pt idx="9">
                  <c:v>285</c:v>
                </c:pt>
                <c:pt idx="10">
                  <c:v>190</c:v>
                </c:pt>
                <c:pt idx="11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39-4DB0-9ADF-665B117F0B8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'2019'!$A$2:$A$13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Decemenber</c:v>
                </c:pt>
              </c:strCache>
            </c:strRef>
          </c:cat>
          <c:val>
            <c:numRef>
              <c:f>'2019'!$H$2:$H$13</c:f>
              <c:numCache>
                <c:formatCode>General</c:formatCode>
                <c:ptCount val="12"/>
                <c:pt idx="0">
                  <c:v>875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525</c:v>
                </c:pt>
                <c:pt idx="6">
                  <c:v>700</c:v>
                </c:pt>
                <c:pt idx="7">
                  <c:v>525</c:v>
                </c:pt>
                <c:pt idx="8">
                  <c:v>525</c:v>
                </c:pt>
                <c:pt idx="9">
                  <c:v>525</c:v>
                </c:pt>
                <c:pt idx="10">
                  <c:v>350</c:v>
                </c:pt>
                <c:pt idx="1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39-4DB0-9ADF-665B117F0B8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'2019'!$A$2:$A$13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Decemenber</c:v>
                </c:pt>
              </c:strCache>
            </c:strRef>
          </c:cat>
          <c:val>
            <c:numRef>
              <c:f>'2019'!$I$2:$I$13</c:f>
              <c:numCache>
                <c:formatCode>General</c:formatCode>
                <c:ptCount val="12"/>
                <c:pt idx="0">
                  <c:v>700</c:v>
                </c:pt>
                <c:pt idx="1">
                  <c:v>525</c:v>
                </c:pt>
                <c:pt idx="2">
                  <c:v>525</c:v>
                </c:pt>
                <c:pt idx="3">
                  <c:v>525</c:v>
                </c:pt>
                <c:pt idx="4">
                  <c:v>525</c:v>
                </c:pt>
                <c:pt idx="5">
                  <c:v>350</c:v>
                </c:pt>
                <c:pt idx="6">
                  <c:v>525</c:v>
                </c:pt>
                <c:pt idx="7">
                  <c:v>525</c:v>
                </c:pt>
                <c:pt idx="8">
                  <c:v>525</c:v>
                </c:pt>
                <c:pt idx="9">
                  <c:v>525</c:v>
                </c:pt>
                <c:pt idx="10">
                  <c:v>350</c:v>
                </c:pt>
                <c:pt idx="1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39-4DB0-9ADF-665B117F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31135"/>
        <c:axId val="47822015"/>
      </c:barChart>
      <c:catAx>
        <c:axId val="4783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2015"/>
        <c:crosses val="autoZero"/>
        <c:auto val="1"/>
        <c:lblAlgn val="ctr"/>
        <c:lblOffset val="100"/>
        <c:noMultiLvlLbl val="0"/>
      </c:catAx>
      <c:valAx>
        <c:axId val="4782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'2019'!$A$2:$A$13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Decemenber</c:v>
                </c:pt>
              </c:strCache>
            </c:strRef>
          </c:cat>
          <c:val>
            <c:numRef>
              <c:f>'2019'!$Q$2:$Q$13</c:f>
              <c:numCache>
                <c:formatCode>General</c:formatCode>
                <c:ptCount val="12"/>
                <c:pt idx="0">
                  <c:v>15578</c:v>
                </c:pt>
                <c:pt idx="1">
                  <c:v>12463</c:v>
                </c:pt>
                <c:pt idx="2">
                  <c:v>12463</c:v>
                </c:pt>
                <c:pt idx="3">
                  <c:v>14035</c:v>
                </c:pt>
                <c:pt idx="4">
                  <c:v>13002</c:v>
                </c:pt>
                <c:pt idx="5">
                  <c:v>9024</c:v>
                </c:pt>
                <c:pt idx="6">
                  <c:v>13002</c:v>
                </c:pt>
                <c:pt idx="7">
                  <c:v>11235</c:v>
                </c:pt>
                <c:pt idx="8">
                  <c:v>11235</c:v>
                </c:pt>
                <c:pt idx="9">
                  <c:v>10696</c:v>
                </c:pt>
                <c:pt idx="10">
                  <c:v>8120</c:v>
                </c:pt>
                <c:pt idx="11">
                  <c:v>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8-44AA-8F14-01550C625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3695"/>
        <c:axId val="47812415"/>
        <c:axId val="1895112255"/>
      </c:line3DChart>
      <c:catAx>
        <c:axId val="47793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2415"/>
        <c:crosses val="autoZero"/>
        <c:auto val="1"/>
        <c:lblAlgn val="ctr"/>
        <c:lblOffset val="100"/>
        <c:noMultiLvlLbl val="0"/>
      </c:catAx>
      <c:valAx>
        <c:axId val="47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3695"/>
        <c:crosses val="autoZero"/>
        <c:crossBetween val="between"/>
      </c:valAx>
      <c:serAx>
        <c:axId val="18951122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241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Jobs Completed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'2019'!$A$2:$A$13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Decemenber</c:v>
                </c:pt>
              </c:strCache>
            </c:strRef>
          </c:cat>
          <c:val>
            <c:numRef>
              <c:f>'2019'!$B$2:$B$13</c:f>
              <c:numCache>
                <c:formatCode>General</c:formatCode>
                <c:ptCount val="12"/>
                <c:pt idx="0">
                  <c:v>28</c:v>
                </c:pt>
                <c:pt idx="1">
                  <c:v>23</c:v>
                </c:pt>
                <c:pt idx="2">
                  <c:v>23</c:v>
                </c:pt>
                <c:pt idx="3">
                  <c:v>26</c:v>
                </c:pt>
                <c:pt idx="4">
                  <c:v>24</c:v>
                </c:pt>
                <c:pt idx="5">
                  <c:v>17</c:v>
                </c:pt>
                <c:pt idx="6">
                  <c:v>24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16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7-4DB3-9A11-B17898878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36415"/>
        <c:axId val="47847935"/>
      </c:barChart>
      <c:catAx>
        <c:axId val="4783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7935"/>
        <c:crosses val="autoZero"/>
        <c:auto val="1"/>
        <c:lblAlgn val="ctr"/>
        <c:lblOffset val="100"/>
        <c:noMultiLvlLbl val="0"/>
      </c:catAx>
      <c:valAx>
        <c:axId val="478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5</xdr:row>
      <xdr:rowOff>9525</xdr:rowOff>
    </xdr:from>
    <xdr:to>
      <xdr:col>13</xdr:col>
      <xdr:colOff>466725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4ADA2-5D26-482D-8531-01311CAC2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24</xdr:row>
      <xdr:rowOff>19050</xdr:rowOff>
    </xdr:from>
    <xdr:to>
      <xdr:col>13</xdr:col>
      <xdr:colOff>466725</xdr:colOff>
      <xdr:row>41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B3FBA-2B3E-41C6-9EA3-0CB44EE04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43</xdr:row>
      <xdr:rowOff>9524</xdr:rowOff>
    </xdr:from>
    <xdr:to>
      <xdr:col>13</xdr:col>
      <xdr:colOff>552449</xdr:colOff>
      <xdr:row>61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7EEEA6-76AE-40F4-87D9-7E8D38270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7B94-45E1-4492-B918-D10E6E1198F3}">
  <dimension ref="A1:Q13"/>
  <sheetViews>
    <sheetView topLeftCell="A13" workbookViewId="0">
      <selection activeCell="N30" sqref="N30"/>
    </sheetView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27</v>
      </c>
      <c r="O1" t="s">
        <v>13</v>
      </c>
      <c r="P1" t="s">
        <v>14</v>
      </c>
      <c r="Q1" t="s">
        <v>31</v>
      </c>
    </row>
    <row r="2" spans="1:17">
      <c r="A2" t="s">
        <v>15</v>
      </c>
      <c r="B2">
        <v>28</v>
      </c>
      <c r="C2">
        <f>B2*425</f>
        <v>11900</v>
      </c>
      <c r="D2">
        <f>ROUNDDOWN(B2 * 0.36, 0) * 95</f>
        <v>950</v>
      </c>
      <c r="E2">
        <f>ROUNDDOWN(B2 * 0.43, 0) * 75</f>
        <v>900</v>
      </c>
      <c r="F2">
        <f>ROUNDDOWN(B2 * 0.72, 0) * 65</f>
        <v>1300</v>
      </c>
      <c r="G2">
        <f>ROUNDDOWN(B2 * 0.18, 0) * 95</f>
        <v>475</v>
      </c>
      <c r="H2">
        <f>ROUNDDOWN(B2 * 0.18, 0) * 175</f>
        <v>875</v>
      </c>
      <c r="I2">
        <f>ROUNDDOWN(B2 * 0.15, 0) * 175</f>
        <v>700</v>
      </c>
      <c r="J2">
        <v>99</v>
      </c>
      <c r="K2">
        <v>50</v>
      </c>
      <c r="L2">
        <v>110</v>
      </c>
      <c r="M2">
        <v>160</v>
      </c>
      <c r="N2">
        <f>B2*26</f>
        <v>728</v>
      </c>
      <c r="O2">
        <v>375</v>
      </c>
      <c r="P2">
        <f>B2*7</f>
        <v>196</v>
      </c>
      <c r="Q2">
        <f>SUM(C2:I2) - SUM(J2:O2)</f>
        <v>15578</v>
      </c>
    </row>
    <row r="3" spans="1:17">
      <c r="A3" t="s">
        <v>16</v>
      </c>
      <c r="B3">
        <v>23</v>
      </c>
      <c r="C3">
        <f t="shared" ref="C3:C13" si="0">B3*425</f>
        <v>9775</v>
      </c>
      <c r="D3">
        <f>ROUNDDOWN(B3 * 0.36, 0) * 95</f>
        <v>760</v>
      </c>
      <c r="E3">
        <f t="shared" ref="E3:E13" si="1">ROUNDDOWN(B3 * 0.43, 0) * 75</f>
        <v>675</v>
      </c>
      <c r="F3">
        <f t="shared" ref="F3:F13" si="2">ROUNDDOWN(B3 * 0.72, 0) * 65</f>
        <v>1040</v>
      </c>
      <c r="G3">
        <f t="shared" ref="G3:G13" si="3">ROUNDDOWN(B3 * 0.18, 0) * 95</f>
        <v>380</v>
      </c>
      <c r="H3">
        <f t="shared" ref="H3:H13" si="4">ROUNDDOWN(B3 * 0.18, 0) * 175</f>
        <v>700</v>
      </c>
      <c r="I3">
        <f t="shared" ref="I3:I13" si="5">ROUNDDOWN(B3 * 0.15, 0) * 175</f>
        <v>525</v>
      </c>
      <c r="J3">
        <v>99</v>
      </c>
      <c r="K3">
        <v>50</v>
      </c>
      <c r="L3">
        <v>110</v>
      </c>
      <c r="M3">
        <v>160</v>
      </c>
      <c r="N3">
        <f t="shared" ref="N3:N13" si="6">B3*26</f>
        <v>598</v>
      </c>
      <c r="O3">
        <v>375</v>
      </c>
      <c r="P3">
        <f t="shared" ref="P3:P13" si="7">B3*7</f>
        <v>161</v>
      </c>
      <c r="Q3">
        <f t="shared" ref="Q3:Q13" si="8">SUM(C3:I3) - SUM(J3:O3)</f>
        <v>12463</v>
      </c>
    </row>
    <row r="4" spans="1:17">
      <c r="A4" t="s">
        <v>17</v>
      </c>
      <c r="B4">
        <v>23</v>
      </c>
      <c r="C4">
        <f t="shared" si="0"/>
        <v>9775</v>
      </c>
      <c r="D4">
        <f t="shared" ref="D4:D13" si="9">ROUNDDOWN(B4 * 0.36, 0) * 95</f>
        <v>760</v>
      </c>
      <c r="E4">
        <f t="shared" si="1"/>
        <v>675</v>
      </c>
      <c r="F4">
        <f t="shared" si="2"/>
        <v>1040</v>
      </c>
      <c r="G4">
        <f t="shared" si="3"/>
        <v>380</v>
      </c>
      <c r="H4">
        <f t="shared" si="4"/>
        <v>700</v>
      </c>
      <c r="I4">
        <f t="shared" si="5"/>
        <v>525</v>
      </c>
      <c r="J4">
        <v>99</v>
      </c>
      <c r="K4">
        <v>50</v>
      </c>
      <c r="L4">
        <v>110</v>
      </c>
      <c r="M4">
        <v>160</v>
      </c>
      <c r="N4">
        <f t="shared" si="6"/>
        <v>598</v>
      </c>
      <c r="O4">
        <v>375</v>
      </c>
      <c r="P4">
        <f t="shared" si="7"/>
        <v>161</v>
      </c>
      <c r="Q4">
        <f t="shared" si="8"/>
        <v>12463</v>
      </c>
    </row>
    <row r="5" spans="1:17">
      <c r="A5" t="s">
        <v>18</v>
      </c>
      <c r="B5">
        <v>26</v>
      </c>
      <c r="C5">
        <f t="shared" si="0"/>
        <v>11050</v>
      </c>
      <c r="D5">
        <f t="shared" si="9"/>
        <v>855</v>
      </c>
      <c r="E5">
        <f t="shared" si="1"/>
        <v>825</v>
      </c>
      <c r="F5">
        <f t="shared" si="2"/>
        <v>1170</v>
      </c>
      <c r="G5">
        <f t="shared" si="3"/>
        <v>380</v>
      </c>
      <c r="H5">
        <f t="shared" si="4"/>
        <v>700</v>
      </c>
      <c r="I5">
        <f t="shared" si="5"/>
        <v>525</v>
      </c>
      <c r="J5">
        <v>99</v>
      </c>
      <c r="K5">
        <v>50</v>
      </c>
      <c r="L5">
        <v>110</v>
      </c>
      <c r="M5">
        <v>160</v>
      </c>
      <c r="N5">
        <f t="shared" si="6"/>
        <v>676</v>
      </c>
      <c r="O5">
        <v>375</v>
      </c>
      <c r="P5">
        <f t="shared" si="7"/>
        <v>182</v>
      </c>
      <c r="Q5">
        <f t="shared" si="8"/>
        <v>14035</v>
      </c>
    </row>
    <row r="6" spans="1:17">
      <c r="A6" t="s">
        <v>19</v>
      </c>
      <c r="B6">
        <v>24</v>
      </c>
      <c r="C6">
        <f t="shared" si="0"/>
        <v>10200</v>
      </c>
      <c r="D6">
        <f t="shared" si="9"/>
        <v>760</v>
      </c>
      <c r="E6">
        <f t="shared" si="1"/>
        <v>750</v>
      </c>
      <c r="F6">
        <f t="shared" si="2"/>
        <v>1105</v>
      </c>
      <c r="G6">
        <f t="shared" si="3"/>
        <v>380</v>
      </c>
      <c r="H6">
        <f t="shared" si="4"/>
        <v>700</v>
      </c>
      <c r="I6">
        <f t="shared" si="5"/>
        <v>525</v>
      </c>
      <c r="J6">
        <v>99</v>
      </c>
      <c r="K6">
        <v>50</v>
      </c>
      <c r="L6">
        <v>110</v>
      </c>
      <c r="M6">
        <v>160</v>
      </c>
      <c r="N6">
        <f t="shared" si="6"/>
        <v>624</v>
      </c>
      <c r="O6">
        <v>375</v>
      </c>
      <c r="P6">
        <f t="shared" si="7"/>
        <v>168</v>
      </c>
      <c r="Q6">
        <f t="shared" si="8"/>
        <v>13002</v>
      </c>
    </row>
    <row r="7" spans="1:17">
      <c r="A7" t="s">
        <v>20</v>
      </c>
      <c r="B7">
        <v>17</v>
      </c>
      <c r="C7">
        <f t="shared" si="0"/>
        <v>7225</v>
      </c>
      <c r="D7">
        <f t="shared" si="9"/>
        <v>570</v>
      </c>
      <c r="E7">
        <f t="shared" si="1"/>
        <v>525</v>
      </c>
      <c r="F7">
        <f t="shared" si="2"/>
        <v>780</v>
      </c>
      <c r="G7">
        <f t="shared" si="3"/>
        <v>285</v>
      </c>
      <c r="H7">
        <f t="shared" si="4"/>
        <v>525</v>
      </c>
      <c r="I7">
        <f t="shared" si="5"/>
        <v>350</v>
      </c>
      <c r="J7">
        <v>99</v>
      </c>
      <c r="K7">
        <v>50</v>
      </c>
      <c r="L7">
        <v>110</v>
      </c>
      <c r="M7">
        <v>160</v>
      </c>
      <c r="N7">
        <f t="shared" si="6"/>
        <v>442</v>
      </c>
      <c r="O7">
        <v>375</v>
      </c>
      <c r="P7">
        <f t="shared" si="7"/>
        <v>119</v>
      </c>
      <c r="Q7">
        <f t="shared" si="8"/>
        <v>9024</v>
      </c>
    </row>
    <row r="8" spans="1:17">
      <c r="A8" t="s">
        <v>21</v>
      </c>
      <c r="B8">
        <v>24</v>
      </c>
      <c r="C8">
        <f t="shared" si="0"/>
        <v>10200</v>
      </c>
      <c r="D8">
        <f t="shared" si="9"/>
        <v>760</v>
      </c>
      <c r="E8">
        <f t="shared" si="1"/>
        <v>750</v>
      </c>
      <c r="F8">
        <f t="shared" si="2"/>
        <v>1105</v>
      </c>
      <c r="G8">
        <f t="shared" si="3"/>
        <v>380</v>
      </c>
      <c r="H8">
        <f t="shared" si="4"/>
        <v>700</v>
      </c>
      <c r="I8">
        <f t="shared" si="5"/>
        <v>525</v>
      </c>
      <c r="J8">
        <v>99</v>
      </c>
      <c r="K8">
        <v>50</v>
      </c>
      <c r="L8">
        <v>110</v>
      </c>
      <c r="M8">
        <v>160</v>
      </c>
      <c r="N8">
        <f t="shared" si="6"/>
        <v>624</v>
      </c>
      <c r="O8">
        <v>375</v>
      </c>
      <c r="P8">
        <f t="shared" si="7"/>
        <v>168</v>
      </c>
      <c r="Q8">
        <f t="shared" si="8"/>
        <v>13002</v>
      </c>
    </row>
    <row r="9" spans="1:17">
      <c r="A9" t="s">
        <v>22</v>
      </c>
      <c r="B9">
        <v>21</v>
      </c>
      <c r="C9">
        <f t="shared" si="0"/>
        <v>8925</v>
      </c>
      <c r="D9">
        <f t="shared" si="9"/>
        <v>665</v>
      </c>
      <c r="E9">
        <f t="shared" si="1"/>
        <v>675</v>
      </c>
      <c r="F9">
        <f t="shared" si="2"/>
        <v>975</v>
      </c>
      <c r="G9">
        <f t="shared" si="3"/>
        <v>285</v>
      </c>
      <c r="H9">
        <f t="shared" si="4"/>
        <v>525</v>
      </c>
      <c r="I9">
        <f t="shared" si="5"/>
        <v>525</v>
      </c>
      <c r="J9">
        <v>99</v>
      </c>
      <c r="K9">
        <v>50</v>
      </c>
      <c r="L9">
        <v>110</v>
      </c>
      <c r="M9">
        <v>160</v>
      </c>
      <c r="N9">
        <f t="shared" si="6"/>
        <v>546</v>
      </c>
      <c r="O9">
        <v>375</v>
      </c>
      <c r="P9">
        <f t="shared" si="7"/>
        <v>147</v>
      </c>
      <c r="Q9">
        <f t="shared" si="8"/>
        <v>11235</v>
      </c>
    </row>
    <row r="10" spans="1:17">
      <c r="A10" t="s">
        <v>23</v>
      </c>
      <c r="B10">
        <v>21</v>
      </c>
      <c r="C10">
        <f t="shared" si="0"/>
        <v>8925</v>
      </c>
      <c r="D10">
        <f t="shared" si="9"/>
        <v>665</v>
      </c>
      <c r="E10">
        <f t="shared" si="1"/>
        <v>675</v>
      </c>
      <c r="F10">
        <f t="shared" si="2"/>
        <v>975</v>
      </c>
      <c r="G10">
        <f t="shared" si="3"/>
        <v>285</v>
      </c>
      <c r="H10">
        <f t="shared" si="4"/>
        <v>525</v>
      </c>
      <c r="I10">
        <f t="shared" si="5"/>
        <v>525</v>
      </c>
      <c r="J10">
        <v>99</v>
      </c>
      <c r="K10">
        <v>50</v>
      </c>
      <c r="L10">
        <v>110</v>
      </c>
      <c r="M10">
        <v>160</v>
      </c>
      <c r="N10">
        <f t="shared" si="6"/>
        <v>546</v>
      </c>
      <c r="O10">
        <v>375</v>
      </c>
      <c r="P10">
        <f t="shared" si="7"/>
        <v>147</v>
      </c>
      <c r="Q10">
        <f t="shared" si="8"/>
        <v>11235</v>
      </c>
    </row>
    <row r="11" spans="1:17">
      <c r="A11" t="s">
        <v>24</v>
      </c>
      <c r="B11">
        <v>20</v>
      </c>
      <c r="C11">
        <f t="shared" si="0"/>
        <v>8500</v>
      </c>
      <c r="D11">
        <f t="shared" si="9"/>
        <v>665</v>
      </c>
      <c r="E11">
        <f t="shared" si="1"/>
        <v>600</v>
      </c>
      <c r="F11">
        <f t="shared" si="2"/>
        <v>910</v>
      </c>
      <c r="G11">
        <f t="shared" si="3"/>
        <v>285</v>
      </c>
      <c r="H11">
        <f t="shared" si="4"/>
        <v>525</v>
      </c>
      <c r="I11">
        <f t="shared" si="5"/>
        <v>525</v>
      </c>
      <c r="J11">
        <v>99</v>
      </c>
      <c r="K11">
        <v>50</v>
      </c>
      <c r="L11">
        <v>110</v>
      </c>
      <c r="M11">
        <v>160</v>
      </c>
      <c r="N11">
        <f t="shared" si="6"/>
        <v>520</v>
      </c>
      <c r="O11">
        <v>375</v>
      </c>
      <c r="P11">
        <f t="shared" si="7"/>
        <v>140</v>
      </c>
      <c r="Q11">
        <f t="shared" si="8"/>
        <v>10696</v>
      </c>
    </row>
    <row r="12" spans="1:17">
      <c r="A12" t="s">
        <v>25</v>
      </c>
      <c r="B12">
        <v>16</v>
      </c>
      <c r="C12">
        <f t="shared" si="0"/>
        <v>6800</v>
      </c>
      <c r="D12">
        <f t="shared" si="9"/>
        <v>475</v>
      </c>
      <c r="E12">
        <f t="shared" si="1"/>
        <v>450</v>
      </c>
      <c r="F12">
        <f t="shared" si="2"/>
        <v>715</v>
      </c>
      <c r="G12">
        <f t="shared" si="3"/>
        <v>190</v>
      </c>
      <c r="H12">
        <f t="shared" si="4"/>
        <v>350</v>
      </c>
      <c r="I12">
        <f t="shared" si="5"/>
        <v>350</v>
      </c>
      <c r="J12">
        <v>99</v>
      </c>
      <c r="K12">
        <v>50</v>
      </c>
      <c r="L12">
        <v>110</v>
      </c>
      <c r="M12">
        <v>160</v>
      </c>
      <c r="N12">
        <f t="shared" si="6"/>
        <v>416</v>
      </c>
      <c r="O12">
        <v>375</v>
      </c>
      <c r="P12">
        <f t="shared" si="7"/>
        <v>112</v>
      </c>
      <c r="Q12">
        <f t="shared" si="8"/>
        <v>8120</v>
      </c>
    </row>
    <row r="13" spans="1:17">
      <c r="A13" t="s">
        <v>26</v>
      </c>
      <c r="B13">
        <v>15</v>
      </c>
      <c r="C13">
        <f t="shared" si="0"/>
        <v>6375</v>
      </c>
      <c r="D13">
        <f t="shared" si="9"/>
        <v>475</v>
      </c>
      <c r="E13">
        <f t="shared" si="1"/>
        <v>450</v>
      </c>
      <c r="F13">
        <f t="shared" si="2"/>
        <v>650</v>
      </c>
      <c r="G13">
        <f t="shared" si="3"/>
        <v>190</v>
      </c>
      <c r="H13">
        <f t="shared" si="4"/>
        <v>350</v>
      </c>
      <c r="I13">
        <f t="shared" si="5"/>
        <v>350</v>
      </c>
      <c r="J13">
        <v>99</v>
      </c>
      <c r="K13">
        <v>50</v>
      </c>
      <c r="L13">
        <v>110</v>
      </c>
      <c r="M13">
        <v>160</v>
      </c>
      <c r="N13">
        <f t="shared" si="6"/>
        <v>390</v>
      </c>
      <c r="O13">
        <v>375</v>
      </c>
      <c r="P13">
        <f t="shared" si="7"/>
        <v>105</v>
      </c>
      <c r="Q13">
        <f t="shared" si="8"/>
        <v>7656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3DA9-D6A8-485B-9ABE-2BFEC154A311}">
  <dimension ref="A1:B7"/>
  <sheetViews>
    <sheetView workbookViewId="0">
      <selection activeCell="B3" sqref="B3"/>
    </sheetView>
  </sheetViews>
  <sheetFormatPr defaultRowHeight="15"/>
  <cols>
    <col min="1" max="1" width="18.7109375" bestFit="1" customWidth="1"/>
    <col min="2" max="2" width="9.140625" customWidth="1"/>
  </cols>
  <sheetData>
    <row r="1" spans="1:2">
      <c r="A1" t="s">
        <v>28</v>
      </c>
      <c r="B1" s="2">
        <f>SUM('2019'!B2:B13)</f>
        <v>258</v>
      </c>
    </row>
    <row r="2" spans="1:2">
      <c r="A2" t="s">
        <v>29</v>
      </c>
      <c r="B2">
        <f>SUM('2019'!C2:I13)</f>
        <v>154745</v>
      </c>
    </row>
    <row r="3" spans="1:2">
      <c r="A3" t="s">
        <v>30</v>
      </c>
      <c r="B3">
        <f>SUM('2019'!J2:P13)</f>
        <v>18042</v>
      </c>
    </row>
    <row r="4" spans="1:2">
      <c r="A4" t="s">
        <v>31</v>
      </c>
      <c r="B4">
        <f>B2 - B3</f>
        <v>136703</v>
      </c>
    </row>
    <row r="5" spans="1:2">
      <c r="A5" t="s">
        <v>33</v>
      </c>
      <c r="B5">
        <f>B1 / 12</f>
        <v>21.5</v>
      </c>
    </row>
    <row r="6" spans="1:2">
      <c r="A6" t="s">
        <v>34</v>
      </c>
      <c r="B6">
        <f>B2 / B1</f>
        <v>599.78682170542641</v>
      </c>
    </row>
    <row r="7" spans="1:2">
      <c r="A7" t="s">
        <v>32</v>
      </c>
      <c r="B7">
        <f>B4 / B2</f>
        <v>0.88340818766357554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2D05-E54E-41B9-9134-703049213850}">
  <dimension ref="A1:B5"/>
  <sheetViews>
    <sheetView tabSelected="1" topLeftCell="A15" workbookViewId="0">
      <selection activeCell="B30" sqref="B30"/>
    </sheetView>
  </sheetViews>
  <sheetFormatPr defaultRowHeight="15"/>
  <cols>
    <col min="1" max="1" width="19.28515625" customWidth="1"/>
  </cols>
  <sheetData>
    <row r="1" spans="1:2">
      <c r="A1" s="1" t="s">
        <v>35</v>
      </c>
      <c r="B1">
        <f>'KPI Summary'!B2</f>
        <v>154745</v>
      </c>
    </row>
    <row r="2" spans="1:2">
      <c r="A2" s="1" t="s">
        <v>36</v>
      </c>
      <c r="B2">
        <f>'KPI Summary'!B4</f>
        <v>136703</v>
      </c>
    </row>
    <row r="3" spans="1:2" ht="30">
      <c r="A3" s="1" t="s">
        <v>37</v>
      </c>
      <c r="B3">
        <f>'KPI Summary'!B7</f>
        <v>0.88340818766357554</v>
      </c>
    </row>
    <row r="4" spans="1:2">
      <c r="A4" s="1" t="s">
        <v>38</v>
      </c>
      <c r="B4">
        <f>'KPI Summary'!B1</f>
        <v>258</v>
      </c>
    </row>
    <row r="5" spans="1:2">
      <c r="A5" s="1" t="s">
        <v>39</v>
      </c>
      <c r="B5">
        <f>'KPI Summary'!B5</f>
        <v>21.5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KPI Summary</vt:lpstr>
      <vt:lpstr>Dashboard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Coates</dc:creator>
  <cp:lastModifiedBy>Christopher Coates</cp:lastModifiedBy>
  <dcterms:created xsi:type="dcterms:W3CDTF">2025-06-03T16:00:17Z</dcterms:created>
  <dcterms:modified xsi:type="dcterms:W3CDTF">2025-06-03T19:21:05Z</dcterms:modified>
</cp:coreProperties>
</file>