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s\OneDrive\Desktop\"/>
    </mc:Choice>
  </mc:AlternateContent>
  <xr:revisionPtr revIDLastSave="0" documentId="13_ncr:1_{43B39D59-A984-486A-A077-5B7CAB99B099}" xr6:coauthVersionLast="45" xr6:coauthVersionMax="45" xr10:uidLastSave="{00000000-0000-0000-0000-000000000000}"/>
  <bookViews>
    <workbookView xWindow="-98" yWindow="-98" windowWidth="23596" windowHeight="15076" tabRatio="638" xr2:uid="{00000000-000D-0000-FFFF-FFFF00000000}"/>
  </bookViews>
  <sheets>
    <sheet name="Резюме_Проекта" sheetId="13" r:id="rId1"/>
    <sheet name="Услуги" sheetId="15" r:id="rId2"/>
    <sheet name="Калькулятор" sheetId="9" r:id="rId3"/>
    <sheet name="Командировки" sheetId="17" r:id="rId4"/>
    <sheet name="Лицензии" sheetId="14" r:id="rId5"/>
    <sheet name="Экспресс внедрение" sheetId="21" state="hidden" r:id="rId6"/>
    <sheet name="Задачи консультанта" sheetId="10" state="hidden" r:id="rId7"/>
    <sheet name="Задачи архитектора" sheetId="11" state="hidden" r:id="rId8"/>
    <sheet name="Задачи РП" sheetId="12" state="hidden" r:id="rId9"/>
    <sheet name="Задачи разработчика" sheetId="20" state="hidden" r:id="rId10"/>
  </sheets>
  <definedNames>
    <definedName name="_xlnm._FilterDatabase" localSheetId="6" hidden="1">'Задачи консультанта'!$A$1:$C$42</definedName>
    <definedName name="_xlnm._FilterDatabase" localSheetId="2" hidden="1">Калькулятор!$A$3:$D$61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4" i="9" l="1"/>
  <c r="F173" i="9"/>
  <c r="G173" i="9" s="1"/>
  <c r="D205" i="9"/>
  <c r="G204" i="9" l="1"/>
  <c r="G19" i="17"/>
  <c r="E19" i="17"/>
  <c r="E18" i="17"/>
  <c r="H20" i="17"/>
  <c r="H16" i="17" s="1"/>
  <c r="G21" i="17"/>
  <c r="H15" i="17"/>
  <c r="H18" i="17"/>
  <c r="F19" i="17"/>
  <c r="H19" i="17"/>
  <c r="F18" i="17" l="1"/>
  <c r="G18" i="17"/>
  <c r="B78" i="9" l="1"/>
  <c r="E78" i="9"/>
  <c r="G78" i="9"/>
  <c r="B79" i="9"/>
  <c r="E79" i="9"/>
  <c r="G79" i="9"/>
  <c r="D8" i="9" l="1"/>
  <c r="D42" i="9" l="1"/>
  <c r="D9" i="9"/>
  <c r="E20" i="15"/>
  <c r="B117" i="9"/>
  <c r="E117" i="9"/>
  <c r="G117" i="9"/>
  <c r="E27" i="15"/>
  <c r="E5" i="14" l="1"/>
  <c r="E13" i="15"/>
  <c r="F13" i="15" l="1"/>
  <c r="E21" i="17"/>
  <c r="E23" i="21"/>
  <c r="E24" i="21"/>
  <c r="E25" i="21"/>
  <c r="E26" i="21"/>
  <c r="E27" i="21"/>
  <c r="E28" i="21"/>
  <c r="E22" i="21"/>
  <c r="B66" i="21" l="1"/>
  <c r="E48" i="21"/>
  <c r="F48" i="21" s="1"/>
  <c r="E17" i="21"/>
  <c r="F17" i="21" s="1"/>
  <c r="E18" i="21"/>
  <c r="F18" i="21" s="1"/>
  <c r="C81" i="21" l="1"/>
  <c r="G12" i="21"/>
  <c r="E7" i="14" l="1"/>
  <c r="D52" i="9" l="1"/>
  <c r="D7" i="9"/>
  <c r="D6" i="9" l="1"/>
  <c r="B81" i="9"/>
  <c r="D14" i="9"/>
  <c r="D16" i="9"/>
  <c r="D13" i="9"/>
  <c r="E84" i="9" l="1"/>
  <c r="D47" i="9"/>
  <c r="D5" i="9" l="1"/>
  <c r="D40" i="9"/>
  <c r="D10" i="9"/>
  <c r="B65" i="21" l="1"/>
  <c r="E84" i="21"/>
  <c r="F84" i="21" s="1"/>
  <c r="D217" i="9"/>
  <c r="F217" i="9" s="1"/>
  <c r="G217" i="9" s="1"/>
  <c r="B50" i="21"/>
  <c r="E17" i="17"/>
  <c r="G20" i="17"/>
  <c r="F21" i="17"/>
  <c r="B83" i="21" l="1"/>
  <c r="F83" i="21" s="1"/>
  <c r="B69" i="21"/>
  <c r="B68" i="21"/>
  <c r="B78" i="21"/>
  <c r="B77" i="21"/>
  <c r="B76" i="21"/>
  <c r="E83" i="21" l="1"/>
  <c r="B85" i="21"/>
  <c r="E85" i="21" s="1"/>
  <c r="F85" i="21" s="1"/>
  <c r="F82" i="21" s="1"/>
  <c r="B61" i="21"/>
  <c r="E50" i="21"/>
  <c r="G50" i="21" s="1"/>
  <c r="F19" i="21"/>
  <c r="G65" i="21"/>
  <c r="C87" i="21"/>
  <c r="E78" i="21"/>
  <c r="E76" i="21"/>
  <c r="E69" i="21"/>
  <c r="E68" i="21"/>
  <c r="B63" i="21"/>
  <c r="E63" i="21" s="1"/>
  <c r="B62" i="21"/>
  <c r="B60" i="21"/>
  <c r="E60" i="21" s="1"/>
  <c r="B58" i="21"/>
  <c r="E58" i="21" s="1"/>
  <c r="G58" i="21" s="1"/>
  <c r="B57" i="21"/>
  <c r="E57" i="21" s="1"/>
  <c r="B56" i="21"/>
  <c r="E56" i="21" s="1"/>
  <c r="G56" i="21" s="1"/>
  <c r="B55" i="21"/>
  <c r="E55" i="21" s="1"/>
  <c r="B54" i="21"/>
  <c r="E54" i="21" s="1"/>
  <c r="B53" i="21"/>
  <c r="E53" i="21" s="1"/>
  <c r="B52" i="21"/>
  <c r="B51" i="21"/>
  <c r="E51" i="21" s="1"/>
  <c r="B76" i="9"/>
  <c r="E89" i="21"/>
  <c r="E88" i="21" s="1"/>
  <c r="E73" i="21"/>
  <c r="F73" i="21" s="1"/>
  <c r="E71" i="21"/>
  <c r="E70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E39" i="21"/>
  <c r="F39" i="21" s="1"/>
  <c r="E38" i="21"/>
  <c r="F38" i="21" s="1"/>
  <c r="E34" i="21"/>
  <c r="F34" i="21" s="1"/>
  <c r="E33" i="21"/>
  <c r="F33" i="21" s="1"/>
  <c r="E32" i="21"/>
  <c r="F32" i="21" s="1"/>
  <c r="E30" i="21"/>
  <c r="E29" i="21" s="1"/>
  <c r="F40" i="21" l="1"/>
  <c r="F37" i="21" s="1"/>
  <c r="E37" i="21"/>
  <c r="G60" i="21"/>
  <c r="F22" i="21"/>
  <c r="G63" i="21"/>
  <c r="F25" i="21"/>
  <c r="E87" i="21"/>
  <c r="E86" i="21" s="1"/>
  <c r="F87" i="21"/>
  <c r="F86" i="21" s="1"/>
  <c r="F71" i="21"/>
  <c r="F70" i="21" s="1"/>
  <c r="E52" i="21"/>
  <c r="G52" i="21" s="1"/>
  <c r="E77" i="21"/>
  <c r="F77" i="21" s="1"/>
  <c r="F78" i="21"/>
  <c r="F89" i="21"/>
  <c r="F88" i="21" s="1"/>
  <c r="F30" i="21"/>
  <c r="F29" i="21" s="1"/>
  <c r="F58" i="21"/>
  <c r="F54" i="21"/>
  <c r="F60" i="21"/>
  <c r="E61" i="21"/>
  <c r="F23" i="21" s="1"/>
  <c r="F57" i="21"/>
  <c r="F53" i="21"/>
  <c r="F63" i="21"/>
  <c r="F56" i="21"/>
  <c r="F68" i="21"/>
  <c r="F76" i="21"/>
  <c r="F50" i="21"/>
  <c r="F55" i="21"/>
  <c r="F51" i="21"/>
  <c r="F69" i="21"/>
  <c r="F72" i="21"/>
  <c r="F31" i="21"/>
  <c r="E65" i="21"/>
  <c r="E62" i="21"/>
  <c r="E66" i="21"/>
  <c r="F28" i="21" s="1"/>
  <c r="G55" i="21"/>
  <c r="G54" i="21"/>
  <c r="G51" i="21"/>
  <c r="G57" i="21"/>
  <c r="G31" i="21"/>
  <c r="G53" i="21"/>
  <c r="E82" i="21"/>
  <c r="E67" i="21"/>
  <c r="E31" i="21"/>
  <c r="E72" i="21"/>
  <c r="F214" i="9"/>
  <c r="E49" i="21" l="1"/>
  <c r="G62" i="21"/>
  <c r="F24" i="21"/>
  <c r="F65" i="21"/>
  <c r="F27" i="21"/>
  <c r="F66" i="21"/>
  <c r="G66" i="21"/>
  <c r="G64" i="21" s="1"/>
  <c r="F61" i="21"/>
  <c r="G61" i="21"/>
  <c r="F52" i="21"/>
  <c r="F49" i="21" s="1"/>
  <c r="E75" i="21"/>
  <c r="F62" i="21"/>
  <c r="F75" i="21"/>
  <c r="E59" i="21"/>
  <c r="F67" i="21"/>
  <c r="E64" i="21"/>
  <c r="F26" i="21" s="1"/>
  <c r="G49" i="21"/>
  <c r="F194" i="9"/>
  <c r="G194" i="9" s="1"/>
  <c r="B7" i="15" s="1"/>
  <c r="G59" i="21" l="1"/>
  <c r="G36" i="21" s="1"/>
  <c r="G35" i="21" s="1"/>
  <c r="F64" i="21"/>
  <c r="E21" i="21"/>
  <c r="F21" i="21" s="1"/>
  <c r="F20" i="21" s="1"/>
  <c r="F59" i="21"/>
  <c r="F36" i="21" s="1"/>
  <c r="E36" i="21"/>
  <c r="E35" i="21" s="1"/>
  <c r="E11" i="17"/>
  <c r="F35" i="21" l="1"/>
  <c r="E20" i="21"/>
  <c r="G72" i="21"/>
  <c r="D174" i="9"/>
  <c r="D175" i="9" s="1"/>
  <c r="E20" i="17"/>
  <c r="E16" i="17" s="1"/>
  <c r="E15" i="17"/>
  <c r="E14" i="17"/>
  <c r="E12" i="17"/>
  <c r="G17" i="17"/>
  <c r="G16" i="17" s="1"/>
  <c r="G14" i="17"/>
  <c r="H12" i="17"/>
  <c r="H10" i="17" s="1"/>
  <c r="G11" i="17"/>
  <c r="E15" i="21" l="1"/>
  <c r="E14" i="21"/>
  <c r="F14" i="21" s="1"/>
  <c r="E10" i="17"/>
  <c r="C16" i="15"/>
  <c r="C15" i="15"/>
  <c r="C14" i="15"/>
  <c r="C18" i="15" l="1"/>
  <c r="F15" i="21"/>
  <c r="G214" i="9" l="1"/>
  <c r="E10" i="14" l="1"/>
  <c r="F11" i="17"/>
  <c r="E157" i="9"/>
  <c r="B157" i="9"/>
  <c r="G157" i="9"/>
  <c r="B158" i="9"/>
  <c r="F175" i="9" l="1"/>
  <c r="G175" i="9" s="1"/>
  <c r="F200" i="9"/>
  <c r="G200" i="9" s="1"/>
  <c r="G156" i="9"/>
  <c r="E156" i="9"/>
  <c r="B156" i="9"/>
  <c r="B159" i="9"/>
  <c r="E159" i="9"/>
  <c r="G159" i="9"/>
  <c r="E158" i="9"/>
  <c r="G158" i="9"/>
  <c r="B162" i="9"/>
  <c r="E162" i="9"/>
  <c r="G162" i="9"/>
  <c r="B153" i="9" l="1"/>
  <c r="E153" i="9"/>
  <c r="G153" i="9"/>
  <c r="B164" i="9"/>
  <c r="E164" i="9"/>
  <c r="G164" i="9"/>
  <c r="B165" i="9"/>
  <c r="E165" i="9"/>
  <c r="G165" i="9"/>
  <c r="B166" i="9"/>
  <c r="E166" i="9"/>
  <c r="G166" i="9"/>
  <c r="B87" i="9" l="1"/>
  <c r="B163" i="9"/>
  <c r="B161" i="9"/>
  <c r="B155" i="9"/>
  <c r="B154" i="9"/>
  <c r="B152" i="9"/>
  <c r="B151" i="9"/>
  <c r="B149" i="9"/>
  <c r="B148" i="9"/>
  <c r="B147" i="9"/>
  <c r="B146" i="9"/>
  <c r="B145" i="9"/>
  <c r="B144" i="9"/>
  <c r="B143" i="9"/>
  <c r="B142" i="9"/>
  <c r="B141" i="9"/>
  <c r="B140" i="9"/>
  <c r="B133" i="9"/>
  <c r="B132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6" i="9"/>
  <c r="B115" i="9"/>
  <c r="B114" i="9"/>
  <c r="B113" i="9"/>
  <c r="B112" i="9"/>
  <c r="B111" i="9"/>
  <c r="B109" i="9"/>
  <c r="B108" i="9"/>
  <c r="B107" i="9"/>
  <c r="B106" i="9"/>
  <c r="B105" i="9"/>
  <c r="B104" i="9"/>
  <c r="B103" i="9"/>
  <c r="B102" i="9"/>
  <c r="B101" i="9"/>
  <c r="B99" i="9"/>
  <c r="B98" i="9"/>
  <c r="B97" i="9"/>
  <c r="B96" i="9"/>
  <c r="B95" i="9"/>
  <c r="B94" i="9"/>
  <c r="B77" i="9"/>
  <c r="B80" i="9"/>
  <c r="B82" i="9"/>
  <c r="B83" i="9"/>
  <c r="B84" i="9"/>
  <c r="B85" i="9"/>
  <c r="B86" i="9"/>
  <c r="B88" i="9"/>
  <c r="B89" i="9"/>
  <c r="B90" i="9"/>
  <c r="B91" i="9"/>
  <c r="B92" i="9"/>
  <c r="B74" i="9"/>
  <c r="E120" i="9" l="1"/>
  <c r="G120" i="9"/>
  <c r="F174" i="9" l="1"/>
  <c r="G174" i="9" l="1"/>
  <c r="E115" i="9"/>
  <c r="G115" i="9"/>
  <c r="E146" i="9"/>
  <c r="G146" i="9"/>
  <c r="E147" i="9"/>
  <c r="G147" i="9"/>
  <c r="E148" i="9"/>
  <c r="G148" i="9"/>
  <c r="E149" i="9"/>
  <c r="G149" i="9"/>
  <c r="E76" i="9" l="1"/>
  <c r="G76" i="9"/>
  <c r="E77" i="9"/>
  <c r="G77" i="9"/>
  <c r="E123" i="9" l="1"/>
  <c r="G123" i="9"/>
  <c r="E126" i="9" l="1"/>
  <c r="G126" i="9"/>
  <c r="D27" i="9" l="1"/>
  <c r="D18" i="9"/>
  <c r="E129" i="9"/>
  <c r="G129" i="9"/>
  <c r="E127" i="9"/>
  <c r="G127" i="9"/>
  <c r="E128" i="9"/>
  <c r="G128" i="9"/>
  <c r="E141" i="9"/>
  <c r="G141" i="9"/>
  <c r="D34" i="9" l="1"/>
  <c r="D43" i="9"/>
  <c r="E9" i="14"/>
  <c r="E11" i="14"/>
  <c r="E8" i="14"/>
  <c r="G125" i="9"/>
  <c r="E125" i="9"/>
  <c r="G143" i="9"/>
  <c r="E143" i="9"/>
  <c r="G151" i="9"/>
  <c r="E151" i="9"/>
  <c r="G152" i="9"/>
  <c r="E152" i="9"/>
  <c r="G112" i="9"/>
  <c r="E112" i="9"/>
  <c r="B93" i="9"/>
  <c r="E140" i="9" l="1"/>
  <c r="E161" i="9"/>
  <c r="E163" i="9"/>
  <c r="E160" i="9" l="1"/>
  <c r="A17" i="15"/>
  <c r="E130" i="9"/>
  <c r="G155" i="9"/>
  <c r="G154" i="9"/>
  <c r="G163" i="9"/>
  <c r="G161" i="9"/>
  <c r="G142" i="9"/>
  <c r="G144" i="9"/>
  <c r="G145" i="9"/>
  <c r="G140" i="9"/>
  <c r="G133" i="9"/>
  <c r="G132" i="9"/>
  <c r="G113" i="9"/>
  <c r="G114" i="9"/>
  <c r="G116" i="9"/>
  <c r="G118" i="9"/>
  <c r="G119" i="9"/>
  <c r="G121" i="9"/>
  <c r="G122" i="9"/>
  <c r="G124" i="9"/>
  <c r="G130" i="9"/>
  <c r="G111" i="9"/>
  <c r="G102" i="9"/>
  <c r="G103" i="9"/>
  <c r="G104" i="9"/>
  <c r="G105" i="9"/>
  <c r="G106" i="9"/>
  <c r="G107" i="9"/>
  <c r="G108" i="9"/>
  <c r="G109" i="9"/>
  <c r="G101" i="9"/>
  <c r="G95" i="9"/>
  <c r="G96" i="9"/>
  <c r="G97" i="9"/>
  <c r="G98" i="9"/>
  <c r="G99" i="9"/>
  <c r="G94" i="9"/>
  <c r="G81" i="9"/>
  <c r="G82" i="9"/>
  <c r="G83" i="9"/>
  <c r="G84" i="9"/>
  <c r="G85" i="9"/>
  <c r="G86" i="9"/>
  <c r="G87" i="9"/>
  <c r="G88" i="9"/>
  <c r="G89" i="9"/>
  <c r="G90" i="9"/>
  <c r="G91" i="9"/>
  <c r="G92" i="9"/>
  <c r="G80" i="9"/>
  <c r="G74" i="9"/>
  <c r="G67" i="9"/>
  <c r="G68" i="9"/>
  <c r="G69" i="9"/>
  <c r="G70" i="9"/>
  <c r="G71" i="9"/>
  <c r="G72" i="9"/>
  <c r="G66" i="9"/>
  <c r="G160" i="9" l="1"/>
  <c r="G139" i="9"/>
  <c r="G150" i="9"/>
  <c r="G134" i="9"/>
  <c r="G135" i="9" s="1"/>
  <c r="D20" i="9"/>
  <c r="D49" i="9"/>
  <c r="D48" i="9"/>
  <c r="D46" i="9"/>
  <c r="D44" i="9"/>
  <c r="D37" i="9"/>
  <c r="D38" i="9"/>
  <c r="D35" i="9"/>
  <c r="D29" i="9"/>
  <c r="D12" i="9"/>
  <c r="G167" i="9" l="1"/>
  <c r="D229" i="9"/>
  <c r="D227" i="9"/>
  <c r="F227" i="9" s="1"/>
  <c r="G227" i="9" s="1"/>
  <c r="F229" i="9" l="1"/>
  <c r="G229" i="9" s="1"/>
  <c r="E111" i="9"/>
  <c r="E155" i="9" l="1"/>
  <c r="E154" i="9"/>
  <c r="E74" i="9"/>
  <c r="E102" i="9"/>
  <c r="E103" i="9"/>
  <c r="E104" i="9"/>
  <c r="E105" i="9"/>
  <c r="E106" i="9"/>
  <c r="E107" i="9"/>
  <c r="E108" i="9"/>
  <c r="E109" i="9"/>
  <c r="E101" i="9"/>
  <c r="E150" i="9" l="1"/>
  <c r="D197" i="9" s="1"/>
  <c r="D198" i="9" s="1"/>
  <c r="D196" i="9"/>
  <c r="F196" i="9" s="1"/>
  <c r="G196" i="9" s="1"/>
  <c r="E85" i="9" l="1"/>
  <c r="A14" i="15"/>
  <c r="A22" i="15" l="1"/>
  <c r="A29" i="15"/>
  <c r="F12" i="17"/>
  <c r="F10" i="17" s="1"/>
  <c r="F14" i="17"/>
  <c r="F15" i="17"/>
  <c r="F20" i="17"/>
  <c r="E80" i="9" l="1"/>
  <c r="E97" i="9" l="1"/>
  <c r="E124" i="9" l="1"/>
  <c r="E86" i="9"/>
  <c r="E87" i="9"/>
  <c r="E91" i="9"/>
  <c r="E81" i="9"/>
  <c r="E82" i="9"/>
  <c r="E83" i="9"/>
  <c r="E88" i="9"/>
  <c r="E89" i="9"/>
  <c r="E90" i="9"/>
  <c r="G12" i="17" l="1"/>
  <c r="G10" i="17" s="1"/>
  <c r="G15" i="17"/>
  <c r="I10" i="17" l="1"/>
  <c r="B256" i="9"/>
  <c r="B255" i="9"/>
  <c r="A246" i="9"/>
  <c r="A15" i="15" s="1"/>
  <c r="A264" i="9"/>
  <c r="A16" i="15" s="1"/>
  <c r="A24" i="15" s="1"/>
  <c r="A30" i="15" l="1"/>
  <c r="A23" i="15"/>
  <c r="A31" i="15"/>
  <c r="B267" i="9"/>
  <c r="F17" i="17" l="1"/>
  <c r="F16" i="17" s="1"/>
  <c r="I16" i="17" s="1"/>
  <c r="E21" i="14"/>
  <c r="E20" i="14"/>
  <c r="E19" i="14"/>
  <c r="E18" i="14"/>
  <c r="E17" i="14"/>
  <c r="E16" i="14"/>
  <c r="E6" i="14"/>
  <c r="E4" i="14"/>
  <c r="E3" i="14"/>
  <c r="D5" i="13" l="1"/>
  <c r="C5" i="13"/>
  <c r="D4" i="13"/>
  <c r="C4" i="13"/>
  <c r="H13" i="17"/>
  <c r="H22" i="17" s="1"/>
  <c r="E12" i="14"/>
  <c r="E13" i="17"/>
  <c r="E22" i="17" s="1"/>
  <c r="F13" i="17"/>
  <c r="F22" i="17" s="1"/>
  <c r="G13" i="17"/>
  <c r="G22" i="17" s="1"/>
  <c r="E22" i="14"/>
  <c r="C6" i="13" l="1"/>
  <c r="C3" i="13" s="1"/>
  <c r="D6" i="13"/>
  <c r="I13" i="17"/>
  <c r="I22" i="17" s="1"/>
  <c r="F210" i="9"/>
  <c r="F211" i="9"/>
  <c r="G211" i="9" s="1"/>
  <c r="E66" i="9"/>
  <c r="E67" i="9"/>
  <c r="E68" i="9"/>
  <c r="E69" i="9"/>
  <c r="E70" i="9"/>
  <c r="E71" i="9"/>
  <c r="E72" i="9"/>
  <c r="E94" i="9"/>
  <c r="E95" i="9"/>
  <c r="E96" i="9"/>
  <c r="E98" i="9"/>
  <c r="E99" i="9"/>
  <c r="E113" i="9"/>
  <c r="E114" i="9"/>
  <c r="E116" i="9"/>
  <c r="E118" i="9"/>
  <c r="E119" i="9"/>
  <c r="E121" i="9"/>
  <c r="E122" i="9"/>
  <c r="E132" i="9"/>
  <c r="E133" i="9"/>
  <c r="E92" i="9"/>
  <c r="D15" i="9"/>
  <c r="D17" i="9"/>
  <c r="D21" i="9"/>
  <c r="D22" i="9"/>
  <c r="D23" i="9"/>
  <c r="D24" i="9"/>
  <c r="D25" i="9"/>
  <c r="D26" i="9"/>
  <c r="D30" i="9"/>
  <c r="D31" i="9"/>
  <c r="D32" i="9"/>
  <c r="D33" i="9"/>
  <c r="D39" i="9"/>
  <c r="D41" i="9"/>
  <c r="D51" i="9"/>
  <c r="D53" i="9"/>
  <c r="D54" i="9"/>
  <c r="D56" i="9"/>
  <c r="D57" i="9"/>
  <c r="D59" i="9"/>
  <c r="D60" i="9"/>
  <c r="E142" i="9"/>
  <c r="E144" i="9"/>
  <c r="E145" i="9"/>
  <c r="B66" i="9"/>
  <c r="B67" i="9"/>
  <c r="B68" i="9"/>
  <c r="B69" i="9"/>
  <c r="B70" i="9"/>
  <c r="B71" i="9"/>
  <c r="B72" i="9"/>
  <c r="B266" i="9"/>
  <c r="B260" i="9"/>
  <c r="B259" i="9"/>
  <c r="B258" i="9"/>
  <c r="F201" i="9"/>
  <c r="G201" i="9" s="1"/>
  <c r="F202" i="9"/>
  <c r="G202" i="9" s="1"/>
  <c r="G210" i="9" l="1"/>
  <c r="D3" i="13"/>
  <c r="D61" i="9"/>
  <c r="E134" i="9"/>
  <c r="E139" i="9"/>
  <c r="C270" i="9"/>
  <c r="E167" i="9" l="1"/>
  <c r="C7" i="13"/>
  <c r="D7" i="13"/>
  <c r="D190" i="9"/>
  <c r="D193" i="9" s="1"/>
  <c r="F198" i="9"/>
  <c r="G198" i="9" s="1"/>
  <c r="F197" i="9"/>
  <c r="F190" i="9" l="1"/>
  <c r="F193" i="9"/>
  <c r="G193" i="9" s="1"/>
  <c r="D180" i="9"/>
  <c r="F180" i="9" s="1"/>
  <c r="G180" i="9" s="1"/>
  <c r="D192" i="9"/>
  <c r="F192" i="9" s="1"/>
  <c r="G192" i="9" s="1"/>
  <c r="D191" i="9"/>
  <c r="F191" i="9" s="1"/>
  <c r="G191" i="9" s="1"/>
  <c r="G197" i="9"/>
  <c r="C252" i="9" l="1"/>
  <c r="C253" i="9"/>
  <c r="C251" i="9"/>
  <c r="G190" i="9"/>
  <c r="E135" i="9"/>
  <c r="D186" i="9" l="1"/>
  <c r="F186" i="9" s="1"/>
  <c r="D206" i="9"/>
  <c r="F206" i="9" s="1"/>
  <c r="D213" i="9"/>
  <c r="D218" i="9" s="1"/>
  <c r="F205" i="9"/>
  <c r="D187" i="9"/>
  <c r="F187" i="9" s="1"/>
  <c r="G187" i="9" s="1"/>
  <c r="D185" i="9"/>
  <c r="F185" i="9" s="1"/>
  <c r="D188" i="9"/>
  <c r="F188" i="9" s="1"/>
  <c r="G188" i="9" s="1"/>
  <c r="D177" i="9"/>
  <c r="D181" i="9" s="1"/>
  <c r="D179" i="9"/>
  <c r="F179" i="9" s="1"/>
  <c r="G179" i="9" s="1"/>
  <c r="D178" i="9"/>
  <c r="F178" i="9" s="1"/>
  <c r="H183" i="9" l="1"/>
  <c r="G186" i="9"/>
  <c r="D215" i="9"/>
  <c r="F215" i="9" s="1"/>
  <c r="F218" i="9"/>
  <c r="H208" i="9" s="1"/>
  <c r="G206" i="9"/>
  <c r="G185" i="9"/>
  <c r="G178" i="9"/>
  <c r="G205" i="9"/>
  <c r="F181" i="9"/>
  <c r="F177" i="9"/>
  <c r="F213" i="9"/>
  <c r="H171" i="9" l="1"/>
  <c r="G215" i="9"/>
  <c r="G213" i="9"/>
  <c r="F80" i="21" s="1"/>
  <c r="D207" i="9"/>
  <c r="G218" i="9"/>
  <c r="G181" i="9"/>
  <c r="E80" i="21"/>
  <c r="E81" i="21"/>
  <c r="G177" i="9"/>
  <c r="D219" i="9" l="1"/>
  <c r="F219" i="9" s="1"/>
  <c r="G80" i="21"/>
  <c r="G79" i="21" s="1"/>
  <c r="G74" i="21" s="1"/>
  <c r="F81" i="21"/>
  <c r="F79" i="21" s="1"/>
  <c r="F74" i="21" s="1"/>
  <c r="E79" i="21"/>
  <c r="E74" i="21" s="1"/>
  <c r="D182" i="9"/>
  <c r="F182" i="9" s="1"/>
  <c r="F171" i="9" s="1"/>
  <c r="B14" i="15"/>
  <c r="D239" i="9"/>
  <c r="B16" i="15"/>
  <c r="D264" i="9"/>
  <c r="F208" i="9" l="1"/>
  <c r="F224" i="9" s="1"/>
  <c r="G182" i="9"/>
  <c r="G171" i="9" s="1"/>
  <c r="G219" i="9"/>
  <c r="G208" i="9" s="1"/>
  <c r="D16" i="15" s="1"/>
  <c r="G88" i="21"/>
  <c r="G90" i="21"/>
  <c r="F222" i="9"/>
  <c r="D228" i="9"/>
  <c r="F228" i="9" s="1"/>
  <c r="G228" i="9" s="1"/>
  <c r="D230" i="9"/>
  <c r="D231" i="9" s="1"/>
  <c r="F231" i="9" s="1"/>
  <c r="G231" i="9" s="1"/>
  <c r="D14" i="15" l="1"/>
  <c r="C29" i="15" s="1"/>
  <c r="E31" i="15"/>
  <c r="E32" i="15" s="1"/>
  <c r="E16" i="15"/>
  <c r="F16" i="15" s="1"/>
  <c r="D31" i="15"/>
  <c r="F230" i="9"/>
  <c r="G230" i="9" s="1"/>
  <c r="D232" i="9"/>
  <c r="F232" i="9" s="1"/>
  <c r="G232" i="9" s="1"/>
  <c r="E14" i="15" l="1"/>
  <c r="F14" i="15" s="1"/>
  <c r="C22" i="15" s="1"/>
  <c r="B29" i="15"/>
  <c r="B32" i="15" s="1"/>
  <c r="E24" i="15"/>
  <c r="E25" i="15" s="1"/>
  <c r="D24" i="15"/>
  <c r="F31" i="15"/>
  <c r="D233" i="9"/>
  <c r="F233" i="9" s="1"/>
  <c r="G233" i="9" s="1"/>
  <c r="G226" i="9" s="1"/>
  <c r="D17" i="15" s="1"/>
  <c r="F29" i="15" l="1"/>
  <c r="F24" i="15"/>
  <c r="B22" i="15"/>
  <c r="E17" i="15"/>
  <c r="F17" i="15" s="1"/>
  <c r="F234" i="9"/>
  <c r="H226" i="9" s="1"/>
  <c r="B25" i="15" l="1"/>
  <c r="F22" i="15"/>
  <c r="F235" i="9"/>
  <c r="B17" i="15"/>
  <c r="D246" i="9" l="1"/>
  <c r="H220" i="9"/>
  <c r="D272" i="9" s="1"/>
  <c r="B15" i="15"/>
  <c r="B18" i="15" s="1"/>
  <c r="F207" i="9"/>
  <c r="F183" i="9" l="1"/>
  <c r="F223" i="9" s="1"/>
  <c r="F221" i="9" s="1"/>
  <c r="G207" i="9"/>
  <c r="G183" i="9" s="1"/>
  <c r="H234" i="9"/>
  <c r="G220" i="9" l="1"/>
  <c r="G234" i="9" s="1"/>
  <c r="D15" i="15"/>
  <c r="D18" i="15" s="1"/>
  <c r="F220" i="9"/>
  <c r="E15" i="15" l="1"/>
  <c r="E18" i="15" s="1"/>
  <c r="C30" i="15"/>
  <c r="D30" i="15"/>
  <c r="D32" i="15" s="1"/>
  <c r="C2" i="13"/>
  <c r="C8" i="13" s="1"/>
  <c r="F15" i="15" l="1"/>
  <c r="F30" i="15"/>
  <c r="F32" i="15" s="1"/>
  <c r="C32" i="15"/>
  <c r="D23" i="15" l="1"/>
  <c r="D25" i="15" s="1"/>
  <c r="C23" i="15"/>
  <c r="F18" i="15"/>
  <c r="D2" i="13" s="1"/>
  <c r="D8" i="13" s="1"/>
  <c r="E16" i="21"/>
  <c r="F23" i="15" l="1"/>
  <c r="F25" i="15" s="1"/>
  <c r="C25" i="15"/>
  <c r="F16" i="21"/>
  <c r="F13" i="21" s="1"/>
  <c r="F12" i="21" s="1"/>
  <c r="E13" i="21"/>
  <c r="E12" i="21" s="1"/>
  <c r="E90" i="21" s="1"/>
  <c r="F90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Солдатов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ОП</t>
        </r>
      </text>
    </comment>
    <comment ref="B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Уточнить какие именно риски заложены в оценку, почему нельзя вынести в доработки и предоставить клиенту?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Ситек</author>
    <author>Андрей Солдатов</author>
    <author>user1</author>
  </authors>
  <commentList>
    <comment ref="A4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например учет по сроку годности, маркировка, партионный учет, серийный учет</t>
        </r>
      </text>
    </comment>
    <comment ref="A50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</text>
    </comment>
    <comment ref="A74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Обмен с КИС включает документы и справочники входящие в состав типового обмена</t>
        </r>
      </text>
    </comment>
    <comment ref="C74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после реализации на проекте</t>
        </r>
      </text>
    </comment>
    <comment ref="A76" authorId="1" shapeId="0" xr:uid="{00000000-0006-0000-0200-000005000000}">
      <text>
        <r>
          <rPr>
            <sz val="9"/>
            <color indexed="81"/>
            <rFont val="Tahoma"/>
            <charset val="1"/>
          </rPr>
          <t>Обьеденение поступлений выгружаемых из КИС в одну Ожидаемую приемку по заданным правилам</t>
        </r>
      </text>
    </comment>
    <comment ref="A77" authorId="1" shapeId="0" xr:uid="{00000000-0006-0000-0200-000006000000}">
      <text>
        <r>
          <rPr>
            <sz val="9"/>
            <color indexed="81"/>
            <rFont val="Tahoma"/>
            <family val="2"/>
            <charset val="204"/>
          </rPr>
          <t>Обьеденение плановых отрузок выгружаемых из КИС в один Заказ на отгрузку по заданным правилам</t>
        </r>
      </text>
    </comment>
    <comment ref="A78" authorId="1" shapeId="0" xr:uid="{7E58C769-2492-4CD1-B012-17BCCDBBC930}">
      <text>
        <r>
          <rPr>
            <b/>
            <sz val="9"/>
            <color indexed="81"/>
            <rFont val="Tahoma"/>
            <charset val="1"/>
          </rPr>
          <t>пересчет и маркировка входящих контейнеров (паллет)</t>
        </r>
      </text>
    </comment>
    <comment ref="A79" authorId="1" shapeId="0" xr:uid="{0D3A967C-1FB5-4854-ABF5-1A27E5D97A87}">
      <text>
        <r>
          <rPr>
            <b/>
            <sz val="9"/>
            <color indexed="81"/>
            <rFont val="Tahoma"/>
            <charset val="1"/>
          </rPr>
          <t>приемка ожидаемых контейнеров (палет) с их товарным составом без поштучного сканирования и пересчета</t>
        </r>
      </text>
    </comment>
    <comment ref="A80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Размещение ТМЦ большого размера, значительно выходящего за габариты паллетоместа/иного места хранения</t>
        </r>
      </text>
    </comment>
    <comment ref="A81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Предпосылки: наличие лифта, наличие мезонина, транспортер, окно между двумя складами и др, требующие промежуточного хранения/размещения</t>
        </r>
      </text>
    </comment>
    <comment ref="A8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полочная зона в которой не ведется учет контейнеров</t>
        </r>
      </text>
    </comment>
    <comment ref="A83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одновременная раздельная сборка нескольких заказов одним исполнителем</t>
        </r>
      </text>
    </comment>
    <comment ref="A84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одновременная сборка нескольких заказов в один контейнер с разбором по заказам в зоне отгрузки</t>
        </r>
      </text>
    </comment>
    <comment ref="A85" authorId="1" shapeId="0" xr:uid="{00000000-0006-0000-0200-00000C000000}">
      <text>
        <r>
          <rPr>
            <sz val="9"/>
            <color indexed="81"/>
            <rFont val="Tahoma"/>
            <family val="2"/>
            <charset val="204"/>
          </rPr>
          <t>Отбор с применениением гравитационных стелажей, либо конвейера установленному на складе</t>
        </r>
      </text>
    </comment>
    <comment ref="A86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операция с ТСД если после приемки требуется повторное сканирование всего объема (контроль приемки)</t>
        </r>
      </text>
    </comment>
    <comment ref="A87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операция с ТСД если после сборки заказа требуется повторное сканирование всего объема (контроль отгрузки)</t>
        </r>
      </text>
    </comment>
    <comment ref="A88" authorId="0" shapeId="0" xr:uid="{00000000-0006-0000-0200-00000F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перекладка собранных заказов со сканированием ТСД</t>
        </r>
      </text>
    </comment>
    <comment ref="A89" authorId="0" shapeId="0" xr:uid="{00000000-0006-0000-0200-000010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например евро и финки в одной зоне</t>
        </r>
      </text>
    </comment>
    <comment ref="A90" authorId="0" shapeId="0" xr:uid="{00000000-0006-0000-0200-000011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1 ШК соответствует нескольким SKU например 1 EAN13 на разные позиции номенклатуры (акционные, подарочные, обычные)</t>
        </r>
      </text>
    </comment>
    <comment ref="A91" authorId="1" shapeId="0" xr:uid="{00000000-0006-0000-0200-000012000000}">
      <text>
        <r>
          <rPr>
            <sz val="9"/>
            <color indexed="81"/>
            <rFont val="Tahoma"/>
            <family val="2"/>
            <charset val="204"/>
          </rPr>
          <t>Подпитка зоны отбора только целыми паллетами</t>
        </r>
      </text>
    </comment>
    <comment ref="A92" authorId="0" shapeId="0" xr:uid="{00000000-0006-0000-0200-000013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необходима раздельная инвентаризация по юрлицам</t>
        </r>
      </text>
    </comment>
    <comment ref="A96" authorId="1" shapeId="0" xr:uid="{00000000-0006-0000-0200-000014000000}">
      <text>
        <r>
          <rPr>
            <sz val="9"/>
            <color indexed="81"/>
            <rFont val="Tahoma"/>
            <family val="2"/>
            <charset val="204"/>
          </rPr>
          <t>Учет товара с разной длиной каждой единицы, либо товар подлежащий нарезке по заданию, с учетом остатка в ячейке отбора (отрезок д.б. не меньше длины указанной в заказе)</t>
        </r>
      </text>
    </comment>
    <comment ref="A98" authorId="0" shapeId="0" xr:uid="{00000000-0006-0000-0200-000015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Фиксация серийного номера каждой единицы товара только при приемке и отгрузке без прослеживаемости </t>
        </r>
      </text>
    </comment>
    <comment ref="A105" authorId="2" shapeId="0" xr:uid="{00000000-0006-0000-0200-000016000000}">
      <text>
        <r>
          <rPr>
            <b/>
            <sz val="9"/>
            <color indexed="81"/>
            <rFont val="Tahoma"/>
            <family val="2"/>
            <charset val="204"/>
          </rPr>
          <t>Работа по рабочим листам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6" authorId="2" shapeId="0" xr:uid="{00000000-0006-0000-0200-000017000000}">
      <text>
        <r>
          <rPr>
            <b/>
            <sz val="9"/>
            <color indexed="81"/>
            <rFont val="Tahoma"/>
            <family val="2"/>
            <charset val="204"/>
          </rPr>
          <t>Работа по задачам, например отбор на конвейере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2" authorId="0" shapeId="0" xr:uid="{00000000-0006-0000-0200-000018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Каждый контейнер учитывается еще как тара</t>
        </r>
      </text>
    </comment>
    <comment ref="A113" authorId="0" shapeId="0" xr:uid="{00000000-0006-0000-0200-000019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Каждый контейнер учитывается еще как тара</t>
        </r>
      </text>
    </comment>
    <comment ref="A114" authorId="0" shapeId="0" xr:uid="{00000000-0006-0000-0200-00001A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Формирование на складе 1 SKU из нескольких в момент сборки заказа</t>
        </r>
      </text>
    </comment>
    <comment ref="C115" authorId="1" shapeId="0" xr:uid="{00000000-0006-0000-0200-00001B000000}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после реализации на проекте</t>
        </r>
      </text>
    </comment>
    <comment ref="A116" authorId="0" shapeId="0" xr:uid="{00000000-0006-0000-0200-00001C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работа без размещения в зону хранения и отбора. Например отгрузка целых паллет напрямую из производства</t>
        </r>
      </text>
    </comment>
    <comment ref="A118" authorId="0" shapeId="0" xr:uid="{00000000-0006-0000-0200-00001D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1. Уплотнение складских запасов
2. Плановые перемещения внутри склада с целью освобождения паллетомест (или целой зоны)
3.Задача сбора номенклатуры в одной зоне</t>
        </r>
      </text>
    </comment>
    <comment ref="A121" authorId="0" shapeId="0" xr:uid="{00000000-0006-0000-0200-00001E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Запуск сладских процессов в автоматическом режиме с целью отгрузки/приемки к определенному времени</t>
        </r>
      </text>
    </comment>
    <comment ref="A122" authorId="0" shapeId="0" xr:uid="{00000000-0006-0000-0200-00001F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Только расчет количества задач, объем, масса, время, количество товара по рабочим потокам</t>
        </r>
      </text>
    </comment>
    <comment ref="A124" authorId="0" shapeId="0" xr:uid="{00000000-0006-0000-0200-000020000000}">
      <text>
        <r>
          <rPr>
            <b/>
            <sz val="9"/>
            <color indexed="81"/>
            <rFont val="Tahoma"/>
            <family val="2"/>
            <charset val="204"/>
          </rPr>
          <t>Ситек:</t>
        </r>
        <r>
          <rPr>
            <sz val="9"/>
            <color indexed="81"/>
            <rFont val="Tahoma"/>
            <family val="2"/>
            <charset val="204"/>
          </rPr>
          <t xml:space="preserve">
Настройка размещения в соответствии с ABC/XYZ товара и ячеек. </t>
        </r>
      </text>
    </comment>
    <comment ref="A125" authorId="1" shapeId="0" xr:uid="{00000000-0006-0000-0200-000021000000}">
      <text>
        <r>
          <rPr>
            <sz val="9"/>
            <color indexed="81"/>
            <rFont val="Tahoma"/>
            <family val="2"/>
            <charset val="204"/>
          </rPr>
          <t>Добавление доп. Операций для учета выработки, например: Уборка территории.</t>
        </r>
      </text>
    </comment>
    <comment ref="C126" authorId="1" shapeId="0" xr:uid="{00000000-0006-0000-0200-000022000000}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после реализации на проекте</t>
        </r>
      </text>
    </comment>
    <comment ref="A132" authorId="2" shapeId="0" xr:uid="{00000000-0006-0000-0200-000023000000}">
      <text>
        <r>
          <rPr>
            <b/>
            <sz val="9"/>
            <color indexed="81"/>
            <rFont val="Tahoma"/>
            <family val="2"/>
            <charset val="204"/>
          </rPr>
          <t>Учет отстаков одной номенклатуры товара в разных упаковках (шт, уп 10 шт., уп 12 шт.)</t>
        </r>
      </text>
    </comment>
    <comment ref="A146" authorId="1" shapeId="0" xr:uid="{00000000-0006-0000-0200-000024000000}">
      <text>
        <r>
          <rPr>
            <sz val="9"/>
            <color indexed="81"/>
            <rFont val="Tahoma"/>
            <family val="2"/>
            <charset val="204"/>
          </rPr>
          <t>Замер температуры товара при приемке/отрузке с указанием на ТСД</t>
        </r>
      </text>
    </comment>
    <comment ref="A154" authorId="0" shapeId="0" xr:uid="{00000000-0006-0000-0200-000025000000}">
      <text>
        <r>
          <rPr>
            <sz val="9"/>
            <color indexed="81"/>
            <rFont val="Tahoma"/>
            <family val="2"/>
            <charset val="204"/>
          </rPr>
          <t>получение информации по паллетам для доверительной приемки, в т.ч для ответ хранения (биллинг)</t>
        </r>
      </text>
    </comment>
    <comment ref="A155" authorId="0" shapeId="0" xr:uid="{00000000-0006-0000-0200-000026000000}">
      <text>
        <r>
          <rPr>
            <sz val="9"/>
            <color indexed="81"/>
            <rFont val="Tahoma"/>
            <family val="2"/>
            <charset val="204"/>
          </rPr>
          <t>передача информации по отгрузке для ответ хранения (биллинг)</t>
        </r>
      </text>
    </comment>
    <comment ref="A160" authorId="2" shapeId="0" xr:uid="{00000000-0006-0000-0200-000027000000}">
      <text>
        <r>
          <rPr>
            <b/>
            <sz val="9"/>
            <color indexed="81"/>
            <rFont val="Tahoma"/>
            <family val="2"/>
            <charset val="204"/>
          </rPr>
          <t>1. Написание ТЗ на разработку
2. Настройка базового обмена (подготовка базы WMS и КИС для обмена)
3. Правила регистрации и загрузки НСИ
4. Правила регистрации и загрузки Документов</t>
        </r>
      </text>
    </comment>
    <comment ref="C161" authorId="1" shapeId="0" xr:uid="{00000000-0006-0000-0200-000028000000}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после реализации на проекте</t>
        </r>
      </text>
    </comment>
    <comment ref="C162" authorId="1" shapeId="0" xr:uid="{00000000-0006-0000-0200-000029000000}">
      <text>
        <r>
          <rPr>
            <b/>
            <sz val="9"/>
            <color indexed="81"/>
            <rFont val="Tahoma"/>
            <family val="2"/>
            <charset val="204"/>
          </rPr>
          <t>Скорректировать после реализации на проекте</t>
        </r>
      </text>
    </comment>
    <comment ref="D174" authorId="1" shapeId="0" xr:uid="{00000000-0006-0000-0200-00002A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  <comment ref="D182" authorId="1" shapeId="0" xr:uid="{00000000-0006-0000-0200-00002B000000}">
      <text>
        <r>
          <rPr>
            <b/>
            <sz val="9"/>
            <color indexed="81"/>
            <rFont val="Tahoma"/>
            <charset val="1"/>
          </rPr>
          <t>Зависит от количества и длительности поездок к клиенту.
Закладка Командировки</t>
        </r>
      </text>
    </comment>
    <comment ref="A194" authorId="1" shapeId="0" xr:uid="{00000000-0006-0000-0200-00002C000000}">
      <text>
        <r>
          <rPr>
            <b/>
            <sz val="9"/>
            <color indexed="81"/>
            <rFont val="Tahoma"/>
            <family val="2"/>
            <charset val="204"/>
          </rPr>
          <t>НЕ ДЛЯ ВСЕХ ПРОЕКТОВ!!! Потенциальные риски на реализацию доработок выявленных в ходе проекта (производственный склад, сложные процессы по которым нет описания БП)</t>
        </r>
      </text>
    </comment>
    <comment ref="D194" authorId="1" shapeId="0" xr:uid="{00000000-0006-0000-0200-00002D000000}">
      <text>
        <r>
          <rPr>
            <b/>
            <sz val="9"/>
            <color indexed="81"/>
            <rFont val="Tahoma"/>
            <charset val="1"/>
          </rPr>
          <t>Корректируется вручную</t>
        </r>
      </text>
    </comment>
    <comment ref="E200" authorId="1" shapeId="0" xr:uid="{00000000-0006-0000-0200-00002E000000}">
      <text>
        <r>
          <rPr>
            <b/>
            <sz val="9"/>
            <color indexed="81"/>
            <rFont val="Tahoma"/>
            <family val="2"/>
            <charset val="204"/>
          </rPr>
          <t>Корректируется вручную</t>
        </r>
      </text>
    </comment>
    <comment ref="E201" authorId="1" shapeId="0" xr:uid="{00000000-0006-0000-0200-00002F000000}">
      <text>
        <r>
          <rPr>
            <b/>
            <sz val="9"/>
            <color indexed="81"/>
            <rFont val="Tahoma"/>
            <family val="2"/>
            <charset val="204"/>
          </rPr>
          <t>Корректируется вручную</t>
        </r>
      </text>
    </comment>
    <comment ref="E202" authorId="1" shapeId="0" xr:uid="{00000000-0006-0000-0200-000030000000}">
      <text>
        <r>
          <rPr>
            <b/>
            <sz val="9"/>
            <color indexed="81"/>
            <rFont val="Tahoma"/>
            <family val="2"/>
            <charset val="204"/>
          </rPr>
          <t>Корректируется вручную</t>
        </r>
      </text>
    </comment>
    <comment ref="E204" authorId="1" shapeId="0" xr:uid="{0A0FD55F-522C-4066-94FA-C230661BEF74}">
      <text>
        <r>
          <rPr>
            <b/>
            <sz val="9"/>
            <color indexed="81"/>
            <rFont val="Tahoma"/>
            <charset val="1"/>
          </rPr>
          <t>Корректируется вручную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05" authorId="1" shapeId="0" xr:uid="{00000000-0006-0000-0200-000031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  <comment ref="D207" authorId="1" shapeId="0" xr:uid="{00000000-0006-0000-0200-000032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  <comment ref="E210" authorId="1" shapeId="0" xr:uid="{00000000-0006-0000-0200-000033000000}">
      <text>
        <r>
          <rPr>
            <b/>
            <sz val="9"/>
            <color indexed="81"/>
            <rFont val="Tahoma"/>
            <family val="2"/>
            <charset val="204"/>
          </rPr>
          <t>Корректируется вручную</t>
        </r>
      </text>
    </comment>
    <comment ref="E211" authorId="1" shapeId="0" xr:uid="{00000000-0006-0000-0200-000034000000}">
      <text>
        <r>
          <rPr>
            <b/>
            <sz val="9"/>
            <color indexed="81"/>
            <rFont val="Tahoma"/>
            <family val="2"/>
            <charset val="204"/>
          </rPr>
          <t>Корректируется вручную</t>
        </r>
      </text>
    </comment>
    <comment ref="D213" authorId="1" shapeId="0" xr:uid="{00000000-0006-0000-0200-000035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  <comment ref="D214" authorId="1" shapeId="0" xr:uid="{00000000-0006-0000-0200-000036000000}">
      <text>
        <r>
          <rPr>
            <b/>
            <sz val="9"/>
            <color indexed="81"/>
            <rFont val="Tahoma"/>
            <charset val="1"/>
          </rPr>
          <t>Корректируется вручную</t>
        </r>
      </text>
    </comment>
    <comment ref="D217" authorId="1" shapeId="0" xr:uid="{00000000-0006-0000-0200-000037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  <comment ref="D219" authorId="1" shapeId="0" xr:uid="{00000000-0006-0000-0200-000038000000}">
      <text>
        <r>
          <rPr>
            <b/>
            <sz val="9"/>
            <color indexed="81"/>
            <rFont val="Tahoma"/>
            <family val="2"/>
            <charset val="204"/>
          </rPr>
          <t>Зависит от количества и длительности поездок к клиенту.
Закладка Командировки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Солдатов</author>
  </authors>
  <commentList>
    <comment ref="E19" authorId="0" shapeId="0" xr:uid="{C41A4F5B-32AB-4D15-BDFD-87CE2859031B}">
      <text>
        <r>
          <rPr>
            <b/>
            <sz val="9"/>
            <color indexed="81"/>
            <rFont val="Tahoma"/>
            <family val="2"/>
            <charset val="204"/>
          </rPr>
          <t>Включены суточные в период адаптации</t>
        </r>
      </text>
    </comment>
    <comment ref="G19" authorId="0" shapeId="0" xr:uid="{E87E6809-D2B4-439E-B045-16D91575E84C}">
      <text>
        <r>
          <rPr>
            <b/>
            <sz val="9"/>
            <color indexed="81"/>
            <rFont val="Tahoma"/>
            <family val="2"/>
            <charset val="204"/>
          </rPr>
          <t>Включено проживание в период адаптации</t>
        </r>
      </text>
    </comment>
    <comment ref="B2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В случае ночных смен на запуске, добавить сотрудников (при необходимости)</t>
        </r>
      </text>
    </comment>
  </commentList>
</comments>
</file>

<file path=xl/sharedStrings.xml><?xml version="1.0" encoding="utf-8"?>
<sst xmlns="http://schemas.openxmlformats.org/spreadsheetml/2006/main" count="660" uniqueCount="467">
  <si>
    <t>Управление двором</t>
  </si>
  <si>
    <t>ИТОГО</t>
  </si>
  <si>
    <t>до 10</t>
  </si>
  <si>
    <t>Количество артикулов</t>
  </si>
  <si>
    <t>Переход с другой WMS</t>
  </si>
  <si>
    <t>Кластерный отбор</t>
  </si>
  <si>
    <t>Групповой отбор с сортировкой</t>
  </si>
  <si>
    <t>Кросс-докинг</t>
  </si>
  <si>
    <t>Компрессия</t>
  </si>
  <si>
    <t>Взвешивание с ТСД</t>
  </si>
  <si>
    <t>Выделенная зона отбора мелкоштучки</t>
  </si>
  <si>
    <t>Выбор</t>
  </si>
  <si>
    <t>Итого</t>
  </si>
  <si>
    <t>Скидка / Наценка</t>
  </si>
  <si>
    <t>Не рекомендуется</t>
  </si>
  <si>
    <t>Различные конфигурации упаковок у одного товара</t>
  </si>
  <si>
    <t>Бумажная технология как основная</t>
  </si>
  <si>
    <t>Типы товаров</t>
  </si>
  <si>
    <t>Вариации базового процесса</t>
  </si>
  <si>
    <t>Дополнительные процессы</t>
  </si>
  <si>
    <t>Да</t>
  </si>
  <si>
    <t>Нет</t>
  </si>
  <si>
    <t>ДЛЯ ОДНОГО СКЛАДА и ОДНОГО ПОКЛАЖЕДАТЕЛЯ</t>
  </si>
  <si>
    <t>до 1 000</t>
  </si>
  <si>
    <t>Неуникальные ШК</t>
  </si>
  <si>
    <t>Только полные паллеты на всех этапах</t>
  </si>
  <si>
    <t>Нормативы и расчет выработки</t>
  </si>
  <si>
    <t>Автоматическое управление дедлайнами</t>
  </si>
  <si>
    <t>Количество часов поддержки в вечернее время (рабочий день)</t>
  </si>
  <si>
    <t>Количество часов поддержки в ночное время (рабочий день)</t>
  </si>
  <si>
    <t>Количество часов поддержки в вечернее время (выходной день)</t>
  </si>
  <si>
    <t>Количество часов поддержки в ночное время (выходной день)</t>
  </si>
  <si>
    <t>Количество часов поддержки в дневное время (выходной день)</t>
  </si>
  <si>
    <t>Архитектор</t>
  </si>
  <si>
    <t>Консультант</t>
  </si>
  <si>
    <t>РП</t>
  </si>
  <si>
    <t>Разработчик</t>
  </si>
  <si>
    <t>Часов</t>
  </si>
  <si>
    <t>Ресурсы</t>
  </si>
  <si>
    <t>Настройка и тестирование системы, подготовка РИ</t>
  </si>
  <si>
    <t>Управление настройкой системы, методологическая помощь</t>
  </si>
  <si>
    <t>Оказание помощи при настройке системы</t>
  </si>
  <si>
    <t>Распределение</t>
  </si>
  <si>
    <t>Количество часов на риски ошибок в типовом продукте (считается от трудозатрат по процессам)</t>
  </si>
  <si>
    <t>Количество часов проектировани и контроля (считается от трудозатрат разработки)</t>
  </si>
  <si>
    <t>Количество часов тестирования (считается от трудозатрат разработки)</t>
  </si>
  <si>
    <t>Количество часов документирования (считается от трудозатрат разработки)</t>
  </si>
  <si>
    <t>Руководство проектом (считается от трудозатрат подэтапа)</t>
  </si>
  <si>
    <t>Руководство подэтапом (считается от трудозатрат подэтапа)</t>
  </si>
  <si>
    <t>2.3 Установка</t>
  </si>
  <si>
    <t>Инженер</t>
  </si>
  <si>
    <t>Управление подэтапом</t>
  </si>
  <si>
    <t>Проведение тестирования</t>
  </si>
  <si>
    <t>Доработка в процессе запуска (считается от трудозатртат на поддержку)</t>
  </si>
  <si>
    <t>Управление подэтапом (считается от трудозатрат на поддержку)</t>
  </si>
  <si>
    <t>Повторов</t>
  </si>
  <si>
    <t>Стоимость</t>
  </si>
  <si>
    <t>Трудозатраты</t>
  </si>
  <si>
    <t>Параметры склада и грузопотока</t>
  </si>
  <si>
    <t>2.1 Настройка системы</t>
  </si>
  <si>
    <t>2.2 Обмен данными между WMS и КИС</t>
  </si>
  <si>
    <t>Количество</t>
  </si>
  <si>
    <t>Количество часов тестирования доработок</t>
  </si>
  <si>
    <t>Количество часов документирования доработок</t>
  </si>
  <si>
    <t>Оказание помощи при приемочном тестировании</t>
  </si>
  <si>
    <t>Работы</t>
  </si>
  <si>
    <t>до 2 000</t>
  </si>
  <si>
    <t>до 5 000</t>
  </si>
  <si>
    <t>до 10 000</t>
  </si>
  <si>
    <t>до 25 000</t>
  </si>
  <si>
    <t>до 20</t>
  </si>
  <si>
    <t>до 40</t>
  </si>
  <si>
    <t>до 60</t>
  </si>
  <si>
    <t>до 100</t>
  </si>
  <si>
    <t>до 150</t>
  </si>
  <si>
    <t>до 500</t>
  </si>
  <si>
    <t>до 200</t>
  </si>
  <si>
    <t>до 3 000</t>
  </si>
  <si>
    <t>Площадь склада</t>
  </si>
  <si>
    <t>Проведение установочной встречи</t>
  </si>
  <si>
    <t>Разработка схемы обмена информацией между КИС и WMS</t>
  </si>
  <si>
    <t xml:space="preserve">Определение и описание доработок системы </t>
  </si>
  <si>
    <t xml:space="preserve">Разработка требований к информации, техническому обеспечению, программному обеспечению, персоналу, порядку запуска системы. </t>
  </si>
  <si>
    <t>Подготовка рабочих инструкций</t>
  </si>
  <si>
    <t>2.2 Доработка типового функционала (если требуется)</t>
  </si>
  <si>
    <t>Количество часов реализации доработок</t>
  </si>
  <si>
    <t>Разработка обмена данными со стороны WMS</t>
  </si>
  <si>
    <t>Разработка обмена данными со стороны КИС</t>
  </si>
  <si>
    <t>Принятие решение о готовности системы к запуску в эксплуатацию</t>
  </si>
  <si>
    <t>Проведение приемочного тестирования, устранение замечаний</t>
  </si>
  <si>
    <t>Длит, р.д.</t>
  </si>
  <si>
    <t>Задачи, связанные с разработкой</t>
  </si>
  <si>
    <t>Количество часов разработки</t>
  </si>
  <si>
    <t>Базовый процесс</t>
  </si>
  <si>
    <t>Топология склада, виды товара и принципы хранения</t>
  </si>
  <si>
    <t>Правила маркировки товаров и грузов</t>
  </si>
  <si>
    <t>Приемка</t>
  </si>
  <si>
    <t>Размещение</t>
  </si>
  <si>
    <t>Отбор (кроме зоны мелкоштучки)</t>
  </si>
  <si>
    <t>Отгрузка</t>
  </si>
  <si>
    <t>Инвентаризация</t>
  </si>
  <si>
    <t>Часов разработчика</t>
  </si>
  <si>
    <t>Поддержка разработчиком в процессе запуска</t>
  </si>
  <si>
    <t>Отсутствует информация о ШК в системе заказчика более чем у 50% товаров</t>
  </si>
  <si>
    <t>Отсутствует информация о ВГХ в системе заказчика более чем у 50% товаров</t>
  </si>
  <si>
    <t>2.2 Обмен данными</t>
  </si>
  <si>
    <t>Управление планированием и проектированием, методологическая помощь</t>
  </si>
  <si>
    <t>Количество сотрудников в смену (диспетчеры + операторы ТСД)</t>
  </si>
  <si>
    <t>№</t>
  </si>
  <si>
    <t>Командировочные расходы (предварительно)</t>
  </si>
  <si>
    <t>Лицензии на 1С:WMS</t>
  </si>
  <si>
    <t>Наименование ПО</t>
  </si>
  <si>
    <t>Цена, руб. (НДС не облагается)</t>
  </si>
  <si>
    <t>Стоимость, руб. (НДС не облагается)</t>
  </si>
  <si>
    <t>ИТОГО:</t>
  </si>
  <si>
    <t>Лицензии на платформу 1С:Предприятие 8</t>
  </si>
  <si>
    <t xml:space="preserve">1С:Предприятие 8. Клиентская лицензия на 5 рабочих мест </t>
  </si>
  <si>
    <t xml:space="preserve">1С:Предприятие 8. Клиентская лицензия на 10 рабочих мест </t>
  </si>
  <si>
    <t xml:space="preserve">1С:Предприятие 8. Клиентская лицензия на 20 рабочих мест </t>
  </si>
  <si>
    <t>1С:Предприятие 8.3. Сервер МИНИ на 5 подключений</t>
  </si>
  <si>
    <t>1С:Предприятие 8.3. Лицензия на сервер (x86-64)</t>
  </si>
  <si>
    <t>Этап</t>
  </si>
  <si>
    <t>Длительность, рабочие дни</t>
  </si>
  <si>
    <t>Примечание</t>
  </si>
  <si>
    <t>Этап\Сотрудник</t>
  </si>
  <si>
    <t>Суточные</t>
  </si>
  <si>
    <t>Руководитель проекта</t>
  </si>
  <si>
    <t>Вид расхода</t>
  </si>
  <si>
    <t xml:space="preserve">В соответствии со стоимостью, указанной в билете </t>
  </si>
  <si>
    <t>Исполнитель предоставляет копии документов, подтверждающих такие расходы.</t>
  </si>
  <si>
    <t>Стоимость проживания</t>
  </si>
  <si>
    <t xml:space="preserve">В соответствии со стоимостью объекта места проживания (квартира, гостиница) </t>
  </si>
  <si>
    <t>Исполнитель предоставляет копии документов, подтверждающих расходы на проживание в квартире, гостинице.  В случае проживания в квартире, предоставленной Заказчиком, Исполнитель не предоставляет отчетных документов по предварительному согласованию с Заказчиком.</t>
  </si>
  <si>
    <t>Суточные расходы на 1 сотрудника</t>
  </si>
  <si>
    <t>В соответствии с внутренними регламентами Исполнителя</t>
  </si>
  <si>
    <t xml:space="preserve">Исполнитель предоставляет копии командировочных удостоверений </t>
  </si>
  <si>
    <t>Стоимость такси в аэропорт/из аэропорта, между офисами Заказчика и в других, связанных с услугами по Проекту случаях.</t>
  </si>
  <si>
    <t xml:space="preserve">В соответствии со стоимостью, указанной в чеке. </t>
  </si>
  <si>
    <t>Исполнитель предоставляет копии документов, подтверждающих такие расходы</t>
  </si>
  <si>
    <t>Другие расходы</t>
  </si>
  <si>
    <t>По предварительному согласованию с Заказчиком</t>
  </si>
  <si>
    <t>Стоимость билетов на транспорт (туда и обратно)</t>
  </si>
  <si>
    <t>Обучение кладовщиков (за 1 курс не более 10 человек)</t>
  </si>
  <si>
    <t>Ведение учета по юридическим лицам</t>
  </si>
  <si>
    <t>Установка принтера (за 1 шт.)</t>
  </si>
  <si>
    <t xml:space="preserve">Обучение диспетчеров системы (за 1 курс не более 5 человек) </t>
  </si>
  <si>
    <t>Установка радиотерминалов (за 1 шт.)</t>
  </si>
  <si>
    <t>Установка стационарных рабочих мест со сканером штрихкода (за 1 шт.)</t>
  </si>
  <si>
    <t>Статья затрат</t>
  </si>
  <si>
    <t>Стоимость такси</t>
  </si>
  <si>
    <t>Входит в проект</t>
  </si>
  <si>
    <t>Транзитные зоны (за одну зону)</t>
  </si>
  <si>
    <t>Этап 2. Подготовка системы к запуску</t>
  </si>
  <si>
    <t>Этап 1. Проектирование системы</t>
  </si>
  <si>
    <t>2.4 Приемочное тестирование</t>
  </si>
  <si>
    <t>3.2 Запуск и начальное сопровождение</t>
  </si>
  <si>
    <t>Включено человеко-часов</t>
  </si>
  <si>
    <t>Этап 3. Запуск системы в промышленную эксплуатацию</t>
  </si>
  <si>
    <t>Обмен данными со стороны WMS</t>
  </si>
  <si>
    <t xml:space="preserve">Обмен данными со стороны КИС </t>
  </si>
  <si>
    <t>Запуск системы в эксплуатацию</t>
  </si>
  <si>
    <t>Обследование, анализ процессов, написание технического проекта</t>
  </si>
  <si>
    <t>Запуск системы в эксплуатацию (считается от трудозатрат по процессам)</t>
  </si>
  <si>
    <t>Тестирование обмена данными</t>
  </si>
  <si>
    <t>Биллинг (за 1 поклажедателя с уникальными процессами)</t>
  </si>
  <si>
    <t>Упаковка</t>
  </si>
  <si>
    <t>АВС/XYZ-анализ</t>
  </si>
  <si>
    <t>свыше 25 000</t>
  </si>
  <si>
    <t>Проектирование доработок</t>
  </si>
  <si>
    <t>Негабарит</t>
  </si>
  <si>
    <t>Лицензия «на ядро» MS SQL Server 2016 Std Full-use Core  (4 ядра) для пользователей 1С:Предприятие 8. Электронная поставка</t>
  </si>
  <si>
    <t>Гравитация и конвейерная сборка</t>
  </si>
  <si>
    <t>Стоимость услуг по внедрению Системы WMS</t>
  </si>
  <si>
    <t>Стоимость программного обеспечения, в т.ч.:</t>
  </si>
  <si>
    <t>Рабочие места (стационарные РМ со сканером ШК)</t>
  </si>
  <si>
    <t>Рабочее место Приемки</t>
  </si>
  <si>
    <t>Рабочее место Контроля приемки</t>
  </si>
  <si>
    <t>Рабочее место Маркировки</t>
  </si>
  <si>
    <t>Рабочее место Комплектации</t>
  </si>
  <si>
    <t>Рабочее место Отбора товара</t>
  </si>
  <si>
    <t>Рабочее место Выполнения отбора товара</t>
  </si>
  <si>
    <t>Рабочее место Упаковки</t>
  </si>
  <si>
    <t>Рабочее место Контроля отгрузки</t>
  </si>
  <si>
    <t>Рабочее место Отгрузки</t>
  </si>
  <si>
    <t>Процессы, связанные с проектированием и настройкой типовой конфигурации</t>
  </si>
  <si>
    <t xml:space="preserve">Типовой обмен данными </t>
  </si>
  <si>
    <t>Доработка типовой конфигурации</t>
  </si>
  <si>
    <t>до 5</t>
  </si>
  <si>
    <t>до 3</t>
  </si>
  <si>
    <t>до 50 000</t>
  </si>
  <si>
    <t>до 10000</t>
  </si>
  <si>
    <t>Номенклатурные группы, требующие различных подходов по товарному соседству: температурные режимы (глубокая заморозка, морозильник, холодильник, отапливаемое, неотапливаемое, уличное), пищевые и не пищевые, алкоголь)</t>
  </si>
  <si>
    <t>до 15</t>
  </si>
  <si>
    <t>Серийный учет</t>
  </si>
  <si>
    <t>Pick-by-voice Голосовой отбор (позаказный)</t>
  </si>
  <si>
    <t>Pick-by-light или Put-to-light Световая идентификация</t>
  </si>
  <si>
    <t>Сумма по полю Трудозатраты</t>
  </si>
  <si>
    <t>Названия строк</t>
  </si>
  <si>
    <t>Общий итог</t>
  </si>
  <si>
    <t>Итого вторая очередь</t>
  </si>
  <si>
    <t>Вторая очередь</t>
  </si>
  <si>
    <t>Проектирование</t>
  </si>
  <si>
    <t>Разработка</t>
  </si>
  <si>
    <t>Тестирование</t>
  </si>
  <si>
    <t>Настройка</t>
  </si>
  <si>
    <t>Методологическая помощь</t>
  </si>
  <si>
    <t>Объедеинение в Рейсы</t>
  </si>
  <si>
    <t>Двухсторонний файловый обмен со стороны WMS в КИС (Oracle/SAP/R3)</t>
  </si>
  <si>
    <t>Учет возвратной тары</t>
  </si>
  <si>
    <t>Учет оборотной тары</t>
  </si>
  <si>
    <t>Обмен с помошью шины данных (Шина-WMS)</t>
  </si>
  <si>
    <t>Обмен с помошью шины данных (КИС-Шина)</t>
  </si>
  <si>
    <t>Количество используемых на складе систем хранения (напр. напольное хранение, фронтальные стеллажи, глубинные, push-back, гравитация, радиошатл, полочные стеллажи и штучные отборы)</t>
  </si>
  <si>
    <t>свыше 10000</t>
  </si>
  <si>
    <t>свыше 50 000</t>
  </si>
  <si>
    <t>Отбор проб (контроль ОТК)</t>
  </si>
  <si>
    <t>свыше 150</t>
  </si>
  <si>
    <t>Объедеинение в Волны</t>
  </si>
  <si>
    <t>Фотофиксация с ТСД (при приемке)</t>
  </si>
  <si>
    <t>Динамический подбор заданий (подбор ближайшего задания из других РП по конечной ячейке)</t>
  </si>
  <si>
    <t>Количество часов поддержки в не рабочее время (с 18:00 до 08:00)</t>
  </si>
  <si>
    <t>Настройка и внутреннее тестирование системы в соотвтетствие с функциональным проектом</t>
  </si>
  <si>
    <t>Поддержка в не рабочее время (с 18:00 до 08:00)</t>
  </si>
  <si>
    <t>Прочие доработки в системе (риски)</t>
  </si>
  <si>
    <t>Входной контроль (контроль приемки)</t>
  </si>
  <si>
    <t>Выходной контроль (контроль отгрузки)</t>
  </si>
  <si>
    <t>План приемки (за каждое правило конвертации)</t>
  </si>
  <si>
    <t>План отгрузки (за каждое правило конвертации)</t>
  </si>
  <si>
    <t>Учет остатков по поклажедателям (без тарификации)</t>
  </si>
  <si>
    <t>Сборка/разборка комплектов (внутренний заказ)</t>
  </si>
  <si>
    <t>Учет комплектов и комплектующих без сборки/разборки</t>
  </si>
  <si>
    <t>Аудит технической инфраструктуры (сервер)</t>
  </si>
  <si>
    <t>Оповещение по событию (Почта/СМС/Телеграмм)</t>
  </si>
  <si>
    <t>Учет температурного режима при приемке/отгрузке</t>
  </si>
  <si>
    <t xml:space="preserve">Двухсторонний обмен с помошью шины данных 1С </t>
  </si>
  <si>
    <t>Дополнительные операции на ТСД (за одну операцию)</t>
  </si>
  <si>
    <t xml:space="preserve">Обмен данными WMS - КИС </t>
  </si>
  <si>
    <t xml:space="preserve">Обмен данными КИС - WMS </t>
  </si>
  <si>
    <t>Не типовой обмен данными 1С</t>
  </si>
  <si>
    <t>Общие трудозатраты:</t>
  </si>
  <si>
    <t>Сбор детальной информации о процессах склада, обсуждение и согласование процессов "как должно быть"</t>
  </si>
  <si>
    <t>Разработка функциональной можели на основании схемы "как должно быть"</t>
  </si>
  <si>
    <t>Архитектор, Конс.</t>
  </si>
  <si>
    <t>[до 3-х групп] - названия вписать</t>
  </si>
  <si>
    <t>Свыше 80% оцениваются с проработкой план-графика</t>
  </si>
  <si>
    <t>Разработка обмена данными (не типовой обмен)</t>
  </si>
  <si>
    <t>2.2 Доработка типовой конфигурации</t>
  </si>
  <si>
    <t>Разработка функциональных разрывов в типовой конфигурации</t>
  </si>
  <si>
    <t>Документирования доработок (ТЗ для разработчика)</t>
  </si>
  <si>
    <t>Тестирование доработок</t>
  </si>
  <si>
    <t>Методологическая помощь и контроль доработок</t>
  </si>
  <si>
    <t>Тестирование обмена данными (не типовой обмен)</t>
  </si>
  <si>
    <t>Печать на принтере этикеток с ТСД/АРМ</t>
  </si>
  <si>
    <t>[4 группы] - названия вписать</t>
  </si>
  <si>
    <t>[5 групп] - названия вписать</t>
  </si>
  <si>
    <t>[6 групп] - названия вписать</t>
  </si>
  <si>
    <t xml:space="preserve">Двухсторонний обмен с TMS  </t>
  </si>
  <si>
    <t>Архитекто/ Консультант/ Разработчик</t>
  </si>
  <si>
    <t>Этап 1. Обследование, проектирование системы</t>
  </si>
  <si>
    <t>Разработка документа Функциональная модель системы WMS</t>
  </si>
  <si>
    <t>Обследование объекта автоматизации</t>
  </si>
  <si>
    <t>Отчет об обследовании</t>
  </si>
  <si>
    <t>Руководство этапом</t>
  </si>
  <si>
    <t>Интеграция с маркетплейсами</t>
  </si>
  <si>
    <t>1.1 Обследование</t>
  </si>
  <si>
    <t>1.2 Функциональная модель</t>
  </si>
  <si>
    <t>Этап 0. Предпродажа</t>
  </si>
  <si>
    <t>Этап 4. Реализация дополнительных процессов (Очередь 2)</t>
  </si>
  <si>
    <t>Сумма ИТОГО:</t>
  </si>
  <si>
    <t>ПО 1С и MSSQ --</t>
  </si>
  <si>
    <t>ПО Оборудования --</t>
  </si>
  <si>
    <t>ПО Системы WMS --</t>
  </si>
  <si>
    <t>2.1</t>
  </si>
  <si>
    <t>2.2</t>
  </si>
  <si>
    <t>2.3</t>
  </si>
  <si>
    <r>
      <t xml:space="preserve">Типовой двухсторонний обмен данными между КИС 1С и WMS 1С
</t>
    </r>
    <r>
      <rPr>
        <b/>
        <sz val="12"/>
        <color rgb="FFFF0000"/>
        <rFont val="Calibri"/>
        <family val="2"/>
        <charset val="204"/>
        <scheme val="minor"/>
      </rPr>
      <t>УТ от 11.4.10 / ERP от 2.4.10 / КА от 2.4</t>
    </r>
  </si>
  <si>
    <r>
      <t xml:space="preserve">Мотивация </t>
    </r>
    <r>
      <rPr>
        <b/>
        <sz val="12"/>
        <rFont val="Calibri"/>
        <family val="2"/>
        <charset val="204"/>
        <scheme val="minor"/>
      </rPr>
      <t>KPI</t>
    </r>
    <r>
      <rPr>
        <sz val="12"/>
        <rFont val="Calibri"/>
        <family val="2"/>
        <charset val="204"/>
        <scheme val="minor"/>
      </rPr>
      <t xml:space="preserve"> (д.б. включен пункт Нормативы и расчет выработки)</t>
    </r>
  </si>
  <si>
    <r>
      <t xml:space="preserve">Фотофиксация с ТСД (кроме приемки) </t>
    </r>
    <r>
      <rPr>
        <b/>
        <sz val="12"/>
        <color rgb="FFFF0000"/>
        <rFont val="Calibri"/>
        <family val="2"/>
        <charset val="204"/>
        <scheme val="minor"/>
      </rPr>
      <t>за</t>
    </r>
    <r>
      <rPr>
        <sz val="12"/>
        <rFont val="Calibri"/>
        <family val="2"/>
        <charset val="204"/>
        <scheme val="minor"/>
      </rPr>
      <t xml:space="preserve"> </t>
    </r>
    <r>
      <rPr>
        <b/>
        <sz val="12"/>
        <color rgb="FFFF0000"/>
        <rFont val="Calibri"/>
        <family val="2"/>
        <charset val="204"/>
        <scheme val="minor"/>
      </rPr>
      <t>одну операцию</t>
    </r>
  </si>
  <si>
    <r>
      <t xml:space="preserve">Разработка обмена данными (продукы </t>
    </r>
    <r>
      <rPr>
        <b/>
        <sz val="12"/>
        <color rgb="FFFF0000"/>
        <rFont val="Calibri"/>
        <family val="2"/>
        <charset val="204"/>
        <scheme val="minor"/>
      </rPr>
      <t>не 1С</t>
    </r>
    <r>
      <rPr>
        <b/>
        <sz val="12"/>
        <rFont val="Calibri"/>
        <family val="2"/>
        <charset val="204"/>
        <scheme val="minor"/>
      </rPr>
      <t>)</t>
    </r>
  </si>
  <si>
    <r>
      <t>Взаимодействие с грузоотправителями и получение информации об ожидаемой приемке (</t>
    </r>
    <r>
      <rPr>
        <b/>
        <sz val="12"/>
        <rFont val="Calibri"/>
        <family val="2"/>
        <charset val="204"/>
        <scheme val="minor"/>
      </rPr>
      <t>доверительная приемка, биллинг</t>
    </r>
    <r>
      <rPr>
        <sz val="12"/>
        <rFont val="Calibri"/>
        <family val="2"/>
        <charset val="204"/>
        <scheme val="minor"/>
      </rPr>
      <t>)</t>
    </r>
  </si>
  <si>
    <r>
      <t>Взаимодействие с грузополучателями и получение информации о заказах на отгрузку (</t>
    </r>
    <r>
      <rPr>
        <b/>
        <sz val="12"/>
        <rFont val="Calibri"/>
        <family val="2"/>
        <charset val="204"/>
        <scheme val="minor"/>
      </rPr>
      <t>биллинг</t>
    </r>
    <r>
      <rPr>
        <sz val="12"/>
        <rFont val="Calibri"/>
        <family val="2"/>
        <charset val="204"/>
        <scheme val="minor"/>
      </rPr>
      <t>)</t>
    </r>
  </si>
  <si>
    <r>
      <t>Обмен данными WMS - КИС (</t>
    </r>
    <r>
      <rPr>
        <b/>
        <sz val="12"/>
        <color rgb="FFFF0000"/>
        <rFont val="Calibri"/>
        <family val="2"/>
        <charset val="204"/>
        <scheme val="minor"/>
      </rPr>
      <t>платформа КИС 8.2 и старше</t>
    </r>
    <r>
      <rPr>
        <sz val="12"/>
        <rFont val="Calibri"/>
        <family val="2"/>
        <charset val="204"/>
        <scheme val="minor"/>
      </rPr>
      <t>)</t>
    </r>
  </si>
  <si>
    <r>
      <t>Обмен данными КИС - WMS (</t>
    </r>
    <r>
      <rPr>
        <b/>
        <sz val="12"/>
        <color rgb="FFFF0000"/>
        <rFont val="Calibri"/>
        <family val="2"/>
        <charset val="204"/>
        <scheme val="minor"/>
      </rPr>
      <t>платформа КИС 8.2 и старше</t>
    </r>
    <r>
      <rPr>
        <sz val="12"/>
        <rFont val="Calibri"/>
        <family val="2"/>
        <charset val="204"/>
        <scheme val="minor"/>
      </rPr>
      <t xml:space="preserve">) </t>
    </r>
  </si>
  <si>
    <t>Запуск системы в эксплуатацию (в рабочее время по  8 часов с 08:00 до 18:00)</t>
  </si>
  <si>
    <t>Вид услуг</t>
  </si>
  <si>
    <t>Исполнитель предоставляет копии документов, подтверждающих такие расходы
При организации трансфера сотрудников Исполнителя в аэропорт/из аэропорта силами Заказчика, данная стоимость не взимается 
Услуги такси берутся только в месте нахождения Заказчика при условии, если Заказчик отказался организовать трансфер.</t>
  </si>
  <si>
    <r>
      <t xml:space="preserve">1С:Предприятие 8.WMS Логистика. Управление складом + </t>
    </r>
    <r>
      <rPr>
        <b/>
        <sz val="12"/>
        <color rgb="FFFF0000"/>
        <rFont val="Calibri"/>
        <family val="2"/>
        <charset val="204"/>
        <scheme val="minor"/>
      </rPr>
      <t>лицензии на 3 радиотерминала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</si>
  <si>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1 радиотерминал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</si>
  <si>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5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</si>
  <si>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10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</si>
  <si>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20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</si>
  <si>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50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</si>
  <si>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100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</si>
  <si>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300 радиотерминалов</t>
    </r>
  </si>
  <si>
    <r>
      <t xml:space="preserve">1С:WMS. Клиентская лицензия на </t>
    </r>
    <r>
      <rPr>
        <b/>
        <sz val="12"/>
        <rFont val="Calibri"/>
        <family val="2"/>
        <charset val="204"/>
        <scheme val="minor"/>
      </rPr>
      <t>500 радиотерминалов</t>
    </r>
  </si>
  <si>
    <r>
      <rPr>
        <b/>
        <sz val="12"/>
        <color rgb="FFC00000"/>
        <rFont val="Calibri"/>
        <family val="2"/>
        <charset val="204"/>
        <scheme val="minor"/>
      </rPr>
      <t xml:space="preserve">Среднее </t>
    </r>
    <r>
      <rPr>
        <b/>
        <sz val="12"/>
        <rFont val="Calibri"/>
        <family val="2"/>
        <charset val="204"/>
        <scheme val="minor"/>
      </rPr>
      <t>количество строк заказов входящих в сутки</t>
    </r>
  </si>
  <si>
    <r>
      <rPr>
        <b/>
        <sz val="12"/>
        <color rgb="FFC00000"/>
        <rFont val="Calibri"/>
        <family val="2"/>
        <charset val="204"/>
        <scheme val="minor"/>
      </rPr>
      <t>Среднее</t>
    </r>
    <r>
      <rPr>
        <b/>
        <sz val="12"/>
        <rFont val="Calibri"/>
        <family val="2"/>
        <charset val="204"/>
        <scheme val="minor"/>
      </rPr>
      <t xml:space="preserve"> количество строк заказов исходящих в сутки</t>
    </r>
  </si>
  <si>
    <t>ИТОГО без скидки/наценки:</t>
  </si>
  <si>
    <r>
      <t>Общие трудозатраты (</t>
    </r>
    <r>
      <rPr>
        <b/>
        <sz val="14"/>
        <color rgb="FFFF0000"/>
        <rFont val="Calibri"/>
        <family val="2"/>
        <charset val="204"/>
        <scheme val="minor"/>
      </rPr>
      <t>без РП</t>
    </r>
    <r>
      <rPr>
        <b/>
        <sz val="14"/>
        <rFont val="Calibri"/>
        <family val="2"/>
        <charset val="204"/>
        <scheme val="minor"/>
      </rPr>
      <t>):</t>
    </r>
  </si>
  <si>
    <t>Количество сотрудников</t>
  </si>
  <si>
    <t>3.1 Адаптация к системе</t>
  </si>
  <si>
    <t>Адаптация кладовщиков (за 1 курс не более 10 человек)</t>
  </si>
  <si>
    <t>Адаптация персонала к системе и запуск</t>
  </si>
  <si>
    <t>Согласование документа Функциональная модель</t>
  </si>
  <si>
    <t>Разраб., Конс.</t>
  </si>
  <si>
    <t>Кол-во дней у клиента</t>
  </si>
  <si>
    <t>Кол-во дней в дороге</t>
  </si>
  <si>
    <t>Оплата перед началом работ по Этапу 1, руб.</t>
  </si>
  <si>
    <t>Оплата перед началом работ по Этапу 2, руб.</t>
  </si>
  <si>
    <t>Оплата перед началом работ по Этапу 3, руб</t>
  </si>
  <si>
    <t>Оплата после окончания работ по Этапу 3, руб.</t>
  </si>
  <si>
    <t>Cтавка,
Стоимость</t>
  </si>
  <si>
    <t>Лицензии ТСД</t>
  </si>
  <si>
    <t>Длительность</t>
  </si>
  <si>
    <t>Общая, р.д.</t>
  </si>
  <si>
    <t>У клиента, к.д.</t>
  </si>
  <si>
    <t>Предоплата</t>
  </si>
  <si>
    <t>Постоплата</t>
  </si>
  <si>
    <t>Реализация проекта (РП, архитектор, консультант, разработчик)</t>
  </si>
  <si>
    <t>Включено в проект</t>
  </si>
  <si>
    <t>Целевые параметры склада и грузопотока</t>
  </si>
  <si>
    <t>Системы хранения используемые на складе - напольное хранение, фронтальные стеллажи, полочные стеллажи, мезонин.</t>
  </si>
  <si>
    <t>Часы</t>
  </si>
  <si>
    <t>Конс., Арх.</t>
  </si>
  <si>
    <t>Характеристика объекта автоматизации</t>
  </si>
  <si>
    <t>Идентификационная модель</t>
  </si>
  <si>
    <t>Согласование документа Концептуальный дизайн с заказчиком</t>
  </si>
  <si>
    <t>Обсуждение и возможная корректировка документа</t>
  </si>
  <si>
    <t>Администрирование проекта</t>
  </si>
  <si>
    <t>Разработка и согласование реестра рисков</t>
  </si>
  <si>
    <t>Формирование текущей отчетности (протоколы совещаний, акты, счета)</t>
  </si>
  <si>
    <t>Настройка системы на основе документа Концептуальный дизайн</t>
  </si>
  <si>
    <t>Базовые процессы</t>
  </si>
  <si>
    <t>Топология склада (деление склада на зоны и ячейки хранения\отбора) и принципы хранения товаров</t>
  </si>
  <si>
    <t>Правила движения товара (стадии приемки, стадии отгрузки)</t>
  </si>
  <si>
    <t>Модель учета товара (правила учета, планирование размещения и отбора товара)</t>
  </si>
  <si>
    <t>Маркировка принимаемых товаров и грузов (печать и наклейка этикеток с ШК по заданным правилам с фиксацией действий в системе)</t>
  </si>
  <si>
    <t>Приемка товара по составу (указание товара, количества единиц товара и его характеристик)</t>
  </si>
  <si>
    <t>Размещение принятого товара (паллет) в конечную ячейку зоны хранения\отбора по заданию в системе</t>
  </si>
  <si>
    <t>Отбор товара в разрезе заказов (отбор кратно паллет из зоны хранения, кратно упаковкам и штукам из зоны отбора, товар в ячейках хранится на паллетах) по заданию в системе</t>
  </si>
  <si>
    <t>Отгрузка товара по заказу в разрезе отобранных по заказу паллет с товаром по заданию в системе</t>
  </si>
  <si>
    <t>Перемещение товара (паллет) между ячейками хранения\отбора по заданию в системе и в свободной форме</t>
  </si>
  <si>
    <t>Инвентаризация ячеек хранения\отбора (указание фактического количества товара в ячейке) по заданию в системе и в свободной форме</t>
  </si>
  <si>
    <t>Вариации базовых процессов</t>
  </si>
  <si>
    <t>Негабаритный товар (размещение товара большого размера, значительно выходящего за габариты места хранения)</t>
  </si>
  <si>
    <t>Транзитные зоны (размещение и отбор, требующий промежуточного хранения/размещения товара (паллета), напр. лифт, мезонин и т.п.)</t>
  </si>
  <si>
    <t>Выделенная зона отбора мелкоштучного товара (хранение товара на полочных стеллажах, без использования паллет в ячейках)</t>
  </si>
  <si>
    <t>Упаковка товара после отбора (перекладка отобранного по заказу товара в новый контейнер\паллет\короб со сканированием на ТСД)</t>
  </si>
  <si>
    <t>Неуникальные ШК (1 ШК соответствует нескольким SKU)</t>
  </si>
  <si>
    <t>Подпитка товаром зоны отбора (пополнение товара в зоне отбора из зоны хранения)</t>
  </si>
  <si>
    <t>Печать этикеток на принтере с помощью ТСД (маркировка, упаковка и т.п.)</t>
  </si>
  <si>
    <t>Нормативы и расчет выработки складских сотрудников (учет выполненных операций по сотрудникам в разрезе количества задач, объем, масса, время, количество товара)</t>
  </si>
  <si>
    <t>Объедеинение заказов на отгрузку в Рейсы (по авто, маршруту и т.п.)</t>
  </si>
  <si>
    <t>Типы товаров (варианты работы с товаром)</t>
  </si>
  <si>
    <t xml:space="preserve">Учет товара по срокам годности (портящийся товар) </t>
  </si>
  <si>
    <t>Конс.</t>
  </si>
  <si>
    <t>Учет товара по партиям (партионный учет)</t>
  </si>
  <si>
    <t>Учет в разрезе индивидуальной Цифровой Маркировки Товаров (Честный знак, ЕГАИС, МДЛП и пр.)</t>
  </si>
  <si>
    <t>Работа с мерным товаром (учет товара в килограммах, литрах, без учета веса БРУТТО)</t>
  </si>
  <si>
    <t>Настройка обмена данными между WMS и КИС</t>
  </si>
  <si>
    <t>Настройка оборудования</t>
  </si>
  <si>
    <t>Настройка радиотерминалов ТСД (за 1 шт.)</t>
  </si>
  <si>
    <t>Настройка принтера (за 1 шт.)</t>
  </si>
  <si>
    <t>Приемочное тестирование с заказчиком</t>
  </si>
  <si>
    <t>Сквозное тестирование по процессам описанным в документе Концептуальный дизайн , устранение выявленных замечаний</t>
  </si>
  <si>
    <t>Разраб.</t>
  </si>
  <si>
    <t>Начальное сопровождение системы</t>
  </si>
  <si>
    <t>Передача проекта в отдел сопровождения</t>
  </si>
  <si>
    <t>Поддержка при запуске в не рабочее время (вечер, ночь, выходной)</t>
  </si>
  <si>
    <t>Количество часов поддержки в не рабочее время
(рабочее время - будни по 8 часов в интервале с 8:00 до 18:00)</t>
  </si>
  <si>
    <r>
      <t xml:space="preserve">Площадь склада </t>
    </r>
    <r>
      <rPr>
        <b/>
        <sz val="12"/>
        <color rgb="FFFF0000"/>
        <rFont val="Calibri"/>
        <family val="2"/>
        <charset val="204"/>
        <scheme val="minor"/>
      </rPr>
      <t>до 5 000</t>
    </r>
  </si>
  <si>
    <r>
      <t xml:space="preserve">Количество сотрудников в смену </t>
    </r>
    <r>
      <rPr>
        <b/>
        <sz val="12"/>
        <color rgb="FFFF0000"/>
        <rFont val="Calibri"/>
        <family val="2"/>
        <charset val="204"/>
        <scheme val="minor"/>
      </rPr>
      <t>до 20</t>
    </r>
  </si>
  <si>
    <r>
      <t xml:space="preserve">Количество активных артикулов </t>
    </r>
    <r>
      <rPr>
        <b/>
        <sz val="12"/>
        <color rgb="FFFF0000"/>
        <rFont val="Calibri"/>
        <family val="2"/>
        <charset val="204"/>
        <scheme val="minor"/>
      </rPr>
      <t>до 2000</t>
    </r>
  </si>
  <si>
    <r>
      <t xml:space="preserve">Среднее количество строк заказов </t>
    </r>
    <r>
      <rPr>
        <b/>
        <sz val="12"/>
        <color rgb="FFFF0000"/>
        <rFont val="Calibri"/>
        <family val="2"/>
        <charset val="204"/>
        <scheme val="minor"/>
      </rPr>
      <t>входящих</t>
    </r>
    <r>
      <rPr>
        <b/>
        <sz val="12"/>
        <rFont val="Calibri"/>
        <family val="2"/>
        <charset val="204"/>
        <scheme val="minor"/>
      </rPr>
      <t xml:space="preserve"> в сутки </t>
    </r>
    <r>
      <rPr>
        <b/>
        <sz val="12"/>
        <color rgb="FFFF0000"/>
        <rFont val="Calibri"/>
        <family val="2"/>
        <charset val="204"/>
        <scheme val="minor"/>
      </rPr>
      <t>до 1000</t>
    </r>
  </si>
  <si>
    <r>
      <t xml:space="preserve">Среднее количество строк заказов </t>
    </r>
    <r>
      <rPr>
        <b/>
        <sz val="12"/>
        <color rgb="FFFF0000"/>
        <rFont val="Calibri"/>
        <family val="2"/>
        <charset val="204"/>
        <scheme val="minor"/>
      </rPr>
      <t>исходящих</t>
    </r>
    <r>
      <rPr>
        <b/>
        <sz val="12"/>
        <rFont val="Calibri"/>
        <family val="2"/>
        <charset val="204"/>
        <scheme val="minor"/>
      </rPr>
      <t xml:space="preserve"> в сутки </t>
    </r>
    <r>
      <rPr>
        <b/>
        <sz val="12"/>
        <color rgb="FFFF0000"/>
        <rFont val="Calibri"/>
        <family val="2"/>
        <charset val="204"/>
        <scheme val="minor"/>
      </rPr>
      <t>до 5000</t>
    </r>
  </si>
  <si>
    <r>
      <t xml:space="preserve">Количество групп номенклатуры, требующих различных подходов к учету </t>
    </r>
    <r>
      <rPr>
        <b/>
        <sz val="12"/>
        <color rgb="FFFF0000"/>
        <rFont val="Calibri"/>
        <family val="2"/>
        <charset val="204"/>
        <scheme val="minor"/>
      </rPr>
      <t>до 3-х</t>
    </r>
  </si>
  <si>
    <r>
      <rPr>
        <b/>
        <sz val="12"/>
        <color rgb="FFFF0000"/>
        <rFont val="Calibri"/>
        <family val="2"/>
        <charset val="204"/>
        <scheme val="minor"/>
      </rPr>
      <t>Типовой обмен</t>
    </r>
    <r>
      <rPr>
        <sz val="12"/>
        <rFont val="Calibri"/>
        <family val="2"/>
        <charset val="204"/>
        <scheme val="minor"/>
      </rPr>
      <t xml:space="preserve"> данными между КИС и WMS (1С:УТ от 11.4.10/1С:ERP от 2.4.10)</t>
    </r>
  </si>
  <si>
    <r>
      <rPr>
        <b/>
        <sz val="12"/>
        <color rgb="FFFF0000"/>
        <rFont val="Calibri"/>
        <family val="2"/>
        <charset val="204"/>
        <scheme val="minor"/>
      </rPr>
      <t>Не типовой обмен</t>
    </r>
    <r>
      <rPr>
        <sz val="12"/>
        <rFont val="Calibri"/>
        <family val="2"/>
        <charset val="204"/>
        <scheme val="minor"/>
      </rPr>
      <t xml:space="preserve"> данными между КИС и WMS (1С:УТ старше 11.4.10/1С:ERP старше 2.4.10) + </t>
    </r>
    <r>
      <rPr>
        <b/>
        <sz val="12"/>
        <rFont val="Calibri"/>
        <family val="2"/>
        <charset val="204"/>
        <scheme val="minor"/>
      </rPr>
      <t>тестирование</t>
    </r>
  </si>
  <si>
    <t>Прочие доработки в системе, риски по проекту</t>
  </si>
  <si>
    <t>Стоимость простоя сотрудника (в пути и т.п.), час.</t>
  </si>
  <si>
    <t>Консультант сопровождения</t>
  </si>
  <si>
    <t>Передача на сопровождение (консультант сопровождения)</t>
  </si>
  <si>
    <t>Консультант сопр.</t>
  </si>
  <si>
    <t>Начальное сопровождение</t>
  </si>
  <si>
    <t>Адаптация диспетчеров системы (за 1 курс не более 5 человек)</t>
  </si>
  <si>
    <t>Удаленная поддержка работоспособности системы</t>
  </si>
  <si>
    <t>Конс. сопр., Конс.</t>
  </si>
  <si>
    <t>Стоимость билетов  (туда и обратно)</t>
  </si>
  <si>
    <t>Стоимость, руб.</t>
  </si>
  <si>
    <t xml:space="preserve">Компенсация </t>
  </si>
  <si>
    <r>
      <t>Настройка и тестирование обмена данными (</t>
    </r>
    <r>
      <rPr>
        <sz val="12"/>
        <color rgb="FFC00000"/>
        <rFont val="Calibri"/>
        <family val="2"/>
        <charset val="204"/>
        <scheme val="minor"/>
      </rPr>
      <t>типовой обмен</t>
    </r>
    <r>
      <rPr>
        <sz val="12"/>
        <rFont val="Calibri"/>
        <family val="2"/>
        <charset val="204"/>
        <scheme val="minor"/>
      </rPr>
      <t>)</t>
    </r>
  </si>
  <si>
    <t>На проект: дорога - не более 8 часов в сутки, дорога + работа не более 10 часов в сутки.</t>
  </si>
  <si>
    <t>Конс. сопр.</t>
  </si>
  <si>
    <t>Конс., Конс. сопр.</t>
  </si>
  <si>
    <t>Обследование процессов входящего потока</t>
  </si>
  <si>
    <t>Обследование процессов исходящего потока</t>
  </si>
  <si>
    <t>Обследование внутрискладских процессов</t>
  </si>
  <si>
    <t>Обследование НСИ в КИС</t>
  </si>
  <si>
    <t>Подготовка протокола обследования</t>
  </si>
  <si>
    <t>Концептуальные схемы входящего потока</t>
  </si>
  <si>
    <t>Описание стратегий размещения</t>
  </si>
  <si>
    <t>Концептуальные схемы исходящего потока</t>
  </si>
  <si>
    <t>Описание стратегий отбора</t>
  </si>
  <si>
    <t>Концептуальные схемы внутренних процессов</t>
  </si>
  <si>
    <t>Описание интеграции</t>
  </si>
  <si>
    <t>Версия от 01.07.2023</t>
  </si>
  <si>
    <t>Контроль архитектора</t>
  </si>
  <si>
    <t>Арх.</t>
  </si>
  <si>
    <t>Разработка устава проекта (упрощенный документ - состав команды, коммуникации, границы)</t>
  </si>
  <si>
    <t>Обследование и анализ процессов по принципу "как будет"</t>
  </si>
  <si>
    <t>Разработка документа Концептуальный дизайн на основе согласованных процессов</t>
  </si>
  <si>
    <t>Адаптация персонала к системе</t>
  </si>
  <si>
    <t xml:space="preserve">Адаптация администратора системы WMS (за 1 курс не более 2 человек) </t>
  </si>
  <si>
    <t>Адаптация диспетчеров\операторов (за 1 курс не более 5 человек)</t>
  </si>
  <si>
    <t>Адаптация складского персонала (за 1 курс не более 10 человек)</t>
  </si>
  <si>
    <t>Моделирование процессов в системе</t>
  </si>
  <si>
    <t>2 Этап</t>
  </si>
  <si>
    <t>1 Этап</t>
  </si>
  <si>
    <t>3 Этап</t>
  </si>
  <si>
    <r>
      <t xml:space="preserve">Стоимость, руб., </t>
    </r>
    <r>
      <rPr>
        <b/>
        <sz val="12"/>
        <color rgb="FFFF0000"/>
        <rFont val="Calibri"/>
        <family val="2"/>
        <charset val="204"/>
        <scheme val="minor"/>
      </rPr>
      <t>без НДС</t>
    </r>
  </si>
  <si>
    <t>Стоимость, руб.,  НДС</t>
  </si>
  <si>
    <r>
      <t xml:space="preserve">Стоимость, руб., </t>
    </r>
    <r>
      <rPr>
        <b/>
        <sz val="12"/>
        <color rgb="FFFF0000"/>
        <rFont val="Calibri"/>
        <family val="2"/>
        <charset val="204"/>
        <scheme val="minor"/>
      </rPr>
      <t>с НДС</t>
    </r>
  </si>
  <si>
    <r>
      <t xml:space="preserve">График платежей </t>
    </r>
    <r>
      <rPr>
        <b/>
        <sz val="14"/>
        <color rgb="FFFF0000"/>
        <rFont val="Calibri"/>
        <family val="2"/>
        <charset val="204"/>
        <scheme val="minor"/>
      </rPr>
      <t>без НДС</t>
    </r>
  </si>
  <si>
    <r>
      <t xml:space="preserve">График платежей </t>
    </r>
    <r>
      <rPr>
        <b/>
        <sz val="14"/>
        <color rgb="FFFF0000"/>
        <rFont val="Calibri"/>
        <family val="2"/>
        <charset val="204"/>
        <scheme val="minor"/>
      </rPr>
      <t>с НДС</t>
    </r>
  </si>
  <si>
    <r>
      <t xml:space="preserve">Итого по проекту, руб.,
</t>
    </r>
    <r>
      <rPr>
        <b/>
        <sz val="12"/>
        <color rgb="FFFF0000"/>
        <rFont val="Calibri"/>
        <family val="2"/>
        <charset val="204"/>
        <scheme val="minor"/>
      </rPr>
      <t>с НДС</t>
    </r>
  </si>
  <si>
    <r>
      <t xml:space="preserve">Итого по проекту, руб.,
</t>
    </r>
    <r>
      <rPr>
        <b/>
        <sz val="12"/>
        <color rgb="FFFF0000"/>
        <rFont val="Calibri"/>
        <family val="2"/>
        <charset val="204"/>
        <scheme val="minor"/>
      </rPr>
      <t>без НДС</t>
    </r>
  </si>
  <si>
    <r>
      <t xml:space="preserve">Стоимость, руб.,
</t>
    </r>
    <r>
      <rPr>
        <b/>
        <sz val="14"/>
        <color rgb="FFFF0000"/>
        <rFont val="Calibri"/>
        <family val="2"/>
        <charset val="204"/>
        <scheme val="minor"/>
      </rPr>
      <t>с НДС</t>
    </r>
  </si>
  <si>
    <r>
      <t xml:space="preserve">Стоимость, руб.,
</t>
    </r>
    <r>
      <rPr>
        <b/>
        <sz val="14"/>
        <color rgb="FFFF0000"/>
        <rFont val="Calibri"/>
        <family val="2"/>
        <charset val="204"/>
        <scheme val="minor"/>
      </rPr>
      <t>без НДС</t>
    </r>
  </si>
  <si>
    <t>Транзитные грузы</t>
  </si>
  <si>
    <t>Дата оценки</t>
  </si>
  <si>
    <t>3.2 Запуск системы в эксплуатацию</t>
  </si>
  <si>
    <t>3.3 Начальное сопровождение</t>
  </si>
  <si>
    <t>Командировочные расходы включены в строимость этапов</t>
  </si>
  <si>
    <t>ДА</t>
  </si>
  <si>
    <t>НЕТ</t>
  </si>
  <si>
    <t>Проектирование доработок и обмена данными</t>
  </si>
  <si>
    <t>Уточнить про сервер и платформенные лицензии (сколько РМ)</t>
  </si>
  <si>
    <t>ФИО оценивающего (для премирования)</t>
  </si>
  <si>
    <t>2.3 Настройка оборудования</t>
  </si>
  <si>
    <t>Настройка ТСД (за 1 шт.)</t>
  </si>
  <si>
    <t>Настройка принтера этикеток (за 1 шт.)</t>
  </si>
  <si>
    <t>Настройка стационарных р.м. со сканером шк (за 1 шт.)</t>
  </si>
  <si>
    <t>Адаптация операторов системы, пользователи ПК (за 1 курс не более 5 чел.)</t>
  </si>
  <si>
    <t>Адаптация кладовщиков, пользователи ТСД и АРМ (за 1 курс не более 10 чел.)</t>
  </si>
  <si>
    <t>Устранение ошибок в процессе запуска</t>
  </si>
  <si>
    <t>Совместное хранение различных типов паллет (блоки ячеек)</t>
  </si>
  <si>
    <t>Тестирование системы</t>
  </si>
  <si>
    <t>Разработка рабочих инструкций</t>
  </si>
  <si>
    <t>Настройка системы в соответствии с Функциональной моделью системы WMS</t>
  </si>
  <si>
    <t>Подпитка товаром зоны отбора</t>
  </si>
  <si>
    <t>Учет сроков годности товара (портящийся товар)</t>
  </si>
  <si>
    <t>Работа с мерным товаром  (кг, литры, метры)</t>
  </si>
  <si>
    <t>Работа с отрезным товаром</t>
  </si>
  <si>
    <t xml:space="preserve">Учет товара по партиям </t>
  </si>
  <si>
    <t>Учет остатков в разрезе индивидуальной ЦМТ</t>
  </si>
  <si>
    <t>Контроль тестирования (внутренний ПСИ)</t>
  </si>
  <si>
    <t>Предварительная приемка</t>
  </si>
  <si>
    <t xml:space="preserve">Доверительная приемка </t>
  </si>
  <si>
    <t>Консультант/ Разработчик</t>
  </si>
  <si>
    <t>Этап 2. Подготовка системы к запуску, приемочное тестирование</t>
  </si>
  <si>
    <t>Этап 3. Адаптация персонала, запуск системы в эксплуатацию и начальное сопровождение</t>
  </si>
  <si>
    <t>Приемочное тестирование системы (внешний ПСИ)</t>
  </si>
  <si>
    <t>Доп. Консультант/ Разработчик</t>
  </si>
  <si>
    <t>Инженер ОИТ</t>
  </si>
  <si>
    <t xml:space="preserve">Нагрузочное тестирование настроенной системы </t>
  </si>
  <si>
    <t>Работа ОИТ (сервера, оборудование, нагруз. тестирование)</t>
  </si>
  <si>
    <t>Версия от 07.08.2024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</si>
</sst>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₽_-;\-* #,##0.00\ _₽_-;_-* &quot;-&quot;??\ _₽_-;_-@_-"/>
    <numFmt numFmtId="165" formatCode="#,##0.00\ &quot;kr&quot;;[Red]\-#,##0.00\ &quot;kr&quot;"/>
    <numFmt numFmtId="166" formatCode="_-* #,##0&quot;р.&quot;_-;\-* #,##0&quot;р.&quot;_-;_-* &quot;-&quot;??&quot;р.&quot;_-;_-@_-"/>
    <numFmt numFmtId="167" formatCode="0.0"/>
    <numFmt numFmtId="168" formatCode="#,##0.00_ ;\-#,##0.00\ "/>
    <numFmt numFmtId="169" formatCode="_-* #,##0\ [$₽-419]_-;\-* #,##0\ [$₽-419]_-;_-* &quot;-&quot;??\ [$₽-419]_-;_-@_-"/>
    <numFmt numFmtId="170" formatCode="_-* #,##0.00\ [$₽-419]_-;\-* #,##0.00\ [$₽-419]_-;_-* &quot;-&quot;??\ [$₽-419]_-;_-@_-"/>
    <numFmt numFmtId="171" formatCode="#,##0.0\ _₽;[Red]\-#,##0.0\ _₽"/>
  </numFmts>
  <fonts count="25">
    <font>
      <sz val="10"/>
      <name val="MS Sans Serif"/>
      <charset val="204"/>
    </font>
    <font>
      <sz val="10"/>
      <name val="MS Sans Serif"/>
      <charset val="204"/>
    </font>
    <font>
      <sz val="8.5"/>
      <name val="MS Sans Serif"/>
      <family val="2"/>
      <charset val="204"/>
    </font>
    <font>
      <b/>
      <sz val="8.5"/>
      <name val="MS Sans Serif"/>
      <family val="2"/>
      <charset val="204"/>
    </font>
    <font>
      <b/>
      <sz val="13"/>
      <color indexed="56"/>
      <name val="Calibri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4" fillId="0" borderId="28" applyNumberFormat="0" applyFill="0" applyAlignment="0" applyProtection="0"/>
  </cellStyleXfs>
  <cellXfs count="622">
    <xf numFmtId="0" fontId="0" fillId="0" borderId="0" xfId="0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49" fontId="2" fillId="0" borderId="0" xfId="0" applyNumberFormat="1" applyFont="1" applyAlignment="1">
      <alignment horizontal="right"/>
    </xf>
    <xf numFmtId="167" fontId="3" fillId="0" borderId="0" xfId="0" applyNumberFormat="1" applyFont="1"/>
    <xf numFmtId="0" fontId="3" fillId="5" borderId="0" xfId="0" applyFont="1" applyFill="1"/>
    <xf numFmtId="9" fontId="2" fillId="5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35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3" fillId="0" borderId="59" xfId="0" applyFont="1" applyBorder="1" applyAlignment="1" applyProtection="1">
      <alignment horizontal="center"/>
      <protection locked="0"/>
    </xf>
    <xf numFmtId="38" fontId="13" fillId="0" borderId="16" xfId="3" applyNumberFormat="1" applyFont="1" applyFill="1" applyBorder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4" fillId="0" borderId="18" xfId="0" applyFont="1" applyBorder="1" applyAlignment="1" applyProtection="1">
      <alignment horizontal="right" wrapText="1" indent="1"/>
      <protection locked="0"/>
    </xf>
    <xf numFmtId="0" fontId="14" fillId="0" borderId="46" xfId="0" applyFont="1" applyBorder="1" applyProtection="1">
      <protection locked="0"/>
    </xf>
    <xf numFmtId="38" fontId="14" fillId="4" borderId="16" xfId="3" applyNumberFormat="1" applyFont="1" applyFill="1" applyBorder="1" applyProtection="1">
      <protection locked="0"/>
    </xf>
    <xf numFmtId="38" fontId="14" fillId="4" borderId="7" xfId="3" applyNumberFormat="1" applyFont="1" applyFill="1" applyBorder="1" applyProtection="1">
      <protection locked="0"/>
    </xf>
    <xf numFmtId="38" fontId="14" fillId="4" borderId="36" xfId="3" applyNumberFormat="1" applyFont="1" applyFill="1" applyBorder="1" applyProtection="1">
      <protection locked="0"/>
    </xf>
    <xf numFmtId="0" fontId="14" fillId="0" borderId="48" xfId="0" applyFont="1" applyBorder="1" applyAlignment="1" applyProtection="1">
      <alignment horizontal="right" wrapText="1" indent="1"/>
      <protection locked="0"/>
    </xf>
    <xf numFmtId="0" fontId="13" fillId="12" borderId="35" xfId="0" applyFont="1" applyFill="1" applyBorder="1" applyAlignment="1" applyProtection="1">
      <alignment horizontal="center"/>
      <protection locked="0"/>
    </xf>
    <xf numFmtId="0" fontId="13" fillId="4" borderId="1" xfId="0" applyFont="1" applyFill="1" applyBorder="1" applyAlignment="1" applyProtection="1">
      <alignment horizontal="center"/>
      <protection locked="0"/>
    </xf>
    <xf numFmtId="0" fontId="13" fillId="4" borderId="35" xfId="0" applyFont="1" applyFill="1" applyBorder="1" applyAlignment="1" applyProtection="1">
      <alignment horizontal="center"/>
      <protection locked="0"/>
    </xf>
    <xf numFmtId="0" fontId="16" fillId="4" borderId="4" xfId="0" applyFont="1" applyFill="1" applyBorder="1" applyAlignment="1" applyProtection="1">
      <alignment horizontal="center" vertical="center" wrapText="1"/>
      <protection hidden="1"/>
    </xf>
    <xf numFmtId="0" fontId="16" fillId="4" borderId="5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2" fillId="0" borderId="58" xfId="0" applyFont="1" applyBorder="1" applyAlignment="1" applyProtection="1">
      <alignment horizontal="center" vertical="center" wrapText="1"/>
      <protection hidden="1"/>
    </xf>
    <xf numFmtId="0" fontId="12" fillId="0" borderId="59" xfId="0" applyFont="1" applyBorder="1" applyAlignment="1" applyProtection="1">
      <alignment horizontal="left" vertical="center" wrapText="1" indent="1"/>
      <protection hidden="1"/>
    </xf>
    <xf numFmtId="164" fontId="12" fillId="0" borderId="59" xfId="1" applyNumberFormat="1" applyFont="1" applyBorder="1" applyAlignment="1" applyProtection="1">
      <alignment horizontal="right" vertical="center" wrapText="1" indent="1"/>
      <protection hidden="1"/>
    </xf>
    <xf numFmtId="0" fontId="12" fillId="0" borderId="12" xfId="0" applyFont="1" applyBorder="1" applyAlignment="1" applyProtection="1">
      <alignment horizontal="center" vertical="center" wrapText="1"/>
      <protection hidden="1"/>
    </xf>
    <xf numFmtId="0" fontId="12" fillId="0" borderId="8" xfId="0" applyFont="1" applyBorder="1" applyAlignment="1" applyProtection="1">
      <alignment horizontal="left" vertical="center" wrapText="1" indent="1"/>
      <protection hidden="1"/>
    </xf>
    <xf numFmtId="164" fontId="12" fillId="0" borderId="8" xfId="1" applyNumberFormat="1" applyFont="1" applyBorder="1" applyAlignment="1" applyProtection="1">
      <alignment horizontal="right" vertical="center" wrapText="1" indent="1"/>
      <protection hidden="1"/>
    </xf>
    <xf numFmtId="49" fontId="10" fillId="0" borderId="40" xfId="0" applyNumberFormat="1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right" vertical="center" wrapText="1" indent="1"/>
      <protection hidden="1"/>
    </xf>
    <xf numFmtId="164" fontId="10" fillId="0" borderId="35" xfId="1" applyNumberFormat="1" applyFont="1" applyBorder="1" applyAlignment="1" applyProtection="1">
      <alignment horizontal="right" vertical="center" wrapText="1" indent="1"/>
      <protection hidden="1"/>
    </xf>
    <xf numFmtId="49" fontId="10" fillId="0" borderId="73" xfId="0" applyNumberFormat="1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right" vertical="center" wrapText="1" indent="1"/>
      <protection hidden="1"/>
    </xf>
    <xf numFmtId="164" fontId="10" fillId="0" borderId="24" xfId="1" applyNumberFormat="1" applyFont="1" applyBorder="1" applyAlignment="1" applyProtection="1">
      <alignment horizontal="right" vertical="center" wrapText="1" indent="1"/>
      <protection hidden="1"/>
    </xf>
    <xf numFmtId="0" fontId="12" fillId="0" borderId="40" xfId="0" applyFont="1" applyBorder="1" applyAlignment="1" applyProtection="1">
      <alignment horizontal="center" vertical="center" wrapText="1"/>
      <protection hidden="1"/>
    </xf>
    <xf numFmtId="0" fontId="12" fillId="0" borderId="35" xfId="0" applyFont="1" applyBorder="1" applyAlignment="1" applyProtection="1">
      <alignment horizontal="left" vertical="center" wrapText="1" indent="1"/>
      <protection hidden="1"/>
    </xf>
    <xf numFmtId="164" fontId="12" fillId="0" borderId="35" xfId="1" applyNumberFormat="1" applyFont="1" applyBorder="1" applyAlignment="1" applyProtection="1">
      <alignment horizontal="right" vertical="center" wrapText="1" indent="1"/>
      <protection hidden="1"/>
    </xf>
    <xf numFmtId="169" fontId="13" fillId="3" borderId="33" xfId="1" applyNumberFormat="1" applyFont="1" applyFill="1" applyBorder="1" applyAlignment="1" applyProtection="1">
      <alignment horizontal="center" vertical="center"/>
      <protection locked="0"/>
    </xf>
    <xf numFmtId="168" fontId="12" fillId="3" borderId="46" xfId="1" applyNumberFormat="1" applyFont="1" applyFill="1" applyBorder="1" applyAlignment="1" applyProtection="1">
      <alignment horizontal="right" vertical="center" wrapText="1" indent="1"/>
      <protection locked="0"/>
    </xf>
    <xf numFmtId="9" fontId="13" fillId="3" borderId="41" xfId="2" applyFont="1" applyFill="1" applyBorder="1" applyAlignment="1" applyProtection="1">
      <alignment horizontal="center" vertical="center"/>
      <protection locked="0"/>
    </xf>
    <xf numFmtId="38" fontId="13" fillId="4" borderId="19" xfId="3" applyNumberFormat="1" applyFont="1" applyFill="1" applyBorder="1" applyAlignment="1" applyProtection="1">
      <alignment horizontal="center" vertical="center"/>
      <protection hidden="1"/>
    </xf>
    <xf numFmtId="38" fontId="13" fillId="4" borderId="27" xfId="3" applyNumberFormat="1" applyFont="1" applyFill="1" applyBorder="1" applyAlignment="1" applyProtection="1">
      <alignment horizontal="center" wrapText="1"/>
      <protection hidden="1"/>
    </xf>
    <xf numFmtId="0" fontId="14" fillId="0" borderId="39" xfId="0" applyFont="1" applyBorder="1" applyAlignment="1" applyProtection="1">
      <alignment horizontal="left" vertical="center" indent="1"/>
      <protection hidden="1"/>
    </xf>
    <xf numFmtId="0" fontId="13" fillId="0" borderId="26" xfId="0" applyFont="1" applyFill="1" applyBorder="1" applyAlignment="1" applyProtection="1">
      <alignment horizontal="right" vertical="center" indent="1"/>
      <protection hidden="1"/>
    </xf>
    <xf numFmtId="0" fontId="22" fillId="4" borderId="19" xfId="0" applyFont="1" applyFill="1" applyBorder="1" applyAlignment="1" applyProtection="1">
      <alignment horizontal="center" vertical="center" wrapText="1"/>
      <protection hidden="1"/>
    </xf>
    <xf numFmtId="0" fontId="12" fillId="0" borderId="39" xfId="0" applyFont="1" applyBorder="1" applyAlignment="1" applyProtection="1">
      <alignment horizontal="left" vertical="center" wrapText="1" indent="1"/>
      <protection hidden="1"/>
    </xf>
    <xf numFmtId="0" fontId="12" fillId="0" borderId="42" xfId="0" applyFont="1" applyBorder="1" applyAlignment="1" applyProtection="1">
      <alignment horizontal="left" vertical="center" wrapText="1" indent="1"/>
      <protection hidden="1"/>
    </xf>
    <xf numFmtId="1" fontId="12" fillId="0" borderId="2" xfId="0" applyNumberFormat="1" applyFont="1" applyBorder="1" applyAlignment="1" applyProtection="1">
      <alignment horizontal="center" vertical="center" wrapText="1"/>
      <protection hidden="1"/>
    </xf>
    <xf numFmtId="1" fontId="12" fillId="0" borderId="7" xfId="0" applyNumberFormat="1" applyFont="1" applyBorder="1" applyAlignment="1" applyProtection="1">
      <alignment horizontal="center" vertical="center" wrapText="1"/>
      <protection hidden="1"/>
    </xf>
    <xf numFmtId="168" fontId="12" fillId="0" borderId="46" xfId="1" applyNumberFormat="1" applyFont="1" applyBorder="1" applyAlignment="1" applyProtection="1">
      <alignment horizontal="right" vertical="center" wrapText="1" indent="1"/>
      <protection hidden="1"/>
    </xf>
    <xf numFmtId="0" fontId="12" fillId="0" borderId="74" xfId="0" applyFont="1" applyBorder="1" applyAlignment="1" applyProtection="1">
      <alignment horizontal="left" vertical="center" wrapText="1" indent="1"/>
      <protection hidden="1"/>
    </xf>
    <xf numFmtId="1" fontId="12" fillId="0" borderId="15" xfId="0" applyNumberFormat="1" applyFont="1" applyBorder="1" applyAlignment="1" applyProtection="1">
      <alignment horizontal="center" vertical="center" wrapText="1"/>
      <protection hidden="1"/>
    </xf>
    <xf numFmtId="1" fontId="12" fillId="0" borderId="10" xfId="0" applyNumberFormat="1" applyFont="1" applyBorder="1" applyAlignment="1" applyProtection="1">
      <alignment horizontal="center" vertical="center" wrapText="1"/>
      <protection hidden="1"/>
    </xf>
    <xf numFmtId="168" fontId="12" fillId="0" borderId="52" xfId="1" applyNumberFormat="1" applyFont="1" applyBorder="1" applyAlignment="1" applyProtection="1">
      <alignment horizontal="right" vertical="center" wrapText="1" indent="1"/>
      <protection hidden="1"/>
    </xf>
    <xf numFmtId="0" fontId="13" fillId="4" borderId="50" xfId="0" applyFont="1" applyFill="1" applyBorder="1" applyAlignment="1" applyProtection="1">
      <alignment horizontal="right" vertical="center" wrapText="1" indent="1"/>
      <protection hidden="1"/>
    </xf>
    <xf numFmtId="1" fontId="13" fillId="4" borderId="4" xfId="0" applyNumberFormat="1" applyFont="1" applyFill="1" applyBorder="1" applyAlignment="1" applyProtection="1">
      <alignment horizontal="center" vertical="center" wrapText="1"/>
      <protection hidden="1"/>
    </xf>
    <xf numFmtId="1" fontId="13" fillId="4" borderId="6" xfId="0" applyNumberFormat="1" applyFont="1" applyFill="1" applyBorder="1" applyAlignment="1" applyProtection="1">
      <alignment horizontal="center" vertical="center" wrapText="1"/>
      <protection hidden="1"/>
    </xf>
    <xf numFmtId="168" fontId="22" fillId="11" borderId="19" xfId="1" applyNumberFormat="1" applyFont="1" applyFill="1" applyBorder="1" applyAlignment="1" applyProtection="1">
      <alignment horizontal="right" vertical="center" wrapText="1" indent="1"/>
      <protection hidden="1"/>
    </xf>
    <xf numFmtId="0" fontId="16" fillId="15" borderId="26" xfId="0" applyFont="1" applyFill="1" applyBorder="1" applyAlignment="1" applyProtection="1">
      <alignment horizontal="center" vertical="center"/>
      <protection hidden="1"/>
    </xf>
    <xf numFmtId="0" fontId="22" fillId="15" borderId="19" xfId="0" applyFont="1" applyFill="1" applyBorder="1" applyAlignment="1" applyProtection="1">
      <alignment horizontal="center" vertical="center" wrapText="1"/>
      <protection hidden="1"/>
    </xf>
    <xf numFmtId="0" fontId="22" fillId="4" borderId="26" xfId="0" applyFont="1" applyFill="1" applyBorder="1" applyAlignment="1" applyProtection="1">
      <alignment horizontal="center" vertical="center" wrapText="1"/>
      <protection hidden="1"/>
    </xf>
    <xf numFmtId="0" fontId="13" fillId="4" borderId="4" xfId="0" applyFont="1" applyFill="1" applyBorder="1" applyAlignment="1" applyProtection="1">
      <alignment horizontal="center" wrapText="1"/>
      <protection hidden="1"/>
    </xf>
    <xf numFmtId="0" fontId="13" fillId="4" borderId="5" xfId="0" applyFont="1" applyFill="1" applyBorder="1" applyAlignment="1" applyProtection="1">
      <alignment horizontal="center" wrapText="1"/>
      <protection hidden="1"/>
    </xf>
    <xf numFmtId="0" fontId="13" fillId="4" borderId="6" xfId="0" applyFont="1" applyFill="1" applyBorder="1" applyAlignment="1" applyProtection="1">
      <alignment horizontal="center" wrapText="1"/>
      <protection hidden="1"/>
    </xf>
    <xf numFmtId="164" fontId="14" fillId="0" borderId="40" xfId="1" applyNumberFormat="1" applyFont="1" applyBorder="1" applyAlignment="1" applyProtection="1">
      <alignment vertical="center"/>
      <protection hidden="1"/>
    </xf>
    <xf numFmtId="164" fontId="14" fillId="0" borderId="35" xfId="1" applyNumberFormat="1" applyFont="1" applyBorder="1" applyAlignment="1" applyProtection="1">
      <alignment vertical="center"/>
      <protection hidden="1"/>
    </xf>
    <xf numFmtId="164" fontId="14" fillId="0" borderId="36" xfId="1" applyNumberFormat="1" applyFont="1" applyBorder="1" applyAlignment="1" applyProtection="1">
      <alignment vertical="center"/>
      <protection hidden="1"/>
    </xf>
    <xf numFmtId="0" fontId="12" fillId="0" borderId="57" xfId="0" applyFont="1" applyBorder="1" applyAlignment="1" applyProtection="1">
      <alignment horizontal="left" vertical="center" wrapText="1" indent="1"/>
      <protection hidden="1"/>
    </xf>
    <xf numFmtId="164" fontId="14" fillId="0" borderId="58" xfId="1" applyNumberFormat="1" applyFont="1" applyBorder="1" applyAlignment="1" applyProtection="1">
      <alignment vertical="center"/>
      <protection hidden="1"/>
    </xf>
    <xf numFmtId="164" fontId="14" fillId="0" borderId="59" xfId="1" applyNumberFormat="1" applyFont="1" applyBorder="1" applyAlignment="1" applyProtection="1">
      <alignment vertical="center"/>
      <protection hidden="1"/>
    </xf>
    <xf numFmtId="164" fontId="14" fillId="0" borderId="60" xfId="1" applyNumberFormat="1" applyFont="1" applyBorder="1" applyAlignment="1" applyProtection="1">
      <alignment vertical="center"/>
      <protection hidden="1"/>
    </xf>
    <xf numFmtId="0" fontId="13" fillId="4" borderId="26" xfId="0" applyFont="1" applyFill="1" applyBorder="1" applyAlignment="1" applyProtection="1">
      <alignment horizontal="right" vertical="center" indent="1"/>
      <protection hidden="1"/>
    </xf>
    <xf numFmtId="164" fontId="13" fillId="4" borderId="4" xfId="0" applyNumberFormat="1" applyFont="1" applyFill="1" applyBorder="1" applyAlignment="1" applyProtection="1">
      <alignment vertical="center"/>
      <protection hidden="1"/>
    </xf>
    <xf numFmtId="164" fontId="13" fillId="4" borderId="5" xfId="0" applyNumberFormat="1" applyFont="1" applyFill="1" applyBorder="1" applyAlignment="1" applyProtection="1">
      <alignment vertical="center"/>
      <protection hidden="1"/>
    </xf>
    <xf numFmtId="164" fontId="13" fillId="4" borderId="6" xfId="0" applyNumberFormat="1" applyFont="1" applyFill="1" applyBorder="1" applyAlignment="1" applyProtection="1">
      <alignment vertical="center"/>
      <protection hidden="1"/>
    </xf>
    <xf numFmtId="0" fontId="16" fillId="2" borderId="30" xfId="0" applyFont="1" applyFill="1" applyBorder="1" applyAlignment="1" applyProtection="1">
      <alignment horizontal="center" vertical="center" wrapText="1"/>
      <protection hidden="1"/>
    </xf>
    <xf numFmtId="0" fontId="16" fillId="2" borderId="31" xfId="0" applyFont="1" applyFill="1" applyBorder="1" applyAlignment="1" applyProtection="1">
      <alignment horizontal="center" vertical="center" wrapText="1"/>
      <protection hidden="1"/>
    </xf>
    <xf numFmtId="9" fontId="16" fillId="2" borderId="32" xfId="2" applyFont="1" applyFill="1" applyBorder="1" applyAlignment="1" applyProtection="1">
      <alignment horizontal="center" vertical="center" wrapText="1"/>
      <protection hidden="1"/>
    </xf>
    <xf numFmtId="0" fontId="14" fillId="9" borderId="26" xfId="0" applyFont="1" applyFill="1" applyBorder="1" applyProtection="1">
      <protection hidden="1"/>
    </xf>
    <xf numFmtId="0" fontId="14" fillId="9" borderId="41" xfId="0" applyFont="1" applyFill="1" applyBorder="1" applyProtection="1">
      <protection hidden="1"/>
    </xf>
    <xf numFmtId="0" fontId="13" fillId="9" borderId="41" xfId="0" applyFont="1" applyFill="1" applyBorder="1" applyAlignment="1" applyProtection="1">
      <alignment horizontal="center"/>
      <protection hidden="1"/>
    </xf>
    <xf numFmtId="9" fontId="14" fillId="4" borderId="34" xfId="0" applyNumberFormat="1" applyFont="1" applyFill="1" applyBorder="1" applyProtection="1">
      <protection hidden="1"/>
    </xf>
    <xf numFmtId="9" fontId="14" fillId="4" borderId="16" xfId="0" applyNumberFormat="1" applyFont="1" applyFill="1" applyBorder="1" applyProtection="1">
      <protection hidden="1"/>
    </xf>
    <xf numFmtId="0" fontId="13" fillId="9" borderId="19" xfId="0" applyFont="1" applyFill="1" applyBorder="1" applyAlignment="1" applyProtection="1">
      <alignment horizontal="right" wrapText="1" indent="1"/>
      <protection hidden="1"/>
    </xf>
    <xf numFmtId="9" fontId="14" fillId="4" borderId="1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9" fontId="14" fillId="0" borderId="0" xfId="2" applyFont="1" applyProtection="1">
      <protection hidden="1"/>
    </xf>
    <xf numFmtId="9" fontId="16" fillId="2" borderId="19" xfId="2" applyFont="1" applyFill="1" applyBorder="1" applyAlignment="1" applyProtection="1">
      <alignment horizontal="center" vertical="center" wrapText="1"/>
      <protection hidden="1"/>
    </xf>
    <xf numFmtId="38" fontId="14" fillId="9" borderId="41" xfId="3" applyNumberFormat="1" applyFont="1" applyFill="1" applyBorder="1" applyProtection="1">
      <protection hidden="1"/>
    </xf>
    <xf numFmtId="38" fontId="13" fillId="9" borderId="41" xfId="3" applyNumberFormat="1" applyFont="1" applyFill="1" applyBorder="1" applyProtection="1">
      <protection hidden="1"/>
    </xf>
    <xf numFmtId="38" fontId="14" fillId="9" borderId="27" xfId="3" applyNumberFormat="1" applyFont="1" applyFill="1" applyBorder="1" applyProtection="1">
      <protection hidden="1"/>
    </xf>
    <xf numFmtId="0" fontId="14" fillId="0" borderId="33" xfId="0" applyFont="1" applyBorder="1" applyAlignment="1" applyProtection="1">
      <alignment horizontal="right" wrapText="1" indent="1"/>
      <protection hidden="1"/>
    </xf>
    <xf numFmtId="38" fontId="14" fillId="4" borderId="33" xfId="3" applyNumberFormat="1" applyFont="1" applyFill="1" applyBorder="1" applyProtection="1">
      <protection hidden="1"/>
    </xf>
    <xf numFmtId="38" fontId="14" fillId="4" borderId="40" xfId="3" applyNumberFormat="1" applyFont="1" applyFill="1" applyBorder="1" applyProtection="1">
      <protection hidden="1"/>
    </xf>
    <xf numFmtId="38" fontId="14" fillId="4" borderId="62" xfId="3" applyNumberFormat="1" applyFont="1" applyFill="1" applyBorder="1" applyProtection="1">
      <protection hidden="1"/>
    </xf>
    <xf numFmtId="38" fontId="14" fillId="4" borderId="13" xfId="3" applyNumberFormat="1" applyFont="1" applyFill="1" applyBorder="1" applyProtection="1">
      <protection hidden="1"/>
    </xf>
    <xf numFmtId="0" fontId="14" fillId="0" borderId="18" xfId="0" applyFont="1" applyBorder="1" applyAlignment="1" applyProtection="1">
      <alignment horizontal="right" wrapText="1" indent="1"/>
      <protection hidden="1"/>
    </xf>
    <xf numFmtId="38" fontId="14" fillId="4" borderId="18" xfId="3" applyNumberFormat="1" applyFont="1" applyFill="1" applyBorder="1" applyProtection="1">
      <protection hidden="1"/>
    </xf>
    <xf numFmtId="38" fontId="14" fillId="4" borderId="2" xfId="3" applyNumberFormat="1" applyFont="1" applyFill="1" applyBorder="1" applyProtection="1">
      <protection hidden="1"/>
    </xf>
    <xf numFmtId="38" fontId="14" fillId="4" borderId="70" xfId="3" applyNumberFormat="1" applyFont="1" applyFill="1" applyBorder="1" applyProtection="1">
      <protection hidden="1"/>
    </xf>
    <xf numFmtId="38" fontId="14" fillId="4" borderId="36" xfId="3" applyNumberFormat="1" applyFont="1" applyFill="1" applyBorder="1" applyProtection="1">
      <protection hidden="1"/>
    </xf>
    <xf numFmtId="0" fontId="14" fillId="0" borderId="47" xfId="0" applyFont="1" applyBorder="1" applyAlignment="1" applyProtection="1">
      <alignment horizontal="right" wrapText="1" indent="1"/>
      <protection hidden="1"/>
    </xf>
    <xf numFmtId="38" fontId="13" fillId="9" borderId="41" xfId="3" applyNumberFormat="1" applyFont="1" applyFill="1" applyBorder="1" applyAlignment="1" applyProtection="1">
      <alignment horizontal="center"/>
      <protection hidden="1"/>
    </xf>
    <xf numFmtId="0" fontId="13" fillId="9" borderId="26" xfId="0" applyFont="1" applyFill="1" applyBorder="1" applyAlignment="1" applyProtection="1">
      <alignment horizontal="center"/>
      <protection hidden="1"/>
    </xf>
    <xf numFmtId="38" fontId="14" fillId="4" borderId="18" xfId="3" applyNumberFormat="1" applyFont="1" applyFill="1" applyBorder="1" applyAlignment="1" applyProtection="1">
      <alignment vertical="center"/>
      <protection hidden="1"/>
    </xf>
    <xf numFmtId="38" fontId="18" fillId="4" borderId="16" xfId="3" applyNumberFormat="1" applyFont="1" applyFill="1" applyBorder="1" applyAlignment="1" applyProtection="1">
      <alignment vertical="center"/>
      <protection hidden="1"/>
    </xf>
    <xf numFmtId="0" fontId="13" fillId="4" borderId="5" xfId="0" applyFont="1" applyFill="1" applyBorder="1" applyAlignment="1" applyProtection="1">
      <alignment horizontal="center" vertical="center"/>
      <protection hidden="1"/>
    </xf>
    <xf numFmtId="38" fontId="14" fillId="4" borderId="50" xfId="3" applyNumberFormat="1" applyFont="1" applyFill="1" applyBorder="1" applyAlignment="1" applyProtection="1">
      <alignment vertical="center"/>
      <protection hidden="1"/>
    </xf>
    <xf numFmtId="38" fontId="14" fillId="4" borderId="36" xfId="3" applyNumberFormat="1" applyFont="1" applyFill="1" applyBorder="1" applyAlignment="1" applyProtection="1">
      <alignment vertical="center"/>
      <protection hidden="1"/>
    </xf>
    <xf numFmtId="0" fontId="14" fillId="0" borderId="33" xfId="0" applyFont="1" applyFill="1" applyBorder="1" applyAlignment="1" applyProtection="1">
      <alignment horizontal="right" wrapText="1" indent="1"/>
      <protection hidden="1"/>
    </xf>
    <xf numFmtId="0" fontId="14" fillId="0" borderId="20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38" fontId="14" fillId="4" borderId="15" xfId="3" applyNumberFormat="1" applyFont="1" applyFill="1" applyBorder="1" applyProtection="1">
      <protection hidden="1"/>
    </xf>
    <xf numFmtId="0" fontId="14" fillId="0" borderId="48" xfId="0" applyFont="1" applyBorder="1" applyAlignment="1" applyProtection="1">
      <alignment horizontal="right" wrapText="1" indent="1"/>
      <protection hidden="1"/>
    </xf>
    <xf numFmtId="0" fontId="14" fillId="0" borderId="37" xfId="0" applyFont="1" applyBorder="1" applyProtection="1">
      <protection hidden="1"/>
    </xf>
    <xf numFmtId="38" fontId="14" fillId="4" borderId="58" xfId="3" applyNumberFormat="1" applyFont="1" applyFill="1" applyBorder="1" applyProtection="1">
      <protection hidden="1"/>
    </xf>
    <xf numFmtId="38" fontId="14" fillId="4" borderId="64" xfId="3" applyNumberFormat="1" applyFont="1" applyFill="1" applyBorder="1" applyProtection="1">
      <protection hidden="1"/>
    </xf>
    <xf numFmtId="38" fontId="14" fillId="4" borderId="60" xfId="3" applyNumberFormat="1" applyFont="1" applyFill="1" applyBorder="1" applyProtection="1">
      <protection hidden="1"/>
    </xf>
    <xf numFmtId="38" fontId="14" fillId="9" borderId="26" xfId="3" applyNumberFormat="1" applyFont="1" applyFill="1" applyBorder="1" applyProtection="1">
      <protection hidden="1"/>
    </xf>
    <xf numFmtId="0" fontId="14" fillId="0" borderId="38" xfId="0" applyFont="1" applyBorder="1" applyAlignment="1" applyProtection="1">
      <alignment horizontal="right" wrapText="1" indent="1"/>
      <protection hidden="1"/>
    </xf>
    <xf numFmtId="38" fontId="14" fillId="4" borderId="21" xfId="3" applyNumberFormat="1" applyFont="1" applyFill="1" applyBorder="1" applyProtection="1">
      <protection hidden="1"/>
    </xf>
    <xf numFmtId="38" fontId="14" fillId="4" borderId="66" xfId="3" applyNumberFormat="1" applyFont="1" applyFill="1" applyBorder="1" applyProtection="1">
      <protection hidden="1"/>
    </xf>
    <xf numFmtId="0" fontId="14" fillId="0" borderId="42" xfId="0" applyFont="1" applyBorder="1" applyAlignment="1" applyProtection="1">
      <alignment horizontal="right" wrapText="1" indent="1"/>
      <protection hidden="1"/>
    </xf>
    <xf numFmtId="38" fontId="14" fillId="4" borderId="16" xfId="3" applyNumberFormat="1" applyFont="1" applyFill="1" applyBorder="1" applyProtection="1">
      <protection hidden="1"/>
    </xf>
    <xf numFmtId="0" fontId="14" fillId="0" borderId="57" xfId="0" applyFont="1" applyBorder="1" applyAlignment="1" applyProtection="1">
      <alignment horizontal="right" wrapText="1" indent="1"/>
      <protection hidden="1"/>
    </xf>
    <xf numFmtId="38" fontId="14" fillId="4" borderId="22" xfId="3" applyNumberFormat="1" applyFont="1" applyFill="1" applyBorder="1" applyProtection="1">
      <protection hidden="1"/>
    </xf>
    <xf numFmtId="38" fontId="14" fillId="4" borderId="63" xfId="3" applyNumberFormat="1" applyFont="1" applyFill="1" applyBorder="1" applyProtection="1">
      <protection hidden="1"/>
    </xf>
    <xf numFmtId="38" fontId="14" fillId="4" borderId="34" xfId="3" applyNumberFormat="1" applyFont="1" applyFill="1" applyBorder="1" applyProtection="1">
      <protection hidden="1"/>
    </xf>
    <xf numFmtId="38" fontId="14" fillId="9" borderId="56" xfId="3" applyNumberFormat="1" applyFont="1" applyFill="1" applyBorder="1" applyProtection="1">
      <protection hidden="1"/>
    </xf>
    <xf numFmtId="38" fontId="14" fillId="4" borderId="30" xfId="3" applyNumberFormat="1" applyFont="1" applyFill="1" applyBorder="1" applyProtection="1">
      <protection hidden="1"/>
    </xf>
    <xf numFmtId="38" fontId="14" fillId="4" borderId="71" xfId="3" applyNumberFormat="1" applyFont="1" applyFill="1" applyBorder="1" applyProtection="1">
      <protection hidden="1"/>
    </xf>
    <xf numFmtId="0" fontId="14" fillId="8" borderId="42" xfId="0" applyFont="1" applyFill="1" applyBorder="1" applyAlignment="1" applyProtection="1">
      <alignment horizontal="right" wrapText="1" indent="1"/>
      <protection hidden="1"/>
    </xf>
    <xf numFmtId="38" fontId="18" fillId="4" borderId="16" xfId="3" applyNumberFormat="1" applyFont="1" applyFill="1" applyBorder="1" applyProtection="1">
      <protection hidden="1"/>
    </xf>
    <xf numFmtId="0" fontId="14" fillId="8" borderId="39" xfId="0" applyFont="1" applyFill="1" applyBorder="1" applyAlignment="1" applyProtection="1">
      <alignment horizontal="right" wrapText="1" indent="1"/>
      <protection hidden="1"/>
    </xf>
    <xf numFmtId="38" fontId="14" fillId="4" borderId="29" xfId="3" applyNumberFormat="1" applyFont="1" applyFill="1" applyBorder="1" applyProtection="1">
      <protection hidden="1"/>
    </xf>
    <xf numFmtId="38" fontId="14" fillId="4" borderId="67" xfId="3" applyNumberFormat="1" applyFont="1" applyFill="1" applyBorder="1" applyProtection="1">
      <protection hidden="1"/>
    </xf>
    <xf numFmtId="38" fontId="14" fillId="9" borderId="45" xfId="3" applyNumberFormat="1" applyFont="1" applyFill="1" applyBorder="1" applyProtection="1">
      <protection hidden="1"/>
    </xf>
    <xf numFmtId="0" fontId="14" fillId="8" borderId="20" xfId="0" applyFont="1" applyFill="1" applyBorder="1" applyAlignment="1" applyProtection="1">
      <alignment horizontal="right" wrapText="1" indent="1"/>
      <protection hidden="1"/>
    </xf>
    <xf numFmtId="0" fontId="14" fillId="0" borderId="46" xfId="0" applyFont="1" applyBorder="1" applyProtection="1">
      <protection hidden="1"/>
    </xf>
    <xf numFmtId="0" fontId="14" fillId="8" borderId="18" xfId="0" applyFont="1" applyFill="1" applyBorder="1" applyAlignment="1" applyProtection="1">
      <alignment horizontal="right" wrapText="1" indent="1"/>
      <protection hidden="1"/>
    </xf>
    <xf numFmtId="38" fontId="14" fillId="4" borderId="25" xfId="3" applyNumberFormat="1" applyFont="1" applyFill="1" applyBorder="1" applyProtection="1">
      <protection hidden="1"/>
    </xf>
    <xf numFmtId="38" fontId="16" fillId="6" borderId="19" xfId="3" applyNumberFormat="1" applyFont="1" applyFill="1" applyBorder="1" applyProtection="1">
      <protection hidden="1"/>
    </xf>
    <xf numFmtId="0" fontId="20" fillId="6" borderId="6" xfId="0" applyFont="1" applyFill="1" applyBorder="1" applyProtection="1">
      <protection hidden="1"/>
    </xf>
    <xf numFmtId="38" fontId="16" fillId="6" borderId="27" xfId="3" applyNumberFormat="1" applyFont="1" applyFill="1" applyBorder="1" applyAlignment="1" applyProtection="1">
      <alignment horizontal="right"/>
      <protection hidden="1"/>
    </xf>
    <xf numFmtId="38" fontId="16" fillId="11" borderId="54" xfId="3" applyNumberFormat="1" applyFont="1" applyFill="1" applyBorder="1" applyAlignment="1" applyProtection="1">
      <alignment horizontal="right"/>
      <protection hidden="1"/>
    </xf>
    <xf numFmtId="0" fontId="20" fillId="11" borderId="25" xfId="0" applyFont="1" applyFill="1" applyBorder="1" applyProtection="1">
      <protection hidden="1"/>
    </xf>
    <xf numFmtId="9" fontId="16" fillId="4" borderId="19" xfId="2" applyFont="1" applyFill="1" applyBorder="1" applyAlignment="1" applyProtection="1">
      <alignment horizontal="center" vertical="center" wrapText="1"/>
      <protection hidden="1"/>
    </xf>
    <xf numFmtId="9" fontId="16" fillId="4" borderId="32" xfId="2" applyFont="1" applyFill="1" applyBorder="1" applyAlignment="1" applyProtection="1">
      <alignment horizontal="center" vertical="center" wrapText="1"/>
      <protection hidden="1"/>
    </xf>
    <xf numFmtId="0" fontId="16" fillId="4" borderId="30" xfId="0" applyFont="1" applyFill="1" applyBorder="1" applyAlignment="1" applyProtection="1">
      <alignment horizontal="center" vertical="center" wrapText="1"/>
      <protection hidden="1"/>
    </xf>
    <xf numFmtId="0" fontId="16" fillId="4" borderId="31" xfId="0" applyFont="1" applyFill="1" applyBorder="1" applyAlignment="1" applyProtection="1">
      <alignment horizontal="center" vertical="center" wrapText="1"/>
      <protection hidden="1"/>
    </xf>
    <xf numFmtId="38" fontId="13" fillId="3" borderId="19" xfId="3" applyNumberFormat="1" applyFont="1" applyFill="1" applyBorder="1" applyProtection="1">
      <protection hidden="1"/>
    </xf>
    <xf numFmtId="38" fontId="14" fillId="4" borderId="7" xfId="3" applyNumberFormat="1" applyFont="1" applyFill="1" applyBorder="1" applyProtection="1">
      <protection hidden="1"/>
    </xf>
    <xf numFmtId="0" fontId="14" fillId="0" borderId="18" xfId="0" applyFont="1" applyFill="1" applyBorder="1" applyAlignment="1" applyProtection="1">
      <alignment horizontal="right" wrapText="1" indent="1"/>
      <protection hidden="1"/>
    </xf>
    <xf numFmtId="0" fontId="13" fillId="9" borderId="61" xfId="0" applyFont="1" applyFill="1" applyBorder="1" applyAlignment="1" applyProtection="1">
      <alignment horizontal="right" wrapText="1" indent="1"/>
      <protection hidden="1"/>
    </xf>
    <xf numFmtId="0" fontId="14" fillId="0" borderId="19" xfId="0" applyFont="1" applyFill="1" applyBorder="1" applyAlignment="1" applyProtection="1">
      <alignment horizontal="right" wrapText="1" indent="1"/>
      <protection hidden="1"/>
    </xf>
    <xf numFmtId="0" fontId="14" fillId="0" borderId="27" xfId="0" applyFont="1" applyBorder="1" applyProtection="1">
      <protection hidden="1"/>
    </xf>
    <xf numFmtId="38" fontId="18" fillId="4" borderId="17" xfId="3" applyNumberFormat="1" applyFont="1" applyFill="1" applyBorder="1" applyProtection="1">
      <protection hidden="1"/>
    </xf>
    <xf numFmtId="38" fontId="14" fillId="4" borderId="50" xfId="3" applyNumberFormat="1" applyFont="1" applyFill="1" applyBorder="1" applyProtection="1">
      <protection hidden="1"/>
    </xf>
    <xf numFmtId="38" fontId="14" fillId="4" borderId="6" xfId="3" applyNumberFormat="1" applyFont="1" applyFill="1" applyBorder="1" applyProtection="1">
      <protection hidden="1"/>
    </xf>
    <xf numFmtId="0" fontId="14" fillId="0" borderId="48" xfId="0" applyFont="1" applyFill="1" applyBorder="1" applyAlignment="1" applyProtection="1">
      <alignment horizontal="right" wrapText="1" indent="1"/>
      <protection hidden="1"/>
    </xf>
    <xf numFmtId="0" fontId="14" fillId="0" borderId="68" xfId="0" applyFont="1" applyBorder="1" applyProtection="1">
      <protection hidden="1"/>
    </xf>
    <xf numFmtId="0" fontId="14" fillId="0" borderId="20" xfId="0" applyFont="1" applyBorder="1" applyAlignment="1" applyProtection="1">
      <alignment horizontal="right" wrapText="1" indent="1"/>
      <protection hidden="1"/>
    </xf>
    <xf numFmtId="0" fontId="14" fillId="0" borderId="37" xfId="0" applyFont="1" applyBorder="1" applyAlignment="1" applyProtection="1">
      <alignment horizontal="right" wrapText="1" indent="1"/>
      <protection hidden="1"/>
    </xf>
    <xf numFmtId="0" fontId="14" fillId="0" borderId="51" xfId="0" applyFont="1" applyBorder="1" applyProtection="1">
      <protection hidden="1"/>
    </xf>
    <xf numFmtId="38" fontId="14" fillId="4" borderId="65" xfId="3" applyNumberFormat="1" applyFont="1" applyFill="1" applyBorder="1" applyProtection="1">
      <protection hidden="1"/>
    </xf>
    <xf numFmtId="38" fontId="16" fillId="11" borderId="19" xfId="3" applyNumberFormat="1" applyFont="1" applyFill="1" applyBorder="1" applyAlignment="1" applyProtection="1">
      <alignment horizontal="right"/>
      <protection hidden="1"/>
    </xf>
    <xf numFmtId="0" fontId="20" fillId="11" borderId="27" xfId="0" applyFont="1" applyFill="1" applyBorder="1" applyProtection="1">
      <protection hidden="1"/>
    </xf>
    <xf numFmtId="38" fontId="16" fillId="11" borderId="27" xfId="3" applyNumberFormat="1" applyFont="1" applyFill="1" applyBorder="1" applyAlignment="1" applyProtection="1">
      <alignment horizontal="right"/>
      <protection hidden="1"/>
    </xf>
    <xf numFmtId="0" fontId="16" fillId="2" borderId="43" xfId="0" applyFont="1" applyFill="1" applyBorder="1" applyAlignment="1" applyProtection="1">
      <alignment horizontal="center"/>
      <protection hidden="1"/>
    </xf>
    <xf numFmtId="0" fontId="16" fillId="2" borderId="31" xfId="0" applyFont="1" applyFill="1" applyBorder="1" applyAlignment="1" applyProtection="1">
      <alignment horizontal="center"/>
      <protection hidden="1"/>
    </xf>
    <xf numFmtId="9" fontId="16" fillId="2" borderId="31" xfId="2" applyFont="1" applyFill="1" applyBorder="1" applyAlignment="1" applyProtection="1">
      <alignment horizontal="center"/>
      <protection hidden="1"/>
    </xf>
    <xf numFmtId="9" fontId="16" fillId="2" borderId="32" xfId="2" applyFont="1" applyFill="1" applyBorder="1" applyAlignment="1" applyProtection="1">
      <alignment horizontal="center"/>
      <protection hidden="1"/>
    </xf>
    <xf numFmtId="0" fontId="13" fillId="9" borderId="4" xfId="0" applyFont="1" applyFill="1" applyBorder="1" applyAlignment="1" applyProtection="1">
      <alignment horizontal="left" vertical="center"/>
      <protection hidden="1"/>
    </xf>
    <xf numFmtId="0" fontId="14" fillId="9" borderId="5" xfId="0" applyFont="1" applyFill="1" applyBorder="1" applyAlignment="1" applyProtection="1">
      <alignment vertical="center"/>
      <protection hidden="1"/>
    </xf>
    <xf numFmtId="9" fontId="14" fillId="9" borderId="5" xfId="0" applyNumberFormat="1" applyFont="1" applyFill="1" applyBorder="1" applyProtection="1">
      <protection hidden="1"/>
    </xf>
    <xf numFmtId="0" fontId="13" fillId="9" borderId="5" xfId="0" applyFont="1" applyFill="1" applyBorder="1" applyAlignment="1" applyProtection="1">
      <alignment horizontal="center"/>
      <protection hidden="1"/>
    </xf>
    <xf numFmtId="38" fontId="13" fillId="9" borderId="5" xfId="3" applyNumberFormat="1" applyFont="1" applyFill="1" applyBorder="1" applyProtection="1">
      <protection hidden="1"/>
    </xf>
    <xf numFmtId="166" fontId="13" fillId="9" borderId="5" xfId="0" applyNumberFormat="1" applyFont="1" applyFill="1" applyBorder="1" applyProtection="1">
      <protection hidden="1"/>
    </xf>
    <xf numFmtId="1" fontId="13" fillId="9" borderId="6" xfId="0" applyNumberFormat="1" applyFont="1" applyFill="1" applyBorder="1" applyAlignment="1" applyProtection="1">
      <alignment horizontal="right" indent="1"/>
      <protection hidden="1"/>
    </xf>
    <xf numFmtId="0" fontId="13" fillId="0" borderId="0" xfId="0" applyFont="1" applyProtection="1">
      <protection hidden="1"/>
    </xf>
    <xf numFmtId="0" fontId="13" fillId="7" borderId="33" xfId="0" applyFont="1" applyFill="1" applyBorder="1" applyAlignment="1" applyProtection="1">
      <alignment horizontal="left" vertical="center"/>
      <protection hidden="1"/>
    </xf>
    <xf numFmtId="0" fontId="14" fillId="7" borderId="34" xfId="0" applyFont="1" applyFill="1" applyBorder="1" applyAlignment="1" applyProtection="1">
      <alignment vertical="center"/>
      <protection hidden="1"/>
    </xf>
    <xf numFmtId="9" fontId="14" fillId="7" borderId="34" xfId="0" applyNumberFormat="1" applyFont="1" applyFill="1" applyBorder="1" applyProtection="1">
      <protection hidden="1"/>
    </xf>
    <xf numFmtId="0" fontId="13" fillId="7" borderId="35" xfId="0" applyFont="1" applyFill="1" applyBorder="1" applyAlignment="1" applyProtection="1">
      <alignment horizontal="center"/>
      <protection hidden="1"/>
    </xf>
    <xf numFmtId="9" fontId="13" fillId="7" borderId="35" xfId="2" applyFont="1" applyFill="1" applyBorder="1" applyAlignment="1" applyProtection="1">
      <alignment horizontal="center"/>
      <protection hidden="1"/>
    </xf>
    <xf numFmtId="0" fontId="14" fillId="7" borderId="35" xfId="0" applyFont="1" applyFill="1" applyBorder="1" applyProtection="1">
      <protection hidden="1"/>
    </xf>
    <xf numFmtId="0" fontId="14" fillId="7" borderId="36" xfId="0" applyFont="1" applyFill="1" applyBorder="1" applyProtection="1">
      <protection hidden="1"/>
    </xf>
    <xf numFmtId="0" fontId="14" fillId="4" borderId="16" xfId="0" applyFont="1" applyFill="1" applyBorder="1" applyAlignment="1" applyProtection="1">
      <alignment vertical="center"/>
      <protection hidden="1"/>
    </xf>
    <xf numFmtId="9" fontId="13" fillId="4" borderId="34" xfId="0" applyNumberFormat="1" applyFont="1" applyFill="1" applyBorder="1" applyProtection="1">
      <protection hidden="1"/>
    </xf>
    <xf numFmtId="38" fontId="14" fillId="4" borderId="35" xfId="3" applyNumberFormat="1" applyFont="1" applyFill="1" applyBorder="1" applyAlignment="1" applyProtection="1">
      <alignment horizontal="right"/>
      <protection hidden="1"/>
    </xf>
    <xf numFmtId="0" fontId="14" fillId="4" borderId="35" xfId="0" applyFont="1" applyFill="1" applyBorder="1" applyAlignment="1" applyProtection="1">
      <alignment horizontal="center"/>
      <protection hidden="1"/>
    </xf>
    <xf numFmtId="38" fontId="14" fillId="4" borderId="35" xfId="3" applyNumberFormat="1" applyFont="1" applyFill="1" applyBorder="1" applyProtection="1">
      <protection hidden="1"/>
    </xf>
    <xf numFmtId="166" fontId="14" fillId="4" borderId="35" xfId="0" applyNumberFormat="1" applyFont="1" applyFill="1" applyBorder="1" applyProtection="1">
      <protection hidden="1"/>
    </xf>
    <xf numFmtId="0" fontId="14" fillId="4" borderId="36" xfId="0" applyFont="1" applyFill="1" applyBorder="1" applyProtection="1">
      <protection hidden="1"/>
    </xf>
    <xf numFmtId="0" fontId="14" fillId="0" borderId="33" xfId="0" applyFont="1" applyBorder="1" applyAlignment="1" applyProtection="1">
      <alignment vertical="center" wrapText="1"/>
      <protection hidden="1"/>
    </xf>
    <xf numFmtId="38" fontId="13" fillId="3" borderId="1" xfId="3" applyNumberFormat="1" applyFont="1" applyFill="1" applyBorder="1" applyAlignment="1" applyProtection="1">
      <alignment horizontal="right"/>
      <protection hidden="1"/>
    </xf>
    <xf numFmtId="0" fontId="13" fillId="7" borderId="18" xfId="0" applyFont="1" applyFill="1" applyBorder="1" applyAlignment="1" applyProtection="1">
      <alignment horizontal="left" vertical="center"/>
      <protection hidden="1"/>
    </xf>
    <xf numFmtId="0" fontId="14" fillId="7" borderId="16" xfId="0" applyFont="1" applyFill="1" applyBorder="1" applyAlignment="1" applyProtection="1">
      <alignment vertical="center"/>
      <protection hidden="1"/>
    </xf>
    <xf numFmtId="9" fontId="14" fillId="7" borderId="16" xfId="0" applyNumberFormat="1" applyFont="1" applyFill="1" applyBorder="1" applyProtection="1">
      <protection hidden="1"/>
    </xf>
    <xf numFmtId="38" fontId="13" fillId="7" borderId="1" xfId="3" applyNumberFormat="1" applyFont="1" applyFill="1" applyBorder="1" applyAlignment="1" applyProtection="1">
      <alignment horizontal="right"/>
      <protection hidden="1"/>
    </xf>
    <xf numFmtId="0" fontId="13" fillId="7" borderId="1" xfId="0" applyFont="1" applyFill="1" applyBorder="1" applyAlignment="1" applyProtection="1">
      <alignment horizontal="center"/>
      <protection hidden="1"/>
    </xf>
    <xf numFmtId="9" fontId="13" fillId="7" borderId="1" xfId="2" applyFont="1" applyFill="1" applyBorder="1" applyAlignment="1" applyProtection="1">
      <alignment horizontal="center"/>
      <protection hidden="1"/>
    </xf>
    <xf numFmtId="0" fontId="14" fillId="7" borderId="1" xfId="0" applyFont="1" applyFill="1" applyBorder="1" applyProtection="1">
      <protection hidden="1"/>
    </xf>
    <xf numFmtId="0" fontId="14" fillId="7" borderId="7" xfId="0" applyFont="1" applyFill="1" applyBorder="1" applyProtection="1">
      <protection hidden="1"/>
    </xf>
    <xf numFmtId="0" fontId="14" fillId="0" borderId="18" xfId="0" applyFont="1" applyBorder="1" applyAlignment="1" applyProtection="1">
      <alignment vertical="center" wrapText="1"/>
      <protection hidden="1"/>
    </xf>
    <xf numFmtId="0" fontId="14" fillId="4" borderId="1" xfId="0" applyFont="1" applyFill="1" applyBorder="1" applyAlignment="1" applyProtection="1">
      <alignment horizontal="center"/>
      <protection hidden="1"/>
    </xf>
    <xf numFmtId="38" fontId="14" fillId="4" borderId="1" xfId="3" applyNumberFormat="1" applyFont="1" applyFill="1" applyBorder="1" applyProtection="1">
      <protection hidden="1"/>
    </xf>
    <xf numFmtId="0" fontId="14" fillId="4" borderId="7" xfId="0" applyFont="1" applyFill="1" applyBorder="1" applyProtection="1">
      <protection hidden="1"/>
    </xf>
    <xf numFmtId="38" fontId="14" fillId="4" borderId="1" xfId="3" applyNumberFormat="1" applyFont="1" applyFill="1" applyBorder="1" applyAlignment="1" applyProtection="1">
      <alignment horizontal="right"/>
      <protection hidden="1"/>
    </xf>
    <xf numFmtId="0" fontId="14" fillId="10" borderId="47" xfId="0" applyFont="1" applyFill="1" applyBorder="1" applyAlignment="1" applyProtection="1">
      <alignment horizontal="right" vertical="center" wrapText="1" indent="1"/>
      <protection hidden="1"/>
    </xf>
    <xf numFmtId="0" fontId="14" fillId="4" borderId="22" xfId="0" applyFont="1" applyFill="1" applyBorder="1" applyAlignment="1" applyProtection="1">
      <alignment vertical="center"/>
      <protection hidden="1"/>
    </xf>
    <xf numFmtId="38" fontId="13" fillId="3" borderId="59" xfId="3" applyNumberFormat="1" applyFont="1" applyFill="1" applyBorder="1" applyAlignment="1" applyProtection="1">
      <alignment horizontal="right"/>
      <protection hidden="1"/>
    </xf>
    <xf numFmtId="38" fontId="14" fillId="4" borderId="3" xfId="3" applyNumberFormat="1" applyFont="1" applyFill="1" applyBorder="1" applyProtection="1">
      <protection hidden="1"/>
    </xf>
    <xf numFmtId="0" fontId="14" fillId="4" borderId="10" xfId="0" applyFont="1" applyFill="1" applyBorder="1" applyProtection="1">
      <protection hidden="1"/>
    </xf>
    <xf numFmtId="38" fontId="14" fillId="9" borderId="5" xfId="3" applyNumberFormat="1" applyFont="1" applyFill="1" applyBorder="1" applyAlignment="1" applyProtection="1">
      <alignment horizontal="right"/>
      <protection hidden="1"/>
    </xf>
    <xf numFmtId="0" fontId="14" fillId="9" borderId="5" xfId="0" applyFont="1" applyFill="1" applyBorder="1" applyAlignment="1" applyProtection="1">
      <alignment horizontal="center"/>
      <protection hidden="1"/>
    </xf>
    <xf numFmtId="0" fontId="13" fillId="7" borderId="20" xfId="0" applyFont="1" applyFill="1" applyBorder="1" applyAlignment="1" applyProtection="1">
      <alignment horizontal="left" vertical="center"/>
      <protection hidden="1"/>
    </xf>
    <xf numFmtId="0" fontId="14" fillId="7" borderId="21" xfId="0" applyFont="1" applyFill="1" applyBorder="1" applyAlignment="1" applyProtection="1">
      <alignment vertical="center"/>
      <protection hidden="1"/>
    </xf>
    <xf numFmtId="9" fontId="14" fillId="7" borderId="8" xfId="0" applyNumberFormat="1" applyFont="1" applyFill="1" applyBorder="1" applyProtection="1">
      <protection hidden="1"/>
    </xf>
    <xf numFmtId="0" fontId="13" fillId="7" borderId="8" xfId="0" applyFont="1" applyFill="1" applyBorder="1" applyAlignment="1" applyProtection="1">
      <alignment horizontal="center"/>
      <protection hidden="1"/>
    </xf>
    <xf numFmtId="9" fontId="13" fillId="7" borderId="8" xfId="2" applyFont="1" applyFill="1" applyBorder="1" applyAlignment="1" applyProtection="1">
      <alignment horizontal="center"/>
      <protection hidden="1"/>
    </xf>
    <xf numFmtId="0" fontId="14" fillId="7" borderId="8" xfId="0" applyFont="1" applyFill="1" applyBorder="1" applyProtection="1">
      <protection hidden="1"/>
    </xf>
    <xf numFmtId="0" fontId="14" fillId="7" borderId="13" xfId="0" applyFont="1" applyFill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3" fillId="5" borderId="18" xfId="0" applyFont="1" applyFill="1" applyBorder="1" applyAlignment="1" applyProtection="1">
      <alignment horizontal="right" vertical="center" wrapText="1" indent="2"/>
      <protection hidden="1"/>
    </xf>
    <xf numFmtId="0" fontId="13" fillId="7" borderId="18" xfId="0" applyFont="1" applyFill="1" applyBorder="1" applyAlignment="1" applyProtection="1">
      <alignment vertical="center"/>
      <protection hidden="1"/>
    </xf>
    <xf numFmtId="38" fontId="14" fillId="7" borderId="1" xfId="3" applyNumberFormat="1" applyFont="1" applyFill="1" applyBorder="1" applyAlignment="1" applyProtection="1">
      <alignment horizontal="right"/>
      <protection hidden="1"/>
    </xf>
    <xf numFmtId="0" fontId="14" fillId="7" borderId="1" xfId="0" applyFont="1" applyFill="1" applyBorder="1" applyAlignment="1" applyProtection="1">
      <alignment horizontal="center"/>
      <protection hidden="1"/>
    </xf>
    <xf numFmtId="38" fontId="14" fillId="7" borderId="1" xfId="3" applyNumberFormat="1" applyFont="1" applyFill="1" applyBorder="1" applyProtection="1"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9" fillId="0" borderId="18" xfId="0" applyFont="1" applyBorder="1" applyAlignment="1" applyProtection="1">
      <alignment vertical="center"/>
      <protection hidden="1"/>
    </xf>
    <xf numFmtId="0" fontId="14" fillId="0" borderId="18" xfId="0" applyFont="1" applyFill="1" applyBorder="1" applyAlignment="1" applyProtection="1">
      <alignment vertical="center"/>
      <protection hidden="1"/>
    </xf>
    <xf numFmtId="40" fontId="14" fillId="4" borderId="1" xfId="3" applyNumberFormat="1" applyFont="1" applyFill="1" applyBorder="1" applyAlignment="1" applyProtection="1">
      <alignment horizontal="right"/>
      <protection hidden="1"/>
    </xf>
    <xf numFmtId="171" fontId="14" fillId="4" borderId="1" xfId="3" applyNumberFormat="1" applyFont="1" applyFill="1" applyBorder="1" applyProtection="1">
      <protection hidden="1"/>
    </xf>
    <xf numFmtId="9" fontId="14" fillId="7" borderId="1" xfId="0" applyNumberFormat="1" applyFont="1" applyFill="1" applyBorder="1" applyProtection="1">
      <protection hidden="1"/>
    </xf>
    <xf numFmtId="0" fontId="14" fillId="10" borderId="37" xfId="0" applyFont="1" applyFill="1" applyBorder="1" applyAlignment="1" applyProtection="1">
      <alignment horizontal="right" vertical="center" wrapText="1" indent="1"/>
      <protection hidden="1"/>
    </xf>
    <xf numFmtId="0" fontId="14" fillId="4" borderId="65" xfId="0" applyFont="1" applyFill="1" applyBorder="1" applyAlignment="1" applyProtection="1">
      <alignment vertical="center"/>
      <protection hidden="1"/>
    </xf>
    <xf numFmtId="38" fontId="14" fillId="4" borderId="59" xfId="3" applyNumberFormat="1" applyFont="1" applyFill="1" applyBorder="1" applyProtection="1">
      <protection hidden="1"/>
    </xf>
    <xf numFmtId="0" fontId="14" fillId="4" borderId="60" xfId="0" applyFont="1" applyFill="1" applyBorder="1" applyProtection="1">
      <protection hidden="1"/>
    </xf>
    <xf numFmtId="0" fontId="13" fillId="9" borderId="4" xfId="0" applyFont="1" applyFill="1" applyBorder="1" applyAlignment="1" applyProtection="1">
      <alignment vertical="center"/>
      <protection hidden="1"/>
    </xf>
    <xf numFmtId="0" fontId="14" fillId="9" borderId="5" xfId="0" applyFont="1" applyFill="1" applyBorder="1" applyProtection="1">
      <protection hidden="1"/>
    </xf>
    <xf numFmtId="0" fontId="13" fillId="7" borderId="20" xfId="0" applyFont="1" applyFill="1" applyBorder="1" applyAlignment="1" applyProtection="1">
      <alignment vertical="center" wrapText="1"/>
      <protection hidden="1"/>
    </xf>
    <xf numFmtId="38" fontId="14" fillId="7" borderId="8" xfId="3" applyNumberFormat="1" applyFont="1" applyFill="1" applyBorder="1" applyAlignment="1" applyProtection="1">
      <alignment horizontal="right"/>
      <protection hidden="1"/>
    </xf>
    <xf numFmtId="0" fontId="14" fillId="7" borderId="8" xfId="0" applyFont="1" applyFill="1" applyBorder="1" applyAlignment="1" applyProtection="1">
      <alignment horizontal="center"/>
      <protection hidden="1"/>
    </xf>
    <xf numFmtId="38" fontId="14" fillId="7" borderId="8" xfId="3" applyNumberFormat="1" applyFont="1" applyFill="1" applyBorder="1" applyProtection="1">
      <protection hidden="1"/>
    </xf>
    <xf numFmtId="9" fontId="14" fillId="7" borderId="1" xfId="2" applyFont="1" applyFill="1" applyBorder="1" applyProtection="1">
      <protection hidden="1"/>
    </xf>
    <xf numFmtId="0" fontId="14" fillId="4" borderId="34" xfId="0" applyFont="1" applyFill="1" applyBorder="1" applyAlignment="1" applyProtection="1">
      <alignment vertical="center"/>
      <protection hidden="1"/>
    </xf>
    <xf numFmtId="0" fontId="14" fillId="0" borderId="18" xfId="0" applyFont="1" applyFill="1" applyBorder="1" applyAlignment="1" applyProtection="1">
      <alignment vertical="center" wrapText="1"/>
      <protection hidden="1"/>
    </xf>
    <xf numFmtId="0" fontId="14" fillId="4" borderId="29" xfId="0" applyFont="1" applyFill="1" applyBorder="1" applyAlignment="1" applyProtection="1">
      <alignment vertical="center"/>
      <protection hidden="1"/>
    </xf>
    <xf numFmtId="9" fontId="14" fillId="4" borderId="9" xfId="0" applyNumberFormat="1" applyFont="1" applyFill="1" applyBorder="1" applyProtection="1">
      <protection hidden="1"/>
    </xf>
    <xf numFmtId="38" fontId="13" fillId="3" borderId="24" xfId="3" applyNumberFormat="1" applyFont="1" applyFill="1" applyBorder="1" applyAlignment="1" applyProtection="1">
      <alignment horizontal="right"/>
      <protection hidden="1"/>
    </xf>
    <xf numFmtId="0" fontId="14" fillId="4" borderId="9" xfId="0" applyFont="1" applyFill="1" applyBorder="1" applyAlignment="1" applyProtection="1">
      <alignment horizontal="center"/>
      <protection hidden="1"/>
    </xf>
    <xf numFmtId="38" fontId="14" fillId="4" borderId="9" xfId="3" applyNumberFormat="1" applyFont="1" applyFill="1" applyBorder="1" applyProtection="1">
      <protection hidden="1"/>
    </xf>
    <xf numFmtId="38" fontId="16" fillId="11" borderId="19" xfId="3" applyNumberFormat="1" applyFont="1" applyFill="1" applyBorder="1" applyProtection="1">
      <protection hidden="1"/>
    </xf>
    <xf numFmtId="166" fontId="16" fillId="11" borderId="19" xfId="0" applyNumberFormat="1" applyFont="1" applyFill="1" applyBorder="1" applyProtection="1">
      <protection hidden="1"/>
    </xf>
    <xf numFmtId="0" fontId="20" fillId="0" borderId="0" xfId="0" applyFont="1" applyProtection="1">
      <protection hidden="1"/>
    </xf>
    <xf numFmtId="0" fontId="18" fillId="0" borderId="0" xfId="0" applyFont="1" applyAlignment="1" applyProtection="1">
      <alignment horizontal="right" indent="1"/>
      <protection hidden="1"/>
    </xf>
    <xf numFmtId="1" fontId="18" fillId="0" borderId="0" xfId="0" applyNumberFormat="1" applyFont="1" applyAlignment="1" applyProtection="1">
      <alignment horizontal="left"/>
      <protection hidden="1"/>
    </xf>
    <xf numFmtId="0" fontId="13" fillId="9" borderId="4" xfId="0" applyFont="1" applyFill="1" applyBorder="1" applyProtection="1">
      <protection hidden="1"/>
    </xf>
    <xf numFmtId="38" fontId="14" fillId="9" borderId="5" xfId="3" applyNumberFormat="1" applyFont="1" applyFill="1" applyBorder="1" applyProtection="1">
      <protection hidden="1"/>
    </xf>
    <xf numFmtId="0" fontId="14" fillId="4" borderId="34" xfId="0" applyFont="1" applyFill="1" applyBorder="1" applyProtection="1">
      <protection hidden="1"/>
    </xf>
    <xf numFmtId="9" fontId="14" fillId="4" borderId="35" xfId="0" applyNumberFormat="1" applyFont="1" applyFill="1" applyBorder="1" applyProtection="1">
      <protection hidden="1"/>
    </xf>
    <xf numFmtId="0" fontId="14" fillId="4" borderId="16" xfId="0" applyFont="1" applyFill="1" applyBorder="1" applyProtection="1">
      <protection hidden="1"/>
    </xf>
    <xf numFmtId="0" fontId="14" fillId="0" borderId="37" xfId="0" applyFont="1" applyBorder="1" applyAlignment="1" applyProtection="1">
      <alignment wrapText="1"/>
      <protection hidden="1"/>
    </xf>
    <xf numFmtId="0" fontId="14" fillId="4" borderId="29" xfId="0" applyFont="1" applyFill="1" applyBorder="1" applyProtection="1">
      <protection hidden="1"/>
    </xf>
    <xf numFmtId="38" fontId="14" fillId="4" borderId="9" xfId="3" applyNumberFormat="1" applyFont="1" applyFill="1" applyBorder="1" applyAlignment="1" applyProtection="1">
      <alignment horizontal="right"/>
      <protection hidden="1"/>
    </xf>
    <xf numFmtId="166" fontId="16" fillId="11" borderId="26" xfId="0" applyNumberFormat="1" applyFont="1" applyFill="1" applyBorder="1" applyProtection="1">
      <protection hidden="1"/>
    </xf>
    <xf numFmtId="0" fontId="14" fillId="0" borderId="2" xfId="0" applyFont="1" applyBorder="1" applyAlignment="1" applyProtection="1">
      <alignment horizontal="left" wrapText="1" indent="1"/>
      <protection hidden="1"/>
    </xf>
    <xf numFmtId="170" fontId="22" fillId="3" borderId="35" xfId="1" applyNumberFormat="1" applyFont="1" applyFill="1" applyBorder="1" applyAlignment="1" applyProtection="1">
      <alignment vertical="center" wrapText="1"/>
      <protection locked="0"/>
    </xf>
    <xf numFmtId="170" fontId="22" fillId="3" borderId="1" xfId="1" applyNumberFormat="1" applyFont="1" applyFill="1" applyBorder="1" applyAlignment="1" applyProtection="1">
      <alignment vertical="center" wrapText="1"/>
      <protection locked="0"/>
    </xf>
    <xf numFmtId="170" fontId="22" fillId="3" borderId="9" xfId="0" applyNumberFormat="1" applyFont="1" applyFill="1" applyBorder="1" applyAlignment="1" applyProtection="1">
      <alignment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7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17" fillId="12" borderId="9" xfId="0" applyFont="1" applyFill="1" applyBorder="1" applyAlignment="1" applyProtection="1">
      <alignment horizontal="center" vertical="center"/>
      <protection locked="0"/>
    </xf>
    <xf numFmtId="0" fontId="13" fillId="12" borderId="3" xfId="0" applyFont="1" applyFill="1" applyBorder="1" applyAlignment="1" applyProtection="1">
      <alignment horizontal="center" vertical="center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0" fontId="13" fillId="12" borderId="5" xfId="0" applyFont="1" applyFill="1" applyBorder="1" applyAlignment="1" applyProtection="1">
      <alignment horizontal="center" vertical="center"/>
      <protection locked="0"/>
    </xf>
    <xf numFmtId="0" fontId="15" fillId="4" borderId="4" xfId="0" applyFont="1" applyFill="1" applyBorder="1" applyAlignment="1" applyProtection="1">
      <alignment horizontal="center" vertical="center" wrapText="1"/>
      <protection hidden="1"/>
    </xf>
    <xf numFmtId="0" fontId="15" fillId="4" borderId="5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vertical="center" wrapText="1"/>
      <protection hidden="1"/>
    </xf>
    <xf numFmtId="0" fontId="10" fillId="0" borderId="35" xfId="0" applyFont="1" applyBorder="1" applyAlignment="1" applyProtection="1">
      <alignment vertical="center" wrapText="1"/>
      <protection hidden="1"/>
    </xf>
    <xf numFmtId="0" fontId="10" fillId="0" borderId="2" xfId="0" applyFont="1" applyBorder="1" applyAlignment="1" applyProtection="1">
      <alignment vertical="center" wrapText="1"/>
      <protection hidden="1"/>
    </xf>
    <xf numFmtId="0" fontId="10" fillId="0" borderId="1" xfId="0" applyFont="1" applyBorder="1" applyAlignment="1" applyProtection="1">
      <alignment vertical="center" wrapText="1"/>
      <protection hidden="1"/>
    </xf>
    <xf numFmtId="0" fontId="10" fillId="0" borderId="15" xfId="0" applyFont="1" applyBorder="1" applyAlignment="1" applyProtection="1">
      <alignment vertical="center" wrapText="1"/>
      <protection hidden="1"/>
    </xf>
    <xf numFmtId="0" fontId="10" fillId="0" borderId="3" xfId="0" applyFont="1" applyBorder="1" applyAlignment="1" applyProtection="1">
      <alignment vertical="center" wrapText="1"/>
      <protection hidden="1"/>
    </xf>
    <xf numFmtId="0" fontId="10" fillId="0" borderId="11" xfId="0" applyFont="1" applyBorder="1" applyAlignment="1" applyProtection="1">
      <alignment vertical="center" wrapText="1"/>
      <protection hidden="1"/>
    </xf>
    <xf numFmtId="0" fontId="10" fillId="0" borderId="9" xfId="0" applyFont="1" applyBorder="1" applyAlignment="1" applyProtection="1">
      <alignment vertical="center" wrapText="1"/>
      <protection hidden="1"/>
    </xf>
    <xf numFmtId="0" fontId="13" fillId="7" borderId="21" xfId="0" applyFont="1" applyFill="1" applyBorder="1" applyAlignment="1" applyProtection="1">
      <alignment horizontal="left" vertical="center"/>
      <protection hidden="1"/>
    </xf>
    <xf numFmtId="4" fontId="13" fillId="7" borderId="8" xfId="0" applyNumberFormat="1" applyFont="1" applyFill="1" applyBorder="1" applyAlignment="1" applyProtection="1">
      <alignment horizontal="center" vertical="center"/>
      <protection hidden="1"/>
    </xf>
    <xf numFmtId="4" fontId="13" fillId="7" borderId="13" xfId="0" applyNumberFormat="1" applyFont="1" applyFill="1" applyBorder="1" applyAlignment="1" applyProtection="1">
      <alignment horizontal="center" vertical="center"/>
      <protection hidden="1"/>
    </xf>
    <xf numFmtId="0" fontId="14" fillId="0" borderId="2" xfId="0" applyFont="1" applyBorder="1" applyAlignment="1" applyProtection="1">
      <alignment horizontal="left" vertical="center" wrapText="1"/>
      <protection hidden="1"/>
    </xf>
    <xf numFmtId="4" fontId="14" fillId="0" borderId="1" xfId="0" applyNumberFormat="1" applyFont="1" applyBorder="1" applyAlignment="1" applyProtection="1">
      <alignment horizontal="center" vertical="center"/>
      <protection hidden="1"/>
    </xf>
    <xf numFmtId="4" fontId="14" fillId="0" borderId="7" xfId="0" applyNumberFormat="1" applyFont="1" applyBorder="1" applyAlignment="1" applyProtection="1">
      <alignment horizontal="center" vertical="center"/>
      <protection hidden="1"/>
    </xf>
    <xf numFmtId="0" fontId="14" fillId="0" borderId="11" xfId="0" applyFont="1" applyBorder="1" applyAlignment="1" applyProtection="1">
      <alignment horizontal="left" vertical="center" wrapText="1"/>
      <protection hidden="1"/>
    </xf>
    <xf numFmtId="4" fontId="14" fillId="0" borderId="9" xfId="0" applyNumberFormat="1" applyFont="1" applyBorder="1" applyAlignment="1" applyProtection="1">
      <alignment horizontal="center" vertical="center"/>
      <protection hidden="1"/>
    </xf>
    <xf numFmtId="4" fontId="14" fillId="0" borderId="14" xfId="0" applyNumberFormat="1" applyFont="1" applyBorder="1" applyAlignment="1" applyProtection="1">
      <alignment horizontal="center" vertical="center"/>
      <protection hidden="1"/>
    </xf>
    <xf numFmtId="0" fontId="13" fillId="7" borderId="34" xfId="0" applyFont="1" applyFill="1" applyBorder="1" applyAlignment="1" applyProtection="1">
      <alignment horizontal="left" vertical="center" wrapText="1"/>
      <protection hidden="1"/>
    </xf>
    <xf numFmtId="4" fontId="13" fillId="7" borderId="35" xfId="0" applyNumberFormat="1" applyFont="1" applyFill="1" applyBorder="1" applyAlignment="1" applyProtection="1">
      <alignment horizontal="center" vertical="center"/>
      <protection hidden="1"/>
    </xf>
    <xf numFmtId="4" fontId="13" fillId="7" borderId="36" xfId="0" applyNumberFormat="1" applyFont="1" applyFill="1" applyBorder="1" applyAlignment="1" applyProtection="1">
      <alignment horizontal="center" vertical="center"/>
      <protection hidden="1"/>
    </xf>
    <xf numFmtId="4" fontId="14" fillId="0" borderId="3" xfId="0" applyNumberFormat="1" applyFont="1" applyBorder="1" applyAlignment="1" applyProtection="1">
      <alignment horizontal="center" vertical="center"/>
      <protection hidden="1"/>
    </xf>
    <xf numFmtId="0" fontId="14" fillId="0" borderId="15" xfId="0" applyFont="1" applyBorder="1" applyAlignment="1" applyProtection="1">
      <alignment horizontal="left" vertical="center" wrapText="1"/>
      <protection hidden="1"/>
    </xf>
    <xf numFmtId="4" fontId="14" fillId="0" borderId="10" xfId="0" applyNumberFormat="1" applyFont="1" applyBorder="1" applyAlignment="1" applyProtection="1">
      <alignment horizontal="center" vertical="center"/>
      <protection hidden="1"/>
    </xf>
    <xf numFmtId="0" fontId="13" fillId="7" borderId="21" xfId="0" applyFont="1" applyFill="1" applyBorder="1" applyAlignment="1" applyProtection="1">
      <alignment horizontal="left" vertical="center" wrapText="1"/>
      <protection hidden="1"/>
    </xf>
    <xf numFmtId="4" fontId="14" fillId="0" borderId="5" xfId="0" applyNumberFormat="1" applyFont="1" applyBorder="1" applyAlignment="1" applyProtection="1">
      <alignment horizontal="center" vertical="center"/>
      <protection hidden="1"/>
    </xf>
    <xf numFmtId="4" fontId="14" fillId="0" borderId="6" xfId="0" applyNumberFormat="1" applyFont="1" applyBorder="1" applyAlignment="1" applyProtection="1">
      <alignment horizontal="center" vertical="center"/>
      <protection hidden="1"/>
    </xf>
    <xf numFmtId="0" fontId="16" fillId="11" borderId="4" xfId="0" applyFont="1" applyFill="1" applyBorder="1" applyAlignment="1" applyProtection="1">
      <alignment horizontal="right" vertical="center" indent="1"/>
      <protection hidden="1"/>
    </xf>
    <xf numFmtId="0" fontId="16" fillId="11" borderId="5" xfId="0" applyFont="1" applyFill="1" applyBorder="1" applyAlignment="1" applyProtection="1">
      <alignment horizontal="center" vertical="center"/>
      <protection hidden="1"/>
    </xf>
    <xf numFmtId="4" fontId="16" fillId="11" borderId="5" xfId="0" applyNumberFormat="1" applyFont="1" applyFill="1" applyBorder="1" applyAlignment="1" applyProtection="1">
      <alignment horizontal="center" vertical="center"/>
      <protection hidden="1"/>
    </xf>
    <xf numFmtId="0" fontId="15" fillId="4" borderId="43" xfId="0" applyFont="1" applyFill="1" applyBorder="1" applyAlignment="1" applyProtection="1">
      <alignment horizontal="center" vertical="center" wrapText="1"/>
      <protection hidden="1"/>
    </xf>
    <xf numFmtId="0" fontId="15" fillId="4" borderId="31" xfId="0" applyFont="1" applyFill="1" applyBorder="1" applyAlignment="1" applyProtection="1">
      <alignment horizontal="center" vertical="center" wrapText="1"/>
      <protection hidden="1"/>
    </xf>
    <xf numFmtId="0" fontId="15" fillId="4" borderId="32" xfId="0" applyFont="1" applyFill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vertical="center" wrapText="1"/>
      <protection hidden="1"/>
    </xf>
    <xf numFmtId="168" fontId="14" fillId="0" borderId="8" xfId="0" applyNumberFormat="1" applyFont="1" applyBorder="1" applyAlignment="1" applyProtection="1">
      <alignment horizontal="center" vertical="center" wrapText="1"/>
      <protection hidden="1"/>
    </xf>
    <xf numFmtId="168" fontId="14" fillId="0" borderId="13" xfId="1" applyNumberFormat="1" applyFont="1" applyBorder="1" applyAlignment="1" applyProtection="1">
      <alignment vertical="center"/>
      <protection hidden="1"/>
    </xf>
    <xf numFmtId="0" fontId="14" fillId="0" borderId="2" xfId="0" applyFont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vertical="center" wrapText="1"/>
      <protection hidden="1"/>
    </xf>
    <xf numFmtId="168" fontId="14" fillId="0" borderId="1" xfId="0" applyNumberFormat="1" applyFont="1" applyBorder="1" applyAlignment="1" applyProtection="1">
      <alignment horizontal="center" vertical="center" wrapText="1"/>
      <protection hidden="1"/>
    </xf>
    <xf numFmtId="168" fontId="14" fillId="0" borderId="7" xfId="1" applyNumberFormat="1" applyFont="1" applyBorder="1" applyProtection="1"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14" fillId="0" borderId="9" xfId="0" applyFont="1" applyBorder="1" applyAlignment="1" applyProtection="1">
      <alignment vertical="center" wrapText="1"/>
      <protection hidden="1"/>
    </xf>
    <xf numFmtId="168" fontId="14" fillId="0" borderId="9" xfId="0" applyNumberFormat="1" applyFont="1" applyBorder="1" applyAlignment="1" applyProtection="1">
      <alignment horizontal="center" vertical="center" wrapText="1"/>
      <protection hidden="1"/>
    </xf>
    <xf numFmtId="168" fontId="14" fillId="0" borderId="14" xfId="1" applyNumberFormat="1" applyFont="1" applyBorder="1" applyProtection="1">
      <protection hidden="1"/>
    </xf>
    <xf numFmtId="168" fontId="16" fillId="11" borderId="25" xfId="1" applyNumberFormat="1" applyFont="1" applyFill="1" applyBorder="1" applyProtection="1">
      <protection hidden="1"/>
    </xf>
    <xf numFmtId="168" fontId="14" fillId="0" borderId="0" xfId="0" applyNumberFormat="1" applyFont="1" applyProtection="1"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4" fillId="0" borderId="40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vertical="center" wrapText="1"/>
      <protection hidden="1"/>
    </xf>
    <xf numFmtId="168" fontId="14" fillId="0" borderId="35" xfId="1" applyNumberFormat="1" applyFont="1" applyBorder="1" applyProtection="1">
      <protection hidden="1"/>
    </xf>
    <xf numFmtId="168" fontId="14" fillId="0" borderId="36" xfId="1" applyNumberFormat="1" applyFont="1" applyBorder="1" applyProtection="1">
      <protection hidden="1"/>
    </xf>
    <xf numFmtId="168" fontId="14" fillId="0" borderId="1" xfId="1" applyNumberFormat="1" applyFont="1" applyBorder="1" applyProtection="1"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14" fillId="0" borderId="3" xfId="0" applyFont="1" applyBorder="1" applyAlignment="1" applyProtection="1">
      <alignment vertical="center" wrapText="1"/>
      <protection hidden="1"/>
    </xf>
    <xf numFmtId="168" fontId="14" fillId="0" borderId="3" xfId="1" applyNumberFormat="1" applyFont="1" applyBorder="1" applyAlignment="1" applyProtection="1">
      <alignment vertical="center"/>
      <protection hidden="1"/>
    </xf>
    <xf numFmtId="168" fontId="14" fillId="0" borderId="10" xfId="1" applyNumberFormat="1" applyFont="1" applyBorder="1" applyAlignment="1" applyProtection="1">
      <alignment vertical="center"/>
      <protection hidden="1"/>
    </xf>
    <xf numFmtId="168" fontId="16" fillId="11" borderId="6" xfId="1" applyNumberFormat="1" applyFont="1" applyFill="1" applyBorder="1" applyProtection="1">
      <protection hidden="1"/>
    </xf>
    <xf numFmtId="0" fontId="13" fillId="3" borderId="8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 wrapText="1"/>
      <protection locked="0"/>
    </xf>
    <xf numFmtId="0" fontId="13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12" borderId="3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vertical="top"/>
      <protection hidden="1"/>
    </xf>
    <xf numFmtId="0" fontId="13" fillId="4" borderId="31" xfId="0" applyFont="1" applyFill="1" applyBorder="1" applyAlignment="1" applyProtection="1">
      <alignment horizontal="center" vertical="center" wrapText="1"/>
      <protection hidden="1"/>
    </xf>
    <xf numFmtId="0" fontId="13" fillId="0" borderId="20" xfId="0" applyFont="1" applyBorder="1" applyProtection="1">
      <protection hidden="1"/>
    </xf>
    <xf numFmtId="0" fontId="13" fillId="0" borderId="18" xfId="0" applyFont="1" applyBorder="1" applyProtection="1">
      <protection hidden="1"/>
    </xf>
    <xf numFmtId="0" fontId="13" fillId="0" borderId="37" xfId="0" applyFont="1" applyBorder="1" applyAlignment="1" applyProtection="1">
      <alignment wrapText="1"/>
      <protection hidden="1"/>
    </xf>
    <xf numFmtId="0" fontId="13" fillId="4" borderId="4" xfId="0" applyFont="1" applyFill="1" applyBorder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0" fontId="13" fillId="4" borderId="50" xfId="0" applyFont="1" applyFill="1" applyBorder="1" applyAlignment="1" applyProtection="1">
      <alignment horizontal="center" vertical="center" wrapText="1"/>
      <protection hidden="1"/>
    </xf>
    <xf numFmtId="9" fontId="13" fillId="4" borderId="6" xfId="2" applyFont="1" applyFill="1" applyBorder="1" applyAlignment="1" applyProtection="1">
      <alignment horizontal="center" vertical="center" wrapText="1"/>
      <protection hidden="1"/>
    </xf>
    <xf numFmtId="0" fontId="13" fillId="3" borderId="4" xfId="0" applyFont="1" applyFill="1" applyBorder="1" applyAlignment="1" applyProtection="1">
      <alignment horizontal="left"/>
      <protection hidden="1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38" fontId="13" fillId="3" borderId="5" xfId="2" applyNumberFormat="1" applyFont="1" applyFill="1" applyBorder="1" applyAlignment="1" applyProtection="1">
      <alignment horizontal="center" vertical="center"/>
      <protection hidden="1"/>
    </xf>
    <xf numFmtId="9" fontId="13" fillId="3" borderId="5" xfId="2" applyFont="1" applyFill="1" applyBorder="1" applyAlignment="1" applyProtection="1">
      <alignment horizontal="center" vertical="center"/>
      <protection hidden="1"/>
    </xf>
    <xf numFmtId="38" fontId="13" fillId="3" borderId="5" xfId="2" applyNumberFormat="1" applyFont="1" applyFill="1" applyBorder="1" applyAlignment="1" applyProtection="1">
      <alignment horizontal="right" vertical="center"/>
      <protection hidden="1"/>
    </xf>
    <xf numFmtId="1" fontId="13" fillId="3" borderId="6" xfId="0" applyNumberFormat="1" applyFont="1" applyFill="1" applyBorder="1" applyAlignment="1" applyProtection="1">
      <alignment horizontal="center" vertical="center"/>
      <protection hidden="1"/>
    </xf>
    <xf numFmtId="0" fontId="13" fillId="16" borderId="40" xfId="0" applyFont="1" applyFill="1" applyBorder="1" applyAlignment="1" applyProtection="1">
      <alignment wrapText="1"/>
      <protection hidden="1"/>
    </xf>
    <xf numFmtId="0" fontId="13" fillId="16" borderId="35" xfId="0" applyFont="1" applyFill="1" applyBorder="1" applyAlignment="1" applyProtection="1">
      <alignment horizontal="center" vertical="center"/>
      <protection hidden="1"/>
    </xf>
    <xf numFmtId="38" fontId="13" fillId="16" borderId="35" xfId="3" applyNumberFormat="1" applyFont="1" applyFill="1" applyBorder="1" applyAlignment="1" applyProtection="1">
      <alignment horizontal="center" vertical="center"/>
      <protection hidden="1"/>
    </xf>
    <xf numFmtId="38" fontId="13" fillId="16" borderId="35" xfId="3" applyNumberFormat="1" applyFont="1" applyFill="1" applyBorder="1" applyAlignment="1" applyProtection="1">
      <alignment horizontal="right" vertical="center"/>
      <protection hidden="1"/>
    </xf>
    <xf numFmtId="0" fontId="13" fillId="16" borderId="36" xfId="0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38" fontId="13" fillId="0" borderId="1" xfId="3" applyNumberFormat="1" applyFont="1" applyFill="1" applyBorder="1" applyAlignment="1" applyProtection="1">
      <alignment horizontal="center" vertical="center"/>
      <protection hidden="1"/>
    </xf>
    <xf numFmtId="38" fontId="13" fillId="0" borderId="1" xfId="3" applyNumberFormat="1" applyFont="1" applyFill="1" applyBorder="1" applyAlignment="1" applyProtection="1">
      <alignment horizontal="left" vertical="center"/>
      <protection hidden="1"/>
    </xf>
    <xf numFmtId="38" fontId="13" fillId="0" borderId="70" xfId="3" applyNumberFormat="1" applyFont="1" applyFill="1" applyBorder="1" applyAlignment="1" applyProtection="1">
      <alignment horizontal="right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13" fillId="16" borderId="2" xfId="0" applyFont="1" applyFill="1" applyBorder="1" applyAlignment="1" applyProtection="1">
      <alignment wrapText="1"/>
      <protection hidden="1"/>
    </xf>
    <xf numFmtId="0" fontId="13" fillId="16" borderId="1" xfId="0" applyFont="1" applyFill="1" applyBorder="1" applyAlignment="1" applyProtection="1">
      <alignment horizontal="center" vertical="center"/>
      <protection hidden="1"/>
    </xf>
    <xf numFmtId="38" fontId="13" fillId="16" borderId="1" xfId="3" applyNumberFormat="1" applyFont="1" applyFill="1" applyBorder="1" applyAlignment="1" applyProtection="1">
      <alignment horizontal="center" vertical="center"/>
      <protection hidden="1"/>
    </xf>
    <xf numFmtId="38" fontId="13" fillId="16" borderId="1" xfId="3" applyNumberFormat="1" applyFont="1" applyFill="1" applyBorder="1" applyAlignment="1" applyProtection="1">
      <alignment horizontal="left" vertical="center"/>
      <protection hidden="1"/>
    </xf>
    <xf numFmtId="38" fontId="13" fillId="16" borderId="70" xfId="3" applyNumberFormat="1" applyFont="1" applyFill="1" applyBorder="1" applyAlignment="1" applyProtection="1">
      <alignment horizontal="right" vertical="center"/>
      <protection hidden="1"/>
    </xf>
    <xf numFmtId="0" fontId="13" fillId="16" borderId="7" xfId="0" applyFont="1" applyFill="1" applyBorder="1" applyAlignment="1" applyProtection="1">
      <alignment horizontal="center" vertical="center"/>
      <protection hidden="1"/>
    </xf>
    <xf numFmtId="38" fontId="13" fillId="16" borderId="1" xfId="3" applyNumberFormat="1" applyFont="1" applyFill="1" applyBorder="1" applyAlignment="1" applyProtection="1">
      <alignment horizontal="right" vertical="center"/>
      <protection hidden="1"/>
    </xf>
    <xf numFmtId="1" fontId="13" fillId="16" borderId="7" xfId="0" applyNumberFormat="1" applyFont="1" applyFill="1" applyBorder="1" applyAlignment="1" applyProtection="1">
      <alignment horizontal="center" vertical="center"/>
      <protection hidden="1"/>
    </xf>
    <xf numFmtId="0" fontId="14" fillId="0" borderId="2" xfId="0" applyFont="1" applyBorder="1" applyAlignment="1" applyProtection="1">
      <alignment horizontal="right" wrapText="1" indent="1"/>
      <protection hidden="1"/>
    </xf>
    <xf numFmtId="0" fontId="14" fillId="0" borderId="11" xfId="0" applyFont="1" applyBorder="1" applyAlignment="1" applyProtection="1">
      <alignment horizontal="right" wrapText="1" indent="1"/>
      <protection hidden="1"/>
    </xf>
    <xf numFmtId="0" fontId="13" fillId="0" borderId="9" xfId="0" applyFont="1" applyBorder="1" applyAlignment="1" applyProtection="1">
      <alignment horizontal="center" vertical="center"/>
      <protection hidden="1"/>
    </xf>
    <xf numFmtId="38" fontId="13" fillId="0" borderId="9" xfId="3" applyNumberFormat="1" applyFont="1" applyFill="1" applyBorder="1" applyAlignment="1" applyProtection="1">
      <alignment horizontal="center" vertical="center"/>
      <protection hidden="1"/>
    </xf>
    <xf numFmtId="0" fontId="13" fillId="0" borderId="14" xfId="0" applyFont="1" applyBorder="1" applyAlignment="1" applyProtection="1">
      <alignment horizontal="center" vertical="center"/>
      <protection hidden="1"/>
    </xf>
    <xf numFmtId="0" fontId="14" fillId="3" borderId="5" xfId="0" applyFont="1" applyFill="1" applyBorder="1" applyAlignment="1" applyProtection="1">
      <alignment horizontal="center" vertical="center"/>
      <protection hidden="1"/>
    </xf>
    <xf numFmtId="38" fontId="14" fillId="3" borderId="5" xfId="3" applyNumberFormat="1" applyFont="1" applyFill="1" applyBorder="1" applyAlignment="1" applyProtection="1">
      <alignment horizontal="left" vertical="center"/>
      <protection hidden="1"/>
    </xf>
    <xf numFmtId="0" fontId="13" fillId="16" borderId="40" xfId="0" applyFont="1" applyFill="1" applyBorder="1" applyAlignment="1" applyProtection="1">
      <alignment horizontal="left"/>
      <protection hidden="1"/>
    </xf>
    <xf numFmtId="38" fontId="13" fillId="16" borderId="35" xfId="3" applyNumberFormat="1" applyFont="1" applyFill="1" applyBorder="1" applyAlignment="1" applyProtection="1">
      <alignment horizontal="left" vertical="center"/>
      <protection hidden="1"/>
    </xf>
    <xf numFmtId="0" fontId="13" fillId="6" borderId="40" xfId="0" applyFont="1" applyFill="1" applyBorder="1" applyAlignment="1" applyProtection="1">
      <alignment horizontal="left"/>
      <protection hidden="1"/>
    </xf>
    <xf numFmtId="0" fontId="13" fillId="6" borderId="35" xfId="0" applyFont="1" applyFill="1" applyBorder="1" applyAlignment="1" applyProtection="1">
      <alignment horizontal="center" vertical="center"/>
      <protection hidden="1"/>
    </xf>
    <xf numFmtId="38" fontId="13" fillId="6" borderId="35" xfId="3" applyNumberFormat="1" applyFont="1" applyFill="1" applyBorder="1" applyAlignment="1" applyProtection="1">
      <alignment horizontal="center" vertical="center"/>
      <protection hidden="1"/>
    </xf>
    <xf numFmtId="38" fontId="13" fillId="6" borderId="35" xfId="3" applyNumberFormat="1" applyFont="1" applyFill="1" applyBorder="1" applyAlignment="1" applyProtection="1">
      <alignment horizontal="left" vertical="center"/>
      <protection hidden="1"/>
    </xf>
    <xf numFmtId="38" fontId="13" fillId="6" borderId="35" xfId="3" applyNumberFormat="1" applyFont="1" applyFill="1" applyBorder="1" applyAlignment="1" applyProtection="1">
      <alignment horizontal="right" vertical="center"/>
      <protection hidden="1"/>
    </xf>
    <xf numFmtId="0" fontId="13" fillId="6" borderId="36" xfId="0" applyFont="1" applyFill="1" applyBorder="1" applyAlignment="1" applyProtection="1">
      <alignment horizontal="center" vertical="center"/>
      <protection hidden="1"/>
    </xf>
    <xf numFmtId="0" fontId="14" fillId="14" borderId="2" xfId="0" applyFont="1" applyFill="1" applyBorder="1" applyAlignment="1" applyProtection="1">
      <alignment horizontal="right" wrapText="1"/>
      <protection hidden="1"/>
    </xf>
    <xf numFmtId="0" fontId="13" fillId="6" borderId="2" xfId="0" applyFont="1" applyFill="1" applyBorder="1" applyAlignment="1" applyProtection="1">
      <alignment horizontal="left"/>
      <protection hidden="1"/>
    </xf>
    <xf numFmtId="0" fontId="13" fillId="6" borderId="1" xfId="0" applyFont="1" applyFill="1" applyBorder="1" applyAlignment="1" applyProtection="1">
      <alignment horizontal="center" vertical="center"/>
      <protection hidden="1"/>
    </xf>
    <xf numFmtId="38" fontId="13" fillId="6" borderId="1" xfId="3" applyNumberFormat="1" applyFont="1" applyFill="1" applyBorder="1" applyAlignment="1" applyProtection="1">
      <alignment horizontal="center" vertical="center"/>
      <protection hidden="1"/>
    </xf>
    <xf numFmtId="38" fontId="13" fillId="6" borderId="1" xfId="3" applyNumberFormat="1" applyFont="1" applyFill="1" applyBorder="1" applyAlignment="1" applyProtection="1">
      <alignment horizontal="left" vertical="center"/>
      <protection hidden="1"/>
    </xf>
    <xf numFmtId="38" fontId="13" fillId="6" borderId="1" xfId="3" applyNumberFormat="1" applyFont="1" applyFill="1" applyBorder="1" applyAlignment="1" applyProtection="1">
      <alignment horizontal="right" vertical="center"/>
      <protection hidden="1"/>
    </xf>
    <xf numFmtId="0" fontId="13" fillId="6" borderId="7" xfId="0" applyFont="1" applyFill="1" applyBorder="1" applyAlignment="1" applyProtection="1">
      <alignment horizontal="center" vertical="center"/>
      <protection hidden="1"/>
    </xf>
    <xf numFmtId="0" fontId="13" fillId="16" borderId="2" xfId="0" applyFont="1" applyFill="1" applyBorder="1" applyProtection="1">
      <protection hidden="1"/>
    </xf>
    <xf numFmtId="0" fontId="14" fillId="0" borderId="2" xfId="0" applyFont="1" applyBorder="1" applyAlignment="1" applyProtection="1">
      <alignment horizontal="right" indent="1"/>
      <protection hidden="1"/>
    </xf>
    <xf numFmtId="0" fontId="13" fillId="0" borderId="59" xfId="0" applyFont="1" applyBorder="1" applyAlignment="1" applyProtection="1">
      <alignment horizontal="center" vertical="center"/>
      <protection hidden="1"/>
    </xf>
    <xf numFmtId="38" fontId="13" fillId="0" borderId="59" xfId="3" applyNumberFormat="1" applyFont="1" applyFill="1" applyBorder="1" applyAlignment="1" applyProtection="1">
      <alignment horizontal="center" vertical="center"/>
      <protection hidden="1"/>
    </xf>
    <xf numFmtId="38" fontId="13" fillId="0" borderId="59" xfId="3" applyNumberFormat="1" applyFont="1" applyFill="1" applyBorder="1" applyAlignment="1" applyProtection="1">
      <alignment horizontal="left" vertical="center"/>
      <protection hidden="1"/>
    </xf>
    <xf numFmtId="0" fontId="13" fillId="0" borderId="60" xfId="0" applyFont="1" applyBorder="1" applyAlignment="1" applyProtection="1">
      <alignment horizontal="center" vertical="center"/>
      <protection hidden="1"/>
    </xf>
    <xf numFmtId="0" fontId="13" fillId="3" borderId="4" xfId="0" applyFont="1" applyFill="1" applyBorder="1" applyProtection="1">
      <protection hidden="1"/>
    </xf>
    <xf numFmtId="38" fontId="14" fillId="3" borderId="5" xfId="3" applyNumberFormat="1" applyFont="1" applyFill="1" applyBorder="1" applyAlignment="1" applyProtection="1">
      <alignment horizontal="center" vertical="center"/>
      <protection hidden="1"/>
    </xf>
    <xf numFmtId="1" fontId="13" fillId="0" borderId="7" xfId="0" applyNumberFormat="1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38" fontId="13" fillId="17" borderId="1" xfId="3" applyNumberFormat="1" applyFont="1" applyFill="1" applyBorder="1" applyAlignment="1" applyProtection="1">
      <alignment horizontal="center" vertical="center"/>
      <protection hidden="1"/>
    </xf>
    <xf numFmtId="0" fontId="14" fillId="3" borderId="5" xfId="0" applyFont="1" applyFill="1" applyBorder="1" applyProtection="1">
      <protection hidden="1"/>
    </xf>
    <xf numFmtId="38" fontId="13" fillId="3" borderId="5" xfId="3" applyNumberFormat="1" applyFont="1" applyFill="1" applyBorder="1" applyProtection="1">
      <protection hidden="1"/>
    </xf>
    <xf numFmtId="38" fontId="13" fillId="3" borderId="50" xfId="3" applyNumberFormat="1" applyFont="1" applyFill="1" applyBorder="1" applyAlignment="1" applyProtection="1">
      <alignment horizontal="center"/>
      <protection hidden="1"/>
    </xf>
    <xf numFmtId="38" fontId="13" fillId="3" borderId="50" xfId="3" applyNumberFormat="1" applyFont="1" applyFill="1" applyBorder="1" applyAlignment="1" applyProtection="1">
      <alignment horizontal="right"/>
      <protection hidden="1"/>
    </xf>
    <xf numFmtId="1" fontId="13" fillId="3" borderId="6" xfId="0" applyNumberFormat="1" applyFont="1" applyFill="1" applyBorder="1" applyAlignment="1" applyProtection="1">
      <alignment horizontal="center"/>
      <protection hidden="1"/>
    </xf>
    <xf numFmtId="0" fontId="22" fillId="4" borderId="54" xfId="0" applyFont="1" applyFill="1" applyBorder="1" applyAlignment="1" applyProtection="1">
      <alignment horizontal="center" vertical="center" wrapText="1"/>
      <protection hidden="1"/>
    </xf>
    <xf numFmtId="0" fontId="14" fillId="0" borderId="2" xfId="0" applyFont="1" applyBorder="1" applyAlignment="1" applyProtection="1">
      <alignment horizontal="left" wrapText="1" indent="1"/>
      <protection locked="0"/>
    </xf>
    <xf numFmtId="0" fontId="9" fillId="0" borderId="0" xfId="0" applyFont="1" applyProtection="1">
      <protection locked="0"/>
    </xf>
    <xf numFmtId="0" fontId="13" fillId="0" borderId="0" xfId="0" applyFont="1" applyProtection="1">
      <protection locked="0"/>
    </xf>
    <xf numFmtId="38" fontId="14" fillId="0" borderId="0" xfId="0" applyNumberFormat="1" applyFont="1" applyProtection="1">
      <protection locked="0"/>
    </xf>
    <xf numFmtId="166" fontId="14" fillId="0" borderId="0" xfId="0" applyNumberFormat="1" applyFont="1" applyProtection="1">
      <protection locked="0"/>
    </xf>
    <xf numFmtId="9" fontId="14" fillId="0" borderId="0" xfId="2" applyFont="1" applyProtection="1">
      <protection locked="0"/>
    </xf>
    <xf numFmtId="0" fontId="18" fillId="0" borderId="0" xfId="0" applyFont="1" applyAlignment="1" applyProtection="1">
      <alignment horizontal="right" indent="1"/>
      <protection locked="0"/>
    </xf>
    <xf numFmtId="1" fontId="18" fillId="0" borderId="0" xfId="0" applyNumberFormat="1" applyFont="1" applyAlignment="1" applyProtection="1">
      <alignment horizontal="left"/>
      <protection locked="0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 applyProtection="1">
      <alignment horizontal="center" vertical="center" wrapText="1"/>
      <protection locked="0"/>
    </xf>
    <xf numFmtId="9" fontId="13" fillId="2" borderId="6" xfId="2" applyFont="1" applyFill="1" applyBorder="1" applyAlignment="1" applyProtection="1">
      <alignment horizontal="center" vertical="center" wrapText="1"/>
      <protection locked="0"/>
    </xf>
    <xf numFmtId="0" fontId="13" fillId="3" borderId="40" xfId="0" applyFont="1" applyFill="1" applyBorder="1" applyAlignment="1" applyProtection="1">
      <alignment horizontal="left"/>
      <protection locked="0"/>
    </xf>
    <xf numFmtId="0" fontId="13" fillId="3" borderId="35" xfId="0" applyFont="1" applyFill="1" applyBorder="1" applyAlignment="1" applyProtection="1">
      <alignment horizontal="center"/>
      <protection locked="0"/>
    </xf>
    <xf numFmtId="9" fontId="13" fillId="3" borderId="35" xfId="2" applyFont="1" applyFill="1" applyBorder="1" applyAlignment="1" applyProtection="1">
      <alignment horizontal="center"/>
      <protection locked="0"/>
    </xf>
    <xf numFmtId="1" fontId="13" fillId="3" borderId="36" xfId="0" applyNumberFormat="1" applyFont="1" applyFill="1" applyBorder="1" applyAlignment="1" applyProtection="1">
      <alignment horizontal="righ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38" fontId="14" fillId="0" borderId="1" xfId="3" applyNumberFormat="1" applyFont="1" applyFill="1" applyBorder="1" applyProtection="1">
      <protection locked="0"/>
    </xf>
    <xf numFmtId="0" fontId="14" fillId="0" borderId="7" xfId="0" applyFont="1" applyBorder="1" applyProtection="1">
      <protection locked="0"/>
    </xf>
    <xf numFmtId="0" fontId="13" fillId="3" borderId="2" xfId="0" applyFont="1" applyFill="1" applyBorder="1" applyAlignment="1" applyProtection="1">
      <alignment horizontal="left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38" fontId="14" fillId="3" borderId="1" xfId="3" applyNumberFormat="1" applyFont="1" applyFill="1" applyBorder="1" applyProtection="1">
      <protection locked="0"/>
    </xf>
    <xf numFmtId="1" fontId="13" fillId="3" borderId="7" xfId="0" applyNumberFormat="1" applyFont="1" applyFill="1" applyBorder="1" applyAlignment="1" applyProtection="1">
      <alignment horizontal="right"/>
      <protection locked="0"/>
    </xf>
    <xf numFmtId="0" fontId="13" fillId="0" borderId="2" xfId="0" applyFont="1" applyBorder="1" applyAlignment="1" applyProtection="1">
      <alignment horizontal="left"/>
      <protection locked="0"/>
    </xf>
    <xf numFmtId="9" fontId="13" fillId="0" borderId="1" xfId="2" applyFont="1" applyFill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14" fillId="0" borderId="2" xfId="0" applyFont="1" applyBorder="1" applyAlignment="1" applyProtection="1">
      <alignment horizontal="left" indent="1"/>
      <protection locked="0"/>
    </xf>
    <xf numFmtId="38" fontId="14" fillId="0" borderId="1" xfId="0" applyNumberFormat="1" applyFont="1" applyBorder="1" applyAlignment="1" applyProtection="1">
      <alignment horizontal="center"/>
      <protection locked="0"/>
    </xf>
    <xf numFmtId="0" fontId="13" fillId="3" borderId="2" xfId="0" applyFont="1" applyFill="1" applyBorder="1" applyProtection="1">
      <protection locked="0"/>
    </xf>
    <xf numFmtId="0" fontId="13" fillId="0" borderId="2" xfId="0" applyFont="1" applyBorder="1" applyAlignment="1" applyProtection="1">
      <alignment wrapText="1"/>
      <protection locked="0"/>
    </xf>
    <xf numFmtId="1" fontId="13" fillId="0" borderId="7" xfId="0" applyNumberFormat="1" applyFont="1" applyBorder="1" applyAlignment="1" applyProtection="1">
      <alignment horizontal="right"/>
      <protection locked="0"/>
    </xf>
    <xf numFmtId="0" fontId="13" fillId="2" borderId="4" xfId="0" applyFont="1" applyFill="1" applyBorder="1" applyProtection="1">
      <protection locked="0"/>
    </xf>
    <xf numFmtId="0" fontId="14" fillId="2" borderId="5" xfId="0" applyFont="1" applyFill="1" applyBorder="1" applyProtection="1">
      <protection locked="0"/>
    </xf>
    <xf numFmtId="38" fontId="13" fillId="2" borderId="5" xfId="3" applyNumberFormat="1" applyFont="1" applyFill="1" applyBorder="1" applyProtection="1">
      <protection locked="0"/>
    </xf>
    <xf numFmtId="1" fontId="13" fillId="2" borderId="6" xfId="0" applyNumberFormat="1" applyFont="1" applyFill="1" applyBorder="1" applyProtection="1">
      <protection locked="0"/>
    </xf>
    <xf numFmtId="9" fontId="14" fillId="0" borderId="0" xfId="2" applyFont="1" applyFill="1" applyProtection="1">
      <protection locked="0"/>
    </xf>
    <xf numFmtId="9" fontId="9" fillId="0" borderId="0" xfId="2" applyFont="1" applyProtection="1">
      <protection locked="0"/>
    </xf>
    <xf numFmtId="0" fontId="13" fillId="0" borderId="12" xfId="0" applyFont="1" applyBorder="1" applyAlignment="1" applyProtection="1">
      <alignment horizontal="center"/>
      <protection locked="0"/>
    </xf>
    <xf numFmtId="0" fontId="13" fillId="0" borderId="40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15" xfId="0" applyFont="1" applyBorder="1" applyAlignment="1" applyProtection="1">
      <alignment horizontal="center"/>
      <protection locked="0"/>
    </xf>
    <xf numFmtId="0" fontId="13" fillId="0" borderId="58" xfId="0" applyFont="1" applyBorder="1" applyAlignment="1" applyProtection="1">
      <alignment horizontal="center"/>
      <protection locked="0"/>
    </xf>
    <xf numFmtId="0" fontId="13" fillId="0" borderId="43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38" fontId="13" fillId="0" borderId="4" xfId="3" applyNumberFormat="1" applyFont="1" applyFill="1" applyBorder="1" applyAlignment="1" applyProtection="1">
      <alignment horizontal="center"/>
      <protection locked="0"/>
    </xf>
    <xf numFmtId="38" fontId="13" fillId="0" borderId="58" xfId="3" applyNumberFormat="1" applyFont="1" applyFill="1" applyBorder="1" applyAlignment="1" applyProtection="1">
      <alignment horizontal="center"/>
      <protection locked="0"/>
    </xf>
    <xf numFmtId="38" fontId="13" fillId="0" borderId="43" xfId="3" applyNumberFormat="1" applyFont="1" applyFill="1" applyBorder="1" applyAlignment="1" applyProtection="1">
      <alignment horizontal="center"/>
      <protection locked="0"/>
    </xf>
    <xf numFmtId="38" fontId="13" fillId="0" borderId="11" xfId="3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Protection="1">
      <protection locked="0"/>
    </xf>
    <xf numFmtId="0" fontId="24" fillId="0" borderId="0" xfId="0" applyFont="1" applyAlignment="1" applyProtection="1">
      <alignment horizontal="left" vertical="center" indent="1"/>
    </xf>
    <xf numFmtId="0" fontId="9" fillId="0" borderId="0" xfId="0" applyFont="1" applyProtection="1"/>
    <xf numFmtId="1" fontId="12" fillId="0" borderId="40" xfId="0" applyNumberFormat="1" applyFont="1" applyBorder="1" applyAlignment="1" applyProtection="1">
      <alignment horizontal="center" vertical="center" wrapText="1"/>
      <protection hidden="1"/>
    </xf>
    <xf numFmtId="1" fontId="12" fillId="0" borderId="36" xfId="0" applyNumberFormat="1" applyFont="1" applyBorder="1" applyAlignment="1" applyProtection="1">
      <alignment horizontal="center" vertical="center" wrapText="1"/>
      <protection hidden="1"/>
    </xf>
    <xf numFmtId="9" fontId="16" fillId="2" borderId="61" xfId="2" applyFont="1" applyFill="1" applyBorder="1" applyAlignment="1" applyProtection="1">
      <alignment horizontal="center" vertical="center" wrapText="1"/>
    </xf>
    <xf numFmtId="0" fontId="16" fillId="2" borderId="30" xfId="0" applyFont="1" applyFill="1" applyBorder="1" applyAlignment="1" applyProtection="1">
      <alignment horizontal="center" vertical="center" wrapText="1"/>
    </xf>
    <xf numFmtId="0" fontId="16" fillId="2" borderId="31" xfId="0" applyFont="1" applyFill="1" applyBorder="1" applyAlignment="1" applyProtection="1">
      <alignment horizontal="center" vertical="center" wrapText="1"/>
    </xf>
    <xf numFmtId="9" fontId="16" fillId="2" borderId="32" xfId="2" applyFont="1" applyFill="1" applyBorder="1" applyAlignment="1" applyProtection="1">
      <alignment horizontal="center" vertical="center" wrapText="1"/>
    </xf>
    <xf numFmtId="0" fontId="13" fillId="9" borderId="19" xfId="0" applyFont="1" applyFill="1" applyBorder="1" applyAlignment="1" applyProtection="1">
      <alignment horizontal="right" indent="1"/>
    </xf>
    <xf numFmtId="0" fontId="14" fillId="9" borderId="26" xfId="0" applyFont="1" applyFill="1" applyBorder="1" applyProtection="1"/>
    <xf numFmtId="0" fontId="14" fillId="9" borderId="41" xfId="0" applyFont="1" applyFill="1" applyBorder="1" applyProtection="1"/>
    <xf numFmtId="9" fontId="14" fillId="9" borderId="27" xfId="2" applyFont="1" applyFill="1" applyBorder="1" applyProtection="1"/>
    <xf numFmtId="0" fontId="14" fillId="0" borderId="18" xfId="0" applyFont="1" applyBorder="1" applyAlignment="1" applyProtection="1">
      <alignment horizontal="right" indent="1"/>
    </xf>
    <xf numFmtId="9" fontId="14" fillId="4" borderId="2" xfId="0" applyNumberFormat="1" applyFont="1" applyFill="1" applyBorder="1" applyProtection="1"/>
    <xf numFmtId="9" fontId="14" fillId="4" borderId="7" xfId="2" applyFont="1" applyFill="1" applyBorder="1" applyProtection="1"/>
    <xf numFmtId="0" fontId="14" fillId="0" borderId="47" xfId="0" applyFont="1" applyBorder="1" applyAlignment="1" applyProtection="1">
      <alignment horizontal="right" indent="1"/>
    </xf>
    <xf numFmtId="9" fontId="14" fillId="4" borderId="15" xfId="0" applyNumberFormat="1" applyFont="1" applyFill="1" applyBorder="1" applyProtection="1"/>
    <xf numFmtId="9" fontId="14" fillId="4" borderId="10" xfId="2" applyFont="1" applyFill="1" applyBorder="1" applyProtection="1"/>
    <xf numFmtId="0" fontId="13" fillId="9" borderId="41" xfId="0" applyFont="1" applyFill="1" applyBorder="1" applyAlignment="1" applyProtection="1">
      <alignment horizontal="center"/>
    </xf>
    <xf numFmtId="0" fontId="14" fillId="0" borderId="33" xfId="0" applyFont="1" applyBorder="1" applyAlignment="1" applyProtection="1">
      <alignment horizontal="right" indent="1"/>
    </xf>
    <xf numFmtId="9" fontId="14" fillId="4" borderId="40" xfId="0" applyNumberFormat="1" applyFont="1" applyFill="1" applyBorder="1" applyProtection="1"/>
    <xf numFmtId="9" fontId="14" fillId="4" borderId="34" xfId="0" applyNumberFormat="1" applyFont="1" applyFill="1" applyBorder="1" applyProtection="1"/>
    <xf numFmtId="9" fontId="14" fillId="4" borderId="36" xfId="2" applyFont="1" applyFill="1" applyBorder="1" applyProtection="1"/>
    <xf numFmtId="9" fontId="14" fillId="4" borderId="16" xfId="0" applyNumberFormat="1" applyFont="1" applyFill="1" applyBorder="1" applyProtection="1"/>
    <xf numFmtId="9" fontId="14" fillId="4" borderId="22" xfId="0" applyNumberFormat="1" applyFont="1" applyFill="1" applyBorder="1" applyProtection="1"/>
    <xf numFmtId="0" fontId="14" fillId="0" borderId="37" xfId="0" applyFont="1" applyBorder="1" applyAlignment="1" applyProtection="1">
      <alignment horizontal="right" indent="1"/>
    </xf>
    <xf numFmtId="0" fontId="13" fillId="9" borderId="49" xfId="0" applyFont="1" applyFill="1" applyBorder="1" applyAlignment="1" applyProtection="1">
      <alignment horizontal="right" wrapText="1" indent="1"/>
    </xf>
    <xf numFmtId="9" fontId="14" fillId="4" borderId="39" xfId="0" applyNumberFormat="1" applyFont="1" applyFill="1" applyBorder="1" applyProtection="1"/>
    <xf numFmtId="9" fontId="14" fillId="4" borderId="51" xfId="2" applyFont="1" applyFill="1" applyBorder="1" applyProtection="1"/>
    <xf numFmtId="9" fontId="14" fillId="4" borderId="42" xfId="0" applyNumberFormat="1" applyFont="1" applyFill="1" applyBorder="1" applyProtection="1"/>
    <xf numFmtId="9" fontId="14" fillId="4" borderId="46" xfId="2" applyFont="1" applyFill="1" applyBorder="1" applyProtection="1"/>
    <xf numFmtId="0" fontId="14" fillId="0" borderId="49" xfId="0" applyFont="1" applyBorder="1" applyAlignment="1" applyProtection="1">
      <alignment horizontal="right" indent="1"/>
    </xf>
    <xf numFmtId="9" fontId="14" fillId="4" borderId="44" xfId="0" applyNumberFormat="1" applyFont="1" applyFill="1" applyBorder="1" applyProtection="1"/>
    <xf numFmtId="9" fontId="14" fillId="4" borderId="54" xfId="2" applyFont="1" applyFill="1" applyBorder="1" applyProtection="1"/>
    <xf numFmtId="0" fontId="13" fillId="9" borderId="19" xfId="0" applyFont="1" applyFill="1" applyBorder="1" applyAlignment="1" applyProtection="1">
      <alignment horizontal="right" wrapText="1" indent="1"/>
    </xf>
    <xf numFmtId="0" fontId="14" fillId="9" borderId="44" xfId="0" applyFont="1" applyFill="1" applyBorder="1" applyProtection="1"/>
    <xf numFmtId="0" fontId="13" fillId="9" borderId="45" xfId="0" applyFont="1" applyFill="1" applyBorder="1" applyAlignment="1" applyProtection="1">
      <alignment horizontal="center"/>
    </xf>
    <xf numFmtId="9" fontId="14" fillId="9" borderId="54" xfId="2" applyFont="1" applyFill="1" applyBorder="1" applyProtection="1"/>
    <xf numFmtId="9" fontId="13" fillId="9" borderId="26" xfId="2" applyFont="1" applyFill="1" applyBorder="1" applyAlignment="1" applyProtection="1">
      <alignment vertical="top" wrapText="1"/>
    </xf>
    <xf numFmtId="9" fontId="17" fillId="9" borderId="41" xfId="2" applyFont="1" applyFill="1" applyBorder="1" applyAlignment="1" applyProtection="1">
      <alignment vertical="top" wrapText="1"/>
    </xf>
    <xf numFmtId="9" fontId="17" fillId="9" borderId="27" xfId="2" applyFont="1" applyFill="1" applyBorder="1" applyAlignment="1" applyProtection="1">
      <alignment vertical="top" wrapText="1"/>
    </xf>
    <xf numFmtId="9" fontId="14" fillId="4" borderId="1" xfId="0" applyNumberFormat="1" applyFont="1" applyFill="1" applyBorder="1" applyProtection="1"/>
    <xf numFmtId="0" fontId="13" fillId="9" borderId="19" xfId="0" applyFont="1" applyFill="1" applyBorder="1" applyAlignment="1" applyProtection="1">
      <alignment horizontal="right" vertical="center" wrapText="1" indent="1"/>
    </xf>
    <xf numFmtId="9" fontId="16" fillId="11" borderId="19" xfId="2" applyFont="1" applyFill="1" applyBorder="1" applyProtection="1"/>
    <xf numFmtId="0" fontId="11" fillId="0" borderId="0" xfId="0" applyFont="1" applyProtection="1"/>
    <xf numFmtId="9" fontId="11" fillId="0" borderId="0" xfId="2" applyFont="1" applyBorder="1" applyProtection="1"/>
    <xf numFmtId="169" fontId="15" fillId="11" borderId="26" xfId="1" applyNumberFormat="1" applyFont="1" applyFill="1" applyBorder="1" applyAlignment="1" applyProtection="1">
      <alignment vertical="center" wrapText="1"/>
      <protection hidden="1"/>
    </xf>
    <xf numFmtId="164" fontId="12" fillId="0" borderId="64" xfId="1" applyNumberFormat="1" applyFont="1" applyBorder="1" applyAlignment="1" applyProtection="1">
      <alignment horizontal="right" vertical="center" wrapText="1" indent="1"/>
      <protection hidden="1"/>
    </xf>
    <xf numFmtId="164" fontId="12" fillId="0" borderId="66" xfId="1" applyNumberFormat="1" applyFont="1" applyBorder="1" applyAlignment="1" applyProtection="1">
      <alignment horizontal="right" vertical="center" wrapText="1" indent="1"/>
      <protection hidden="1"/>
    </xf>
    <xf numFmtId="164" fontId="10" fillId="0" borderId="62" xfId="1" applyNumberFormat="1" applyFont="1" applyBorder="1" applyAlignment="1" applyProtection="1">
      <alignment horizontal="right" vertical="center" wrapText="1" indent="1"/>
      <protection hidden="1"/>
    </xf>
    <xf numFmtId="164" fontId="10" fillId="0" borderId="75" xfId="1" applyNumberFormat="1" applyFont="1" applyBorder="1" applyAlignment="1" applyProtection="1">
      <alignment horizontal="right" vertical="center" wrapText="1" indent="1"/>
      <protection hidden="1"/>
    </xf>
    <xf numFmtId="164" fontId="12" fillId="0" borderId="62" xfId="1" applyNumberFormat="1" applyFont="1" applyBorder="1" applyAlignment="1" applyProtection="1">
      <alignment horizontal="right" vertical="center" wrapText="1" indent="1"/>
      <protection hidden="1"/>
    </xf>
    <xf numFmtId="169" fontId="15" fillId="11" borderId="19" xfId="1" applyNumberFormat="1" applyFont="1" applyFill="1" applyBorder="1" applyAlignment="1" applyProtection="1">
      <alignment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locked="0"/>
    </xf>
    <xf numFmtId="0" fontId="12" fillId="0" borderId="61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12" fillId="0" borderId="33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right" vertical="center" wrapText="1" inden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/>
      <protection locked="0"/>
    </xf>
    <xf numFmtId="0" fontId="14" fillId="14" borderId="2" xfId="0" applyFont="1" applyFill="1" applyBorder="1" applyAlignment="1" applyProtection="1">
      <alignment horizontal="right" wrapText="1" indent="1"/>
      <protection hidden="1"/>
    </xf>
    <xf numFmtId="0" fontId="14" fillId="0" borderId="2" xfId="0" applyFont="1" applyFill="1" applyBorder="1" applyAlignment="1" applyProtection="1">
      <alignment horizontal="right" indent="1"/>
      <protection hidden="1"/>
    </xf>
    <xf numFmtId="0" fontId="14" fillId="8" borderId="33" xfId="0" applyFont="1" applyFill="1" applyBorder="1" applyAlignment="1" applyProtection="1">
      <alignment horizontal="right" wrapText="1" indent="1"/>
      <protection hidden="1"/>
    </xf>
    <xf numFmtId="0" fontId="14" fillId="8" borderId="53" xfId="0" applyFont="1" applyFill="1" applyBorder="1" applyAlignment="1" applyProtection="1">
      <alignment horizontal="right" wrapText="1" indent="1"/>
      <protection hidden="1"/>
    </xf>
    <xf numFmtId="168" fontId="22" fillId="4" borderId="19" xfId="1" applyNumberFormat="1" applyFont="1" applyFill="1" applyBorder="1" applyAlignment="1" applyProtection="1">
      <alignment horizontal="right" vertical="center" wrapText="1" indent="1"/>
      <protection hidden="1"/>
    </xf>
    <xf numFmtId="170" fontId="9" fillId="0" borderId="0" xfId="1" applyNumberFormat="1" applyFont="1" applyProtection="1">
      <protection locked="0"/>
    </xf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13" fillId="0" borderId="0" xfId="0" applyFont="1" applyFill="1" applyBorder="1" applyAlignment="1" applyProtection="1">
      <alignment horizontal="right" vertical="center" indent="1"/>
      <protection hidden="1"/>
    </xf>
    <xf numFmtId="9" fontId="13" fillId="2" borderId="19" xfId="2" applyFont="1" applyFill="1" applyBorder="1" applyAlignment="1" applyProtection="1">
      <alignment horizontal="center" vertical="center"/>
      <protection hidden="1"/>
    </xf>
    <xf numFmtId="0" fontId="14" fillId="8" borderId="18" xfId="0" applyFont="1" applyFill="1" applyBorder="1" applyProtection="1">
      <protection hidden="1"/>
    </xf>
    <xf numFmtId="0" fontId="13" fillId="8" borderId="35" xfId="0" applyFont="1" applyFill="1" applyBorder="1" applyAlignment="1" applyProtection="1">
      <alignment horizontal="center"/>
      <protection locked="0"/>
    </xf>
    <xf numFmtId="0" fontId="14" fillId="8" borderId="20" xfId="0" applyFont="1" applyFill="1" applyBorder="1" applyProtection="1">
      <protection hidden="1"/>
    </xf>
    <xf numFmtId="0" fontId="14" fillId="8" borderId="47" xfId="0" applyFont="1" applyFill="1" applyBorder="1" applyProtection="1">
      <protection hidden="1"/>
    </xf>
    <xf numFmtId="1" fontId="13" fillId="8" borderId="35" xfId="0" applyNumberFormat="1" applyFont="1" applyFill="1" applyBorder="1" applyAlignment="1" applyProtection="1">
      <alignment horizontal="center"/>
      <protection locked="0"/>
    </xf>
    <xf numFmtId="0" fontId="13" fillId="8" borderId="59" xfId="0" applyFont="1" applyFill="1" applyBorder="1" applyAlignment="1" applyProtection="1">
      <alignment horizontal="center"/>
      <protection locked="0"/>
    </xf>
    <xf numFmtId="0" fontId="14" fillId="8" borderId="23" xfId="0" applyFont="1" applyFill="1" applyBorder="1" applyProtection="1">
      <protection hidden="1"/>
    </xf>
    <xf numFmtId="0" fontId="14" fillId="8" borderId="52" xfId="0" applyFont="1" applyFill="1" applyBorder="1" applyProtection="1">
      <protection hidden="1"/>
    </xf>
    <xf numFmtId="0" fontId="13" fillId="8" borderId="8" xfId="0" applyFont="1" applyFill="1" applyBorder="1" applyAlignment="1" applyProtection="1">
      <alignment horizontal="center"/>
      <protection locked="0"/>
    </xf>
    <xf numFmtId="0" fontId="13" fillId="8" borderId="24" xfId="0" applyFont="1" applyFill="1" applyBorder="1" applyAlignment="1" applyProtection="1">
      <alignment horizontal="center"/>
      <protection locked="0"/>
    </xf>
    <xf numFmtId="169" fontId="13" fillId="9" borderId="19" xfId="1" applyNumberFormat="1" applyFont="1" applyFill="1" applyBorder="1" applyAlignment="1" applyProtection="1">
      <alignment horizontal="center" vertical="center"/>
      <protection locked="0"/>
    </xf>
    <xf numFmtId="0" fontId="14" fillId="0" borderId="57" xfId="0" applyFont="1" applyBorder="1" applyAlignment="1" applyProtection="1">
      <alignment horizontal="left" vertical="center" indent="1"/>
      <protection hidden="1"/>
    </xf>
    <xf numFmtId="169" fontId="13" fillId="3" borderId="47" xfId="1" applyNumberFormat="1" applyFont="1" applyFill="1" applyBorder="1" applyAlignment="1" applyProtection="1">
      <alignment horizontal="center" vertical="center"/>
      <protection locked="0"/>
    </xf>
    <xf numFmtId="0" fontId="14" fillId="0" borderId="26" xfId="0" applyFont="1" applyBorder="1" applyAlignment="1" applyProtection="1">
      <alignment horizontal="left" vertical="center" indent="1"/>
      <protection hidden="1"/>
    </xf>
    <xf numFmtId="0" fontId="13" fillId="5" borderId="3" xfId="0" applyFont="1" applyFill="1" applyBorder="1" applyAlignment="1" applyProtection="1">
      <alignment horizontal="center" vertical="center"/>
      <protection locked="0"/>
    </xf>
    <xf numFmtId="0" fontId="17" fillId="12" borderId="5" xfId="0" applyFont="1" applyFill="1" applyBorder="1" applyAlignment="1" applyProtection="1">
      <alignment horizontal="center" vertical="center"/>
      <protection locked="0"/>
    </xf>
    <xf numFmtId="170" fontId="22" fillId="13" borderId="1" xfId="1" applyNumberFormat="1" applyFont="1" applyFill="1" applyBorder="1" applyAlignment="1" applyProtection="1">
      <alignment vertical="center" wrapText="1"/>
      <protection hidden="1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9" xfId="0" applyFont="1" applyFill="1" applyBorder="1" applyAlignment="1" applyProtection="1">
      <alignment horizontal="center"/>
      <protection locked="0"/>
    </xf>
    <xf numFmtId="0" fontId="14" fillId="4" borderId="59" xfId="0" applyFont="1" applyFill="1" applyBorder="1" applyAlignment="1" applyProtection="1">
      <alignment horizontal="center"/>
      <protection locked="0"/>
    </xf>
    <xf numFmtId="0" fontId="14" fillId="4" borderId="35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3" fillId="5" borderId="15" xfId="0" applyFont="1" applyFill="1" applyBorder="1" applyAlignment="1" applyProtection="1">
      <alignment horizontal="right" vertical="center" wrapText="1" indent="1"/>
      <protection hidden="1"/>
    </xf>
    <xf numFmtId="0" fontId="14" fillId="0" borderId="4" xfId="0" applyFont="1" applyBorder="1" applyAlignment="1" applyProtection="1">
      <alignment horizontal="left" vertical="center" wrapText="1"/>
      <protection hidden="1"/>
    </xf>
    <xf numFmtId="4" fontId="14" fillId="3" borderId="3" xfId="0" applyNumberFormat="1" applyFont="1" applyFill="1" applyBorder="1" applyAlignment="1" applyProtection="1">
      <alignment horizontal="center" vertical="center"/>
      <protection hidden="1"/>
    </xf>
    <xf numFmtId="0" fontId="13" fillId="8" borderId="12" xfId="0" applyFont="1" applyFill="1" applyBorder="1" applyAlignment="1" applyProtection="1">
      <alignment horizontal="center"/>
      <protection locked="0"/>
    </xf>
    <xf numFmtId="0" fontId="13" fillId="8" borderId="40" xfId="0" applyFont="1" applyFill="1" applyBorder="1" applyAlignment="1" applyProtection="1">
      <alignment horizontal="center"/>
      <protection locked="0"/>
    </xf>
    <xf numFmtId="0" fontId="13" fillId="8" borderId="2" xfId="0" applyFont="1" applyFill="1" applyBorder="1" applyAlignment="1" applyProtection="1">
      <alignment horizontal="center"/>
      <protection locked="0"/>
    </xf>
    <xf numFmtId="0" fontId="13" fillId="8" borderId="72" xfId="0" applyFont="1" applyFill="1" applyBorder="1" applyAlignment="1" applyProtection="1">
      <alignment horizontal="center" vertical="center"/>
      <protection locked="0"/>
    </xf>
    <xf numFmtId="0" fontId="13" fillId="8" borderId="5" xfId="0" applyFont="1" applyFill="1" applyBorder="1" applyAlignment="1" applyProtection="1">
      <alignment horizontal="center" vertical="center"/>
      <protection locked="0"/>
    </xf>
    <xf numFmtId="169" fontId="13" fillId="5" borderId="19" xfId="1" applyNumberFormat="1" applyFont="1" applyFill="1" applyBorder="1" applyAlignment="1" applyProtection="1">
      <alignment horizontal="center" vertical="center"/>
      <protection locked="0"/>
    </xf>
    <xf numFmtId="169" fontId="13" fillId="5" borderId="19" xfId="1" applyNumberFormat="1" applyFont="1" applyFill="1" applyBorder="1" applyAlignment="1" applyProtection="1">
      <alignment horizontal="center" vertical="center"/>
      <protection hidden="1"/>
    </xf>
    <xf numFmtId="166" fontId="14" fillId="5" borderId="35" xfId="0" applyNumberFormat="1" applyFont="1" applyFill="1" applyBorder="1" applyProtection="1">
      <protection hidden="1"/>
    </xf>
    <xf numFmtId="38" fontId="14" fillId="4" borderId="1" xfId="3" applyNumberFormat="1" applyFont="1" applyFill="1" applyBorder="1" applyAlignment="1" applyProtection="1">
      <alignment horizontal="right"/>
      <protection locked="0"/>
    </xf>
    <xf numFmtId="0" fontId="15" fillId="11" borderId="26" xfId="0" applyFont="1" applyFill="1" applyBorder="1" applyAlignment="1" applyProtection="1">
      <alignment horizontal="right" vertical="center" wrapText="1" indent="1"/>
      <protection hidden="1"/>
    </xf>
    <xf numFmtId="0" fontId="15" fillId="11" borderId="41" xfId="0" applyFont="1" applyFill="1" applyBorder="1" applyAlignment="1" applyProtection="1">
      <alignment horizontal="right" vertical="center" wrapText="1" indent="1"/>
      <protection hidden="1"/>
    </xf>
    <xf numFmtId="0" fontId="22" fillId="4" borderId="4" xfId="0" applyFont="1" applyFill="1" applyBorder="1" applyAlignment="1" applyProtection="1">
      <alignment horizontal="center" vertical="center" wrapText="1"/>
      <protection hidden="1"/>
    </xf>
    <xf numFmtId="0" fontId="22" fillId="4" borderId="6" xfId="0" applyFont="1" applyFill="1" applyBorder="1" applyAlignment="1" applyProtection="1">
      <alignment horizontal="center" vertical="center" wrapText="1"/>
      <protection hidden="1"/>
    </xf>
    <xf numFmtId="0" fontId="22" fillId="4" borderId="55" xfId="0" applyFont="1" applyFill="1" applyBorder="1" applyAlignment="1" applyProtection="1">
      <alignment horizontal="center" vertical="center" wrapText="1"/>
      <protection hidden="1"/>
    </xf>
    <xf numFmtId="0" fontId="22" fillId="4" borderId="54" xfId="0" applyFont="1" applyFill="1" applyBorder="1" applyAlignment="1" applyProtection="1">
      <alignment horizontal="center" vertical="center" wrapText="1"/>
      <protection hidden="1"/>
    </xf>
    <xf numFmtId="0" fontId="22" fillId="4" borderId="53" xfId="0" applyFont="1" applyFill="1" applyBorder="1" applyAlignment="1" applyProtection="1">
      <alignment horizontal="center" vertical="center" wrapText="1"/>
      <protection hidden="1"/>
    </xf>
    <xf numFmtId="0" fontId="22" fillId="4" borderId="44" xfId="0" applyFont="1" applyFill="1" applyBorder="1" applyAlignment="1" applyProtection="1">
      <alignment horizontal="center" vertical="center" wrapText="1"/>
      <protection hidden="1"/>
    </xf>
    <xf numFmtId="0" fontId="13" fillId="4" borderId="61" xfId="0" applyFont="1" applyFill="1" applyBorder="1" applyAlignment="1" applyProtection="1">
      <alignment horizontal="center" vertical="center" wrapText="1"/>
      <protection hidden="1"/>
    </xf>
    <xf numFmtId="0" fontId="13" fillId="4" borderId="49" xfId="0" applyFont="1" applyFill="1" applyBorder="1" applyAlignment="1" applyProtection="1">
      <alignment horizontal="center" vertical="center" wrapText="1"/>
      <protection hidden="1"/>
    </xf>
    <xf numFmtId="0" fontId="20" fillId="3" borderId="45" xfId="0" applyFont="1" applyFill="1" applyBorder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16" fillId="2" borderId="44" xfId="0" applyFont="1" applyFill="1" applyBorder="1" applyAlignment="1" applyProtection="1">
      <alignment horizontal="right" indent="1"/>
      <protection hidden="1"/>
    </xf>
    <xf numFmtId="0" fontId="16" fillId="2" borderId="45" xfId="0" applyFont="1" applyFill="1" applyBorder="1" applyAlignment="1" applyProtection="1">
      <alignment horizontal="right" indent="1"/>
      <protection hidden="1"/>
    </xf>
    <xf numFmtId="0" fontId="16" fillId="2" borderId="54" xfId="0" applyFont="1" applyFill="1" applyBorder="1" applyAlignment="1" applyProtection="1">
      <alignment horizontal="right" indent="1"/>
      <protection hidden="1"/>
    </xf>
    <xf numFmtId="0" fontId="16" fillId="6" borderId="26" xfId="0" applyFont="1" applyFill="1" applyBorder="1" applyAlignment="1" applyProtection="1">
      <alignment horizontal="right" indent="1"/>
      <protection hidden="1"/>
    </xf>
    <xf numFmtId="0" fontId="16" fillId="6" borderId="27" xfId="0" applyFont="1" applyFill="1" applyBorder="1" applyAlignment="1" applyProtection="1">
      <alignment horizontal="right" indent="1"/>
      <protection hidden="1"/>
    </xf>
    <xf numFmtId="0" fontId="16" fillId="2" borderId="26" xfId="0" applyFont="1" applyFill="1" applyBorder="1" applyAlignment="1" applyProtection="1">
      <alignment horizontal="right" indent="1"/>
      <protection hidden="1"/>
    </xf>
    <xf numFmtId="0" fontId="16" fillId="2" borderId="41" xfId="0" applyFont="1" applyFill="1" applyBorder="1" applyAlignment="1" applyProtection="1">
      <alignment horizontal="right" indent="1"/>
      <protection hidden="1"/>
    </xf>
    <xf numFmtId="0" fontId="16" fillId="2" borderId="27" xfId="0" applyFont="1" applyFill="1" applyBorder="1" applyAlignment="1" applyProtection="1">
      <alignment horizontal="right" indent="1"/>
      <protection hidden="1"/>
    </xf>
    <xf numFmtId="0" fontId="16" fillId="11" borderId="26" xfId="0" applyFont="1" applyFill="1" applyBorder="1" applyAlignment="1" applyProtection="1">
      <alignment horizontal="right" vertical="center" indent="1"/>
    </xf>
    <xf numFmtId="0" fontId="16" fillId="11" borderId="41" xfId="0" applyFont="1" applyFill="1" applyBorder="1" applyAlignment="1" applyProtection="1">
      <alignment horizontal="right" vertical="center" indent="1"/>
    </xf>
    <xf numFmtId="0" fontId="16" fillId="11" borderId="27" xfId="0" applyFont="1" applyFill="1" applyBorder="1" applyAlignment="1" applyProtection="1">
      <alignment horizontal="right" vertical="center" indent="1"/>
    </xf>
    <xf numFmtId="0" fontId="16" fillId="6" borderId="26" xfId="0" applyFont="1" applyFill="1" applyBorder="1" applyAlignment="1" applyProtection="1">
      <alignment horizontal="right" wrapText="1" indent="1"/>
      <protection hidden="1"/>
    </xf>
    <xf numFmtId="0" fontId="16" fillId="6" borderId="41" xfId="0" applyFont="1" applyFill="1" applyBorder="1" applyAlignment="1" applyProtection="1">
      <alignment horizontal="right" wrapText="1" indent="1"/>
      <protection hidden="1"/>
    </xf>
    <xf numFmtId="0" fontId="16" fillId="6" borderId="27" xfId="0" applyFont="1" applyFill="1" applyBorder="1" applyAlignment="1" applyProtection="1">
      <alignment horizontal="right" wrapText="1" indent="1"/>
      <protection hidden="1"/>
    </xf>
    <xf numFmtId="0" fontId="16" fillId="11" borderId="26" xfId="0" applyFont="1" applyFill="1" applyBorder="1" applyAlignment="1" applyProtection="1">
      <alignment horizontal="right" wrapText="1" indent="1"/>
      <protection hidden="1"/>
    </xf>
    <xf numFmtId="0" fontId="16" fillId="11" borderId="41" xfId="0" applyFont="1" applyFill="1" applyBorder="1" applyAlignment="1" applyProtection="1">
      <alignment horizontal="right" wrapText="1" indent="1"/>
      <protection hidden="1"/>
    </xf>
    <xf numFmtId="0" fontId="16" fillId="11" borderId="27" xfId="0" applyFont="1" applyFill="1" applyBorder="1" applyAlignment="1" applyProtection="1">
      <alignment horizontal="right" wrapText="1" indent="1"/>
      <protection hidden="1"/>
    </xf>
    <xf numFmtId="0" fontId="13" fillId="7" borderId="38" xfId="0" applyFont="1" applyFill="1" applyBorder="1" applyAlignment="1" applyProtection="1">
      <alignment horizontal="left" vertical="center" wrapText="1"/>
      <protection hidden="1"/>
    </xf>
    <xf numFmtId="0" fontId="13" fillId="7" borderId="69" xfId="0" applyFont="1" applyFill="1" applyBorder="1" applyAlignment="1" applyProtection="1">
      <alignment horizontal="left" vertical="center" wrapText="1"/>
      <protection hidden="1"/>
    </xf>
    <xf numFmtId="0" fontId="13" fillId="7" borderId="21" xfId="0" applyFont="1" applyFill="1" applyBorder="1" applyAlignment="1" applyProtection="1">
      <alignment horizontal="left" vertical="center" wrapText="1"/>
      <protection hidden="1"/>
    </xf>
    <xf numFmtId="0" fontId="13" fillId="7" borderId="38" xfId="0" applyFont="1" applyFill="1" applyBorder="1" applyAlignment="1" applyProtection="1">
      <alignment horizontal="left" vertical="center"/>
      <protection hidden="1"/>
    </xf>
    <xf numFmtId="0" fontId="13" fillId="7" borderId="69" xfId="0" applyFont="1" applyFill="1" applyBorder="1" applyAlignment="1" applyProtection="1">
      <alignment horizontal="left" vertical="center"/>
      <protection hidden="1"/>
    </xf>
    <xf numFmtId="0" fontId="13" fillId="7" borderId="21" xfId="0" applyFont="1" applyFill="1" applyBorder="1" applyAlignment="1" applyProtection="1">
      <alignment horizontal="left" vertical="center"/>
      <protection hidden="1"/>
    </xf>
    <xf numFmtId="0" fontId="10" fillId="0" borderId="35" xfId="0" applyFont="1" applyBorder="1" applyAlignment="1" applyProtection="1">
      <alignment horizontal="left" vertical="center" wrapText="1"/>
      <protection hidden="1"/>
    </xf>
    <xf numFmtId="0" fontId="10" fillId="0" borderId="36" xfId="0" applyFont="1" applyBorder="1" applyAlignment="1" applyProtection="1">
      <alignment horizontal="left" vertical="center" wrapText="1"/>
      <protection hidden="1"/>
    </xf>
    <xf numFmtId="0" fontId="15" fillId="4" borderId="5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left" vertical="center" wrapText="1"/>
      <protection hidden="1"/>
    </xf>
    <xf numFmtId="0" fontId="10" fillId="0" borderId="7" xfId="0" applyFont="1" applyBorder="1" applyAlignment="1" applyProtection="1">
      <alignment horizontal="left" vertical="center" wrapText="1"/>
      <protection hidden="1"/>
    </xf>
    <xf numFmtId="0" fontId="10" fillId="0" borderId="9" xfId="0" applyFont="1" applyBorder="1" applyAlignment="1" applyProtection="1">
      <alignment horizontal="left" vertical="center" wrapText="1"/>
      <protection hidden="1"/>
    </xf>
    <xf numFmtId="0" fontId="10" fillId="0" borderId="14" xfId="0" applyFont="1" applyBorder="1" applyAlignment="1" applyProtection="1">
      <alignment horizontal="left" vertical="center" wrapText="1"/>
      <protection hidden="1"/>
    </xf>
    <xf numFmtId="0" fontId="16" fillId="11" borderId="26" xfId="0" applyFont="1" applyFill="1" applyBorder="1" applyAlignment="1" applyProtection="1">
      <alignment horizontal="right" vertical="center" wrapText="1" indent="1"/>
      <protection hidden="1"/>
    </xf>
    <xf numFmtId="0" fontId="16" fillId="11" borderId="41" xfId="0" applyFont="1" applyFill="1" applyBorder="1" applyAlignment="1" applyProtection="1">
      <alignment horizontal="right" vertical="center" wrapText="1" indent="1"/>
      <protection hidden="1"/>
    </xf>
    <xf numFmtId="0" fontId="16" fillId="11" borderId="17" xfId="0" applyFont="1" applyFill="1" applyBorder="1" applyAlignment="1" applyProtection="1">
      <alignment horizontal="right" vertical="center" wrapText="1" indent="1"/>
      <protection hidden="1"/>
    </xf>
  </cellXfs>
  <cellStyles count="5">
    <cellStyle name="Heading 2 2" xfId="4" xr:uid="{00000000-0005-0000-0000-000000000000}"/>
    <cellStyle name="Денежный" xfId="1" builtinId="4"/>
    <cellStyle name="Обычный" xfId="0" builtinId="0"/>
    <cellStyle name="Процентный" xfId="2" builtinId="5"/>
    <cellStyle name="Финансовый" xfId="3" builtinId="3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FD1FF"/>
      <color rgb="FFFC1C04"/>
      <color rgb="FF85DFFF"/>
      <color rgb="FFFC8680"/>
      <color rgb="FFFD5A49"/>
      <color rgb="FFFFFF99"/>
      <color rgb="FFFFFFCC"/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ур Мухамедшин" refreshedDate="43965.393959837966" createdVersion="6" refreshedVersion="6" minRefreshableVersion="3" recordCount="47" xr:uid="{00000000-000A-0000-FFFF-FFFF00000000}">
  <cacheSource type="worksheet">
    <worksheetSource ref="A170:F220" sheet="Калькулятор"/>
  </cacheSource>
  <cacheFields count="6">
    <cacheField name="Работы" numFmtId="0">
      <sharedItems count="47">
        <s v="Этап 1. Проектирование системы (считается от трудозатрат по настройке)"/>
        <s v="Обследование, анализ процессов, написание технического проекта"/>
        <s v="Управление планированием и проектированием, методологическая помощь"/>
        <s v="Проектирование доработок"/>
        <s v="Этап 2. Подготовка системы к запуску"/>
        <s v="2.1 Настройка системы (считается от трудозатрат по настройке)"/>
        <s v="Настройка и тестирование системы, подготовка РИ"/>
        <s v="Управление настройкой системы, методологическая помощь"/>
        <s v="Оказание помощи при настройке системы"/>
        <s v="2.2 Разработка"/>
        <s v="Количество часов на риски ошибок в типовом продукте (считается от трудозатрат по процессам)"/>
        <s v="Количество часов разработки"/>
        <s v="Количество часов проектировани и контроля (считается от трудозатрат разработки)"/>
        <s v="Количество часов тестирования (считается от трудозатрат разработки)"/>
        <s v="Количество часов документирования (считается от трудозатрат разработки)"/>
        <s v="Руководство подэтапом (считается от трудозатрат подэтапа)"/>
        <s v="2.2 Обмен данными"/>
        <s v="Обмен данными со стороны WMS"/>
        <s v="Обмен данными со стороны КИС "/>
        <s v="Тестирование обмена данными"/>
        <s v="2.3 Установка"/>
        <s v="Установка сервера 1С (за 1 шт.)"/>
        <s v="Установка ТСД (за 1 шт.)"/>
        <s v="Установка принтера (за 1 шт.)"/>
        <s v="Установка стационарных р.м. со сканером шк (за 1 шт.)"/>
        <s v="2.4 Приемочное тестирование (считается от трудозатрат по процессам)"/>
        <s v="Проведение тестирования"/>
        <s v="Управление подэтапом"/>
        <s v="Оказание помощи при приемочном тестировании"/>
        <s v="Этап 3. Запуск системы в промышленную эксплуатацию"/>
        <s v="3.1 Обучение"/>
        <s v="Обучение диспетчеров системы (за 1 курс не более 5 человек) "/>
        <s v="Обучение кладовщиков (за 1 курс не более 10 человек)"/>
        <s v="Руководство проектом (считается от трудозатрат подэтапа)"/>
        <s v="3.2 Работа с данными (помощь заказчику)"/>
        <s v="Отсутствует информация о ВГХ в системе заказчика более чем у 50% товаров"/>
        <s v="Отсутствует информация о ШК в системе заказчика более чем у 50% товаров"/>
        <s v="3.3 Запуск и начальное сопровождение"/>
        <s v="Запуск системы в эксплуатацию (считается от трудозатрат по процессам)"/>
        <s v="Количество часов поддержки в вечернее время (рабочий день)"/>
        <s v="Количество часов поддержки в ночное время (рабочий день)"/>
        <s v="Количество часов поддержки в дневное время (выходной день)"/>
        <s v="Количество часов поддержки в вечернее время (выходной день)"/>
        <s v="Количество часов поддержки в ночное время (выходной день)"/>
        <s v="Доработка в процессе запуска (считается от трудозатртат на поддержку)"/>
        <s v="Управление подэтапом (считается от трудозатрат на поддержку)"/>
        <s v="ИТОГО"/>
      </sharedItems>
    </cacheField>
    <cacheField name="Ресурсы" numFmtId="0">
      <sharedItems containsBlank="1" count="6">
        <m/>
        <s v="Консультант"/>
        <s v="РП"/>
        <s v="Архитектор"/>
        <s v="Разработчик"/>
        <s v="Инженер"/>
      </sharedItems>
    </cacheField>
    <cacheField name="Распределение" numFmtId="0">
      <sharedItems containsString="0" containsBlank="1" containsNumber="1" minValue="0" maxValue="0.75"/>
    </cacheField>
    <cacheField name="Часов" numFmtId="0">
      <sharedItems containsString="0" containsBlank="1" containsNumber="1" minValue="0" maxValue="81"/>
    </cacheField>
    <cacheField name="Повторов" numFmtId="0">
      <sharedItems containsString="0" containsBlank="1" containsNumber="1" containsInteger="1" minValue="0" maxValue="20"/>
    </cacheField>
    <cacheField name="Трудозатраты" numFmtId="0">
      <sharedItems containsString="0" containsBlank="1" containsNumber="1" minValue="0" maxValue="360.17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ур Мухамедшин" refreshedDate="43965.395354050925" createdVersion="6" refreshedVersion="6" minRefreshableVersion="3" recordCount="46" xr:uid="{00000000-000A-0000-FFFF-FFFF01000000}">
  <cacheSource type="worksheet">
    <worksheetSource ref="A170:F219" sheet="Калькулятор"/>
  </cacheSource>
  <cacheFields count="6">
    <cacheField name="Работы" numFmtId="0">
      <sharedItems count="46">
        <s v="Этап 1. Проектирование системы (считается от трудозатрат по настройке)"/>
        <s v="Обследование, анализ процессов, написание технического проекта"/>
        <s v="Управление планированием и проектированием, методологическая помощь"/>
        <s v="Проектирование доработок"/>
        <s v="Этап 2. Подготовка системы к запуску"/>
        <s v="2.1 Настройка системы (считается от трудозатрат по настройке)"/>
        <s v="Настройка и тестирование системы, подготовка РИ"/>
        <s v="Управление настройкой системы, методологическая помощь"/>
        <s v="Оказание помощи при настройке системы"/>
        <s v="2.2 Разработка"/>
        <s v="Количество часов на риски ошибок в типовом продукте (считается от трудозатрат по процессам)"/>
        <s v="Количество часов разработки"/>
        <s v="Количество часов проектировани и контроля (считается от трудозатрат разработки)"/>
        <s v="Количество часов тестирования (считается от трудозатрат разработки)"/>
        <s v="Количество часов документирования (считается от трудозатрат разработки)"/>
        <s v="Руководство подэтапом (считается от трудозатрат подэтапа)"/>
        <s v="2.2 Обмен данными"/>
        <s v="Обмен данными со стороны WMS"/>
        <s v="Обмен данными со стороны КИС "/>
        <s v="Тестирование обмена данными"/>
        <s v="2.3 Установка"/>
        <s v="Установка сервера 1С (за 1 шт.)"/>
        <s v="Установка ТСД (за 1 шт.)"/>
        <s v="Установка принтера (за 1 шт.)"/>
        <s v="Установка стационарных р.м. со сканером шк (за 1 шт.)"/>
        <s v="2.4 Приемочное тестирование (считается от трудозатрат по процессам)"/>
        <s v="Проведение тестирования"/>
        <s v="Управление подэтапом"/>
        <s v="Оказание помощи при приемочном тестировании"/>
        <s v="Этап 3. Запуск системы в промышленную эксплуатацию"/>
        <s v="3.1 Обучение"/>
        <s v="Обучение диспетчеров системы (за 1 курс не более 5 человек) "/>
        <s v="Обучение кладовщиков (за 1 курс не более 10 человек)"/>
        <s v="Руководство проектом (считается от трудозатрат подэтапа)"/>
        <s v="3.2 Работа с данными (помощь заказчику)"/>
        <s v="Отсутствует информация о ВГХ в системе заказчика более чем у 50% товаров"/>
        <s v="Отсутствует информация о ШК в системе заказчика более чем у 50% товаров"/>
        <s v="3.3 Запуск и начальное сопровождение"/>
        <s v="Запуск системы в эксплуатацию (считается от трудозатрат по процессам)"/>
        <s v="Количество часов поддержки в вечернее время (рабочий день)"/>
        <s v="Количество часов поддержки в ночное время (рабочий день)"/>
        <s v="Количество часов поддержки в дневное время (выходной день)"/>
        <s v="Количество часов поддержки в вечернее время (выходной день)"/>
        <s v="Количество часов поддержки в ночное время (выходной день)"/>
        <s v="Доработка в процессе запуска (считается от трудозатртат на поддержку)"/>
        <s v="Управление подэтапом (считается от трудозатрат на поддержку)"/>
      </sharedItems>
    </cacheField>
    <cacheField name="Ресурсы" numFmtId="0">
      <sharedItems containsBlank="1" count="6">
        <m/>
        <s v="Консультант"/>
        <s v="РП"/>
        <s v="Архитектор"/>
        <s v="Разработчик"/>
        <s v="Инженер"/>
      </sharedItems>
    </cacheField>
    <cacheField name="Распределение" numFmtId="0">
      <sharedItems containsString="0" containsBlank="1" containsNumber="1" minValue="0" maxValue="0.75"/>
    </cacheField>
    <cacheField name="Часов" numFmtId="0">
      <sharedItems containsString="0" containsBlank="1" containsNumber="1" minValue="0" maxValue="81"/>
    </cacheField>
    <cacheField name="Повторов" numFmtId="0">
      <sharedItems containsString="0" containsBlank="1" containsNumber="1" containsInteger="1" minValue="0" maxValue="20"/>
    </cacheField>
    <cacheField name="Трудозатраты" numFmtId="0">
      <sharedItems containsString="0" containsBlank="1" containsNumber="1" minValue="0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0.4"/>
    <m/>
    <m/>
    <m/>
  </r>
  <r>
    <x v="1"/>
    <x v="1"/>
    <n v="0.7"/>
    <n v="75.600000000000009"/>
    <n v="1"/>
    <n v="75.600000000000009"/>
  </r>
  <r>
    <x v="2"/>
    <x v="2"/>
    <n v="0.3"/>
    <n v="32.4"/>
    <n v="1"/>
    <n v="32.4"/>
  </r>
  <r>
    <x v="3"/>
    <x v="1"/>
    <n v="0.1"/>
    <n v="0"/>
    <n v="1"/>
    <n v="0"/>
  </r>
  <r>
    <x v="4"/>
    <x v="0"/>
    <m/>
    <m/>
    <m/>
    <m/>
  </r>
  <r>
    <x v="5"/>
    <x v="0"/>
    <n v="0.25"/>
    <m/>
    <m/>
    <m/>
  </r>
  <r>
    <x v="6"/>
    <x v="1"/>
    <n v="0.7"/>
    <n v="47.25"/>
    <n v="1"/>
    <n v="47.25"/>
  </r>
  <r>
    <x v="7"/>
    <x v="2"/>
    <n v="0.3"/>
    <n v="20.25"/>
    <n v="1"/>
    <n v="20.25"/>
  </r>
  <r>
    <x v="8"/>
    <x v="3"/>
    <n v="0"/>
    <n v="0"/>
    <n v="1"/>
    <n v="0"/>
  </r>
  <r>
    <x v="9"/>
    <x v="0"/>
    <m/>
    <m/>
    <m/>
    <m/>
  </r>
  <r>
    <x v="10"/>
    <x v="4"/>
    <n v="0.05"/>
    <n v="13.5"/>
    <n v="1"/>
    <n v="13.5"/>
  </r>
  <r>
    <x v="11"/>
    <x v="4"/>
    <m/>
    <n v="0"/>
    <n v="1"/>
    <n v="0"/>
  </r>
  <r>
    <x v="12"/>
    <x v="3"/>
    <n v="0.1"/>
    <n v="1.35"/>
    <n v="1"/>
    <n v="1.35"/>
  </r>
  <r>
    <x v="13"/>
    <x v="1"/>
    <n v="0.3"/>
    <n v="4.05"/>
    <n v="1"/>
    <n v="4.05"/>
  </r>
  <r>
    <x v="14"/>
    <x v="1"/>
    <n v="0.1"/>
    <n v="0"/>
    <n v="1"/>
    <n v="0"/>
  </r>
  <r>
    <x v="15"/>
    <x v="2"/>
    <n v="0.1"/>
    <n v="1.89"/>
    <n v="1"/>
    <n v="1.89"/>
  </r>
  <r>
    <x v="16"/>
    <x v="0"/>
    <m/>
    <m/>
    <m/>
    <m/>
  </r>
  <r>
    <x v="17"/>
    <x v="4"/>
    <m/>
    <n v="0"/>
    <n v="1"/>
    <n v="0"/>
  </r>
  <r>
    <x v="18"/>
    <x v="4"/>
    <m/>
    <n v="0"/>
    <n v="1"/>
    <n v="0"/>
  </r>
  <r>
    <x v="19"/>
    <x v="1"/>
    <n v="0.3"/>
    <n v="0"/>
    <n v="1"/>
    <n v="0"/>
  </r>
  <r>
    <x v="20"/>
    <x v="0"/>
    <m/>
    <m/>
    <m/>
    <m/>
  </r>
  <r>
    <x v="21"/>
    <x v="5"/>
    <m/>
    <n v="8"/>
    <n v="0"/>
    <n v="0"/>
  </r>
  <r>
    <x v="22"/>
    <x v="5"/>
    <m/>
    <n v="0.25"/>
    <n v="20"/>
    <n v="5.75"/>
  </r>
  <r>
    <x v="23"/>
    <x v="5"/>
    <m/>
    <n v="1"/>
    <n v="0"/>
    <n v="0"/>
  </r>
  <r>
    <x v="24"/>
    <x v="5"/>
    <m/>
    <n v="1"/>
    <n v="0"/>
    <n v="0"/>
  </r>
  <r>
    <x v="25"/>
    <x v="0"/>
    <n v="0.05"/>
    <m/>
    <m/>
    <m/>
  </r>
  <r>
    <x v="26"/>
    <x v="1"/>
    <n v="0.75"/>
    <n v="10.125"/>
    <n v="1"/>
    <n v="10.125"/>
  </r>
  <r>
    <x v="27"/>
    <x v="2"/>
    <n v="0.25"/>
    <n v="3.375"/>
    <n v="1"/>
    <n v="3.375"/>
  </r>
  <r>
    <x v="28"/>
    <x v="3"/>
    <n v="0"/>
    <n v="0"/>
    <n v="1"/>
    <n v="0"/>
  </r>
  <r>
    <x v="29"/>
    <x v="0"/>
    <m/>
    <m/>
    <m/>
    <m/>
  </r>
  <r>
    <x v="30"/>
    <x v="0"/>
    <m/>
    <m/>
    <m/>
    <m/>
  </r>
  <r>
    <x v="31"/>
    <x v="1"/>
    <m/>
    <n v="8"/>
    <n v="1"/>
    <n v="8"/>
  </r>
  <r>
    <x v="32"/>
    <x v="1"/>
    <m/>
    <n v="8"/>
    <n v="2"/>
    <n v="16"/>
  </r>
  <r>
    <x v="33"/>
    <x v="2"/>
    <n v="0.2"/>
    <m/>
    <m/>
    <n v="4.8000000000000007"/>
  </r>
  <r>
    <x v="34"/>
    <x v="0"/>
    <m/>
    <m/>
    <m/>
    <m/>
  </r>
  <r>
    <x v="35"/>
    <x v="1"/>
    <m/>
    <n v="15"/>
    <n v="0"/>
    <n v="0"/>
  </r>
  <r>
    <x v="36"/>
    <x v="1"/>
    <m/>
    <n v="15"/>
    <n v="0"/>
    <n v="0"/>
  </r>
  <r>
    <x v="37"/>
    <x v="0"/>
    <m/>
    <m/>
    <m/>
    <m/>
  </r>
  <r>
    <x v="38"/>
    <x v="1"/>
    <n v="0.3"/>
    <n v="81"/>
    <n v="1"/>
    <n v="81"/>
  </r>
  <r>
    <x v="39"/>
    <x v="1"/>
    <m/>
    <n v="0"/>
    <n v="1"/>
    <n v="0"/>
  </r>
  <r>
    <x v="40"/>
    <x v="1"/>
    <m/>
    <n v="0"/>
    <n v="1"/>
    <n v="0"/>
  </r>
  <r>
    <x v="41"/>
    <x v="1"/>
    <m/>
    <n v="0"/>
    <n v="1"/>
    <n v="0"/>
  </r>
  <r>
    <x v="42"/>
    <x v="1"/>
    <m/>
    <n v="0"/>
    <n v="1"/>
    <n v="0"/>
  </r>
  <r>
    <x v="43"/>
    <x v="1"/>
    <m/>
    <n v="0"/>
    <n v="1"/>
    <n v="0"/>
  </r>
  <r>
    <x v="44"/>
    <x v="4"/>
    <n v="0.1"/>
    <n v="8.1"/>
    <n v="1"/>
    <n v="8.1"/>
  </r>
  <r>
    <x v="45"/>
    <x v="2"/>
    <n v="0.3"/>
    <n v="26.729999999999997"/>
    <n v="1"/>
    <n v="26.729999999999997"/>
  </r>
  <r>
    <x v="46"/>
    <x v="0"/>
    <m/>
    <m/>
    <m/>
    <n v="360.170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0.4"/>
    <m/>
    <m/>
    <m/>
  </r>
  <r>
    <x v="1"/>
    <x v="1"/>
    <n v="0.7"/>
    <n v="75.600000000000009"/>
    <n v="1"/>
    <n v="75.600000000000009"/>
  </r>
  <r>
    <x v="2"/>
    <x v="2"/>
    <n v="0.3"/>
    <n v="32.4"/>
    <n v="1"/>
    <n v="32.4"/>
  </r>
  <r>
    <x v="3"/>
    <x v="1"/>
    <n v="0.1"/>
    <n v="0"/>
    <n v="1"/>
    <n v="0"/>
  </r>
  <r>
    <x v="4"/>
    <x v="0"/>
    <m/>
    <m/>
    <m/>
    <m/>
  </r>
  <r>
    <x v="5"/>
    <x v="0"/>
    <n v="0.25"/>
    <m/>
    <m/>
    <m/>
  </r>
  <r>
    <x v="6"/>
    <x v="1"/>
    <n v="0.7"/>
    <n v="47.25"/>
    <n v="1"/>
    <n v="47.25"/>
  </r>
  <r>
    <x v="7"/>
    <x v="2"/>
    <n v="0.3"/>
    <n v="20.25"/>
    <n v="1"/>
    <n v="20.25"/>
  </r>
  <r>
    <x v="8"/>
    <x v="3"/>
    <n v="0"/>
    <n v="0"/>
    <n v="1"/>
    <n v="0"/>
  </r>
  <r>
    <x v="9"/>
    <x v="0"/>
    <m/>
    <m/>
    <m/>
    <m/>
  </r>
  <r>
    <x v="10"/>
    <x v="4"/>
    <n v="0.05"/>
    <n v="13.5"/>
    <n v="1"/>
    <n v="13.5"/>
  </r>
  <r>
    <x v="11"/>
    <x v="4"/>
    <m/>
    <n v="0"/>
    <n v="1"/>
    <n v="0"/>
  </r>
  <r>
    <x v="12"/>
    <x v="3"/>
    <n v="0.1"/>
    <n v="1.35"/>
    <n v="1"/>
    <n v="1.35"/>
  </r>
  <r>
    <x v="13"/>
    <x v="1"/>
    <n v="0.3"/>
    <n v="4.05"/>
    <n v="1"/>
    <n v="4.05"/>
  </r>
  <r>
    <x v="14"/>
    <x v="1"/>
    <n v="0.1"/>
    <n v="0"/>
    <n v="1"/>
    <n v="0"/>
  </r>
  <r>
    <x v="15"/>
    <x v="2"/>
    <n v="0.1"/>
    <n v="1.89"/>
    <n v="1"/>
    <n v="1.89"/>
  </r>
  <r>
    <x v="16"/>
    <x v="0"/>
    <m/>
    <m/>
    <m/>
    <m/>
  </r>
  <r>
    <x v="17"/>
    <x v="4"/>
    <m/>
    <n v="0"/>
    <n v="1"/>
    <n v="0"/>
  </r>
  <r>
    <x v="18"/>
    <x v="4"/>
    <m/>
    <n v="0"/>
    <n v="1"/>
    <n v="0"/>
  </r>
  <r>
    <x v="19"/>
    <x v="1"/>
    <n v="0.3"/>
    <n v="0"/>
    <n v="1"/>
    <n v="0"/>
  </r>
  <r>
    <x v="20"/>
    <x v="0"/>
    <m/>
    <m/>
    <m/>
    <m/>
  </r>
  <r>
    <x v="21"/>
    <x v="5"/>
    <m/>
    <n v="8"/>
    <n v="0"/>
    <n v="0"/>
  </r>
  <r>
    <x v="22"/>
    <x v="5"/>
    <m/>
    <n v="0.25"/>
    <n v="20"/>
    <n v="5.75"/>
  </r>
  <r>
    <x v="23"/>
    <x v="5"/>
    <m/>
    <n v="1"/>
    <n v="0"/>
    <n v="0"/>
  </r>
  <r>
    <x v="24"/>
    <x v="5"/>
    <m/>
    <n v="1"/>
    <n v="0"/>
    <n v="0"/>
  </r>
  <r>
    <x v="25"/>
    <x v="0"/>
    <n v="0.05"/>
    <m/>
    <m/>
    <m/>
  </r>
  <r>
    <x v="26"/>
    <x v="1"/>
    <n v="0.75"/>
    <n v="10.125"/>
    <n v="1"/>
    <n v="10.125"/>
  </r>
  <r>
    <x v="27"/>
    <x v="2"/>
    <n v="0.25"/>
    <n v="3.375"/>
    <n v="1"/>
    <n v="3.375"/>
  </r>
  <r>
    <x v="28"/>
    <x v="3"/>
    <n v="0"/>
    <n v="0"/>
    <n v="1"/>
    <n v="0"/>
  </r>
  <r>
    <x v="29"/>
    <x v="0"/>
    <m/>
    <m/>
    <m/>
    <m/>
  </r>
  <r>
    <x v="30"/>
    <x v="0"/>
    <m/>
    <m/>
    <m/>
    <m/>
  </r>
  <r>
    <x v="31"/>
    <x v="1"/>
    <m/>
    <n v="8"/>
    <n v="1"/>
    <n v="8"/>
  </r>
  <r>
    <x v="32"/>
    <x v="1"/>
    <m/>
    <n v="8"/>
    <n v="2"/>
    <n v="16"/>
  </r>
  <r>
    <x v="33"/>
    <x v="2"/>
    <n v="0.2"/>
    <m/>
    <m/>
    <n v="4.8000000000000007"/>
  </r>
  <r>
    <x v="34"/>
    <x v="0"/>
    <m/>
    <m/>
    <m/>
    <m/>
  </r>
  <r>
    <x v="35"/>
    <x v="1"/>
    <m/>
    <n v="15"/>
    <n v="0"/>
    <n v="0"/>
  </r>
  <r>
    <x v="36"/>
    <x v="1"/>
    <m/>
    <n v="15"/>
    <n v="0"/>
    <n v="0"/>
  </r>
  <r>
    <x v="37"/>
    <x v="0"/>
    <m/>
    <m/>
    <m/>
    <m/>
  </r>
  <r>
    <x v="38"/>
    <x v="1"/>
    <n v="0.3"/>
    <n v="81"/>
    <n v="1"/>
    <n v="81"/>
  </r>
  <r>
    <x v="39"/>
    <x v="1"/>
    <m/>
    <n v="0"/>
    <n v="1"/>
    <n v="0"/>
  </r>
  <r>
    <x v="40"/>
    <x v="1"/>
    <m/>
    <n v="0"/>
    <n v="1"/>
    <n v="0"/>
  </r>
  <r>
    <x v="41"/>
    <x v="1"/>
    <m/>
    <n v="0"/>
    <n v="1"/>
    <n v="0"/>
  </r>
  <r>
    <x v="42"/>
    <x v="1"/>
    <m/>
    <n v="0"/>
    <n v="1"/>
    <n v="0"/>
  </r>
  <r>
    <x v="43"/>
    <x v="1"/>
    <m/>
    <n v="0"/>
    <n v="1"/>
    <n v="0"/>
  </r>
  <r>
    <x v="44"/>
    <x v="4"/>
    <n v="0.1"/>
    <n v="8.1"/>
    <n v="1"/>
    <n v="8.1"/>
  </r>
  <r>
    <x v="45"/>
    <x v="2"/>
    <n v="0.3"/>
    <n v="26.729999999999997"/>
    <n v="1"/>
    <n v="26.72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6">
    <pivotField axis="axisRow" showAll="0">
      <items count="48">
        <item x="5"/>
        <item x="16"/>
        <item x="9"/>
        <item x="20"/>
        <item x="25"/>
        <item x="30"/>
        <item x="34"/>
        <item x="37"/>
        <item x="44"/>
        <item x="38"/>
        <item x="46"/>
        <item x="14"/>
        <item x="10"/>
        <item x="42"/>
        <item x="39"/>
        <item x="41"/>
        <item x="43"/>
        <item x="40"/>
        <item x="12"/>
        <item x="11"/>
        <item x="13"/>
        <item x="6"/>
        <item x="17"/>
        <item x="18"/>
        <item x="1"/>
        <item x="31"/>
        <item x="32"/>
        <item x="8"/>
        <item x="28"/>
        <item x="35"/>
        <item x="36"/>
        <item x="26"/>
        <item x="3"/>
        <item x="15"/>
        <item x="33"/>
        <item x="19"/>
        <item x="7"/>
        <item x="2"/>
        <item x="27"/>
        <item x="45"/>
        <item x="23"/>
        <item x="21"/>
        <item x="24"/>
        <item x="22"/>
        <item x="0"/>
        <item x="4"/>
        <item x="29"/>
        <item t="default"/>
      </items>
    </pivotField>
    <pivotField axis="axisPage" showAll="0">
      <items count="7">
        <item x="3"/>
        <item x="5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8">
    <i>
      <x v="9"/>
    </i>
    <i>
      <x v="11"/>
    </i>
    <i>
      <x v="13"/>
    </i>
    <i>
      <x v="14"/>
    </i>
    <i>
      <x v="15"/>
    </i>
    <i>
      <x v="16"/>
    </i>
    <i>
      <x v="17"/>
    </i>
    <i>
      <x v="20"/>
    </i>
    <i>
      <x v="21"/>
    </i>
    <i>
      <x v="24"/>
    </i>
    <i>
      <x v="25"/>
    </i>
    <i>
      <x v="26"/>
    </i>
    <i>
      <x v="29"/>
    </i>
    <i>
      <x v="30"/>
    </i>
    <i>
      <x v="31"/>
    </i>
    <i>
      <x v="32"/>
    </i>
    <i>
      <x v="35"/>
    </i>
    <i t="grand">
      <x/>
    </i>
  </rowItems>
  <colItems count="1">
    <i/>
  </colItems>
  <pageFields count="1">
    <pageField fld="1" item="2" hier="-1"/>
  </pageFields>
  <dataFields count="1">
    <dataField name="Сумма по полю Трудозатрат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6">
    <pivotField axis="axisRow" showAll="0">
      <items count="47">
        <item x="5"/>
        <item x="16"/>
        <item x="9"/>
        <item x="20"/>
        <item x="25"/>
        <item x="30"/>
        <item x="34"/>
        <item x="37"/>
        <item x="44"/>
        <item x="38"/>
        <item x="14"/>
        <item x="10"/>
        <item x="42"/>
        <item x="39"/>
        <item x="41"/>
        <item x="43"/>
        <item x="40"/>
        <item x="12"/>
        <item x="11"/>
        <item x="13"/>
        <item x="6"/>
        <item x="17"/>
        <item x="18"/>
        <item x="1"/>
        <item x="31"/>
        <item x="32"/>
        <item x="8"/>
        <item x="28"/>
        <item x="35"/>
        <item x="36"/>
        <item x="26"/>
        <item x="3"/>
        <item x="15"/>
        <item x="33"/>
        <item x="19"/>
        <item x="7"/>
        <item x="2"/>
        <item x="27"/>
        <item x="45"/>
        <item x="23"/>
        <item x="21"/>
        <item x="24"/>
        <item x="22"/>
        <item x="0"/>
        <item x="4"/>
        <item x="29"/>
        <item t="default"/>
      </items>
    </pivotField>
    <pivotField axis="axisPage" showAll="0">
      <items count="7">
        <item x="3"/>
        <item x="5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 v="17"/>
    </i>
    <i>
      <x v="26"/>
    </i>
    <i>
      <x v="27"/>
    </i>
    <i t="grand">
      <x/>
    </i>
  </rowItems>
  <colItems count="1">
    <i/>
  </colItems>
  <pageFields count="1">
    <pageField fld="1" item="0" hier="-1"/>
  </pageFields>
  <dataFields count="1">
    <dataField name="Сумма по полю Трудозатрат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6">
    <pivotField axis="axisRow" showAll="0">
      <items count="47">
        <item x="5"/>
        <item x="16"/>
        <item x="9"/>
        <item x="20"/>
        <item x="25"/>
        <item x="30"/>
        <item x="34"/>
        <item x="37"/>
        <item x="44"/>
        <item x="38"/>
        <item x="14"/>
        <item x="10"/>
        <item x="42"/>
        <item x="39"/>
        <item x="41"/>
        <item x="43"/>
        <item x="40"/>
        <item x="12"/>
        <item x="11"/>
        <item x="13"/>
        <item x="6"/>
        <item x="17"/>
        <item x="18"/>
        <item x="1"/>
        <item x="31"/>
        <item x="32"/>
        <item x="8"/>
        <item x="28"/>
        <item x="35"/>
        <item x="36"/>
        <item x="26"/>
        <item x="3"/>
        <item x="15"/>
        <item x="33"/>
        <item x="19"/>
        <item x="7"/>
        <item x="2"/>
        <item x="27"/>
        <item x="45"/>
        <item x="23"/>
        <item x="21"/>
        <item x="24"/>
        <item x="22"/>
        <item x="0"/>
        <item x="4"/>
        <item x="29"/>
        <item t="default"/>
      </items>
    </pivotField>
    <pivotField axis="axisPage" showAll="0">
      <items count="7">
        <item x="3"/>
        <item x="5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 v="32"/>
    </i>
    <i>
      <x v="33"/>
    </i>
    <i>
      <x v="35"/>
    </i>
    <i>
      <x v="36"/>
    </i>
    <i>
      <x v="37"/>
    </i>
    <i>
      <x v="38"/>
    </i>
    <i t="grand">
      <x/>
    </i>
  </rowItems>
  <colItems count="1">
    <i/>
  </colItems>
  <pageFields count="1">
    <pageField fld="1" item="4" hier="-1"/>
  </pageFields>
  <dataFields count="1">
    <dataField name="Сумма по полю Трудозатрат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6">
    <pivotField axis="axisRow" showAll="0">
      <items count="47">
        <item x="5"/>
        <item x="16"/>
        <item x="9"/>
        <item x="20"/>
        <item x="25"/>
        <item x="30"/>
        <item x="34"/>
        <item x="37"/>
        <item x="44"/>
        <item x="38"/>
        <item x="14"/>
        <item x="10"/>
        <item x="42"/>
        <item x="39"/>
        <item x="41"/>
        <item x="43"/>
        <item x="40"/>
        <item x="12"/>
        <item x="11"/>
        <item x="13"/>
        <item x="6"/>
        <item x="17"/>
        <item x="18"/>
        <item x="1"/>
        <item x="31"/>
        <item x="32"/>
        <item x="8"/>
        <item x="28"/>
        <item x="35"/>
        <item x="36"/>
        <item x="26"/>
        <item x="3"/>
        <item x="15"/>
        <item x="33"/>
        <item x="19"/>
        <item x="7"/>
        <item x="2"/>
        <item x="27"/>
        <item x="45"/>
        <item x="23"/>
        <item x="21"/>
        <item x="24"/>
        <item x="22"/>
        <item x="0"/>
        <item x="4"/>
        <item x="29"/>
        <item t="default"/>
      </items>
    </pivotField>
    <pivotField axis="axisPage" showAll="0">
      <items count="7">
        <item x="3"/>
        <item x="5"/>
        <item x="1"/>
        <item x="4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 v="8"/>
    </i>
    <i>
      <x v="11"/>
    </i>
    <i>
      <x v="18"/>
    </i>
    <i>
      <x v="21"/>
    </i>
    <i>
      <x v="22"/>
    </i>
    <i t="grand">
      <x/>
    </i>
  </rowItems>
  <colItems count="1">
    <i/>
  </colItems>
  <pageFields count="1">
    <pageField fld="1" item="3" hier="-1"/>
  </pageFields>
  <dataFields count="1">
    <dataField name="Сумма по полю Трудозатраты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33"/>
  </sheetPr>
  <dimension ref="A1:E16"/>
  <sheetViews>
    <sheetView tabSelected="1" zoomScaleNormal="100" workbookViewId="0">
      <selection activeCell="C8" sqref="C8"/>
    </sheetView>
  </sheetViews>
  <sheetFormatPr defaultColWidth="8.86328125" defaultRowHeight="13.15"/>
  <cols>
    <col min="1" max="1" width="6.19921875" style="424" customWidth="1"/>
    <col min="2" max="2" width="48.1328125" style="424" bestFit="1" customWidth="1"/>
    <col min="3" max="3" width="24.1328125" style="424" customWidth="1"/>
    <col min="4" max="4" width="24.6640625" style="424" customWidth="1"/>
    <col min="5" max="5" width="54.53125" style="424" bestFit="1" customWidth="1"/>
    <col min="6" max="16384" width="8.86328125" style="424"/>
  </cols>
  <sheetData>
    <row r="1" spans="1:5" ht="36.4" thickBot="1">
      <c r="A1" s="27" t="s">
        <v>108</v>
      </c>
      <c r="B1" s="28" t="s">
        <v>148</v>
      </c>
      <c r="C1" s="28" t="s">
        <v>427</v>
      </c>
      <c r="D1" s="28" t="s">
        <v>426</v>
      </c>
      <c r="E1" s="525" t="s">
        <v>123</v>
      </c>
    </row>
    <row r="2" spans="1:5" ht="16.149999999999999" thickBot="1">
      <c r="A2" s="30">
        <v>1</v>
      </c>
      <c r="B2" s="31" t="s">
        <v>172</v>
      </c>
      <c r="C2" s="32">
        <f>Услуги!D18</f>
        <v>3565200</v>
      </c>
      <c r="D2" s="519">
        <f>Услуги!F18</f>
        <v>4278240</v>
      </c>
      <c r="E2" s="526"/>
    </row>
    <row r="3" spans="1:5" ht="15.75">
      <c r="A3" s="33">
        <v>2</v>
      </c>
      <c r="B3" s="34" t="s">
        <v>173</v>
      </c>
      <c r="C3" s="35">
        <f>SUM(C4:C6)</f>
        <v>322500</v>
      </c>
      <c r="D3" s="520">
        <f>SUM(C4:C6)</f>
        <v>322500</v>
      </c>
      <c r="E3" s="527"/>
    </row>
    <row r="4" spans="1:5" ht="15.75">
      <c r="A4" s="36" t="s">
        <v>272</v>
      </c>
      <c r="B4" s="37" t="s">
        <v>271</v>
      </c>
      <c r="C4" s="38">
        <f>Лицензии!E3</f>
        <v>322500</v>
      </c>
      <c r="D4" s="521">
        <f>Лицензии!E3</f>
        <v>322500</v>
      </c>
      <c r="E4" s="528"/>
    </row>
    <row r="5" spans="1:5">
      <c r="A5" s="36" t="s">
        <v>273</v>
      </c>
      <c r="B5" s="37" t="s">
        <v>270</v>
      </c>
      <c r="C5" s="38">
        <f>SUM(Лицензии!E4:E11)</f>
        <v>0</v>
      </c>
      <c r="D5" s="521">
        <f>SUM(Лицензии!E4:E11)</f>
        <v>0</v>
      </c>
      <c r="E5" s="529" t="s">
        <v>312</v>
      </c>
    </row>
    <row r="6" spans="1:5" ht="13.5" thickBot="1">
      <c r="A6" s="39" t="s">
        <v>274</v>
      </c>
      <c r="B6" s="40" t="s">
        <v>269</v>
      </c>
      <c r="C6" s="41">
        <f>Лицензии!E22</f>
        <v>0</v>
      </c>
      <c r="D6" s="522">
        <f>Лицензии!E22</f>
        <v>0</v>
      </c>
      <c r="E6" s="529" t="s">
        <v>436</v>
      </c>
    </row>
    <row r="7" spans="1:5" ht="16.149999999999999" thickBot="1">
      <c r="A7" s="42">
        <v>3</v>
      </c>
      <c r="B7" s="43" t="s">
        <v>109</v>
      </c>
      <c r="C7" s="44">
        <f>Командировки!I22</f>
        <v>0</v>
      </c>
      <c r="D7" s="523">
        <f>Командировки!I22</f>
        <v>0</v>
      </c>
      <c r="E7" s="530"/>
    </row>
    <row r="8" spans="1:5" ht="18.399999999999999" thickBot="1">
      <c r="A8" s="576" t="s">
        <v>268</v>
      </c>
      <c r="B8" s="577" t="s">
        <v>114</v>
      </c>
      <c r="C8" s="518">
        <f>SUM(C2:C3,C7:C7)</f>
        <v>3887700</v>
      </c>
      <c r="D8" s="524">
        <f>SUM(D2:D3,D7:D7)</f>
        <v>4600740</v>
      </c>
      <c r="E8" s="525"/>
    </row>
    <row r="16" spans="1:5">
      <c r="B16" s="531"/>
    </row>
  </sheetData>
  <sheetProtection algorithmName="SHA-512" hashValue="KN44RQmA6M8uA+fndMb+ZEMvRy3siwfi1WHTvBDIX+B8uL0FRuLldWjYlWf0L9CT09DbgBsj0y1jWd1UkVZgCw==" saltValue="w+4jB+8pDH39uy4lDmpraQ==" spinCount="100000" sheet="1" insertRows="0"/>
  <mergeCells count="1">
    <mergeCell ref="A8:B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/>
  </sheetViews>
  <sheetFormatPr defaultRowHeight="12.75"/>
  <cols>
    <col min="1" max="1" width="79.46484375" bestFit="1" customWidth="1"/>
    <col min="2" max="2" width="26.46484375" bestFit="1" customWidth="1"/>
  </cols>
  <sheetData>
    <row r="1" spans="1:2">
      <c r="A1" s="8" t="s">
        <v>38</v>
      </c>
      <c r="B1" t="s">
        <v>36</v>
      </c>
    </row>
    <row r="3" spans="1:2">
      <c r="A3" s="8" t="s">
        <v>197</v>
      </c>
      <c r="B3" t="s">
        <v>196</v>
      </c>
    </row>
    <row r="4" spans="1:2">
      <c r="A4" s="9" t="s">
        <v>53</v>
      </c>
      <c r="B4">
        <v>8.1</v>
      </c>
    </row>
    <row r="5" spans="1:2">
      <c r="A5" s="9" t="s">
        <v>43</v>
      </c>
      <c r="B5">
        <v>13.5</v>
      </c>
    </row>
    <row r="6" spans="1:2">
      <c r="A6" s="9" t="s">
        <v>92</v>
      </c>
      <c r="B6">
        <v>0</v>
      </c>
    </row>
    <row r="7" spans="1:2">
      <c r="A7" s="9" t="s">
        <v>158</v>
      </c>
      <c r="B7">
        <v>0</v>
      </c>
    </row>
    <row r="8" spans="1:2">
      <c r="A8" s="9" t="s">
        <v>159</v>
      </c>
      <c r="B8">
        <v>0</v>
      </c>
    </row>
    <row r="9" spans="1:2">
      <c r="A9" s="9" t="s">
        <v>198</v>
      </c>
      <c r="B9">
        <v>21.6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32"/>
  <sheetViews>
    <sheetView zoomScaleNormal="100" workbookViewId="0">
      <selection activeCell="C2" sqref="C2"/>
    </sheetView>
  </sheetViews>
  <sheetFormatPr defaultColWidth="8.86328125" defaultRowHeight="13.15"/>
  <cols>
    <col min="1" max="1" width="72.6640625" style="424" bestFit="1" customWidth="1"/>
    <col min="2" max="3" width="18.33203125" style="424" customWidth="1"/>
    <col min="4" max="4" width="17.6640625" style="424" customWidth="1"/>
    <col min="5" max="5" width="18.33203125" style="424" customWidth="1"/>
    <col min="6" max="6" width="17.86328125" style="424" customWidth="1"/>
    <col min="7" max="8" width="8.86328125" style="424"/>
    <col min="9" max="9" width="0" style="424" hidden="1" customWidth="1"/>
    <col min="10" max="16384" width="8.86328125" style="424"/>
  </cols>
  <sheetData>
    <row r="1" spans="1:9" ht="31.9" thickBot="1">
      <c r="A1" s="48" t="s">
        <v>284</v>
      </c>
      <c r="B1" s="49" t="s">
        <v>311</v>
      </c>
    </row>
    <row r="2" spans="1:9" ht="15.75">
      <c r="A2" s="50" t="s">
        <v>318</v>
      </c>
      <c r="B2" s="45">
        <v>4200</v>
      </c>
      <c r="C2" s="537"/>
      <c r="I2" s="424" t="s">
        <v>433</v>
      </c>
    </row>
    <row r="3" spans="1:9" ht="15.75">
      <c r="A3" s="50" t="s">
        <v>381</v>
      </c>
      <c r="B3" s="45">
        <v>3000</v>
      </c>
      <c r="I3" s="424" t="s">
        <v>434</v>
      </c>
    </row>
    <row r="4" spans="1:9" ht="16.149999999999999" thickBot="1">
      <c r="A4" s="553" t="s">
        <v>222</v>
      </c>
      <c r="B4" s="554">
        <v>5000</v>
      </c>
    </row>
    <row r="5" spans="1:9" ht="16.149999999999999" thickBot="1">
      <c r="A5" s="555" t="s">
        <v>465</v>
      </c>
      <c r="B5" s="572">
        <v>4000</v>
      </c>
    </row>
    <row r="6" spans="1:9" ht="6" customHeight="1" thickBot="1"/>
    <row r="7" spans="1:9" ht="16.149999999999999" thickBot="1">
      <c r="A7" s="51" t="s">
        <v>378</v>
      </c>
      <c r="B7" s="573">
        <f>Калькулятор!G194</f>
        <v>0</v>
      </c>
    </row>
    <row r="8" spans="1:9" ht="4.8" customHeight="1" thickBot="1">
      <c r="A8" s="540"/>
    </row>
    <row r="9" spans="1:9" ht="16.149999999999999" thickBot="1">
      <c r="A9" s="51" t="s">
        <v>432</v>
      </c>
      <c r="B9" s="552" t="s">
        <v>433</v>
      </c>
    </row>
    <row r="10" spans="1:9" ht="13.5" thickBot="1"/>
    <row r="11" spans="1:9" ht="16.25" customHeight="1" thickBot="1">
      <c r="A11" s="582" t="s">
        <v>121</v>
      </c>
      <c r="B11" s="578" t="s">
        <v>313</v>
      </c>
      <c r="C11" s="579"/>
      <c r="D11" s="580" t="s">
        <v>419</v>
      </c>
      <c r="E11" s="580" t="s">
        <v>420</v>
      </c>
      <c r="F11" s="580" t="s">
        <v>421</v>
      </c>
    </row>
    <row r="12" spans="1:9" ht="16.149999999999999" thickBot="1">
      <c r="A12" s="583"/>
      <c r="B12" s="52" t="s">
        <v>314</v>
      </c>
      <c r="C12" s="422" t="s">
        <v>315</v>
      </c>
      <c r="D12" s="581"/>
      <c r="E12" s="581"/>
      <c r="F12" s="581"/>
    </row>
    <row r="13" spans="1:9" ht="15.75">
      <c r="A13" s="53" t="s">
        <v>266</v>
      </c>
      <c r="B13" s="474">
        <v>0</v>
      </c>
      <c r="C13" s="475">
        <v>0</v>
      </c>
      <c r="D13" s="46">
        <v>13000</v>
      </c>
      <c r="E13" s="57">
        <f>D13*0.2</f>
        <v>2600</v>
      </c>
      <c r="F13" s="57">
        <f>D13+E13</f>
        <v>15600</v>
      </c>
    </row>
    <row r="14" spans="1:9" ht="15.75" customHeight="1">
      <c r="A14" s="54" t="str">
        <f>Калькулятор!A239</f>
        <v>Этап 1. Проектирование системы</v>
      </c>
      <c r="B14" s="55">
        <f>Калькулятор!H171</f>
        <v>18</v>
      </c>
      <c r="C14" s="56">
        <f>IF(Командировки!B12=0,0,Командировки!C12)</f>
        <v>3</v>
      </c>
      <c r="D14" s="57">
        <f>IF(B9="ДА",ROUND(Калькулятор!G171/100,0)*100+Командировки!I10,(ROUND(Калькулятор!G171/100,0)*100))</f>
        <v>1000000</v>
      </c>
      <c r="E14" s="57">
        <f>D14*0.2</f>
        <v>200000</v>
      </c>
      <c r="F14" s="57">
        <f>D14+E14</f>
        <v>1200000</v>
      </c>
    </row>
    <row r="15" spans="1:9" ht="15.75">
      <c r="A15" s="54" t="str">
        <f>Калькулятор!A246</f>
        <v>Этап 2. Подготовка системы к запуску</v>
      </c>
      <c r="B15" s="55">
        <f>Калькулятор!H183</f>
        <v>25</v>
      </c>
      <c r="C15" s="56">
        <f>IF(Командировки!B15=0,0,Командировки!C15)</f>
        <v>2</v>
      </c>
      <c r="D15" s="57">
        <f>IF(B9="ДА",ROUND(Калькулятор!G183/100,0)*100+Командировки!I13,(ROUND(Калькулятор!G183/100,0)*100))</f>
        <v>1018800</v>
      </c>
      <c r="E15" s="57">
        <f t="shared" ref="E15:E17" si="0">D15*0.2</f>
        <v>203760</v>
      </c>
      <c r="F15" s="57">
        <f t="shared" ref="F15:F17" si="1">D15+E15</f>
        <v>1222560</v>
      </c>
    </row>
    <row r="16" spans="1:9" ht="15.75">
      <c r="A16" s="54" t="str">
        <f>Калькулятор!A264</f>
        <v>Этап 3. Запуск системы в промышленную эксплуатацию</v>
      </c>
      <c r="B16" s="55">
        <f>Калькулятор!H208</f>
        <v>25</v>
      </c>
      <c r="C16" s="56">
        <f>IF(Командировки!B20=0,0,Командировки!C20)</f>
        <v>0</v>
      </c>
      <c r="D16" s="57">
        <f>IF(B9="ДА",ROUND(Калькулятор!G208/100,0)*100+Командировки!I16,(ROUND(Калькулятор!G208/100,0)*100))</f>
        <v>1533400</v>
      </c>
      <c r="E16" s="57">
        <f t="shared" si="0"/>
        <v>306680</v>
      </c>
      <c r="F16" s="57">
        <f t="shared" si="1"/>
        <v>1840080</v>
      </c>
    </row>
    <row r="17" spans="1:6" ht="16.149999999999999" thickBot="1">
      <c r="A17" s="58" t="str">
        <f>Калькулятор!A226</f>
        <v>Этап 4. Реализация дополнительных процессов (Очередь 2)</v>
      </c>
      <c r="B17" s="59">
        <f>Калькулятор!H226</f>
        <v>0</v>
      </c>
      <c r="C17" s="60">
        <v>0</v>
      </c>
      <c r="D17" s="61">
        <f>Калькулятор!G226</f>
        <v>0</v>
      </c>
      <c r="E17" s="57">
        <f t="shared" si="0"/>
        <v>0</v>
      </c>
      <c r="F17" s="57">
        <f t="shared" si="1"/>
        <v>0</v>
      </c>
    </row>
    <row r="18" spans="1:6" ht="16.149999999999999" thickBot="1">
      <c r="A18" s="62" t="s">
        <v>114</v>
      </c>
      <c r="B18" s="63">
        <f>SUM(B13:B17)</f>
        <v>68</v>
      </c>
      <c r="C18" s="64">
        <f>SUM(C13:C17)</f>
        <v>5</v>
      </c>
      <c r="D18" s="65">
        <f>SUM(D13:D17)</f>
        <v>3565200</v>
      </c>
      <c r="E18" s="536">
        <f>SUM(E13:E17)</f>
        <v>713040</v>
      </c>
      <c r="F18" s="65">
        <f>SUM(F13:F17)</f>
        <v>4278240</v>
      </c>
    </row>
    <row r="19" spans="1:6" ht="13.5" thickBot="1"/>
    <row r="20" spans="1:6" ht="18.399999999999999" thickBot="1">
      <c r="A20" s="66" t="s">
        <v>423</v>
      </c>
      <c r="B20" s="67" t="s">
        <v>316</v>
      </c>
      <c r="C20" s="47">
        <v>0.5</v>
      </c>
      <c r="D20" s="67" t="s">
        <v>317</v>
      </c>
      <c r="E20" s="541">
        <f>1-C20</f>
        <v>0.5</v>
      </c>
      <c r="F20" s="584" t="s">
        <v>424</v>
      </c>
    </row>
    <row r="21" spans="1:6" ht="47.65" thickBot="1">
      <c r="A21" s="68" t="s">
        <v>121</v>
      </c>
      <c r="B21" s="69" t="s">
        <v>307</v>
      </c>
      <c r="C21" s="70" t="s">
        <v>308</v>
      </c>
      <c r="D21" s="70" t="s">
        <v>309</v>
      </c>
      <c r="E21" s="71" t="s">
        <v>310</v>
      </c>
      <c r="F21" s="585"/>
    </row>
    <row r="22" spans="1:6" ht="15.75">
      <c r="A22" s="53" t="str">
        <f>A14</f>
        <v>Этап 1. Проектирование системы</v>
      </c>
      <c r="B22" s="72">
        <f>(F13+F14)*C20</f>
        <v>607800</v>
      </c>
      <c r="C22" s="73">
        <f>(F13+F14)*E20</f>
        <v>607800</v>
      </c>
      <c r="D22" s="73"/>
      <c r="E22" s="74"/>
      <c r="F22" s="57">
        <f>SUM(B22:E22)</f>
        <v>1215600</v>
      </c>
    </row>
    <row r="23" spans="1:6" ht="15.75">
      <c r="A23" s="54" t="str">
        <f>A15</f>
        <v>Этап 2. Подготовка системы к запуску</v>
      </c>
      <c r="B23" s="72"/>
      <c r="C23" s="73">
        <f>F15*C20</f>
        <v>611280</v>
      </c>
      <c r="D23" s="73">
        <f>F15*E20</f>
        <v>611280</v>
      </c>
      <c r="E23" s="74"/>
      <c r="F23" s="57">
        <f t="shared" ref="F23:F24" si="2">SUM(B23:E23)</f>
        <v>1222560</v>
      </c>
    </row>
    <row r="24" spans="1:6" ht="16.149999999999999" thickBot="1">
      <c r="A24" s="54" t="str">
        <f>A16</f>
        <v>Этап 3. Запуск системы в промышленную эксплуатацию</v>
      </c>
      <c r="B24" s="76"/>
      <c r="C24" s="77"/>
      <c r="D24" s="77">
        <f>F16*C20</f>
        <v>920040</v>
      </c>
      <c r="E24" s="78">
        <f>F16*E20</f>
        <v>920040</v>
      </c>
      <c r="F24" s="57">
        <f t="shared" si="2"/>
        <v>1840080</v>
      </c>
    </row>
    <row r="25" spans="1:6" ht="16.149999999999999" thickBot="1">
      <c r="A25" s="79" t="s">
        <v>114</v>
      </c>
      <c r="B25" s="80">
        <f>SUM(B22:B24)</f>
        <v>607800</v>
      </c>
      <c r="C25" s="81">
        <f t="shared" ref="C25:E25" si="3">SUM(C22:C24)</f>
        <v>1219080</v>
      </c>
      <c r="D25" s="81">
        <f t="shared" si="3"/>
        <v>1531320</v>
      </c>
      <c r="E25" s="82">
        <f t="shared" si="3"/>
        <v>920040</v>
      </c>
      <c r="F25" s="65">
        <f>SUM(F22:F24)</f>
        <v>4278240</v>
      </c>
    </row>
    <row r="26" spans="1:6" ht="13.5" thickBot="1"/>
    <row r="27" spans="1:6" ht="18.399999999999999" thickBot="1">
      <c r="A27" s="66" t="s">
        <v>422</v>
      </c>
      <c r="B27" s="67" t="s">
        <v>316</v>
      </c>
      <c r="C27" s="47">
        <v>0.5</v>
      </c>
      <c r="D27" s="67" t="s">
        <v>317</v>
      </c>
      <c r="E27" s="541">
        <f>1-C27</f>
        <v>0.5</v>
      </c>
      <c r="F27" s="584" t="s">
        <v>425</v>
      </c>
    </row>
    <row r="28" spans="1:6" ht="47.65" thickBot="1">
      <c r="A28" s="68" t="s">
        <v>121</v>
      </c>
      <c r="B28" s="69" t="s">
        <v>307</v>
      </c>
      <c r="C28" s="70" t="s">
        <v>308</v>
      </c>
      <c r="D28" s="70" t="s">
        <v>309</v>
      </c>
      <c r="E28" s="71" t="s">
        <v>310</v>
      </c>
      <c r="F28" s="585"/>
    </row>
    <row r="29" spans="1:6" ht="15.75">
      <c r="A29" s="53" t="str">
        <f>A14</f>
        <v>Этап 1. Проектирование системы</v>
      </c>
      <c r="B29" s="72">
        <f>(D13+D14)*C27</f>
        <v>506500</v>
      </c>
      <c r="C29" s="73">
        <f>(D13+D14)*E27</f>
        <v>506500</v>
      </c>
      <c r="D29" s="73"/>
      <c r="E29" s="74"/>
      <c r="F29" s="57">
        <f>SUM(B29:E29)</f>
        <v>1013000</v>
      </c>
    </row>
    <row r="30" spans="1:6" ht="15.75">
      <c r="A30" s="54" t="str">
        <f>A15</f>
        <v>Этап 2. Подготовка системы к запуску</v>
      </c>
      <c r="B30" s="72"/>
      <c r="C30" s="73">
        <f>D15*C27</f>
        <v>509400</v>
      </c>
      <c r="D30" s="73">
        <f>D15*E27</f>
        <v>509400</v>
      </c>
      <c r="E30" s="74"/>
      <c r="F30" s="57">
        <f t="shared" ref="F30:F31" si="4">SUM(B30:E30)</f>
        <v>1018800</v>
      </c>
    </row>
    <row r="31" spans="1:6" ht="16.149999999999999" thickBot="1">
      <c r="A31" s="75" t="str">
        <f>A16</f>
        <v>Этап 3. Запуск системы в промышленную эксплуатацию</v>
      </c>
      <c r="B31" s="76"/>
      <c r="C31" s="77"/>
      <c r="D31" s="77">
        <f>D16*C27</f>
        <v>766700</v>
      </c>
      <c r="E31" s="78">
        <f>D16*E27</f>
        <v>766700</v>
      </c>
      <c r="F31" s="57">
        <f t="shared" si="4"/>
        <v>1533400</v>
      </c>
    </row>
    <row r="32" spans="1:6" ht="17.45" customHeight="1" thickBot="1">
      <c r="A32" s="79" t="s">
        <v>114</v>
      </c>
      <c r="B32" s="80">
        <f>SUM(B29:B31)</f>
        <v>506500</v>
      </c>
      <c r="C32" s="81">
        <f t="shared" ref="C32:E32" si="5">SUM(C29:C31)</f>
        <v>1015900</v>
      </c>
      <c r="D32" s="81">
        <f t="shared" si="5"/>
        <v>1276100</v>
      </c>
      <c r="E32" s="82">
        <f t="shared" si="5"/>
        <v>766700</v>
      </c>
      <c r="F32" s="65">
        <f>SUM(F29:F31)</f>
        <v>3565200</v>
      </c>
    </row>
  </sheetData>
  <sheetProtection algorithmName="SHA-512" hashValue="U44f4pe00FqsGcPBQZmYrVQs8r0RUyPNUvyhcn9rwuxlzMNx3NF3amYtuT7HzzFyj/SI0rGbgeqiAAIpXrgirw==" saltValue="Bqz4yb//cmLmlx3lGFhc0A==" spinCount="100000" sheet="1" insertRows="0"/>
  <mergeCells count="7">
    <mergeCell ref="B11:C11"/>
    <mergeCell ref="D11:D12"/>
    <mergeCell ref="A11:A12"/>
    <mergeCell ref="F27:F28"/>
    <mergeCell ref="E11:E12"/>
    <mergeCell ref="F11:F12"/>
    <mergeCell ref="F20:F21"/>
  </mergeCells>
  <dataValidations count="1">
    <dataValidation type="list" allowBlank="1" showInputMessage="1" showErrorMessage="1" sqref="B9" xr:uid="{00000000-0002-0000-0100-000000000000}">
      <formula1>$I$2:$I$3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273"/>
  <sheetViews>
    <sheetView zoomScale="90" zoomScaleNormal="90" zoomScaleSheetLayoutView="70" zoomScalePageLayoutView="85" workbookViewId="0"/>
  </sheetViews>
  <sheetFormatPr defaultColWidth="8.6640625" defaultRowHeight="13.15"/>
  <cols>
    <col min="1" max="1" width="80.33203125" style="424" customWidth="1"/>
    <col min="2" max="3" width="18.53125" style="424" bestFit="1" customWidth="1"/>
    <col min="4" max="4" width="18.53125" style="459" customWidth="1"/>
    <col min="5" max="5" width="18.46484375" style="424" bestFit="1" customWidth="1"/>
    <col min="6" max="6" width="19" style="424" bestFit="1" customWidth="1"/>
    <col min="7" max="7" width="17.6640625" style="424" bestFit="1" customWidth="1"/>
    <col min="8" max="8" width="14.86328125" style="424" customWidth="1"/>
    <col min="9" max="9" width="9" style="424" customWidth="1"/>
    <col min="10" max="10" width="5.1328125" style="424" customWidth="1"/>
    <col min="11" max="11" width="11.1328125" style="424" bestFit="1" customWidth="1"/>
    <col min="12" max="12" width="10.33203125" style="424" bestFit="1" customWidth="1"/>
    <col min="13" max="16384" width="8.6640625" style="424"/>
  </cols>
  <sheetData>
    <row r="1" spans="1:4" s="473" customFormat="1" ht="18">
      <c r="A1" s="539" t="s">
        <v>466</v>
      </c>
      <c r="B1" s="587" t="s">
        <v>429</v>
      </c>
      <c r="C1" s="587"/>
      <c r="D1" s="587"/>
    </row>
    <row r="2" spans="1:4" s="473" customFormat="1" ht="18.399999999999999" thickBot="1">
      <c r="A2" s="538" t="s">
        <v>22</v>
      </c>
      <c r="B2" s="586" t="s">
        <v>437</v>
      </c>
      <c r="C2" s="586"/>
      <c r="D2" s="586"/>
    </row>
    <row r="3" spans="1:4" s="473" customFormat="1" ht="36.4" thickBot="1">
      <c r="A3" s="476" t="s">
        <v>58</v>
      </c>
      <c r="B3" s="477" t="s">
        <v>13</v>
      </c>
      <c r="C3" s="478" t="s">
        <v>11</v>
      </c>
      <c r="D3" s="479" t="s">
        <v>12</v>
      </c>
    </row>
    <row r="4" spans="1:4" s="473" customFormat="1" ht="16.149999999999999" thickBot="1">
      <c r="A4" s="480" t="s">
        <v>78</v>
      </c>
      <c r="B4" s="481"/>
      <c r="C4" s="482"/>
      <c r="D4" s="483"/>
    </row>
    <row r="5" spans="1:4" s="473" customFormat="1" ht="15.75">
      <c r="A5" s="484" t="s">
        <v>23</v>
      </c>
      <c r="B5" s="485">
        <v>-0.05</v>
      </c>
      <c r="C5" s="10"/>
      <c r="D5" s="486">
        <f t="shared" ref="D5:D54" si="0">B5*C5</f>
        <v>0</v>
      </c>
    </row>
    <row r="6" spans="1:4" s="473" customFormat="1" ht="15.75">
      <c r="A6" s="484" t="s">
        <v>77</v>
      </c>
      <c r="B6" s="485">
        <v>0</v>
      </c>
      <c r="C6" s="10"/>
      <c r="D6" s="486">
        <f>B6*C6</f>
        <v>0</v>
      </c>
    </row>
    <row r="7" spans="1:4" s="473" customFormat="1" ht="15.75">
      <c r="A7" s="484" t="s">
        <v>67</v>
      </c>
      <c r="B7" s="485">
        <v>0.05</v>
      </c>
      <c r="C7" s="10"/>
      <c r="D7" s="486">
        <f>B7*C7</f>
        <v>0</v>
      </c>
    </row>
    <row r="8" spans="1:4" s="473" customFormat="1" ht="15.75">
      <c r="A8" s="484" t="s">
        <v>68</v>
      </c>
      <c r="B8" s="485">
        <v>0.1</v>
      </c>
      <c r="C8" s="10"/>
      <c r="D8" s="486">
        <f>B8*C8</f>
        <v>0</v>
      </c>
    </row>
    <row r="9" spans="1:4" s="473" customFormat="1" ht="15.75">
      <c r="A9" s="487" t="s">
        <v>69</v>
      </c>
      <c r="B9" s="488">
        <v>0.15</v>
      </c>
      <c r="C9" s="11"/>
      <c r="D9" s="489">
        <f>B9*C9</f>
        <v>0</v>
      </c>
    </row>
    <row r="10" spans="1:4" s="473" customFormat="1" ht="16.149999999999999" thickBot="1">
      <c r="A10" s="487" t="s">
        <v>167</v>
      </c>
      <c r="B10" s="488">
        <v>0.2</v>
      </c>
      <c r="C10" s="11"/>
      <c r="D10" s="489">
        <f t="shared" si="0"/>
        <v>0</v>
      </c>
    </row>
    <row r="11" spans="1:4" s="473" customFormat="1" ht="16.149999999999999" thickBot="1">
      <c r="A11" s="480" t="s">
        <v>107</v>
      </c>
      <c r="B11" s="481"/>
      <c r="C11" s="490"/>
      <c r="D11" s="483"/>
    </row>
    <row r="12" spans="1:4" s="473" customFormat="1" ht="15.75">
      <c r="A12" s="491" t="s">
        <v>2</v>
      </c>
      <c r="B12" s="492">
        <v>-0.05</v>
      </c>
      <c r="C12" s="10"/>
      <c r="D12" s="486">
        <f t="shared" si="0"/>
        <v>0</v>
      </c>
    </row>
    <row r="13" spans="1:4" s="473" customFormat="1" ht="15.75">
      <c r="A13" s="484" t="s">
        <v>70</v>
      </c>
      <c r="B13" s="485">
        <v>0</v>
      </c>
      <c r="C13" s="10"/>
      <c r="D13" s="486">
        <f>B13*C13</f>
        <v>0</v>
      </c>
    </row>
    <row r="14" spans="1:4" s="473" customFormat="1" ht="15.75">
      <c r="A14" s="484" t="s">
        <v>71</v>
      </c>
      <c r="B14" s="485">
        <v>0.05</v>
      </c>
      <c r="C14" s="10"/>
      <c r="D14" s="486">
        <f t="shared" si="0"/>
        <v>0</v>
      </c>
    </row>
    <row r="15" spans="1:4" s="473" customFormat="1" ht="15.75">
      <c r="A15" s="484" t="s">
        <v>72</v>
      </c>
      <c r="B15" s="485">
        <v>0.1</v>
      </c>
      <c r="C15" s="10"/>
      <c r="D15" s="486">
        <f t="shared" si="0"/>
        <v>0</v>
      </c>
    </row>
    <row r="16" spans="1:4" s="473" customFormat="1" ht="15.75">
      <c r="A16" s="484" t="s">
        <v>73</v>
      </c>
      <c r="B16" s="485">
        <v>0.15</v>
      </c>
      <c r="C16" s="10"/>
      <c r="D16" s="486">
        <f t="shared" si="0"/>
        <v>0</v>
      </c>
    </row>
    <row r="17" spans="1:4" s="473" customFormat="1" ht="15.75">
      <c r="A17" s="487" t="s">
        <v>74</v>
      </c>
      <c r="B17" s="488">
        <v>0.2</v>
      </c>
      <c r="C17" s="11"/>
      <c r="D17" s="489">
        <f t="shared" si="0"/>
        <v>0</v>
      </c>
    </row>
    <row r="18" spans="1:4" s="473" customFormat="1" ht="16.149999999999999" thickBot="1">
      <c r="A18" s="484" t="s">
        <v>216</v>
      </c>
      <c r="B18" s="488">
        <v>0.25</v>
      </c>
      <c r="C18" s="11"/>
      <c r="D18" s="489">
        <f t="shared" ref="D18" si="1">B18*C18</f>
        <v>0</v>
      </c>
    </row>
    <row r="19" spans="1:4" s="473" customFormat="1" ht="16.149999999999999" thickBot="1">
      <c r="A19" s="480" t="s">
        <v>3</v>
      </c>
      <c r="B19" s="481"/>
      <c r="C19" s="490"/>
      <c r="D19" s="483"/>
    </row>
    <row r="20" spans="1:4" s="473" customFormat="1" ht="15.75">
      <c r="A20" s="491" t="s">
        <v>76</v>
      </c>
      <c r="B20" s="493">
        <v>-0.1</v>
      </c>
      <c r="C20" s="10"/>
      <c r="D20" s="494">
        <f t="shared" ref="D20" si="2">B20*C20</f>
        <v>0</v>
      </c>
    </row>
    <row r="21" spans="1:4" s="473" customFormat="1" ht="15.75">
      <c r="A21" s="484" t="s">
        <v>75</v>
      </c>
      <c r="B21" s="495">
        <v>-0.05</v>
      </c>
      <c r="C21" s="10"/>
      <c r="D21" s="486">
        <f t="shared" si="0"/>
        <v>0</v>
      </c>
    </row>
    <row r="22" spans="1:4" s="473" customFormat="1" ht="15.75">
      <c r="A22" s="484" t="s">
        <v>66</v>
      </c>
      <c r="B22" s="495">
        <v>0</v>
      </c>
      <c r="C22" s="10"/>
      <c r="D22" s="486">
        <f t="shared" si="0"/>
        <v>0</v>
      </c>
    </row>
    <row r="23" spans="1:4" s="473" customFormat="1" ht="15.75">
      <c r="A23" s="484" t="s">
        <v>67</v>
      </c>
      <c r="B23" s="495">
        <v>0.05</v>
      </c>
      <c r="C23" s="10"/>
      <c r="D23" s="486">
        <f t="shared" si="0"/>
        <v>0</v>
      </c>
    </row>
    <row r="24" spans="1:4" s="473" customFormat="1" ht="15.75">
      <c r="A24" s="484" t="s">
        <v>68</v>
      </c>
      <c r="B24" s="495">
        <v>0.1</v>
      </c>
      <c r="C24" s="10"/>
      <c r="D24" s="486">
        <f t="shared" si="0"/>
        <v>0</v>
      </c>
    </row>
    <row r="25" spans="1:4" s="473" customFormat="1" ht="15.75">
      <c r="A25" s="484" t="s">
        <v>69</v>
      </c>
      <c r="B25" s="495">
        <v>0.15</v>
      </c>
      <c r="C25" s="10"/>
      <c r="D25" s="486">
        <f t="shared" si="0"/>
        <v>0</v>
      </c>
    </row>
    <row r="26" spans="1:4" s="473" customFormat="1" ht="15.75">
      <c r="A26" s="484" t="s">
        <v>189</v>
      </c>
      <c r="B26" s="496">
        <v>0.2</v>
      </c>
      <c r="C26" s="11"/>
      <c r="D26" s="489">
        <f t="shared" si="0"/>
        <v>0</v>
      </c>
    </row>
    <row r="27" spans="1:4" s="473" customFormat="1" ht="16.149999999999999" thickBot="1">
      <c r="A27" s="497" t="s">
        <v>214</v>
      </c>
      <c r="B27" s="496">
        <v>0.25</v>
      </c>
      <c r="C27" s="11"/>
      <c r="D27" s="489">
        <f t="shared" ref="D27" si="3">B27*C27</f>
        <v>0</v>
      </c>
    </row>
    <row r="28" spans="1:4" s="473" customFormat="1" ht="16.149999999999999" thickBot="1">
      <c r="A28" s="498" t="s">
        <v>295</v>
      </c>
      <c r="B28" s="481"/>
      <c r="C28" s="490"/>
      <c r="D28" s="483"/>
    </row>
    <row r="29" spans="1:4" s="473" customFormat="1" ht="15.75">
      <c r="A29" s="491" t="s">
        <v>73</v>
      </c>
      <c r="B29" s="499">
        <v>-0.05</v>
      </c>
      <c r="C29" s="10"/>
      <c r="D29" s="500">
        <f t="shared" ref="D29" si="4">B29*C29</f>
        <v>0</v>
      </c>
    </row>
    <row r="30" spans="1:4" s="473" customFormat="1" ht="15.75">
      <c r="A30" s="484" t="s">
        <v>76</v>
      </c>
      <c r="B30" s="501">
        <v>0</v>
      </c>
      <c r="C30" s="10"/>
      <c r="D30" s="502">
        <f t="shared" si="0"/>
        <v>0</v>
      </c>
    </row>
    <row r="31" spans="1:4" s="473" customFormat="1" ht="15.75">
      <c r="A31" s="484" t="s">
        <v>75</v>
      </c>
      <c r="B31" s="501">
        <v>0.05</v>
      </c>
      <c r="C31" s="10"/>
      <c r="D31" s="502">
        <f t="shared" si="0"/>
        <v>0</v>
      </c>
    </row>
    <row r="32" spans="1:4" s="473" customFormat="1" ht="15.75">
      <c r="A32" s="484" t="s">
        <v>23</v>
      </c>
      <c r="B32" s="501">
        <v>0.1</v>
      </c>
      <c r="C32" s="10"/>
      <c r="D32" s="502">
        <f t="shared" si="0"/>
        <v>0</v>
      </c>
    </row>
    <row r="33" spans="1:4" s="473" customFormat="1" ht="15.75">
      <c r="A33" s="484" t="s">
        <v>67</v>
      </c>
      <c r="B33" s="501">
        <v>0.15</v>
      </c>
      <c r="C33" s="10"/>
      <c r="D33" s="502">
        <f t="shared" si="0"/>
        <v>0</v>
      </c>
    </row>
    <row r="34" spans="1:4" s="473" customFormat="1" ht="15.75">
      <c r="A34" s="484" t="s">
        <v>190</v>
      </c>
      <c r="B34" s="501">
        <v>0.25</v>
      </c>
      <c r="C34" s="10"/>
      <c r="D34" s="502">
        <f t="shared" ref="D34" si="5">B34*C34</f>
        <v>0</v>
      </c>
    </row>
    <row r="35" spans="1:4" s="473" customFormat="1" ht="16.149999999999999" thickBot="1">
      <c r="A35" s="503" t="s">
        <v>213</v>
      </c>
      <c r="B35" s="504">
        <v>0.3</v>
      </c>
      <c r="C35" s="13"/>
      <c r="D35" s="505">
        <f t="shared" si="0"/>
        <v>0</v>
      </c>
    </row>
    <row r="36" spans="1:4" s="473" customFormat="1" ht="16.149999999999999" thickBot="1">
      <c r="A36" s="506" t="s">
        <v>296</v>
      </c>
      <c r="B36" s="507"/>
      <c r="C36" s="508"/>
      <c r="D36" s="509"/>
    </row>
    <row r="37" spans="1:4" s="473" customFormat="1" ht="15.75">
      <c r="A37" s="491" t="s">
        <v>75</v>
      </c>
      <c r="B37" s="493">
        <v>-0.1</v>
      </c>
      <c r="C37" s="11"/>
      <c r="D37" s="494">
        <f t="shared" ref="D37" si="6">B37*C37</f>
        <v>0</v>
      </c>
    </row>
    <row r="38" spans="1:4" s="473" customFormat="1" ht="15.75">
      <c r="A38" s="491" t="s">
        <v>23</v>
      </c>
      <c r="B38" s="493">
        <v>-0.05</v>
      </c>
      <c r="C38" s="11"/>
      <c r="D38" s="494">
        <f t="shared" ref="D38" si="7">B38*C38</f>
        <v>0</v>
      </c>
    </row>
    <row r="39" spans="1:4" s="473" customFormat="1" ht="15.75">
      <c r="A39" s="484" t="s">
        <v>66</v>
      </c>
      <c r="B39" s="495">
        <v>0</v>
      </c>
      <c r="C39" s="11"/>
      <c r="D39" s="486">
        <f t="shared" si="0"/>
        <v>0</v>
      </c>
    </row>
    <row r="40" spans="1:4" s="473" customFormat="1" ht="15.75">
      <c r="A40" s="484" t="s">
        <v>67</v>
      </c>
      <c r="B40" s="495">
        <v>0.05</v>
      </c>
      <c r="C40" s="11"/>
      <c r="D40" s="486">
        <f t="shared" si="0"/>
        <v>0</v>
      </c>
    </row>
    <row r="41" spans="1:4" s="473" customFormat="1" ht="15.75">
      <c r="A41" s="484" t="s">
        <v>68</v>
      </c>
      <c r="B41" s="495">
        <v>0.1</v>
      </c>
      <c r="C41" s="10"/>
      <c r="D41" s="486">
        <f t="shared" si="0"/>
        <v>0</v>
      </c>
    </row>
    <row r="42" spans="1:4" s="473" customFormat="1" ht="15.75">
      <c r="A42" s="487" t="s">
        <v>69</v>
      </c>
      <c r="B42" s="496">
        <v>0.15</v>
      </c>
      <c r="C42" s="11"/>
      <c r="D42" s="489">
        <f>B42*C42</f>
        <v>0</v>
      </c>
    </row>
    <row r="43" spans="1:4" s="473" customFormat="1" ht="15.75">
      <c r="A43" s="484" t="s">
        <v>189</v>
      </c>
      <c r="B43" s="495">
        <v>0.2</v>
      </c>
      <c r="C43" s="10"/>
      <c r="D43" s="486">
        <f t="shared" si="0"/>
        <v>0</v>
      </c>
    </row>
    <row r="44" spans="1:4" s="473" customFormat="1" ht="16.149999999999999" thickBot="1">
      <c r="A44" s="484" t="s">
        <v>214</v>
      </c>
      <c r="B44" s="495">
        <v>0.25</v>
      </c>
      <c r="C44" s="10"/>
      <c r="D44" s="486">
        <f t="shared" ref="D44" si="8">B44*C44</f>
        <v>0</v>
      </c>
    </row>
    <row r="45" spans="1:4" s="473" customFormat="1" ht="63" customHeight="1" thickBot="1">
      <c r="A45" s="506" t="s">
        <v>191</v>
      </c>
      <c r="B45" s="510"/>
      <c r="C45" s="511"/>
      <c r="D45" s="512"/>
    </row>
    <row r="46" spans="1:4" s="473" customFormat="1" ht="15.75">
      <c r="A46" s="484" t="s">
        <v>243</v>
      </c>
      <c r="B46" s="513">
        <v>0</v>
      </c>
      <c r="C46" s="11"/>
      <c r="D46" s="486">
        <f t="shared" ref="D46:D49" si="9">B46*C46</f>
        <v>0</v>
      </c>
    </row>
    <row r="47" spans="1:4" s="473" customFormat="1" ht="15.75">
      <c r="A47" s="484" t="s">
        <v>253</v>
      </c>
      <c r="B47" s="513">
        <v>0.05</v>
      </c>
      <c r="C47" s="10"/>
      <c r="D47" s="486">
        <f>B47*C47</f>
        <v>0</v>
      </c>
    </row>
    <row r="48" spans="1:4" s="473" customFormat="1" ht="15.75">
      <c r="A48" s="484" t="s">
        <v>254</v>
      </c>
      <c r="B48" s="513">
        <v>0.1</v>
      </c>
      <c r="C48" s="10"/>
      <c r="D48" s="486">
        <f t="shared" si="9"/>
        <v>0</v>
      </c>
    </row>
    <row r="49" spans="1:7" s="473" customFormat="1" ht="16.149999999999999" thickBot="1">
      <c r="A49" s="484" t="s">
        <v>255</v>
      </c>
      <c r="B49" s="513">
        <v>0.15</v>
      </c>
      <c r="C49" s="10"/>
      <c r="D49" s="486">
        <f t="shared" si="9"/>
        <v>0</v>
      </c>
    </row>
    <row r="50" spans="1:7" s="473" customFormat="1" ht="47.45" customHeight="1" thickBot="1">
      <c r="A50" s="514" t="s">
        <v>212</v>
      </c>
      <c r="B50" s="510"/>
      <c r="C50" s="511"/>
      <c r="D50" s="512"/>
    </row>
    <row r="51" spans="1:7" s="473" customFormat="1" ht="15.75">
      <c r="A51" s="491" t="s">
        <v>188</v>
      </c>
      <c r="B51" s="495">
        <v>0</v>
      </c>
      <c r="C51" s="11"/>
      <c r="D51" s="494">
        <f t="shared" si="0"/>
        <v>0</v>
      </c>
    </row>
    <row r="52" spans="1:7" s="473" customFormat="1" ht="15.75">
      <c r="A52" s="484" t="s">
        <v>187</v>
      </c>
      <c r="B52" s="495">
        <v>0.05</v>
      </c>
      <c r="C52" s="11"/>
      <c r="D52" s="486">
        <f>B52*C52</f>
        <v>0</v>
      </c>
    </row>
    <row r="53" spans="1:7" s="473" customFormat="1" ht="15.75">
      <c r="A53" s="484" t="s">
        <v>2</v>
      </c>
      <c r="B53" s="495">
        <v>0.1</v>
      </c>
      <c r="C53" s="10"/>
      <c r="D53" s="486">
        <f t="shared" si="0"/>
        <v>0</v>
      </c>
    </row>
    <row r="54" spans="1:7" s="473" customFormat="1" ht="16.149999999999999" thickBot="1">
      <c r="A54" s="484" t="s">
        <v>192</v>
      </c>
      <c r="B54" s="495">
        <v>0.15</v>
      </c>
      <c r="C54" s="10"/>
      <c r="D54" s="486">
        <f t="shared" si="0"/>
        <v>0</v>
      </c>
    </row>
    <row r="55" spans="1:7" s="473" customFormat="1" ht="16.149999999999999" thickBot="1">
      <c r="A55" s="480" t="s">
        <v>25</v>
      </c>
      <c r="B55" s="481"/>
      <c r="C55" s="490"/>
      <c r="D55" s="483"/>
    </row>
    <row r="56" spans="1:7" s="473" customFormat="1" ht="15.75">
      <c r="A56" s="491" t="s">
        <v>20</v>
      </c>
      <c r="B56" s="493">
        <v>-0.2</v>
      </c>
      <c r="C56" s="11"/>
      <c r="D56" s="494">
        <f>B56*C56</f>
        <v>0</v>
      </c>
    </row>
    <row r="57" spans="1:7" s="473" customFormat="1" ht="16.149999999999999" thickBot="1">
      <c r="A57" s="487" t="s">
        <v>21</v>
      </c>
      <c r="B57" s="496">
        <v>0</v>
      </c>
      <c r="C57" s="11"/>
      <c r="D57" s="489">
        <f>B57*C57</f>
        <v>0</v>
      </c>
    </row>
    <row r="58" spans="1:7" s="473" customFormat="1" ht="16.149999999999999" thickBot="1">
      <c r="A58" s="480" t="s">
        <v>4</v>
      </c>
      <c r="B58" s="481"/>
      <c r="C58" s="490"/>
      <c r="D58" s="483"/>
    </row>
    <row r="59" spans="1:7" s="473" customFormat="1" ht="15.75">
      <c r="A59" s="491" t="s">
        <v>20</v>
      </c>
      <c r="B59" s="493">
        <v>-0.05</v>
      </c>
      <c r="C59" s="11"/>
      <c r="D59" s="494">
        <f>B59*C59</f>
        <v>0</v>
      </c>
    </row>
    <row r="60" spans="1:7" s="473" customFormat="1" ht="16.149999999999999" thickBot="1">
      <c r="A60" s="484" t="s">
        <v>21</v>
      </c>
      <c r="B60" s="495">
        <v>0</v>
      </c>
      <c r="C60" s="11"/>
      <c r="D60" s="486">
        <f>B60*C60</f>
        <v>0</v>
      </c>
    </row>
    <row r="61" spans="1:7" s="473" customFormat="1" ht="18.399999999999999" thickBot="1">
      <c r="A61" s="596" t="s">
        <v>114</v>
      </c>
      <c r="B61" s="597"/>
      <c r="C61" s="598"/>
      <c r="D61" s="515">
        <f>IF(SUM(D4:D60)&lt;-20%,-20%,(SUM(D4:D60)*0.8))</f>
        <v>0</v>
      </c>
      <c r="E61" s="472" t="s">
        <v>244</v>
      </c>
    </row>
    <row r="62" spans="1:7" s="473" customFormat="1">
      <c r="A62" s="516"/>
      <c r="D62" s="517"/>
    </row>
    <row r="63" spans="1:7" s="14" customFormat="1" ht="16.149999999999999" thickBot="1">
      <c r="D63" s="428"/>
    </row>
    <row r="64" spans="1:7" s="14" customFormat="1" ht="36.4" thickBot="1">
      <c r="A64" s="95" t="s">
        <v>184</v>
      </c>
      <c r="B64" s="85" t="s">
        <v>150</v>
      </c>
      <c r="C64" s="83" t="s">
        <v>37</v>
      </c>
      <c r="D64" s="84" t="s">
        <v>11</v>
      </c>
      <c r="E64" s="85" t="s">
        <v>12</v>
      </c>
      <c r="F64" s="85" t="s">
        <v>200</v>
      </c>
      <c r="G64" s="85" t="s">
        <v>199</v>
      </c>
    </row>
    <row r="65" spans="1:7" s="14" customFormat="1" ht="16.149999999999999" thickBot="1">
      <c r="A65" s="91" t="s">
        <v>93</v>
      </c>
      <c r="B65" s="96"/>
      <c r="C65" s="97"/>
      <c r="D65" s="87"/>
      <c r="E65" s="87"/>
      <c r="F65" s="87"/>
      <c r="G65" s="98"/>
    </row>
    <row r="66" spans="1:7" s="14" customFormat="1" ht="15.75">
      <c r="A66" s="99" t="s">
        <v>94</v>
      </c>
      <c r="B66" s="100" t="str">
        <f t="shared" ref="B66:B72" si="10">IF(D66=1,"Да","Нет")</f>
        <v>Да</v>
      </c>
      <c r="C66" s="101">
        <v>36</v>
      </c>
      <c r="D66" s="26">
        <v>1</v>
      </c>
      <c r="E66" s="102">
        <f t="shared" ref="E66:E72" si="11">C66*D66</f>
        <v>36</v>
      </c>
      <c r="F66" s="567"/>
      <c r="G66" s="103">
        <f>C66*F66</f>
        <v>0</v>
      </c>
    </row>
    <row r="67" spans="1:7" s="14" customFormat="1" ht="15.75">
      <c r="A67" s="104" t="s">
        <v>95</v>
      </c>
      <c r="B67" s="105" t="str">
        <f t="shared" si="10"/>
        <v>Да</v>
      </c>
      <c r="C67" s="106">
        <v>16</v>
      </c>
      <c r="D67" s="25">
        <v>1</v>
      </c>
      <c r="E67" s="107">
        <f t="shared" si="11"/>
        <v>16</v>
      </c>
      <c r="F67" s="568"/>
      <c r="G67" s="108">
        <f t="shared" ref="G67:G133" si="12">C67*F67</f>
        <v>0</v>
      </c>
    </row>
    <row r="68" spans="1:7" s="14" customFormat="1" ht="15.75">
      <c r="A68" s="104" t="s">
        <v>96</v>
      </c>
      <c r="B68" s="105" t="str">
        <f t="shared" si="10"/>
        <v>Да</v>
      </c>
      <c r="C68" s="106">
        <v>36</v>
      </c>
      <c r="D68" s="25">
        <v>1</v>
      </c>
      <c r="E68" s="107">
        <f t="shared" si="11"/>
        <v>36</v>
      </c>
      <c r="F68" s="569"/>
      <c r="G68" s="108">
        <f t="shared" si="12"/>
        <v>0</v>
      </c>
    </row>
    <row r="69" spans="1:7" s="14" customFormat="1" ht="15.75">
      <c r="A69" s="104" t="s">
        <v>97</v>
      </c>
      <c r="B69" s="105" t="str">
        <f t="shared" si="10"/>
        <v>Да</v>
      </c>
      <c r="C69" s="106">
        <v>40</v>
      </c>
      <c r="D69" s="25">
        <v>1</v>
      </c>
      <c r="E69" s="107">
        <f t="shared" si="11"/>
        <v>40</v>
      </c>
      <c r="F69" s="569"/>
      <c r="G69" s="108">
        <f t="shared" si="12"/>
        <v>0</v>
      </c>
    </row>
    <row r="70" spans="1:7" s="14" customFormat="1" ht="15.75">
      <c r="A70" s="104" t="s">
        <v>98</v>
      </c>
      <c r="B70" s="105" t="str">
        <f t="shared" si="10"/>
        <v>Да</v>
      </c>
      <c r="C70" s="106">
        <v>40</v>
      </c>
      <c r="D70" s="25">
        <v>1</v>
      </c>
      <c r="E70" s="107">
        <f t="shared" si="11"/>
        <v>40</v>
      </c>
      <c r="F70" s="569"/>
      <c r="G70" s="108">
        <f t="shared" si="12"/>
        <v>0</v>
      </c>
    </row>
    <row r="71" spans="1:7" s="14" customFormat="1" ht="15.75">
      <c r="A71" s="104" t="s">
        <v>99</v>
      </c>
      <c r="B71" s="105" t="str">
        <f t="shared" si="10"/>
        <v>Да</v>
      </c>
      <c r="C71" s="106">
        <v>16</v>
      </c>
      <c r="D71" s="25">
        <v>1</v>
      </c>
      <c r="E71" s="107">
        <f t="shared" si="11"/>
        <v>16</v>
      </c>
      <c r="F71" s="569"/>
      <c r="G71" s="108">
        <f t="shared" si="12"/>
        <v>0</v>
      </c>
    </row>
    <row r="72" spans="1:7" s="14" customFormat="1" ht="16.149999999999999" thickBot="1">
      <c r="A72" s="109" t="s">
        <v>100</v>
      </c>
      <c r="B72" s="105" t="str">
        <f t="shared" si="10"/>
        <v>Да</v>
      </c>
      <c r="C72" s="106">
        <v>16</v>
      </c>
      <c r="D72" s="25">
        <v>1</v>
      </c>
      <c r="E72" s="107">
        <f t="shared" si="11"/>
        <v>16</v>
      </c>
      <c r="F72" s="569"/>
      <c r="G72" s="108">
        <f t="shared" si="12"/>
        <v>0</v>
      </c>
    </row>
    <row r="73" spans="1:7" s="14" customFormat="1" ht="16.149999999999999" thickBot="1">
      <c r="A73" s="91" t="s">
        <v>185</v>
      </c>
      <c r="B73" s="86"/>
      <c r="C73" s="96"/>
      <c r="D73" s="110"/>
      <c r="E73" s="87"/>
      <c r="F73" s="111"/>
      <c r="G73" s="98"/>
    </row>
    <row r="74" spans="1:7" s="14" customFormat="1" ht="31.9" thickBot="1">
      <c r="A74" s="109" t="s">
        <v>275</v>
      </c>
      <c r="B74" s="112" t="str">
        <f>IF(D74&gt;1,"Да","Нет")</f>
        <v>Нет</v>
      </c>
      <c r="C74" s="113">
        <v>40</v>
      </c>
      <c r="D74" s="571"/>
      <c r="E74" s="115">
        <f t="shared" ref="E74" si="13">C74*D74</f>
        <v>0</v>
      </c>
      <c r="F74" s="570"/>
      <c r="G74" s="116">
        <f t="shared" si="12"/>
        <v>0</v>
      </c>
    </row>
    <row r="75" spans="1:7" s="14" customFormat="1" ht="16.149999999999999" thickBot="1">
      <c r="A75" s="91" t="s">
        <v>18</v>
      </c>
      <c r="B75" s="96"/>
      <c r="C75" s="96"/>
      <c r="D75" s="88"/>
      <c r="E75" s="87"/>
      <c r="F75" s="111"/>
      <c r="G75" s="98"/>
    </row>
    <row r="76" spans="1:7" s="14" customFormat="1" ht="15.75">
      <c r="A76" s="117" t="s">
        <v>226</v>
      </c>
      <c r="B76" s="118" t="str">
        <f>IF(D76+F76&gt;0,"Да","Нет")</f>
        <v>Нет</v>
      </c>
      <c r="C76" s="101">
        <v>10</v>
      </c>
      <c r="D76" s="12"/>
      <c r="E76" s="107">
        <f t="shared" ref="E76:E77" si="14">C76*D76</f>
        <v>0</v>
      </c>
      <c r="F76" s="461"/>
      <c r="G76" s="108">
        <f t="shared" ref="G76:G77" si="15">C76*F76</f>
        <v>0</v>
      </c>
    </row>
    <row r="77" spans="1:7" s="14" customFormat="1" ht="15.75">
      <c r="A77" s="117" t="s">
        <v>227</v>
      </c>
      <c r="B77" s="119" t="str">
        <f t="shared" ref="B77:B133" si="16">IF(D77+F77&gt;0,"Да","Нет")</f>
        <v>Нет</v>
      </c>
      <c r="C77" s="101">
        <v>10</v>
      </c>
      <c r="D77" s="12"/>
      <c r="E77" s="107">
        <f t="shared" si="14"/>
        <v>0</v>
      </c>
      <c r="F77" s="461"/>
      <c r="G77" s="108">
        <f t="shared" si="15"/>
        <v>0</v>
      </c>
    </row>
    <row r="78" spans="1:7" s="14" customFormat="1" ht="15.75">
      <c r="A78" s="117" t="s">
        <v>456</v>
      </c>
      <c r="B78" s="119" t="str">
        <f t="shared" ref="B78:B79" si="17">IF(D78+F78&gt;0,"Да","Нет")</f>
        <v>Нет</v>
      </c>
      <c r="C78" s="101">
        <v>10</v>
      </c>
      <c r="D78" s="12"/>
      <c r="E78" s="107">
        <f t="shared" ref="E78:E79" si="18">C78*D78</f>
        <v>0</v>
      </c>
      <c r="F78" s="461"/>
      <c r="G78" s="108">
        <f t="shared" ref="G78:G79" si="19">C78*F78</f>
        <v>0</v>
      </c>
    </row>
    <row r="79" spans="1:7" s="14" customFormat="1" ht="15.75">
      <c r="A79" s="117" t="s">
        <v>457</v>
      </c>
      <c r="B79" s="119" t="str">
        <f t="shared" si="17"/>
        <v>Нет</v>
      </c>
      <c r="C79" s="101">
        <v>10</v>
      </c>
      <c r="D79" s="12"/>
      <c r="E79" s="107">
        <f t="shared" si="18"/>
        <v>0</v>
      </c>
      <c r="F79" s="461"/>
      <c r="G79" s="108">
        <f t="shared" si="19"/>
        <v>0</v>
      </c>
    </row>
    <row r="80" spans="1:7" s="14" customFormat="1" ht="15.75">
      <c r="A80" s="99" t="s">
        <v>169</v>
      </c>
      <c r="B80" s="542" t="str">
        <f t="shared" si="16"/>
        <v>Нет</v>
      </c>
      <c r="C80" s="101">
        <v>20</v>
      </c>
      <c r="D80" s="543"/>
      <c r="E80" s="107">
        <f t="shared" ref="E80:E133" si="20">C80*D80</f>
        <v>0</v>
      </c>
      <c r="F80" s="461"/>
      <c r="G80" s="108">
        <f t="shared" si="12"/>
        <v>0</v>
      </c>
    </row>
    <row r="81" spans="1:7" s="14" customFormat="1" ht="15.75">
      <c r="A81" s="99" t="s">
        <v>151</v>
      </c>
      <c r="B81" s="542" t="str">
        <f>IF(D81+F81&gt;0,"Да","Нет")</f>
        <v>Нет</v>
      </c>
      <c r="C81" s="106">
        <v>20</v>
      </c>
      <c r="D81" s="543"/>
      <c r="E81" s="107">
        <f t="shared" si="20"/>
        <v>0</v>
      </c>
      <c r="F81" s="462"/>
      <c r="G81" s="108">
        <f t="shared" si="12"/>
        <v>0</v>
      </c>
    </row>
    <row r="82" spans="1:7" s="14" customFormat="1" ht="15.75">
      <c r="A82" s="99" t="s">
        <v>10</v>
      </c>
      <c r="B82" s="542" t="str">
        <f t="shared" si="16"/>
        <v>Нет</v>
      </c>
      <c r="C82" s="106">
        <v>15</v>
      </c>
      <c r="D82" s="543"/>
      <c r="E82" s="107">
        <f t="shared" si="20"/>
        <v>0</v>
      </c>
      <c r="F82" s="462"/>
      <c r="G82" s="108">
        <f t="shared" si="12"/>
        <v>0</v>
      </c>
    </row>
    <row r="83" spans="1:7" s="14" customFormat="1" ht="15.75">
      <c r="A83" s="99" t="s">
        <v>5</v>
      </c>
      <c r="B83" s="119" t="str">
        <f t="shared" si="16"/>
        <v>Нет</v>
      </c>
      <c r="C83" s="106">
        <v>30</v>
      </c>
      <c r="D83" s="543"/>
      <c r="E83" s="107">
        <f t="shared" si="20"/>
        <v>0</v>
      </c>
      <c r="F83" s="462"/>
      <c r="G83" s="108">
        <f t="shared" si="12"/>
        <v>0</v>
      </c>
    </row>
    <row r="84" spans="1:7" s="14" customFormat="1" ht="15.75">
      <c r="A84" s="99" t="s">
        <v>6</v>
      </c>
      <c r="B84" s="119" t="str">
        <f t="shared" si="16"/>
        <v>Нет</v>
      </c>
      <c r="C84" s="106">
        <v>30</v>
      </c>
      <c r="D84" s="12"/>
      <c r="E84" s="107">
        <f>C84*D84</f>
        <v>0</v>
      </c>
      <c r="F84" s="462"/>
      <c r="G84" s="108">
        <f t="shared" si="12"/>
        <v>0</v>
      </c>
    </row>
    <row r="85" spans="1:7" s="14" customFormat="1" ht="15.75">
      <c r="A85" s="99" t="s">
        <v>171</v>
      </c>
      <c r="B85" s="119" t="str">
        <f t="shared" si="16"/>
        <v>Нет</v>
      </c>
      <c r="C85" s="106">
        <v>60</v>
      </c>
      <c r="D85" s="12"/>
      <c r="E85" s="107">
        <f t="shared" si="20"/>
        <v>0</v>
      </c>
      <c r="F85" s="462"/>
      <c r="G85" s="108">
        <f t="shared" si="12"/>
        <v>0</v>
      </c>
    </row>
    <row r="86" spans="1:7" s="14" customFormat="1" ht="15.75">
      <c r="A86" s="99" t="s">
        <v>224</v>
      </c>
      <c r="B86" s="119" t="str">
        <f t="shared" si="16"/>
        <v>Нет</v>
      </c>
      <c r="C86" s="106">
        <v>15</v>
      </c>
      <c r="D86" s="12"/>
      <c r="E86" s="107">
        <f t="shared" si="20"/>
        <v>0</v>
      </c>
      <c r="F86" s="462"/>
      <c r="G86" s="108">
        <f t="shared" si="12"/>
        <v>0</v>
      </c>
    </row>
    <row r="87" spans="1:7" s="14" customFormat="1" ht="15.75">
      <c r="A87" s="99" t="s">
        <v>225</v>
      </c>
      <c r="B87" s="119" t="str">
        <f>IF(D87+F87&gt;0,"Да","Нет")</f>
        <v>Нет</v>
      </c>
      <c r="C87" s="106">
        <v>15</v>
      </c>
      <c r="D87" s="12"/>
      <c r="E87" s="107">
        <f>C87*D87</f>
        <v>0</v>
      </c>
      <c r="F87" s="462"/>
      <c r="G87" s="108">
        <f t="shared" si="12"/>
        <v>0</v>
      </c>
    </row>
    <row r="88" spans="1:7" s="14" customFormat="1" ht="15.75">
      <c r="A88" s="99" t="s">
        <v>165</v>
      </c>
      <c r="B88" s="542" t="str">
        <f t="shared" si="16"/>
        <v>Нет</v>
      </c>
      <c r="C88" s="106">
        <v>30</v>
      </c>
      <c r="D88" s="543"/>
      <c r="E88" s="107">
        <f t="shared" si="20"/>
        <v>0</v>
      </c>
      <c r="F88" s="462"/>
      <c r="G88" s="108">
        <f t="shared" si="12"/>
        <v>0</v>
      </c>
    </row>
    <row r="89" spans="1:7" s="14" customFormat="1" ht="15.75">
      <c r="A89" s="99" t="s">
        <v>445</v>
      </c>
      <c r="B89" s="119" t="str">
        <f t="shared" si="16"/>
        <v>Нет</v>
      </c>
      <c r="C89" s="106">
        <v>15</v>
      </c>
      <c r="D89" s="12"/>
      <c r="E89" s="107">
        <f t="shared" si="20"/>
        <v>0</v>
      </c>
      <c r="F89" s="462"/>
      <c r="G89" s="108">
        <f t="shared" si="12"/>
        <v>0</v>
      </c>
    </row>
    <row r="90" spans="1:7" s="14" customFormat="1" ht="15.75">
      <c r="A90" s="99" t="s">
        <v>24</v>
      </c>
      <c r="B90" s="542" t="str">
        <f t="shared" si="16"/>
        <v>Нет</v>
      </c>
      <c r="C90" s="120">
        <v>15</v>
      </c>
      <c r="D90" s="543"/>
      <c r="E90" s="107">
        <f t="shared" si="20"/>
        <v>0</v>
      </c>
      <c r="F90" s="463"/>
      <c r="G90" s="108">
        <f t="shared" si="12"/>
        <v>0</v>
      </c>
    </row>
    <row r="91" spans="1:7" s="14" customFormat="1" ht="15.75">
      <c r="A91" s="534" t="s">
        <v>449</v>
      </c>
      <c r="B91" s="542" t="str">
        <f t="shared" si="16"/>
        <v>Нет</v>
      </c>
      <c r="C91" s="106">
        <v>40</v>
      </c>
      <c r="D91" s="543"/>
      <c r="E91" s="107">
        <f t="shared" si="20"/>
        <v>0</v>
      </c>
      <c r="F91" s="462"/>
      <c r="G91" s="108">
        <f t="shared" si="12"/>
        <v>0</v>
      </c>
    </row>
    <row r="92" spans="1:7" s="14" customFormat="1" ht="16.149999999999999" thickBot="1">
      <c r="A92" s="121" t="s">
        <v>143</v>
      </c>
      <c r="B92" s="122" t="str">
        <f t="shared" si="16"/>
        <v>Нет</v>
      </c>
      <c r="C92" s="123">
        <v>30</v>
      </c>
      <c r="D92" s="12"/>
      <c r="E92" s="124">
        <f>C92*D92</f>
        <v>0</v>
      </c>
      <c r="F92" s="464"/>
      <c r="G92" s="125">
        <f t="shared" si="12"/>
        <v>0</v>
      </c>
    </row>
    <row r="93" spans="1:7" s="14" customFormat="1" ht="16.149999999999999" thickBot="1">
      <c r="A93" s="91" t="s">
        <v>17</v>
      </c>
      <c r="B93" s="126" t="str">
        <f t="shared" ref="B93" si="21">IF(D93+F93=1,"Да","Нет")</f>
        <v>Нет</v>
      </c>
      <c r="C93" s="96"/>
      <c r="D93" s="88"/>
      <c r="E93" s="87"/>
      <c r="F93" s="111"/>
      <c r="G93" s="98"/>
    </row>
    <row r="94" spans="1:7" s="14" customFormat="1" ht="15.75">
      <c r="A94" s="127" t="s">
        <v>450</v>
      </c>
      <c r="B94" s="544" t="str">
        <f t="shared" si="16"/>
        <v>Нет</v>
      </c>
      <c r="C94" s="128">
        <v>20</v>
      </c>
      <c r="D94" s="543"/>
      <c r="E94" s="129">
        <f t="shared" si="20"/>
        <v>0</v>
      </c>
      <c r="F94" s="460"/>
      <c r="G94" s="103">
        <f t="shared" si="12"/>
        <v>0</v>
      </c>
    </row>
    <row r="95" spans="1:7" s="14" customFormat="1" ht="15.75">
      <c r="A95" s="130" t="s">
        <v>451</v>
      </c>
      <c r="B95" s="542" t="str">
        <f t="shared" si="16"/>
        <v>Нет</v>
      </c>
      <c r="C95" s="131">
        <v>30</v>
      </c>
      <c r="D95" s="543"/>
      <c r="E95" s="107">
        <f t="shared" si="20"/>
        <v>0</v>
      </c>
      <c r="F95" s="462"/>
      <c r="G95" s="108">
        <f t="shared" si="12"/>
        <v>0</v>
      </c>
    </row>
    <row r="96" spans="1:7" s="14" customFormat="1" ht="15.75">
      <c r="A96" s="130" t="s">
        <v>452</v>
      </c>
      <c r="B96" s="119" t="str">
        <f t="shared" si="16"/>
        <v>Нет</v>
      </c>
      <c r="C96" s="131">
        <v>80</v>
      </c>
      <c r="D96" s="12"/>
      <c r="E96" s="107">
        <f t="shared" si="20"/>
        <v>0</v>
      </c>
      <c r="F96" s="462"/>
      <c r="G96" s="108">
        <f t="shared" si="12"/>
        <v>0</v>
      </c>
    </row>
    <row r="97" spans="1:7" s="14" customFormat="1" ht="15.75">
      <c r="A97" s="130" t="s">
        <v>453</v>
      </c>
      <c r="B97" s="542" t="str">
        <f t="shared" si="16"/>
        <v>Нет</v>
      </c>
      <c r="C97" s="131">
        <v>10</v>
      </c>
      <c r="D97" s="546"/>
      <c r="E97" s="107">
        <f t="shared" si="20"/>
        <v>0</v>
      </c>
      <c r="F97" s="462"/>
      <c r="G97" s="108">
        <f t="shared" si="12"/>
        <v>0</v>
      </c>
    </row>
    <row r="98" spans="1:7" s="14" customFormat="1" ht="15.75">
      <c r="A98" s="130" t="s">
        <v>193</v>
      </c>
      <c r="B98" s="119" t="str">
        <f t="shared" si="16"/>
        <v>Нет</v>
      </c>
      <c r="C98" s="131">
        <v>20</v>
      </c>
      <c r="D98" s="12"/>
      <c r="E98" s="107">
        <f t="shared" si="20"/>
        <v>0</v>
      </c>
      <c r="F98" s="462"/>
      <c r="G98" s="108">
        <f t="shared" si="12"/>
        <v>0</v>
      </c>
    </row>
    <row r="99" spans="1:7" s="14" customFormat="1" ht="16.149999999999999" thickBot="1">
      <c r="A99" s="132" t="s">
        <v>454</v>
      </c>
      <c r="B99" s="545" t="str">
        <f t="shared" si="16"/>
        <v>Нет</v>
      </c>
      <c r="C99" s="133">
        <v>40</v>
      </c>
      <c r="D99" s="547"/>
      <c r="E99" s="134">
        <f t="shared" si="20"/>
        <v>0</v>
      </c>
      <c r="F99" s="463"/>
      <c r="G99" s="125">
        <f t="shared" si="12"/>
        <v>0</v>
      </c>
    </row>
    <row r="100" spans="1:7" s="14" customFormat="1" ht="16.149999999999999" thickBot="1">
      <c r="A100" s="91" t="s">
        <v>174</v>
      </c>
      <c r="B100" s="126"/>
      <c r="C100" s="96"/>
      <c r="D100" s="88"/>
      <c r="E100" s="87"/>
      <c r="F100" s="111"/>
      <c r="G100" s="98"/>
    </row>
    <row r="101" spans="1:7" s="14" customFormat="1" ht="15.75">
      <c r="A101" s="99" t="s">
        <v>175</v>
      </c>
      <c r="B101" s="118" t="str">
        <f t="shared" si="16"/>
        <v>Нет</v>
      </c>
      <c r="C101" s="135">
        <v>10</v>
      </c>
      <c r="D101" s="12"/>
      <c r="E101" s="102">
        <f t="shared" ref="E101" si="22">C101*D101</f>
        <v>0</v>
      </c>
      <c r="F101" s="461"/>
      <c r="G101" s="108">
        <f t="shared" si="12"/>
        <v>0</v>
      </c>
    </row>
    <row r="102" spans="1:7" s="14" customFormat="1" ht="15.75">
      <c r="A102" s="104" t="s">
        <v>176</v>
      </c>
      <c r="B102" s="119" t="str">
        <f t="shared" si="16"/>
        <v>Нет</v>
      </c>
      <c r="C102" s="131">
        <v>10</v>
      </c>
      <c r="D102" s="12"/>
      <c r="E102" s="107">
        <f t="shared" ref="E102:E109" si="23">C102*D102</f>
        <v>0</v>
      </c>
      <c r="F102" s="462"/>
      <c r="G102" s="108">
        <f t="shared" si="12"/>
        <v>0</v>
      </c>
    </row>
    <row r="103" spans="1:7" s="14" customFormat="1" ht="15.75">
      <c r="A103" s="104" t="s">
        <v>177</v>
      </c>
      <c r="B103" s="119" t="str">
        <f t="shared" si="16"/>
        <v>Нет</v>
      </c>
      <c r="C103" s="131">
        <v>10</v>
      </c>
      <c r="D103" s="12"/>
      <c r="E103" s="107">
        <f t="shared" si="23"/>
        <v>0</v>
      </c>
      <c r="F103" s="462"/>
      <c r="G103" s="108">
        <f t="shared" si="12"/>
        <v>0</v>
      </c>
    </row>
    <row r="104" spans="1:7" s="14" customFormat="1" ht="15.75">
      <c r="A104" s="104" t="s">
        <v>178</v>
      </c>
      <c r="B104" s="119" t="str">
        <f t="shared" si="16"/>
        <v>Нет</v>
      </c>
      <c r="C104" s="131">
        <v>10</v>
      </c>
      <c r="D104" s="12"/>
      <c r="E104" s="107">
        <f t="shared" si="23"/>
        <v>0</v>
      </c>
      <c r="F104" s="462"/>
      <c r="G104" s="108">
        <f t="shared" si="12"/>
        <v>0</v>
      </c>
    </row>
    <row r="105" spans="1:7" s="14" customFormat="1" ht="15.75">
      <c r="A105" s="104" t="s">
        <v>179</v>
      </c>
      <c r="B105" s="119" t="str">
        <f t="shared" si="16"/>
        <v>Нет</v>
      </c>
      <c r="C105" s="131">
        <v>20</v>
      </c>
      <c r="D105" s="12"/>
      <c r="E105" s="107">
        <f t="shared" si="23"/>
        <v>0</v>
      </c>
      <c r="F105" s="462"/>
      <c r="G105" s="108">
        <f t="shared" si="12"/>
        <v>0</v>
      </c>
    </row>
    <row r="106" spans="1:7" s="14" customFormat="1" ht="15.75">
      <c r="A106" s="104" t="s">
        <v>180</v>
      </c>
      <c r="B106" s="119" t="str">
        <f t="shared" si="16"/>
        <v>Нет</v>
      </c>
      <c r="C106" s="131">
        <v>15</v>
      </c>
      <c r="D106" s="12"/>
      <c r="E106" s="107">
        <f t="shared" si="23"/>
        <v>0</v>
      </c>
      <c r="F106" s="462"/>
      <c r="G106" s="108">
        <f t="shared" si="12"/>
        <v>0</v>
      </c>
    </row>
    <row r="107" spans="1:7" s="14" customFormat="1" ht="15.75">
      <c r="A107" s="147" t="s">
        <v>181</v>
      </c>
      <c r="B107" s="119" t="str">
        <f t="shared" si="16"/>
        <v>Нет</v>
      </c>
      <c r="C107" s="131">
        <v>10</v>
      </c>
      <c r="D107" s="12"/>
      <c r="E107" s="107">
        <f t="shared" si="23"/>
        <v>0</v>
      </c>
      <c r="F107" s="462"/>
      <c r="G107" s="108">
        <f t="shared" si="12"/>
        <v>0</v>
      </c>
    </row>
    <row r="108" spans="1:7" s="14" customFormat="1" ht="15.75">
      <c r="A108" s="104" t="s">
        <v>182</v>
      </c>
      <c r="B108" s="119" t="str">
        <f t="shared" si="16"/>
        <v>Нет</v>
      </c>
      <c r="C108" s="131">
        <v>10</v>
      </c>
      <c r="D108" s="12"/>
      <c r="E108" s="107">
        <f t="shared" si="23"/>
        <v>0</v>
      </c>
      <c r="F108" s="462"/>
      <c r="G108" s="108">
        <f t="shared" si="12"/>
        <v>0</v>
      </c>
    </row>
    <row r="109" spans="1:7" s="14" customFormat="1" ht="16.149999999999999" thickBot="1">
      <c r="A109" s="109" t="s">
        <v>183</v>
      </c>
      <c r="B109" s="122" t="str">
        <f t="shared" si="16"/>
        <v>Нет</v>
      </c>
      <c r="C109" s="133">
        <v>10</v>
      </c>
      <c r="D109" s="12"/>
      <c r="E109" s="134">
        <f t="shared" si="23"/>
        <v>0</v>
      </c>
      <c r="F109" s="463"/>
      <c r="G109" s="108">
        <f t="shared" si="12"/>
        <v>0</v>
      </c>
    </row>
    <row r="110" spans="1:7" s="14" customFormat="1" ht="16.149999999999999" thickBot="1">
      <c r="A110" s="91" t="s">
        <v>19</v>
      </c>
      <c r="B110" s="136"/>
      <c r="C110" s="96"/>
      <c r="D110" s="88"/>
      <c r="E110" s="87"/>
      <c r="F110" s="111"/>
      <c r="G110" s="98"/>
    </row>
    <row r="111" spans="1:7" s="14" customFormat="1" ht="15.75">
      <c r="A111" s="535" t="s">
        <v>252</v>
      </c>
      <c r="B111" s="544" t="str">
        <f t="shared" si="16"/>
        <v>Нет</v>
      </c>
      <c r="C111" s="137">
        <v>30</v>
      </c>
      <c r="D111" s="543"/>
      <c r="E111" s="138">
        <f t="shared" ref="E111:E116" si="24">C111*D111</f>
        <v>0</v>
      </c>
      <c r="F111" s="465"/>
      <c r="G111" s="108">
        <f t="shared" si="12"/>
        <v>0</v>
      </c>
    </row>
    <row r="112" spans="1:7" s="14" customFormat="1" ht="15.75">
      <c r="A112" s="139" t="s">
        <v>208</v>
      </c>
      <c r="B112" s="119" t="str">
        <f t="shared" si="16"/>
        <v>Нет</v>
      </c>
      <c r="C112" s="131">
        <v>10</v>
      </c>
      <c r="D112" s="12"/>
      <c r="E112" s="107">
        <f t="shared" si="24"/>
        <v>0</v>
      </c>
      <c r="F112" s="462"/>
      <c r="G112" s="108">
        <f t="shared" ref="G112" si="25">C112*F112</f>
        <v>0</v>
      </c>
    </row>
    <row r="113" spans="1:7" s="14" customFormat="1" ht="15.75">
      <c r="A113" s="139" t="s">
        <v>209</v>
      </c>
      <c r="B113" s="119" t="str">
        <f t="shared" si="16"/>
        <v>Нет</v>
      </c>
      <c r="C113" s="131">
        <v>10</v>
      </c>
      <c r="D113" s="12"/>
      <c r="E113" s="107">
        <f t="shared" si="24"/>
        <v>0</v>
      </c>
      <c r="F113" s="462"/>
      <c r="G113" s="108">
        <f t="shared" si="12"/>
        <v>0</v>
      </c>
    </row>
    <row r="114" spans="1:7" s="14" customFormat="1" ht="15.75">
      <c r="A114" s="139" t="s">
        <v>229</v>
      </c>
      <c r="B114" s="119" t="str">
        <f t="shared" si="16"/>
        <v>Нет</v>
      </c>
      <c r="C114" s="131">
        <v>40</v>
      </c>
      <c r="D114" s="12"/>
      <c r="E114" s="107">
        <f t="shared" si="24"/>
        <v>0</v>
      </c>
      <c r="F114" s="462"/>
      <c r="G114" s="108">
        <f t="shared" si="12"/>
        <v>0</v>
      </c>
    </row>
    <row r="115" spans="1:7" s="14" customFormat="1" ht="15.75">
      <c r="A115" s="139" t="s">
        <v>230</v>
      </c>
      <c r="B115" s="119" t="str">
        <f t="shared" si="16"/>
        <v>Нет</v>
      </c>
      <c r="C115" s="140">
        <v>30</v>
      </c>
      <c r="D115" s="12"/>
      <c r="E115" s="107">
        <f t="shared" si="24"/>
        <v>0</v>
      </c>
      <c r="F115" s="462"/>
      <c r="G115" s="108">
        <f t="shared" ref="G115" si="26">C115*F115</f>
        <v>0</v>
      </c>
    </row>
    <row r="116" spans="1:7" s="14" customFormat="1" ht="15.75">
      <c r="A116" s="139" t="s">
        <v>7</v>
      </c>
      <c r="B116" s="119" t="str">
        <f t="shared" si="16"/>
        <v>Нет</v>
      </c>
      <c r="C116" s="131">
        <v>15</v>
      </c>
      <c r="D116" s="12"/>
      <c r="E116" s="107">
        <f t="shared" si="24"/>
        <v>0</v>
      </c>
      <c r="F116" s="462"/>
      <c r="G116" s="108">
        <f t="shared" si="12"/>
        <v>0</v>
      </c>
    </row>
    <row r="117" spans="1:7" s="14" customFormat="1" ht="15.75">
      <c r="A117" s="139" t="s">
        <v>428</v>
      </c>
      <c r="B117" s="119" t="str">
        <f t="shared" ref="B117" si="27">IF(D117+F117&gt;0,"Да","Нет")</f>
        <v>Нет</v>
      </c>
      <c r="C117" s="131">
        <v>15</v>
      </c>
      <c r="D117" s="12"/>
      <c r="E117" s="107">
        <f t="shared" ref="E117" si="28">C117*D117</f>
        <v>0</v>
      </c>
      <c r="F117" s="462"/>
      <c r="G117" s="108">
        <f t="shared" ref="G117" si="29">C117*F117</f>
        <v>0</v>
      </c>
    </row>
    <row r="118" spans="1:7" s="14" customFormat="1" ht="15.75">
      <c r="A118" s="139" t="s">
        <v>8</v>
      </c>
      <c r="B118" s="119" t="str">
        <f t="shared" si="16"/>
        <v>Нет</v>
      </c>
      <c r="C118" s="131">
        <v>30</v>
      </c>
      <c r="D118" s="12"/>
      <c r="E118" s="107">
        <f t="shared" si="20"/>
        <v>0</v>
      </c>
      <c r="F118" s="462"/>
      <c r="G118" s="108">
        <f t="shared" si="12"/>
        <v>0</v>
      </c>
    </row>
    <row r="119" spans="1:7" s="14" customFormat="1" ht="15.75">
      <c r="A119" s="139" t="s">
        <v>164</v>
      </c>
      <c r="B119" s="119" t="str">
        <f t="shared" si="16"/>
        <v>Нет</v>
      </c>
      <c r="C119" s="131">
        <v>40</v>
      </c>
      <c r="D119" s="12"/>
      <c r="E119" s="107">
        <f t="shared" si="20"/>
        <v>0</v>
      </c>
      <c r="F119" s="462"/>
      <c r="G119" s="108">
        <f t="shared" si="12"/>
        <v>0</v>
      </c>
    </row>
    <row r="120" spans="1:7" s="14" customFormat="1" ht="15.75">
      <c r="A120" s="139" t="s">
        <v>228</v>
      </c>
      <c r="B120" s="119" t="str">
        <f t="shared" si="16"/>
        <v>Нет</v>
      </c>
      <c r="C120" s="131">
        <v>20</v>
      </c>
      <c r="D120" s="12"/>
      <c r="E120" s="107">
        <f t="shared" ref="E120" si="30">C120*D120</f>
        <v>0</v>
      </c>
      <c r="F120" s="462"/>
      <c r="G120" s="108">
        <f t="shared" ref="G120" si="31">C120*F120</f>
        <v>0</v>
      </c>
    </row>
    <row r="121" spans="1:7" s="14" customFormat="1" ht="15.75">
      <c r="A121" s="139" t="s">
        <v>27</v>
      </c>
      <c r="B121" s="119" t="str">
        <f t="shared" si="16"/>
        <v>Нет</v>
      </c>
      <c r="C121" s="131">
        <v>30</v>
      </c>
      <c r="D121" s="12"/>
      <c r="E121" s="107">
        <f t="shared" si="20"/>
        <v>0</v>
      </c>
      <c r="F121" s="462"/>
      <c r="G121" s="108">
        <f t="shared" si="12"/>
        <v>0</v>
      </c>
    </row>
    <row r="122" spans="1:7" s="14" customFormat="1" ht="15.75">
      <c r="A122" s="139" t="s">
        <v>26</v>
      </c>
      <c r="B122" s="542" t="str">
        <f t="shared" si="16"/>
        <v>Нет</v>
      </c>
      <c r="C122" s="131">
        <v>15</v>
      </c>
      <c r="D122" s="543"/>
      <c r="E122" s="107">
        <f>C122*D122</f>
        <v>0</v>
      </c>
      <c r="F122" s="462"/>
      <c r="G122" s="108">
        <f t="shared" si="12"/>
        <v>0</v>
      </c>
    </row>
    <row r="123" spans="1:7" s="14" customFormat="1" ht="15.75">
      <c r="A123" s="139" t="s">
        <v>276</v>
      </c>
      <c r="B123" s="119" t="str">
        <f t="shared" si="16"/>
        <v>Нет</v>
      </c>
      <c r="C123" s="131">
        <v>50</v>
      </c>
      <c r="D123" s="12"/>
      <c r="E123" s="107">
        <f>C123*D123</f>
        <v>0</v>
      </c>
      <c r="F123" s="462"/>
      <c r="G123" s="108">
        <f t="shared" ref="G123" si="32">C123*F123</f>
        <v>0</v>
      </c>
    </row>
    <row r="124" spans="1:7" s="14" customFormat="1" ht="15.75">
      <c r="A124" s="139" t="s">
        <v>166</v>
      </c>
      <c r="B124" s="119" t="str">
        <f t="shared" si="16"/>
        <v>Нет</v>
      </c>
      <c r="C124" s="131">
        <v>35</v>
      </c>
      <c r="D124" s="12"/>
      <c r="E124" s="107">
        <f>C124*D124</f>
        <v>0</v>
      </c>
      <c r="F124" s="462"/>
      <c r="G124" s="108">
        <f t="shared" si="12"/>
        <v>0</v>
      </c>
    </row>
    <row r="125" spans="1:7" s="14" customFormat="1" ht="15.75">
      <c r="A125" s="139" t="s">
        <v>235</v>
      </c>
      <c r="B125" s="119" t="str">
        <f t="shared" si="16"/>
        <v>Нет</v>
      </c>
      <c r="C125" s="131">
        <v>20</v>
      </c>
      <c r="D125" s="12"/>
      <c r="E125" s="107">
        <f>C125*D125</f>
        <v>0</v>
      </c>
      <c r="F125" s="462"/>
      <c r="G125" s="108">
        <f t="shared" ref="G125" si="33">C125*F125</f>
        <v>0</v>
      </c>
    </row>
    <row r="126" spans="1:7" s="14" customFormat="1" ht="15.75">
      <c r="A126" s="141" t="s">
        <v>218</v>
      </c>
      <c r="B126" s="119" t="str">
        <f t="shared" si="16"/>
        <v>Нет</v>
      </c>
      <c r="C126" s="140">
        <v>20</v>
      </c>
      <c r="D126" s="12"/>
      <c r="E126" s="107">
        <f>C126*D126</f>
        <v>0</v>
      </c>
      <c r="F126" s="462"/>
      <c r="G126" s="108">
        <f t="shared" ref="G126" si="34">C126*F126</f>
        <v>0</v>
      </c>
    </row>
    <row r="127" spans="1:7" s="14" customFormat="1" ht="15.75">
      <c r="A127" s="139" t="s">
        <v>217</v>
      </c>
      <c r="B127" s="119" t="str">
        <f t="shared" si="16"/>
        <v>Нет</v>
      </c>
      <c r="C127" s="131">
        <v>20</v>
      </c>
      <c r="D127" s="12"/>
      <c r="E127" s="107">
        <f t="shared" ref="E127:E128" si="35">C127*D127</f>
        <v>0</v>
      </c>
      <c r="F127" s="462"/>
      <c r="G127" s="108">
        <f t="shared" ref="G127:G128" si="36">C127*F127</f>
        <v>0</v>
      </c>
    </row>
    <row r="128" spans="1:7" s="14" customFormat="1" ht="15.75">
      <c r="A128" s="139" t="s">
        <v>206</v>
      </c>
      <c r="B128" s="542" t="str">
        <f t="shared" si="16"/>
        <v>Нет</v>
      </c>
      <c r="C128" s="131">
        <v>20</v>
      </c>
      <c r="D128" s="543"/>
      <c r="E128" s="107">
        <f t="shared" si="35"/>
        <v>0</v>
      </c>
      <c r="F128" s="462"/>
      <c r="G128" s="108">
        <f t="shared" si="36"/>
        <v>0</v>
      </c>
    </row>
    <row r="129" spans="1:7" s="14" customFormat="1" ht="15.75">
      <c r="A129" s="139" t="s">
        <v>232</v>
      </c>
      <c r="B129" s="119" t="str">
        <f t="shared" si="16"/>
        <v>Нет</v>
      </c>
      <c r="C129" s="131">
        <v>20</v>
      </c>
      <c r="D129" s="12"/>
      <c r="E129" s="107">
        <f t="shared" ref="E129" si="37">C129*D129</f>
        <v>0</v>
      </c>
      <c r="F129" s="462"/>
      <c r="G129" s="108">
        <f t="shared" ref="G129" si="38">C129*F129</f>
        <v>0</v>
      </c>
    </row>
    <row r="130" spans="1:7" s="14" customFormat="1" ht="16.149999999999999" thickBot="1">
      <c r="A130" s="130" t="s">
        <v>0</v>
      </c>
      <c r="B130" s="122" t="str">
        <f t="shared" si="16"/>
        <v>Нет</v>
      </c>
      <c r="C130" s="142">
        <v>80</v>
      </c>
      <c r="D130" s="12"/>
      <c r="E130" s="143">
        <f t="shared" si="20"/>
        <v>0</v>
      </c>
      <c r="F130" s="466"/>
      <c r="G130" s="108">
        <f t="shared" si="12"/>
        <v>0</v>
      </c>
    </row>
    <row r="131" spans="1:7" s="14" customFormat="1" ht="16.149999999999999" thickBot="1">
      <c r="A131" s="91" t="s">
        <v>14</v>
      </c>
      <c r="B131" s="144"/>
      <c r="C131" s="96"/>
      <c r="D131" s="88"/>
      <c r="E131" s="87"/>
      <c r="F131" s="111"/>
      <c r="G131" s="98"/>
    </row>
    <row r="132" spans="1:7" s="14" customFormat="1" ht="15.75">
      <c r="A132" s="145" t="s">
        <v>15</v>
      </c>
      <c r="B132" s="146" t="str">
        <f t="shared" si="16"/>
        <v>Нет</v>
      </c>
      <c r="C132" s="131">
        <v>20</v>
      </c>
      <c r="D132" s="12"/>
      <c r="E132" s="129">
        <f t="shared" si="20"/>
        <v>0</v>
      </c>
      <c r="F132" s="460"/>
      <c r="G132" s="108">
        <f t="shared" si="12"/>
        <v>0</v>
      </c>
    </row>
    <row r="133" spans="1:7" s="14" customFormat="1" ht="16.149999999999999" thickBot="1">
      <c r="A133" s="147" t="s">
        <v>16</v>
      </c>
      <c r="B133" s="146" t="str">
        <f t="shared" si="16"/>
        <v>Нет</v>
      </c>
      <c r="C133" s="131">
        <v>100</v>
      </c>
      <c r="D133" s="12"/>
      <c r="E133" s="107">
        <f t="shared" si="20"/>
        <v>0</v>
      </c>
      <c r="F133" s="466"/>
      <c r="G133" s="148">
        <f t="shared" si="12"/>
        <v>0</v>
      </c>
    </row>
    <row r="134" spans="1:7" s="14" customFormat="1" ht="18.399999999999999" thickBot="1">
      <c r="A134" s="599" t="s">
        <v>297</v>
      </c>
      <c r="B134" s="600"/>
      <c r="C134" s="600"/>
      <c r="D134" s="601"/>
      <c r="E134" s="149">
        <f>SUM(E65:E133)</f>
        <v>200</v>
      </c>
      <c r="F134" s="150"/>
      <c r="G134" s="151">
        <f>SUM(G65:G133)</f>
        <v>0</v>
      </c>
    </row>
    <row r="135" spans="1:7" s="14" customFormat="1" ht="18.399999999999999" thickBot="1">
      <c r="A135" s="602" t="s">
        <v>114</v>
      </c>
      <c r="B135" s="603"/>
      <c r="C135" s="603"/>
      <c r="D135" s="604"/>
      <c r="E135" s="152">
        <f>E134*(D61+1)</f>
        <v>200</v>
      </c>
      <c r="F135" s="153"/>
      <c r="G135" s="152">
        <f>G134*(F58+1)</f>
        <v>0</v>
      </c>
    </row>
    <row r="136" spans="1:7" s="14" customFormat="1" ht="15.75">
      <c r="A136" s="93"/>
      <c r="B136" s="93"/>
      <c r="C136" s="93"/>
      <c r="D136" s="94"/>
      <c r="E136" s="93"/>
      <c r="F136" s="93"/>
      <c r="G136" s="93"/>
    </row>
    <row r="137" spans="1:7" s="14" customFormat="1" ht="16.149999999999999" thickBot="1">
      <c r="A137" s="93"/>
      <c r="B137" s="93"/>
      <c r="C137" s="93"/>
      <c r="D137" s="94"/>
      <c r="E137" s="93"/>
      <c r="F137" s="93"/>
      <c r="G137" s="93"/>
    </row>
    <row r="138" spans="1:7" s="14" customFormat="1" ht="36.4" thickBot="1">
      <c r="A138" s="154" t="s">
        <v>91</v>
      </c>
      <c r="B138" s="155" t="s">
        <v>150</v>
      </c>
      <c r="C138" s="156" t="s">
        <v>101</v>
      </c>
      <c r="D138" s="157" t="s">
        <v>11</v>
      </c>
      <c r="E138" s="155" t="s">
        <v>12</v>
      </c>
      <c r="F138" s="155" t="s">
        <v>200</v>
      </c>
      <c r="G138" s="155" t="s">
        <v>199</v>
      </c>
    </row>
    <row r="139" spans="1:7" s="14" customFormat="1" ht="16.149999999999999" thickBot="1">
      <c r="A139" s="91" t="s">
        <v>186</v>
      </c>
      <c r="B139" s="86"/>
      <c r="C139" s="96"/>
      <c r="D139" s="96"/>
      <c r="E139" s="158">
        <f>SUM(E140:E149)</f>
        <v>0</v>
      </c>
      <c r="F139" s="87"/>
      <c r="G139" s="158">
        <f>SUM(G140:G149)</f>
        <v>0</v>
      </c>
    </row>
    <row r="140" spans="1:7" s="14" customFormat="1" ht="15.75">
      <c r="A140" s="99" t="s">
        <v>9</v>
      </c>
      <c r="B140" s="146" t="str">
        <f t="shared" ref="B140:B149" si="39">IF(D140+F140&gt;0,"Да","Нет")</f>
        <v>Нет</v>
      </c>
      <c r="C140" s="131">
        <v>30</v>
      </c>
      <c r="D140" s="12"/>
      <c r="E140" s="159">
        <f>C140*D140</f>
        <v>0</v>
      </c>
      <c r="F140" s="16"/>
      <c r="G140" s="159">
        <f>C140*F140</f>
        <v>0</v>
      </c>
    </row>
    <row r="141" spans="1:7" s="14" customFormat="1" ht="15.75">
      <c r="A141" s="99" t="s">
        <v>277</v>
      </c>
      <c r="B141" s="146" t="str">
        <f t="shared" si="39"/>
        <v>Нет</v>
      </c>
      <c r="C141" s="131">
        <v>20</v>
      </c>
      <c r="D141" s="12"/>
      <c r="E141" s="159">
        <f>C141*D141</f>
        <v>0</v>
      </c>
      <c r="F141" s="16"/>
      <c r="G141" s="159">
        <f>C141*F141</f>
        <v>0</v>
      </c>
    </row>
    <row r="142" spans="1:7" s="14" customFormat="1" ht="15.75">
      <c r="A142" s="104" t="s">
        <v>215</v>
      </c>
      <c r="B142" s="146" t="str">
        <f t="shared" si="39"/>
        <v>Нет</v>
      </c>
      <c r="C142" s="131">
        <v>20</v>
      </c>
      <c r="D142" s="12"/>
      <c r="E142" s="159">
        <f t="shared" ref="E142:E145" si="40">C142*D142</f>
        <v>0</v>
      </c>
      <c r="F142" s="16"/>
      <c r="G142" s="159">
        <f t="shared" ref="G142:G145" si="41">C142*F142</f>
        <v>0</v>
      </c>
    </row>
    <row r="143" spans="1:7" s="14" customFormat="1" ht="31.5">
      <c r="A143" s="160" t="s">
        <v>219</v>
      </c>
      <c r="B143" s="146" t="str">
        <f t="shared" si="39"/>
        <v>Нет</v>
      </c>
      <c r="C143" s="131">
        <v>200</v>
      </c>
      <c r="D143" s="12"/>
      <c r="E143" s="159">
        <f t="shared" ref="E143" si="42">C143*D143</f>
        <v>0</v>
      </c>
      <c r="F143" s="16"/>
      <c r="G143" s="159">
        <f t="shared" ref="G143" si="43">C143*F143</f>
        <v>0</v>
      </c>
    </row>
    <row r="144" spans="1:7" s="14" customFormat="1" ht="15.75">
      <c r="A144" s="104" t="s">
        <v>194</v>
      </c>
      <c r="B144" s="146" t="str">
        <f t="shared" si="39"/>
        <v>Нет</v>
      </c>
      <c r="C144" s="131">
        <v>200</v>
      </c>
      <c r="D144" s="12"/>
      <c r="E144" s="159">
        <f t="shared" si="40"/>
        <v>0</v>
      </c>
      <c r="F144" s="16"/>
      <c r="G144" s="159">
        <f t="shared" si="41"/>
        <v>0</v>
      </c>
    </row>
    <row r="145" spans="1:7" s="14" customFormat="1" ht="15.75">
      <c r="A145" s="104" t="s">
        <v>195</v>
      </c>
      <c r="B145" s="146" t="str">
        <f t="shared" si="39"/>
        <v>Нет</v>
      </c>
      <c r="C145" s="131">
        <v>200</v>
      </c>
      <c r="D145" s="12"/>
      <c r="E145" s="159">
        <f t="shared" si="40"/>
        <v>0</v>
      </c>
      <c r="F145" s="16"/>
      <c r="G145" s="159">
        <f t="shared" si="41"/>
        <v>0</v>
      </c>
    </row>
    <row r="146" spans="1:7" s="14" customFormat="1" ht="15.75">
      <c r="A146" s="147" t="s">
        <v>233</v>
      </c>
      <c r="B146" s="146" t="str">
        <f t="shared" si="39"/>
        <v>Нет</v>
      </c>
      <c r="C146" s="131">
        <v>20</v>
      </c>
      <c r="D146" s="12"/>
      <c r="E146" s="159">
        <f t="shared" ref="E146:E149" si="44">C146*D146</f>
        <v>0</v>
      </c>
      <c r="F146" s="16"/>
      <c r="G146" s="108">
        <f t="shared" ref="G146:G149" si="45">C146*F146</f>
        <v>0</v>
      </c>
    </row>
    <row r="147" spans="1:7" s="14" customFormat="1" ht="15.75">
      <c r="A147" s="18"/>
      <c r="B147" s="19" t="str">
        <f t="shared" si="39"/>
        <v>Нет</v>
      </c>
      <c r="C147" s="20">
        <v>0</v>
      </c>
      <c r="D147" s="12"/>
      <c r="E147" s="21">
        <f t="shared" si="44"/>
        <v>0</v>
      </c>
      <c r="F147" s="16"/>
      <c r="G147" s="22">
        <f t="shared" si="45"/>
        <v>0</v>
      </c>
    </row>
    <row r="148" spans="1:7" s="14" customFormat="1" ht="15.75">
      <c r="A148" s="18"/>
      <c r="B148" s="19" t="str">
        <f t="shared" si="39"/>
        <v>Нет</v>
      </c>
      <c r="C148" s="20">
        <v>0</v>
      </c>
      <c r="D148" s="12"/>
      <c r="E148" s="21">
        <f t="shared" si="44"/>
        <v>0</v>
      </c>
      <c r="F148" s="16"/>
      <c r="G148" s="22">
        <f t="shared" si="45"/>
        <v>0</v>
      </c>
    </row>
    <row r="149" spans="1:7" s="14" customFormat="1" ht="16.149999999999999" thickBot="1">
      <c r="A149" s="18"/>
      <c r="B149" s="19" t="str">
        <f t="shared" si="39"/>
        <v>Нет</v>
      </c>
      <c r="C149" s="20">
        <v>0</v>
      </c>
      <c r="D149" s="12"/>
      <c r="E149" s="21">
        <f t="shared" si="44"/>
        <v>0</v>
      </c>
      <c r="F149" s="16"/>
      <c r="G149" s="22">
        <f t="shared" si="45"/>
        <v>0</v>
      </c>
    </row>
    <row r="150" spans="1:7" s="14" customFormat="1" ht="16.149999999999999" thickBot="1">
      <c r="A150" s="91" t="s">
        <v>278</v>
      </c>
      <c r="B150" s="86"/>
      <c r="C150" s="96"/>
      <c r="D150" s="110"/>
      <c r="E150" s="158">
        <f>SUM(E151:E159)</f>
        <v>0</v>
      </c>
      <c r="F150" s="110"/>
      <c r="G150" s="158">
        <f>SUM(G151:G159)</f>
        <v>0</v>
      </c>
    </row>
    <row r="151" spans="1:7" s="14" customFormat="1" ht="15.75">
      <c r="A151" s="104" t="s">
        <v>210</v>
      </c>
      <c r="B151" s="146" t="str">
        <f t="shared" ref="B151:B156" si="46">IF(D151+F151&gt;0,"Да","Нет")</f>
        <v>Нет</v>
      </c>
      <c r="C151" s="131">
        <v>100</v>
      </c>
      <c r="D151" s="12"/>
      <c r="E151" s="159">
        <f t="shared" ref="E151" si="47">C151*D151</f>
        <v>0</v>
      </c>
      <c r="F151" s="16"/>
      <c r="G151" s="108">
        <f>C151*F151</f>
        <v>0</v>
      </c>
    </row>
    <row r="152" spans="1:7" s="14" customFormat="1" ht="15.75">
      <c r="A152" s="104" t="s">
        <v>211</v>
      </c>
      <c r="B152" s="146" t="str">
        <f t="shared" si="46"/>
        <v>Нет</v>
      </c>
      <c r="C152" s="131">
        <v>100</v>
      </c>
      <c r="D152" s="12"/>
      <c r="E152" s="159">
        <f t="shared" ref="E152" si="48">C152*D152</f>
        <v>0</v>
      </c>
      <c r="F152" s="16"/>
      <c r="G152" s="108">
        <f>C152*F152</f>
        <v>0</v>
      </c>
    </row>
    <row r="153" spans="1:7" s="14" customFormat="1" ht="15.75">
      <c r="A153" s="104" t="s">
        <v>207</v>
      </c>
      <c r="B153" s="146" t="str">
        <f t="shared" ref="B153" si="49">IF(D153+F153&gt;0,"Да","Нет")</f>
        <v>Нет</v>
      </c>
      <c r="C153" s="131">
        <v>250</v>
      </c>
      <c r="D153" s="12"/>
      <c r="E153" s="159">
        <f t="shared" ref="E153" si="50">C153*D153</f>
        <v>0</v>
      </c>
      <c r="F153" s="16"/>
      <c r="G153" s="108">
        <f>C153*F153</f>
        <v>0</v>
      </c>
    </row>
    <row r="154" spans="1:7" s="14" customFormat="1" ht="31.5">
      <c r="A154" s="104" t="s">
        <v>279</v>
      </c>
      <c r="B154" s="146" t="str">
        <f t="shared" si="46"/>
        <v>Нет</v>
      </c>
      <c r="C154" s="131">
        <v>30</v>
      </c>
      <c r="D154" s="12"/>
      <c r="E154" s="159">
        <f t="shared" ref="E154:E156" si="51">C154*D154</f>
        <v>0</v>
      </c>
      <c r="F154" s="16"/>
      <c r="G154" s="108">
        <f>C154*F154</f>
        <v>0</v>
      </c>
    </row>
    <row r="155" spans="1:7" s="14" customFormat="1" ht="31.5">
      <c r="A155" s="104" t="s">
        <v>280</v>
      </c>
      <c r="B155" s="146" t="str">
        <f t="shared" si="46"/>
        <v>Нет</v>
      </c>
      <c r="C155" s="131">
        <v>30</v>
      </c>
      <c r="D155" s="12"/>
      <c r="E155" s="159">
        <f t="shared" si="51"/>
        <v>0</v>
      </c>
      <c r="F155" s="16"/>
      <c r="G155" s="108">
        <f t="shared" ref="G155:G157" si="52">C155*F155</f>
        <v>0</v>
      </c>
    </row>
    <row r="156" spans="1:7" s="14" customFormat="1" ht="15.75">
      <c r="A156" s="104" t="s">
        <v>263</v>
      </c>
      <c r="B156" s="146" t="str">
        <f t="shared" si="46"/>
        <v>Нет</v>
      </c>
      <c r="C156" s="131">
        <v>200</v>
      </c>
      <c r="D156" s="12"/>
      <c r="E156" s="159">
        <f t="shared" si="51"/>
        <v>0</v>
      </c>
      <c r="F156" s="16"/>
      <c r="G156" s="108">
        <f t="shared" si="52"/>
        <v>0</v>
      </c>
    </row>
    <row r="157" spans="1:7" s="14" customFormat="1" ht="15.75">
      <c r="A157" s="18"/>
      <c r="B157" s="19" t="str">
        <f>IF(D157+F157&gt;0,"Да","Нет")</f>
        <v>Нет</v>
      </c>
      <c r="C157" s="20">
        <v>0</v>
      </c>
      <c r="D157" s="12"/>
      <c r="E157" s="21">
        <f>C157*D157</f>
        <v>0</v>
      </c>
      <c r="F157" s="16"/>
      <c r="G157" s="22">
        <f t="shared" si="52"/>
        <v>0</v>
      </c>
    </row>
    <row r="158" spans="1:7" s="14" customFormat="1" ht="15.75">
      <c r="A158" s="18"/>
      <c r="B158" s="19" t="str">
        <f>IF(D158+F158&gt;0,"Да","Нет")</f>
        <v>Нет</v>
      </c>
      <c r="C158" s="20">
        <v>0</v>
      </c>
      <c r="D158" s="12"/>
      <c r="E158" s="21">
        <f t="shared" ref="E158" si="53">C158*D158</f>
        <v>0</v>
      </c>
      <c r="F158" s="16"/>
      <c r="G158" s="22">
        <f t="shared" ref="G158" si="54">C158*F158</f>
        <v>0</v>
      </c>
    </row>
    <row r="159" spans="1:7" s="14" customFormat="1" ht="16.149999999999999" thickBot="1">
      <c r="A159" s="23"/>
      <c r="B159" s="19" t="str">
        <f t="shared" ref="B159" si="55">IF(D159+F159&gt;0,"Да","Нет")</f>
        <v>Нет</v>
      </c>
      <c r="C159" s="20">
        <v>0</v>
      </c>
      <c r="D159" s="12"/>
      <c r="E159" s="21">
        <f t="shared" ref="E159" si="56">C159*D159</f>
        <v>0</v>
      </c>
      <c r="F159" s="16"/>
      <c r="G159" s="22">
        <f t="shared" ref="G159" si="57">C159*F159</f>
        <v>0</v>
      </c>
    </row>
    <row r="160" spans="1:7" s="14" customFormat="1" ht="16.149999999999999" thickBot="1">
      <c r="A160" s="161" t="s">
        <v>238</v>
      </c>
      <c r="B160" s="86"/>
      <c r="C160" s="96"/>
      <c r="D160" s="110"/>
      <c r="E160" s="158">
        <f>SUM(E161:E166)</f>
        <v>0</v>
      </c>
      <c r="F160" s="110"/>
      <c r="G160" s="158">
        <f>SUM(G161:G166)</f>
        <v>0</v>
      </c>
    </row>
    <row r="161" spans="1:11" s="14" customFormat="1" ht="16.149999999999999" thickBot="1">
      <c r="A161" s="162" t="s">
        <v>256</v>
      </c>
      <c r="B161" s="163" t="str">
        <f t="shared" ref="B161:B163" si="58">IF(D161+F161&gt;0,"Да","Нет")</f>
        <v>Нет</v>
      </c>
      <c r="C161" s="164">
        <v>50</v>
      </c>
      <c r="D161" s="17"/>
      <c r="E161" s="165">
        <f>C161*D161</f>
        <v>0</v>
      </c>
      <c r="F161" s="467"/>
      <c r="G161" s="166">
        <f>C161*F161</f>
        <v>0</v>
      </c>
    </row>
    <row r="162" spans="1:11" s="14" customFormat="1" ht="16.149999999999999" thickBot="1">
      <c r="A162" s="167" t="s">
        <v>234</v>
      </c>
      <c r="B162" s="168" t="str">
        <f t="shared" ref="B162" si="59">IF(D162+F162&gt;0,"Да","Нет")</f>
        <v>Нет</v>
      </c>
      <c r="C162" s="164">
        <v>150</v>
      </c>
      <c r="D162" s="15"/>
      <c r="E162" s="124">
        <f>C162*D162</f>
        <v>0</v>
      </c>
      <c r="F162" s="468"/>
      <c r="G162" s="125">
        <f>C162*F162</f>
        <v>0</v>
      </c>
    </row>
    <row r="163" spans="1:11" s="14" customFormat="1" ht="15.75">
      <c r="A163" s="169" t="s">
        <v>236</v>
      </c>
      <c r="B163" s="548" t="str">
        <f t="shared" si="58"/>
        <v>Нет</v>
      </c>
      <c r="C163" s="137">
        <v>50</v>
      </c>
      <c r="D163" s="550"/>
      <c r="E163" s="129">
        <f>C163*D163</f>
        <v>0</v>
      </c>
      <c r="F163" s="469"/>
      <c r="G163" s="103">
        <f>C163*F163</f>
        <v>0</v>
      </c>
    </row>
    <row r="164" spans="1:11" s="14" customFormat="1" ht="16.149999999999999" thickBot="1">
      <c r="A164" s="170" t="s">
        <v>237</v>
      </c>
      <c r="B164" s="549" t="str">
        <f t="shared" ref="B164" si="60">IF(D164+F164&gt;0,"Да","Нет")</f>
        <v>Нет</v>
      </c>
      <c r="C164" s="142">
        <v>80</v>
      </c>
      <c r="D164" s="551"/>
      <c r="E164" s="143">
        <f>C164*D164</f>
        <v>0</v>
      </c>
      <c r="F164" s="470"/>
      <c r="G164" s="148">
        <f>C164*F164</f>
        <v>0</v>
      </c>
    </row>
    <row r="165" spans="1:11" s="14" customFormat="1" ht="15.75">
      <c r="A165" s="99" t="s">
        <v>281</v>
      </c>
      <c r="B165" s="171" t="str">
        <f t="shared" ref="B165:B166" si="61">IF(D165+F165&gt;0,"Да","Нет")</f>
        <v>Нет</v>
      </c>
      <c r="C165" s="172">
        <v>80</v>
      </c>
      <c r="D165" s="12"/>
      <c r="E165" s="102">
        <f t="shared" ref="E165:E166" si="62">C165*D165</f>
        <v>0</v>
      </c>
      <c r="F165" s="468"/>
      <c r="G165" s="108">
        <f t="shared" ref="G165:G166" si="63">C165*F165</f>
        <v>0</v>
      </c>
    </row>
    <row r="166" spans="1:11" s="14" customFormat="1" ht="16.149999999999999" thickBot="1">
      <c r="A166" s="170" t="s">
        <v>282</v>
      </c>
      <c r="B166" s="146" t="str">
        <f t="shared" si="61"/>
        <v>Нет</v>
      </c>
      <c r="C166" s="133">
        <v>120</v>
      </c>
      <c r="D166" s="12"/>
      <c r="E166" s="134">
        <f t="shared" si="62"/>
        <v>0</v>
      </c>
      <c r="F166" s="470"/>
      <c r="G166" s="148">
        <f t="shared" si="63"/>
        <v>0</v>
      </c>
    </row>
    <row r="167" spans="1:11" s="14" customFormat="1" ht="18.399999999999999" thickBot="1">
      <c r="A167" s="602" t="s">
        <v>114</v>
      </c>
      <c r="B167" s="603"/>
      <c r="C167" s="603"/>
      <c r="D167" s="604"/>
      <c r="E167" s="173">
        <f>E139+E150+E160</f>
        <v>0</v>
      </c>
      <c r="F167" s="174"/>
      <c r="G167" s="175">
        <f>G139+G150+G160</f>
        <v>0</v>
      </c>
    </row>
    <row r="168" spans="1:11" s="14" customFormat="1" ht="15.75">
      <c r="C168" s="428"/>
      <c r="D168" s="428"/>
    </row>
    <row r="169" spans="1:11" s="14" customFormat="1" ht="16.149999999999999" thickBot="1">
      <c r="A169" s="471"/>
      <c r="D169" s="428"/>
    </row>
    <row r="170" spans="1:11" s="14" customFormat="1" ht="18.399999999999999" thickBot="1">
      <c r="A170" s="176" t="s">
        <v>65</v>
      </c>
      <c r="B170" s="177" t="s">
        <v>38</v>
      </c>
      <c r="C170" s="177" t="s">
        <v>42</v>
      </c>
      <c r="D170" s="177" t="s">
        <v>37</v>
      </c>
      <c r="E170" s="177" t="s">
        <v>55</v>
      </c>
      <c r="F170" s="178" t="s">
        <v>57</v>
      </c>
      <c r="G170" s="177" t="s">
        <v>56</v>
      </c>
      <c r="H170" s="179" t="s">
        <v>90</v>
      </c>
    </row>
    <row r="171" spans="1:11" s="14" customFormat="1" ht="16.149999999999999" thickBot="1">
      <c r="A171" s="180" t="s">
        <v>153</v>
      </c>
      <c r="B171" s="181"/>
      <c r="C171" s="182"/>
      <c r="D171" s="183"/>
      <c r="E171" s="183"/>
      <c r="F171" s="184">
        <f>SUM(F174:F182)</f>
        <v>256</v>
      </c>
      <c r="G171" s="185">
        <f>SUM(G173:G182)</f>
        <v>1000000</v>
      </c>
      <c r="H171" s="186">
        <f>MIN(MAX(CEILING((F174/IF(Командировки!B12=0,1,Командировки!B12)+F175+F177+F178+F181)/8,1),15),100)</f>
        <v>18</v>
      </c>
    </row>
    <row r="172" spans="1:11" s="14" customFormat="1" ht="15.75">
      <c r="A172" s="188" t="s">
        <v>264</v>
      </c>
      <c r="B172" s="189"/>
      <c r="C172" s="190"/>
      <c r="D172" s="191"/>
      <c r="E172" s="191"/>
      <c r="F172" s="192"/>
      <c r="G172" s="193"/>
      <c r="H172" s="194"/>
    </row>
    <row r="173" spans="1:11" s="14" customFormat="1" ht="15.75">
      <c r="A173" s="232" t="s">
        <v>231</v>
      </c>
      <c r="B173" s="195" t="s">
        <v>463</v>
      </c>
      <c r="C173" s="196"/>
      <c r="D173" s="197">
        <v>10</v>
      </c>
      <c r="E173" s="562">
        <v>1</v>
      </c>
      <c r="F173" s="199">
        <f>D173*E173</f>
        <v>10</v>
      </c>
      <c r="G173" s="574">
        <f>F173*Услуги!B$5</f>
        <v>40000</v>
      </c>
      <c r="H173" s="201"/>
    </row>
    <row r="174" spans="1:11" s="14" customFormat="1" ht="15.75">
      <c r="A174" s="202" t="s">
        <v>260</v>
      </c>
      <c r="B174" s="195" t="s">
        <v>242</v>
      </c>
      <c r="C174" s="89"/>
      <c r="D174" s="203">
        <f>IF(Командировки!B12=0,0,Командировки!B12*(Командировки!C12+Командировки!D12)*8)</f>
        <v>80</v>
      </c>
      <c r="E174" s="562">
        <v>1</v>
      </c>
      <c r="F174" s="199">
        <f>D174*E174</f>
        <v>80</v>
      </c>
      <c r="G174" s="200">
        <f>(F174-(Командировки!B12*Командировки!D12*8))*Услуги!B$2+(Командировки!B12*Командировки!D12*8)*Командировки!C6</f>
        <v>259200</v>
      </c>
      <c r="H174" s="201"/>
      <c r="K174" s="426"/>
    </row>
    <row r="175" spans="1:11" s="14" customFormat="1" ht="15.75">
      <c r="A175" s="202" t="s">
        <v>261</v>
      </c>
      <c r="B175" s="195" t="s">
        <v>242</v>
      </c>
      <c r="C175" s="90">
        <v>0.15</v>
      </c>
      <c r="D175" s="197">
        <f>C175*D174</f>
        <v>12</v>
      </c>
      <c r="E175" s="562">
        <v>1</v>
      </c>
      <c r="F175" s="199">
        <f>D175*E175</f>
        <v>12</v>
      </c>
      <c r="G175" s="200">
        <f>F175*Услуги!B$2</f>
        <v>50400</v>
      </c>
      <c r="H175" s="201"/>
      <c r="K175" s="426"/>
    </row>
    <row r="176" spans="1:11" s="14" customFormat="1" ht="15.75">
      <c r="A176" s="204" t="s">
        <v>265</v>
      </c>
      <c r="B176" s="205"/>
      <c r="C176" s="206">
        <v>0.4</v>
      </c>
      <c r="D176" s="207"/>
      <c r="E176" s="208"/>
      <c r="F176" s="209"/>
      <c r="G176" s="210"/>
      <c r="H176" s="211"/>
      <c r="K176" s="426"/>
    </row>
    <row r="177" spans="1:11" s="14" customFormat="1" ht="15.75">
      <c r="A177" s="202" t="s">
        <v>259</v>
      </c>
      <c r="B177" s="195" t="s">
        <v>34</v>
      </c>
      <c r="C177" s="90">
        <v>0.5</v>
      </c>
      <c r="D177" s="197">
        <f>MAX((E135*C177*C176),50)</f>
        <v>50</v>
      </c>
      <c r="E177" s="562">
        <v>1</v>
      </c>
      <c r="F177" s="199">
        <f>D177*E177</f>
        <v>50</v>
      </c>
      <c r="G177" s="200">
        <f>F177*Услуги!B$2</f>
        <v>210000</v>
      </c>
      <c r="H177" s="201"/>
    </row>
    <row r="178" spans="1:11" s="14" customFormat="1" ht="15.75">
      <c r="A178" s="202" t="s">
        <v>415</v>
      </c>
      <c r="B178" s="195" t="s">
        <v>34</v>
      </c>
      <c r="C178" s="90">
        <v>0.2</v>
      </c>
      <c r="D178" s="197">
        <f>MAX((E135*C178*C176),20)</f>
        <v>20</v>
      </c>
      <c r="E178" s="562">
        <v>1</v>
      </c>
      <c r="F178" s="199">
        <f>D178*E178</f>
        <v>20</v>
      </c>
      <c r="G178" s="200">
        <f>F178*Услуги!B$2</f>
        <v>84000</v>
      </c>
      <c r="H178" s="201"/>
    </row>
    <row r="179" spans="1:11" s="14" customFormat="1" ht="15.75">
      <c r="A179" s="212" t="s">
        <v>205</v>
      </c>
      <c r="B179" s="195" t="s">
        <v>33</v>
      </c>
      <c r="C179" s="90">
        <v>0.1</v>
      </c>
      <c r="D179" s="197">
        <f>(E135+E167)*C179*C176</f>
        <v>8</v>
      </c>
      <c r="E179" s="559">
        <v>1</v>
      </c>
      <c r="F179" s="214">
        <f>D179*E179</f>
        <v>8</v>
      </c>
      <c r="G179" s="200">
        <f>F179*Услуги!B$2</f>
        <v>33600</v>
      </c>
      <c r="H179" s="201"/>
    </row>
    <row r="180" spans="1:11" s="14" customFormat="1" ht="15.75">
      <c r="A180" s="212" t="s">
        <v>435</v>
      </c>
      <c r="B180" s="195" t="s">
        <v>33</v>
      </c>
      <c r="C180" s="90">
        <v>0.1</v>
      </c>
      <c r="D180" s="197">
        <f>E167*C180</f>
        <v>0</v>
      </c>
      <c r="E180" s="559">
        <v>1</v>
      </c>
      <c r="F180" s="214">
        <f>D180*E180</f>
        <v>0</v>
      </c>
      <c r="G180" s="200">
        <f>F180*Услуги!B$2</f>
        <v>0</v>
      </c>
      <c r="H180" s="215"/>
    </row>
    <row r="181" spans="1:11" s="14" customFormat="1" ht="15.75">
      <c r="A181" s="202" t="s">
        <v>303</v>
      </c>
      <c r="B181" s="195" t="s">
        <v>242</v>
      </c>
      <c r="C181" s="92">
        <v>0.1</v>
      </c>
      <c r="D181" s="216">
        <f>MAX(((D177)*C181),20)</f>
        <v>20</v>
      </c>
      <c r="E181" s="559">
        <v>1</v>
      </c>
      <c r="F181" s="214">
        <f t="shared" ref="F181" si="64">D181*E181</f>
        <v>20</v>
      </c>
      <c r="G181" s="200">
        <f>F181*Услуги!B$2</f>
        <v>84000</v>
      </c>
      <c r="H181" s="215"/>
    </row>
    <row r="182" spans="1:11" s="14" customFormat="1" ht="16.149999999999999" thickBot="1">
      <c r="A182" s="217" t="s">
        <v>262</v>
      </c>
      <c r="B182" s="218" t="s">
        <v>35</v>
      </c>
      <c r="C182" s="92">
        <v>0.25</v>
      </c>
      <c r="D182" s="219">
        <f>IF(Командировки!B11=0,C182*H171*8,(((H171-(Командировки!C11+Командировки!D11))*C182*8)+(Командировки!B11*(Командировки!C11+Командировки!D11)*8)))</f>
        <v>66</v>
      </c>
      <c r="E182" s="563">
        <v>1</v>
      </c>
      <c r="F182" s="220">
        <f>D182*E182</f>
        <v>66</v>
      </c>
      <c r="G182" s="200">
        <f>(F182-(Командировки!B11*Командировки!D11*8))*Услуги!B$2+(Командировки!B11*Командировки!D11*8)*Командировки!C6</f>
        <v>238800</v>
      </c>
      <c r="H182" s="221"/>
    </row>
    <row r="183" spans="1:11" s="14" customFormat="1" ht="16.149999999999999" thickBot="1">
      <c r="A183" s="180" t="s">
        <v>152</v>
      </c>
      <c r="B183" s="181"/>
      <c r="C183" s="182"/>
      <c r="D183" s="222"/>
      <c r="E183" s="223"/>
      <c r="F183" s="184">
        <f>SUM(F184:F202,F205:F207)</f>
        <v>270</v>
      </c>
      <c r="G183" s="185">
        <f>SUM(G184:G207)</f>
        <v>1018800</v>
      </c>
      <c r="H183" s="186">
        <f>MIN(MAX(CEILING(((MAX((F185+F186),(F190+F191),(F197+F198)))+F187+F192+(F205/Командировки!B15)+F206+F204)/8,1),25),100)</f>
        <v>25</v>
      </c>
    </row>
    <row r="184" spans="1:11" s="14" customFormat="1" ht="15.75">
      <c r="A184" s="224" t="s">
        <v>59</v>
      </c>
      <c r="B184" s="225"/>
      <c r="C184" s="226">
        <v>0.4</v>
      </c>
      <c r="D184" s="227"/>
      <c r="E184" s="227"/>
      <c r="F184" s="228"/>
      <c r="G184" s="229"/>
      <c r="H184" s="230"/>
    </row>
    <row r="185" spans="1:11" s="14" customFormat="1" ht="15.75">
      <c r="A185" s="212" t="s">
        <v>448</v>
      </c>
      <c r="B185" s="195" t="s">
        <v>34</v>
      </c>
      <c r="C185" s="92">
        <v>0.5</v>
      </c>
      <c r="D185" s="216">
        <f>(E135-E74)*C184*C185</f>
        <v>40</v>
      </c>
      <c r="E185" s="559">
        <v>1</v>
      </c>
      <c r="F185" s="214">
        <f>D185*E185</f>
        <v>40</v>
      </c>
      <c r="G185" s="200">
        <f>F185*Услуги!B$2</f>
        <v>168000</v>
      </c>
      <c r="H185" s="215"/>
      <c r="K185" s="426"/>
    </row>
    <row r="186" spans="1:11" s="14" customFormat="1" ht="15.75">
      <c r="A186" s="212" t="s">
        <v>446</v>
      </c>
      <c r="B186" s="195" t="s">
        <v>34</v>
      </c>
      <c r="C186" s="92">
        <v>0.1</v>
      </c>
      <c r="D186" s="216">
        <f>MAX(((E135-E74)*C184*C186),20)</f>
        <v>20</v>
      </c>
      <c r="E186" s="559">
        <v>1</v>
      </c>
      <c r="F186" s="214">
        <f>D186*E186</f>
        <v>20</v>
      </c>
      <c r="G186" s="200">
        <f>F186*Услуги!B$2</f>
        <v>84000</v>
      </c>
      <c r="H186" s="215"/>
      <c r="K186" s="426"/>
    </row>
    <row r="187" spans="1:11" s="14" customFormat="1" ht="15.75">
      <c r="A187" s="212" t="s">
        <v>447</v>
      </c>
      <c r="B187" s="195" t="s">
        <v>34</v>
      </c>
      <c r="C187" s="92">
        <v>0.1</v>
      </c>
      <c r="D187" s="216">
        <f>(E135-E74)*C187*C184</f>
        <v>8</v>
      </c>
      <c r="E187" s="559">
        <v>1</v>
      </c>
      <c r="F187" s="214">
        <f>D187*E187</f>
        <v>8</v>
      </c>
      <c r="G187" s="200">
        <f>F187*Услуги!B$2</f>
        <v>33600</v>
      </c>
      <c r="H187" s="215"/>
      <c r="K187" s="426"/>
    </row>
    <row r="188" spans="1:11" s="14" customFormat="1" ht="15.75">
      <c r="A188" s="212" t="s">
        <v>205</v>
      </c>
      <c r="B188" s="195" t="s">
        <v>33</v>
      </c>
      <c r="C188" s="92">
        <v>0.2</v>
      </c>
      <c r="D188" s="216">
        <f>(E135-E74)*C188*C184</f>
        <v>16</v>
      </c>
      <c r="E188" s="559">
        <v>1</v>
      </c>
      <c r="F188" s="214">
        <f>D188*E188</f>
        <v>16</v>
      </c>
      <c r="G188" s="200">
        <f>F188*Услуги!B$2</f>
        <v>67200</v>
      </c>
      <c r="H188" s="215"/>
      <c r="K188" s="426"/>
    </row>
    <row r="189" spans="1:11" s="14" customFormat="1" ht="15.75">
      <c r="A189" s="204" t="s">
        <v>246</v>
      </c>
      <c r="B189" s="205"/>
      <c r="C189" s="210"/>
      <c r="D189" s="207"/>
      <c r="E189" s="208"/>
      <c r="F189" s="209"/>
      <c r="G189" s="210"/>
      <c r="H189" s="211"/>
    </row>
    <row r="190" spans="1:11" s="14" customFormat="1" ht="15.75">
      <c r="A190" s="212" t="s">
        <v>247</v>
      </c>
      <c r="B190" s="195" t="s">
        <v>36</v>
      </c>
      <c r="C190" s="231"/>
      <c r="D190" s="216">
        <f>E139</f>
        <v>0</v>
      </c>
      <c r="E190" s="559">
        <v>1</v>
      </c>
      <c r="F190" s="197">
        <f>D190*E190</f>
        <v>0</v>
      </c>
      <c r="G190" s="200">
        <f>F190*Услуги!B$2</f>
        <v>0</v>
      </c>
      <c r="H190" s="215"/>
    </row>
    <row r="191" spans="1:11" s="14" customFormat="1" ht="15.75">
      <c r="A191" s="212" t="s">
        <v>249</v>
      </c>
      <c r="B191" s="195" t="s">
        <v>34</v>
      </c>
      <c r="C191" s="92">
        <v>0.2</v>
      </c>
      <c r="D191" s="216">
        <f>(D190)*C191</f>
        <v>0</v>
      </c>
      <c r="E191" s="559">
        <v>1</v>
      </c>
      <c r="F191" s="214">
        <f t="shared" ref="F191" si="65">D191*E191</f>
        <v>0</v>
      </c>
      <c r="G191" s="200">
        <f>F191*Услуги!B$2</f>
        <v>0</v>
      </c>
      <c r="H191" s="215"/>
    </row>
    <row r="192" spans="1:11" s="14" customFormat="1" ht="15.75">
      <c r="A192" s="212" t="s">
        <v>248</v>
      </c>
      <c r="B192" s="195" t="s">
        <v>34</v>
      </c>
      <c r="C192" s="92">
        <v>0.1</v>
      </c>
      <c r="D192" s="216">
        <f>D190*C192</f>
        <v>0</v>
      </c>
      <c r="E192" s="559">
        <v>1</v>
      </c>
      <c r="F192" s="214">
        <f>D192*E192</f>
        <v>0</v>
      </c>
      <c r="G192" s="200">
        <f>F192*Услуги!B$2</f>
        <v>0</v>
      </c>
      <c r="H192" s="215"/>
    </row>
    <row r="193" spans="1:9" s="14" customFormat="1" ht="15.75">
      <c r="A193" s="212" t="s">
        <v>250</v>
      </c>
      <c r="B193" s="195" t="s">
        <v>33</v>
      </c>
      <c r="C193" s="92">
        <v>0.1</v>
      </c>
      <c r="D193" s="216">
        <f>(D190)*C193</f>
        <v>0</v>
      </c>
      <c r="E193" s="559">
        <v>1</v>
      </c>
      <c r="F193" s="214">
        <f t="shared" ref="F193" si="66">D193*E193</f>
        <v>0</v>
      </c>
      <c r="G193" s="200">
        <f>F193*Услуги!B$2</f>
        <v>0</v>
      </c>
      <c r="H193" s="215"/>
      <c r="I193" s="425"/>
    </row>
    <row r="194" spans="1:9" s="14" customFormat="1" ht="15.75">
      <c r="A194" s="232" t="s">
        <v>223</v>
      </c>
      <c r="B194" s="195"/>
      <c r="C194" s="92"/>
      <c r="D194" s="24">
        <v>0</v>
      </c>
      <c r="E194" s="559">
        <v>1</v>
      </c>
      <c r="F194" s="214">
        <f>D194*E194</f>
        <v>0</v>
      </c>
      <c r="G194" s="574">
        <f>F194*Услуги!B$2</f>
        <v>0</v>
      </c>
      <c r="H194" s="215"/>
      <c r="I194" s="425"/>
    </row>
    <row r="195" spans="1:9" s="14" customFormat="1" ht="15.75">
      <c r="A195" s="233" t="s">
        <v>105</v>
      </c>
      <c r="B195" s="205"/>
      <c r="C195" s="210"/>
      <c r="D195" s="234"/>
      <c r="E195" s="235"/>
      <c r="F195" s="236"/>
      <c r="G195" s="210"/>
      <c r="H195" s="211"/>
      <c r="I195" s="425"/>
    </row>
    <row r="196" spans="1:9" s="14" customFormat="1" ht="15.75">
      <c r="A196" s="237" t="s">
        <v>390</v>
      </c>
      <c r="B196" s="195" t="s">
        <v>34</v>
      </c>
      <c r="C196" s="231"/>
      <c r="D196" s="216">
        <f>E74</f>
        <v>0</v>
      </c>
      <c r="E196" s="559">
        <v>1</v>
      </c>
      <c r="F196" s="214">
        <f>D196*E196</f>
        <v>0</v>
      </c>
      <c r="G196" s="200">
        <f>F196*Услуги!B$2</f>
        <v>0</v>
      </c>
      <c r="H196" s="215"/>
      <c r="I196" s="425"/>
    </row>
    <row r="197" spans="1:9" s="14" customFormat="1" ht="15.75">
      <c r="A197" s="238" t="s">
        <v>245</v>
      </c>
      <c r="B197" s="195" t="s">
        <v>36</v>
      </c>
      <c r="C197" s="231"/>
      <c r="D197" s="216">
        <f>E160+E150</f>
        <v>0</v>
      </c>
      <c r="E197" s="559">
        <v>1</v>
      </c>
      <c r="F197" s="214">
        <f>D197*E197</f>
        <v>0</v>
      </c>
      <c r="G197" s="200">
        <f>F197*Услуги!B$2</f>
        <v>0</v>
      </c>
      <c r="H197" s="215"/>
      <c r="I197" s="425"/>
    </row>
    <row r="198" spans="1:9" s="14" customFormat="1" ht="15.75">
      <c r="A198" s="239" t="s">
        <v>251</v>
      </c>
      <c r="B198" s="195" t="s">
        <v>34</v>
      </c>
      <c r="C198" s="92">
        <v>0.2</v>
      </c>
      <c r="D198" s="216">
        <f>IF(D197+E74=0,32,D197*0.2)</f>
        <v>32</v>
      </c>
      <c r="E198" s="559">
        <v>1</v>
      </c>
      <c r="F198" s="214">
        <f>D198*E198</f>
        <v>32</v>
      </c>
      <c r="G198" s="200">
        <f>F198*Услуги!B$2</f>
        <v>134400</v>
      </c>
      <c r="H198" s="215"/>
      <c r="I198" s="425"/>
    </row>
    <row r="199" spans="1:9" s="14" customFormat="1" ht="15.75">
      <c r="A199" s="233" t="s">
        <v>438</v>
      </c>
      <c r="B199" s="205"/>
      <c r="C199" s="210"/>
      <c r="D199" s="234"/>
      <c r="E199" s="235"/>
      <c r="F199" s="236"/>
      <c r="G199" s="210"/>
      <c r="H199" s="211"/>
      <c r="I199" s="425"/>
    </row>
    <row r="200" spans="1:9" s="14" customFormat="1" ht="15.75">
      <c r="A200" s="237" t="s">
        <v>439</v>
      </c>
      <c r="B200" s="195" t="s">
        <v>304</v>
      </c>
      <c r="C200" s="231"/>
      <c r="D200" s="240">
        <v>0.5</v>
      </c>
      <c r="E200" s="24">
        <v>0</v>
      </c>
      <c r="F200" s="241">
        <f>IF(E200&gt;0,2 + D200*(E200-1),0)</f>
        <v>0</v>
      </c>
      <c r="G200" s="200">
        <f>F200*Услуги!B$2</f>
        <v>0</v>
      </c>
      <c r="H200" s="215"/>
      <c r="I200" s="425"/>
    </row>
    <row r="201" spans="1:9" s="14" customFormat="1" ht="15.75">
      <c r="A201" s="237" t="s">
        <v>440</v>
      </c>
      <c r="B201" s="195" t="s">
        <v>304</v>
      </c>
      <c r="C201" s="231"/>
      <c r="D201" s="216">
        <v>4</v>
      </c>
      <c r="E201" s="24">
        <v>0</v>
      </c>
      <c r="F201" s="214">
        <f>D201*E201</f>
        <v>0</v>
      </c>
      <c r="G201" s="200">
        <f>F201*Услуги!B$2</f>
        <v>0</v>
      </c>
      <c r="H201" s="215"/>
      <c r="I201" s="425"/>
    </row>
    <row r="202" spans="1:9" s="14" customFormat="1" ht="15.75">
      <c r="A202" s="237" t="s">
        <v>441</v>
      </c>
      <c r="B202" s="195" t="s">
        <v>304</v>
      </c>
      <c r="C202" s="231"/>
      <c r="D202" s="216">
        <v>2</v>
      </c>
      <c r="E202" s="24">
        <v>0</v>
      </c>
      <c r="F202" s="214">
        <f>D202*E202</f>
        <v>0</v>
      </c>
      <c r="G202" s="200">
        <f>F202*Услуги!B$2</f>
        <v>0</v>
      </c>
      <c r="H202" s="215"/>
      <c r="I202" s="425"/>
    </row>
    <row r="203" spans="1:9" s="14" customFormat="1" ht="15.75">
      <c r="A203" s="233" t="s">
        <v>154</v>
      </c>
      <c r="B203" s="205"/>
      <c r="C203" s="242">
        <v>0.05</v>
      </c>
      <c r="D203" s="234"/>
      <c r="E203" s="235"/>
      <c r="F203" s="236"/>
      <c r="G203" s="210"/>
      <c r="H203" s="211"/>
      <c r="I203" s="425"/>
    </row>
    <row r="204" spans="1:9" s="14" customFormat="1" ht="15.75">
      <c r="A204" s="232" t="s">
        <v>464</v>
      </c>
      <c r="B204" s="195" t="s">
        <v>463</v>
      </c>
      <c r="C204" s="231"/>
      <c r="D204" s="575">
        <v>200</v>
      </c>
      <c r="E204" s="24">
        <v>0</v>
      </c>
      <c r="F204" s="214">
        <f>D204*E204</f>
        <v>0</v>
      </c>
      <c r="G204" s="574">
        <f>F204*Услуги!B$5</f>
        <v>0</v>
      </c>
      <c r="H204" s="215"/>
      <c r="I204" s="425"/>
    </row>
    <row r="205" spans="1:9" s="14" customFormat="1" ht="15.75">
      <c r="A205" s="212" t="s">
        <v>461</v>
      </c>
      <c r="B205" s="195" t="s">
        <v>242</v>
      </c>
      <c r="C205" s="92">
        <v>0.6</v>
      </c>
      <c r="D205" s="203">
        <f>IF(Командировки!B15=0,(E135+E167)*C203*C205,(Командировки!B15*(Командировки!C15+Командировки!D15)*8))</f>
        <v>64</v>
      </c>
      <c r="E205" s="559">
        <v>1</v>
      </c>
      <c r="F205" s="214">
        <f>D205*E205</f>
        <v>64</v>
      </c>
      <c r="G205" s="200">
        <f>(F205-(Командировки!B15*Командировки!D15*8))*Услуги!B$2+(Командировки!B15*Командировки!D15*8)*Командировки!C6</f>
        <v>192000</v>
      </c>
      <c r="H205" s="215"/>
      <c r="I205" s="425"/>
    </row>
    <row r="206" spans="1:9" s="14" customFormat="1" ht="15.75">
      <c r="A206" s="212" t="s">
        <v>455</v>
      </c>
      <c r="B206" s="195" t="s">
        <v>33</v>
      </c>
      <c r="C206" s="92">
        <v>0.2</v>
      </c>
      <c r="D206" s="216">
        <f>MAX(((E135+E139)*C206*C203),16)</f>
        <v>16</v>
      </c>
      <c r="E206" s="559">
        <v>1</v>
      </c>
      <c r="F206" s="214">
        <f>D206*E206</f>
        <v>16</v>
      </c>
      <c r="G206" s="200">
        <f>F206*Услуги!B$2</f>
        <v>67200</v>
      </c>
      <c r="H206" s="215"/>
    </row>
    <row r="207" spans="1:9" s="14" customFormat="1" ht="16.149999999999999" thickBot="1">
      <c r="A207" s="243" t="s">
        <v>262</v>
      </c>
      <c r="B207" s="244" t="s">
        <v>35</v>
      </c>
      <c r="C207" s="92">
        <v>0.25</v>
      </c>
      <c r="D207" s="203">
        <f>IF(Командировки!B14=0,C207*H183*8,(((H183-(Командировки!C14+Командировки!D14))*C207*8)+(Командировки!B14*(Командировки!C14+Командировки!D14)*8)))</f>
        <v>74</v>
      </c>
      <c r="E207" s="561">
        <v>1</v>
      </c>
      <c r="F207" s="245">
        <f>D207*E207</f>
        <v>74</v>
      </c>
      <c r="G207" s="200">
        <f>(F207-(Командировки!B14*Командировки!D14*8))*Услуги!B$2+(Командировки!B14*Командировки!D14*8)*Командировки!C6</f>
        <v>272400</v>
      </c>
      <c r="H207" s="246"/>
    </row>
    <row r="208" spans="1:9" s="14" customFormat="1" ht="16.149999999999999" thickBot="1">
      <c r="A208" s="247" t="s">
        <v>157</v>
      </c>
      <c r="B208" s="181"/>
      <c r="C208" s="248"/>
      <c r="D208" s="222"/>
      <c r="E208" s="223"/>
      <c r="F208" s="184">
        <f>SUM(F209:F219)</f>
        <v>410.8</v>
      </c>
      <c r="G208" s="185">
        <f>SUM(G209:G219)</f>
        <v>1533360</v>
      </c>
      <c r="H208" s="186">
        <f>MIN(MAX(CEILING((F210+F211+((Командировки!C19+Командировки!D19)*8)+F218)/8,1),20),50)</f>
        <v>25</v>
      </c>
    </row>
    <row r="209" spans="1:8" s="14" customFormat="1" ht="15.75">
      <c r="A209" s="249" t="s">
        <v>300</v>
      </c>
      <c r="B209" s="225"/>
      <c r="C209" s="229"/>
      <c r="D209" s="250"/>
      <c r="E209" s="251"/>
      <c r="F209" s="252"/>
      <c r="G209" s="229"/>
      <c r="H209" s="230"/>
    </row>
    <row r="210" spans="1:8" s="14" customFormat="1" ht="15.75">
      <c r="A210" s="212" t="s">
        <v>442</v>
      </c>
      <c r="B210" s="195" t="s">
        <v>34</v>
      </c>
      <c r="C210" s="231"/>
      <c r="D210" s="216">
        <v>8</v>
      </c>
      <c r="E210" s="24">
        <v>1</v>
      </c>
      <c r="F210" s="214">
        <f>D210*E210</f>
        <v>8</v>
      </c>
      <c r="G210" s="200">
        <f>F210*Услуги!B$2</f>
        <v>33600</v>
      </c>
      <c r="H210" s="215"/>
    </row>
    <row r="211" spans="1:8" s="14" customFormat="1" ht="15.75">
      <c r="A211" s="212" t="s">
        <v>443</v>
      </c>
      <c r="B211" s="195" t="s">
        <v>34</v>
      </c>
      <c r="C211" s="231"/>
      <c r="D211" s="216">
        <v>8</v>
      </c>
      <c r="E211" s="24">
        <v>1</v>
      </c>
      <c r="F211" s="214">
        <f>D211*E211</f>
        <v>8</v>
      </c>
      <c r="G211" s="200">
        <f>F211*Услуги!B$2</f>
        <v>33600</v>
      </c>
      <c r="H211" s="215"/>
    </row>
    <row r="212" spans="1:8" s="14" customFormat="1" ht="15.75">
      <c r="A212" s="233" t="s">
        <v>430</v>
      </c>
      <c r="B212" s="205"/>
      <c r="C212" s="253">
        <v>0.3</v>
      </c>
      <c r="D212" s="234"/>
      <c r="E212" s="235"/>
      <c r="F212" s="236"/>
      <c r="G212" s="210"/>
      <c r="H212" s="211"/>
    </row>
    <row r="213" spans="1:8" s="14" customFormat="1" ht="15.75">
      <c r="A213" s="212" t="s">
        <v>283</v>
      </c>
      <c r="B213" s="254" t="s">
        <v>242</v>
      </c>
      <c r="C213" s="92">
        <v>0.2</v>
      </c>
      <c r="D213" s="203">
        <f>MAX(CEILING((E135*C213*C212+E167*0.1),1),((Командировки!B18)*(Командировки!C18+Командировки!D18)*8)+((Командировки!B19)*(Командировки!C19+Командировки!D19)*8))+((Командировки!B20)*(Командировки!C20+Командировки!D20)*8)</f>
        <v>184</v>
      </c>
      <c r="E213" s="559">
        <v>1</v>
      </c>
      <c r="F213" s="214">
        <f t="shared" ref="F213:F219" si="67">D213*E213</f>
        <v>184</v>
      </c>
      <c r="G213" s="200">
        <f>(F213-((Командировки!B18*Командировки!D18*8)+(Командировки!B19*Командировки!D19*8)+(Командировки!B20*Командировки!D20*8)))*Услуги!B2+((Командировки!B18*Командировки!D18*8)+(Командировки!B19*Командировки!D19*8)+(Командировки!B20*Командировки!D20*8))*Командировки!C6</f>
        <v>696000</v>
      </c>
      <c r="H213" s="215"/>
    </row>
    <row r="214" spans="1:8" s="14" customFormat="1" ht="15.75">
      <c r="A214" s="232" t="s">
        <v>220</v>
      </c>
      <c r="B214" s="195" t="s">
        <v>34</v>
      </c>
      <c r="C214" s="231"/>
      <c r="D214" s="24">
        <v>0</v>
      </c>
      <c r="E214" s="213">
        <v>1</v>
      </c>
      <c r="F214" s="214">
        <f>D214*2</f>
        <v>0</v>
      </c>
      <c r="G214" s="200">
        <f>D214*Услуги!B$4</f>
        <v>0</v>
      </c>
      <c r="H214" s="215"/>
    </row>
    <row r="215" spans="1:8" s="14" customFormat="1" ht="15.75">
      <c r="A215" s="212" t="s">
        <v>444</v>
      </c>
      <c r="B215" s="195" t="s">
        <v>36</v>
      </c>
      <c r="C215" s="92">
        <v>0.15</v>
      </c>
      <c r="D215" s="216">
        <f>C215*D213</f>
        <v>27.599999999999998</v>
      </c>
      <c r="E215" s="559">
        <v>1</v>
      </c>
      <c r="F215" s="214">
        <f t="shared" si="67"/>
        <v>27.599999999999998</v>
      </c>
      <c r="G215" s="200">
        <f>F215*Услуги!B$2</f>
        <v>115919.99999999999</v>
      </c>
      <c r="H215" s="215"/>
    </row>
    <row r="216" spans="1:8" s="14" customFormat="1" ht="15.75">
      <c r="A216" s="233" t="s">
        <v>431</v>
      </c>
      <c r="B216" s="205"/>
      <c r="C216" s="253">
        <v>0.3</v>
      </c>
      <c r="D216" s="234"/>
      <c r="E216" s="235"/>
      <c r="F216" s="236"/>
      <c r="G216" s="210"/>
      <c r="H216" s="211"/>
    </row>
    <row r="217" spans="1:8" s="14" customFormat="1" ht="15.75">
      <c r="A217" s="212" t="s">
        <v>383</v>
      </c>
      <c r="B217" s="195" t="s">
        <v>382</v>
      </c>
      <c r="C217" s="92"/>
      <c r="D217" s="203">
        <f>IF(Командировки!B21=0,0,(Командировки!B21*(Командировки!C21+Командировки!D21)*8))</f>
        <v>48</v>
      </c>
      <c r="E217" s="559">
        <v>1</v>
      </c>
      <c r="F217" s="214">
        <f>D217*E217</f>
        <v>48</v>
      </c>
      <c r="G217" s="200">
        <f>(F217-(Командировки!B21*Командировки!D21*8))*Услуги!B$3+(Командировки!B21*Командировки!D21*8)*Командировки!C6</f>
        <v>124800</v>
      </c>
      <c r="H217" s="215"/>
    </row>
    <row r="218" spans="1:8" s="14" customFormat="1" ht="15.75">
      <c r="A218" s="255" t="s">
        <v>385</v>
      </c>
      <c r="B218" s="195" t="s">
        <v>386</v>
      </c>
      <c r="C218" s="92">
        <v>0.3</v>
      </c>
      <c r="D218" s="216">
        <f>MAX(D213*C218,32)</f>
        <v>55.199999999999996</v>
      </c>
      <c r="E218" s="559">
        <v>1</v>
      </c>
      <c r="F218" s="214">
        <f>D218*E218</f>
        <v>55.199999999999996</v>
      </c>
      <c r="G218" s="200">
        <f>F218*Услуги!B$2</f>
        <v>231839.99999999997</v>
      </c>
      <c r="H218" s="215"/>
    </row>
    <row r="219" spans="1:8" s="14" customFormat="1" ht="16.149999999999999" thickBot="1">
      <c r="A219" s="243" t="s">
        <v>262</v>
      </c>
      <c r="B219" s="256" t="s">
        <v>35</v>
      </c>
      <c r="C219" s="92">
        <v>0.25</v>
      </c>
      <c r="D219" s="258">
        <f>IF(Командировки!B17=0,C219*H208*8,(((H208-(Командировки!C17+Командировки!D17))*C219*8)+(Командировки!B17*(Командировки!C17+Командировки!D17)*8)))</f>
        <v>80</v>
      </c>
      <c r="E219" s="560">
        <v>1</v>
      </c>
      <c r="F219" s="260">
        <f t="shared" si="67"/>
        <v>80</v>
      </c>
      <c r="G219" s="200">
        <f>(F219-(Командировки!B17*Командировки!D17*8))*Услуги!B$2+(Командировки!B17*Командировки!D17*8)*Командировки!C6</f>
        <v>297600</v>
      </c>
      <c r="H219" s="221"/>
    </row>
    <row r="220" spans="1:8" s="14" customFormat="1" ht="18.399999999999999" thickBot="1">
      <c r="A220" s="588" t="s">
        <v>239</v>
      </c>
      <c r="B220" s="589"/>
      <c r="C220" s="589"/>
      <c r="D220" s="589"/>
      <c r="E220" s="590"/>
      <c r="F220" s="261">
        <f>SUM(F171+F183+F208)</f>
        <v>936.8</v>
      </c>
      <c r="G220" s="262">
        <f>G171+G183+G208</f>
        <v>3552160</v>
      </c>
      <c r="H220" s="261">
        <f>SUM(H171:H219)</f>
        <v>68</v>
      </c>
    </row>
    <row r="221" spans="1:8" s="14" customFormat="1" ht="18.399999999999999" thickBot="1">
      <c r="A221" s="263"/>
      <c r="B221" s="263"/>
      <c r="C221" s="263"/>
      <c r="D221" s="591" t="s">
        <v>298</v>
      </c>
      <c r="E221" s="592"/>
      <c r="F221" s="149">
        <f>SUM(F222:F224)</f>
        <v>716.8</v>
      </c>
      <c r="G221" s="263"/>
      <c r="H221" s="263"/>
    </row>
    <row r="222" spans="1:8" s="14" customFormat="1" ht="18.399999999999999" thickBot="1">
      <c r="A222" s="263"/>
      <c r="B222" s="263"/>
      <c r="C222" s="263"/>
      <c r="D222" s="591" t="s">
        <v>417</v>
      </c>
      <c r="E222" s="592"/>
      <c r="F222" s="149">
        <f>F171-F182</f>
        <v>190</v>
      </c>
    </row>
    <row r="223" spans="1:8" s="14" customFormat="1" ht="18.399999999999999" thickBot="1">
      <c r="A223" s="263"/>
      <c r="B223" s="263"/>
      <c r="C223" s="263"/>
      <c r="D223" s="591" t="s">
        <v>416</v>
      </c>
      <c r="E223" s="592"/>
      <c r="F223" s="149">
        <f>F183-F207</f>
        <v>196</v>
      </c>
      <c r="G223" s="263"/>
      <c r="H223" s="263"/>
    </row>
    <row r="224" spans="1:8" s="14" customFormat="1" ht="18.399999999999999" thickBot="1">
      <c r="A224" s="263"/>
      <c r="B224" s="263"/>
      <c r="C224" s="263"/>
      <c r="D224" s="591" t="s">
        <v>418</v>
      </c>
      <c r="E224" s="592"/>
      <c r="F224" s="149">
        <f>F208-F219</f>
        <v>330.8</v>
      </c>
      <c r="G224" s="263"/>
      <c r="H224" s="263"/>
    </row>
    <row r="225" spans="1:11" s="14" customFormat="1" ht="16.149999999999999" thickBot="1">
      <c r="A225" s="93"/>
      <c r="B225" s="93"/>
      <c r="C225" s="93"/>
      <c r="D225" s="94"/>
      <c r="E225" s="264"/>
      <c r="F225" s="265"/>
      <c r="G225" s="93"/>
      <c r="H225" s="93"/>
      <c r="K225" s="427"/>
    </row>
    <row r="226" spans="1:11" s="14" customFormat="1" ht="16.149999999999999" thickBot="1">
      <c r="A226" s="266" t="s">
        <v>267</v>
      </c>
      <c r="B226" s="248"/>
      <c r="C226" s="248"/>
      <c r="D226" s="222"/>
      <c r="E226" s="223"/>
      <c r="F226" s="267"/>
      <c r="G226" s="185">
        <f>SUM(G227:G233)</f>
        <v>0</v>
      </c>
      <c r="H226" s="186">
        <f>IF(F234=0,0,MAX(CEILING((F227+F229+F231+F232)/8.5,1),20))</f>
        <v>0</v>
      </c>
    </row>
    <row r="227" spans="1:11" s="14" customFormat="1" ht="15.75">
      <c r="A227" s="118" t="s">
        <v>201</v>
      </c>
      <c r="B227" s="268" t="s">
        <v>34</v>
      </c>
      <c r="C227" s="269">
        <v>0.4</v>
      </c>
      <c r="D227" s="197">
        <f>G135*C227</f>
        <v>0</v>
      </c>
      <c r="E227" s="198">
        <v>1</v>
      </c>
      <c r="F227" s="197">
        <f>D227*E227</f>
        <v>0</v>
      </c>
      <c r="G227" s="200">
        <f>F227*Услуги!B$2</f>
        <v>0</v>
      </c>
      <c r="H227" s="201"/>
    </row>
    <row r="228" spans="1:11" s="14" customFormat="1" ht="15.75">
      <c r="A228" s="119" t="s">
        <v>168</v>
      </c>
      <c r="B228" s="270" t="s">
        <v>34</v>
      </c>
      <c r="C228" s="92">
        <v>0.1</v>
      </c>
      <c r="D228" s="216">
        <f>G167*C228</f>
        <v>0</v>
      </c>
      <c r="E228" s="213">
        <v>1</v>
      </c>
      <c r="F228" s="216">
        <f>D228*E228</f>
        <v>0</v>
      </c>
      <c r="G228" s="200">
        <f>F228*Услуги!B$2</f>
        <v>0</v>
      </c>
      <c r="H228" s="215"/>
    </row>
    <row r="229" spans="1:11" s="14" customFormat="1" ht="15.75">
      <c r="A229" s="119" t="s">
        <v>204</v>
      </c>
      <c r="B229" s="270" t="s">
        <v>34</v>
      </c>
      <c r="C229" s="92">
        <v>0.3</v>
      </c>
      <c r="D229" s="216">
        <f>G135*C229</f>
        <v>0</v>
      </c>
      <c r="E229" s="213">
        <v>1</v>
      </c>
      <c r="F229" s="216">
        <f t="shared" ref="F229:F233" si="68">D229*E229</f>
        <v>0</v>
      </c>
      <c r="G229" s="200">
        <f>F229*Услуги!B$2</f>
        <v>0</v>
      </c>
      <c r="H229" s="215"/>
    </row>
    <row r="230" spans="1:11" s="14" customFormat="1" ht="15.75">
      <c r="A230" s="119" t="s">
        <v>202</v>
      </c>
      <c r="B230" s="270" t="s">
        <v>36</v>
      </c>
      <c r="C230" s="231"/>
      <c r="D230" s="216">
        <f>G167</f>
        <v>0</v>
      </c>
      <c r="E230" s="213">
        <v>1</v>
      </c>
      <c r="F230" s="216">
        <f t="shared" si="68"/>
        <v>0</v>
      </c>
      <c r="G230" s="200">
        <f>F230*Услуги!B$2</f>
        <v>0</v>
      </c>
      <c r="H230" s="215"/>
    </row>
    <row r="231" spans="1:11" s="14" customFormat="1" ht="15.75">
      <c r="A231" s="119" t="s">
        <v>203</v>
      </c>
      <c r="B231" s="270" t="s">
        <v>34</v>
      </c>
      <c r="C231" s="92">
        <v>0.1</v>
      </c>
      <c r="D231" s="216">
        <f>D230*C231</f>
        <v>0</v>
      </c>
      <c r="E231" s="213">
        <v>1</v>
      </c>
      <c r="F231" s="216">
        <f t="shared" si="68"/>
        <v>0</v>
      </c>
      <c r="G231" s="200">
        <f>F231*Услуги!B$2</f>
        <v>0</v>
      </c>
      <c r="H231" s="215"/>
    </row>
    <row r="232" spans="1:11" s="14" customFormat="1" ht="15.75">
      <c r="A232" s="119" t="s">
        <v>302</v>
      </c>
      <c r="B232" s="270" t="s">
        <v>34</v>
      </c>
      <c r="C232" s="92">
        <v>0.3</v>
      </c>
      <c r="D232" s="216">
        <f>(D227+D229+D230)*C232</f>
        <v>0</v>
      </c>
      <c r="E232" s="213">
        <v>1</v>
      </c>
      <c r="F232" s="216">
        <f t="shared" si="68"/>
        <v>0</v>
      </c>
      <c r="G232" s="200">
        <f>F232*Услуги!B$2</f>
        <v>0</v>
      </c>
      <c r="H232" s="215"/>
    </row>
    <row r="233" spans="1:11" s="14" customFormat="1" ht="16.149999999999999" thickBot="1">
      <c r="A233" s="271" t="s">
        <v>51</v>
      </c>
      <c r="B233" s="272" t="s">
        <v>35</v>
      </c>
      <c r="C233" s="257">
        <v>0.2</v>
      </c>
      <c r="D233" s="273">
        <f>SUM(D227:D232)*C233</f>
        <v>0</v>
      </c>
      <c r="E233" s="259">
        <v>1</v>
      </c>
      <c r="F233" s="273">
        <f t="shared" si="68"/>
        <v>0</v>
      </c>
      <c r="G233" s="200">
        <f>F233*Услуги!B$2</f>
        <v>0</v>
      </c>
      <c r="H233" s="221"/>
    </row>
    <row r="234" spans="1:11" s="14" customFormat="1" ht="18.399999999999999" thickBot="1">
      <c r="A234" s="593" t="s">
        <v>239</v>
      </c>
      <c r="B234" s="594"/>
      <c r="C234" s="594"/>
      <c r="D234" s="594"/>
      <c r="E234" s="595"/>
      <c r="F234" s="261">
        <f>SUM(F227:F233)</f>
        <v>0</v>
      </c>
      <c r="G234" s="274">
        <f>G220+G226</f>
        <v>3552160</v>
      </c>
      <c r="H234" s="261">
        <f>H220+H226</f>
        <v>68</v>
      </c>
    </row>
    <row r="235" spans="1:11" s="14" customFormat="1" ht="18.399999999999999" thickBot="1">
      <c r="A235" s="263"/>
      <c r="B235" s="263"/>
      <c r="C235" s="263"/>
      <c r="D235" s="591" t="s">
        <v>298</v>
      </c>
      <c r="E235" s="592"/>
      <c r="F235" s="149">
        <f>F234-F233</f>
        <v>0</v>
      </c>
      <c r="G235" s="263"/>
      <c r="H235" s="263"/>
    </row>
    <row r="236" spans="1:11" s="14" customFormat="1" ht="15.75">
      <c r="D236" s="428"/>
      <c r="E236" s="429"/>
      <c r="F236" s="430"/>
    </row>
    <row r="237" spans="1:11" s="14" customFormat="1" ht="16.149999999999999" thickBot="1">
      <c r="D237" s="428"/>
      <c r="E237" s="429"/>
      <c r="F237" s="430"/>
    </row>
    <row r="238" spans="1:11" s="14" customFormat="1" ht="31.9" thickBot="1">
      <c r="A238" s="431" t="s">
        <v>65</v>
      </c>
      <c r="B238" s="432" t="s">
        <v>61</v>
      </c>
      <c r="C238" s="433" t="s">
        <v>156</v>
      </c>
      <c r="D238" s="434" t="s">
        <v>122</v>
      </c>
    </row>
    <row r="239" spans="1:11" s="14" customFormat="1" ht="15.75">
      <c r="A239" s="435" t="s">
        <v>153</v>
      </c>
      <c r="B239" s="436"/>
      <c r="C239" s="437"/>
      <c r="D239" s="438">
        <f>H171</f>
        <v>18</v>
      </c>
      <c r="G239" s="427"/>
    </row>
    <row r="240" spans="1:11" s="14" customFormat="1" ht="15.75">
      <c r="A240" s="423" t="s">
        <v>79</v>
      </c>
      <c r="B240" s="439">
        <v>1</v>
      </c>
      <c r="C240" s="440"/>
      <c r="D240" s="441"/>
    </row>
    <row r="241" spans="1:4" s="14" customFormat="1" ht="31.5">
      <c r="A241" s="423" t="s">
        <v>240</v>
      </c>
      <c r="B241" s="439">
        <v>1</v>
      </c>
      <c r="C241" s="440"/>
      <c r="D241" s="441"/>
    </row>
    <row r="242" spans="1:4" s="14" customFormat="1" ht="15.75">
      <c r="A242" s="423" t="s">
        <v>241</v>
      </c>
      <c r="B242" s="439">
        <v>1</v>
      </c>
      <c r="C242" s="440"/>
      <c r="D242" s="441"/>
    </row>
    <row r="243" spans="1:4" s="14" customFormat="1" ht="15.75">
      <c r="A243" s="423" t="s">
        <v>80</v>
      </c>
      <c r="B243" s="439">
        <v>1</v>
      </c>
      <c r="C243" s="440"/>
      <c r="D243" s="441"/>
    </row>
    <row r="244" spans="1:4" s="14" customFormat="1" ht="15.75">
      <c r="A244" s="423" t="s">
        <v>81</v>
      </c>
      <c r="B244" s="439">
        <v>1</v>
      </c>
      <c r="C244" s="440"/>
      <c r="D244" s="441"/>
    </row>
    <row r="245" spans="1:4" s="14" customFormat="1" ht="31.5">
      <c r="A245" s="423" t="s">
        <v>82</v>
      </c>
      <c r="B245" s="439">
        <v>1</v>
      </c>
      <c r="C245" s="440"/>
      <c r="D245" s="441"/>
    </row>
    <row r="246" spans="1:4" s="14" customFormat="1" ht="15.75">
      <c r="A246" s="442" t="str">
        <f>A183</f>
        <v>Этап 2. Подготовка системы к запуску</v>
      </c>
      <c r="B246" s="443"/>
      <c r="C246" s="444"/>
      <c r="D246" s="445">
        <f>H183</f>
        <v>25</v>
      </c>
    </row>
    <row r="247" spans="1:4" s="14" customFormat="1" ht="15.75">
      <c r="A247" s="446" t="s">
        <v>59</v>
      </c>
      <c r="B247" s="10"/>
      <c r="C247" s="447"/>
      <c r="D247" s="441"/>
    </row>
    <row r="248" spans="1:4" s="14" customFormat="1" ht="31.5">
      <c r="A248" s="423" t="s">
        <v>221</v>
      </c>
      <c r="B248" s="439">
        <v>1</v>
      </c>
      <c r="C248" s="440"/>
      <c r="D248" s="441"/>
    </row>
    <row r="249" spans="1:4" s="14" customFormat="1" ht="15.75">
      <c r="A249" s="423" t="s">
        <v>83</v>
      </c>
      <c r="B249" s="439">
        <v>1</v>
      </c>
      <c r="C249" s="440"/>
      <c r="D249" s="441"/>
    </row>
    <row r="250" spans="1:4" s="14" customFormat="1" ht="15.75">
      <c r="A250" s="446" t="s">
        <v>84</v>
      </c>
      <c r="B250" s="439"/>
      <c r="C250" s="440"/>
      <c r="D250" s="441"/>
    </row>
    <row r="251" spans="1:4" s="14" customFormat="1" ht="15.75">
      <c r="A251" s="423" t="s">
        <v>85</v>
      </c>
      <c r="B251" s="439"/>
      <c r="C251" s="440">
        <f>F190</f>
        <v>0</v>
      </c>
      <c r="D251" s="441"/>
    </row>
    <row r="252" spans="1:4" s="14" customFormat="1" ht="15.75">
      <c r="A252" s="423" t="s">
        <v>62</v>
      </c>
      <c r="B252" s="439"/>
      <c r="C252" s="440">
        <f>F190*C191</f>
        <v>0</v>
      </c>
      <c r="D252" s="441"/>
    </row>
    <row r="253" spans="1:4" s="14" customFormat="1" ht="15.75">
      <c r="A253" s="423" t="s">
        <v>63</v>
      </c>
      <c r="B253" s="439"/>
      <c r="C253" s="440">
        <f>F190*C192</f>
        <v>0</v>
      </c>
      <c r="D253" s="441"/>
    </row>
    <row r="254" spans="1:4" s="14" customFormat="1" ht="15.75">
      <c r="A254" s="448" t="s">
        <v>60</v>
      </c>
      <c r="B254" s="439"/>
      <c r="C254" s="440"/>
      <c r="D254" s="441"/>
    </row>
    <row r="255" spans="1:4" s="14" customFormat="1" ht="15.75">
      <c r="A255" s="449" t="s">
        <v>86</v>
      </c>
      <c r="B255" s="450">
        <f>D161</f>
        <v>0</v>
      </c>
      <c r="C255" s="440"/>
      <c r="D255" s="441"/>
    </row>
    <row r="256" spans="1:4" s="14" customFormat="1" ht="15.75">
      <c r="A256" s="449" t="s">
        <v>87</v>
      </c>
      <c r="B256" s="450">
        <f>D163</f>
        <v>0</v>
      </c>
      <c r="C256" s="440"/>
      <c r="D256" s="441"/>
    </row>
    <row r="257" spans="1:4" s="14" customFormat="1" ht="15.75">
      <c r="A257" s="448" t="s">
        <v>49</v>
      </c>
      <c r="B257" s="439"/>
      <c r="C257" s="440"/>
      <c r="D257" s="441"/>
    </row>
    <row r="258" spans="1:4" s="14" customFormat="1" ht="15.75">
      <c r="A258" s="449" t="s">
        <v>146</v>
      </c>
      <c r="B258" s="439">
        <f>E200</f>
        <v>0</v>
      </c>
      <c r="C258" s="440"/>
      <c r="D258" s="441"/>
    </row>
    <row r="259" spans="1:4" s="14" customFormat="1" ht="15.75">
      <c r="A259" s="449" t="s">
        <v>144</v>
      </c>
      <c r="B259" s="439">
        <f>E201</f>
        <v>0</v>
      </c>
      <c r="C259" s="440"/>
      <c r="D259" s="441"/>
    </row>
    <row r="260" spans="1:4" s="14" customFormat="1" ht="15.75">
      <c r="A260" s="449" t="s">
        <v>147</v>
      </c>
      <c r="B260" s="439">
        <f>E202</f>
        <v>0</v>
      </c>
      <c r="C260" s="440"/>
      <c r="D260" s="441"/>
    </row>
    <row r="261" spans="1:4" s="14" customFormat="1" ht="15.75">
      <c r="A261" s="448" t="s">
        <v>154</v>
      </c>
      <c r="B261" s="439"/>
      <c r="C261" s="440"/>
      <c r="D261" s="441"/>
    </row>
    <row r="262" spans="1:4" s="14" customFormat="1" ht="15.75">
      <c r="A262" s="423" t="s">
        <v>89</v>
      </c>
      <c r="B262" s="439">
        <v>1</v>
      </c>
      <c r="C262" s="440"/>
      <c r="D262" s="441"/>
    </row>
    <row r="263" spans="1:4" s="14" customFormat="1" ht="15.75">
      <c r="A263" s="423" t="s">
        <v>88</v>
      </c>
      <c r="B263" s="439">
        <v>1</v>
      </c>
      <c r="C263" s="440"/>
      <c r="D263" s="441"/>
    </row>
    <row r="264" spans="1:4" s="14" customFormat="1" ht="15.75">
      <c r="A264" s="451" t="str">
        <f>A208</f>
        <v>Этап 3. Запуск системы в промышленную эксплуатацию</v>
      </c>
      <c r="B264" s="443"/>
      <c r="C264" s="444"/>
      <c r="D264" s="445">
        <f>H208</f>
        <v>25</v>
      </c>
    </row>
    <row r="265" spans="1:4" s="14" customFormat="1" ht="15.75">
      <c r="A265" s="452" t="s">
        <v>300</v>
      </c>
      <c r="B265" s="439"/>
      <c r="C265" s="440"/>
      <c r="D265" s="441"/>
    </row>
    <row r="266" spans="1:4" s="14" customFormat="1" ht="15.75">
      <c r="A266" s="423" t="s">
        <v>384</v>
      </c>
      <c r="B266" s="439">
        <f>E210</f>
        <v>1</v>
      </c>
      <c r="C266" s="440"/>
      <c r="D266" s="441"/>
    </row>
    <row r="267" spans="1:4" s="14" customFormat="1" ht="15.75">
      <c r="A267" s="423" t="s">
        <v>301</v>
      </c>
      <c r="B267" s="439">
        <f>E211</f>
        <v>1</v>
      </c>
      <c r="C267" s="440"/>
      <c r="D267" s="441"/>
    </row>
    <row r="268" spans="1:4" s="14" customFormat="1" ht="15.75">
      <c r="A268" s="448" t="s">
        <v>155</v>
      </c>
      <c r="B268" s="439"/>
      <c r="C268" s="440"/>
      <c r="D268" s="453"/>
    </row>
    <row r="269" spans="1:4" s="14" customFormat="1" ht="15.75">
      <c r="A269" s="423" t="s">
        <v>160</v>
      </c>
      <c r="B269" s="439">
        <v>1</v>
      </c>
      <c r="C269" s="440"/>
      <c r="D269" s="453"/>
    </row>
    <row r="270" spans="1:4" s="14" customFormat="1" ht="15.75">
      <c r="A270" s="423" t="s">
        <v>222</v>
      </c>
      <c r="B270" s="439"/>
      <c r="C270" s="440">
        <f>F214</f>
        <v>0</v>
      </c>
      <c r="D270" s="441"/>
    </row>
    <row r="271" spans="1:4" s="14" customFormat="1" ht="16.149999999999999" thickBot="1">
      <c r="A271" s="423" t="s">
        <v>102</v>
      </c>
      <c r="B271" s="439">
        <v>1</v>
      </c>
      <c r="C271" s="440"/>
      <c r="D271" s="441"/>
    </row>
    <row r="272" spans="1:4" s="14" customFormat="1" ht="16.149999999999999" thickBot="1">
      <c r="A272" s="454" t="s">
        <v>12</v>
      </c>
      <c r="B272" s="455"/>
      <c r="C272" s="456"/>
      <c r="D272" s="457">
        <f>H220</f>
        <v>68</v>
      </c>
    </row>
    <row r="273" spans="4:4" s="14" customFormat="1" ht="15.75">
      <c r="D273" s="458"/>
    </row>
  </sheetData>
  <sheetProtection algorithmName="SHA-512" hashValue="oUKUtVn2V6/HqBmA0ZlhaTahOLWOAvGOcj4LDnJW0Fey5PKQa3/ZfWdo5CChB/psJMV3KriP8/vHrkCwaFz3Hg==" saltValue="bDTqdyOH5CXrSRSWFI5PGg==" spinCount="100000" sheet="1" formatCells="0" insertRows="0"/>
  <protectedRanges>
    <protectedRange sqref="C45 A3:B61 C3:D44 C46:D49 C51:D61" name="Диапазон2"/>
  </protectedRanges>
  <mergeCells count="13">
    <mergeCell ref="D235:E235"/>
    <mergeCell ref="A61:C61"/>
    <mergeCell ref="A134:D134"/>
    <mergeCell ref="A135:D135"/>
    <mergeCell ref="A167:D167"/>
    <mergeCell ref="D224:E224"/>
    <mergeCell ref="D222:E222"/>
    <mergeCell ref="D223:E223"/>
    <mergeCell ref="B2:D2"/>
    <mergeCell ref="B1:D1"/>
    <mergeCell ref="A220:E220"/>
    <mergeCell ref="D221:E221"/>
    <mergeCell ref="A234:E234"/>
  </mergeCells>
  <conditionalFormatting sqref="A39:A42 A51:A61 A4:A17 A19 A21:A28 A30:A37">
    <cfRule type="expression" dxfId="24" priority="59" stopIfTrue="1">
      <formula>IF(C4&gt;=1,1)</formula>
    </cfRule>
  </conditionalFormatting>
  <conditionalFormatting sqref="A65:A72 A101:A111 A139:A142 A151:A155 A158:A166 A144:A149 A113:A133 A75:A99">
    <cfRule type="expression" dxfId="23" priority="24" stopIfTrue="1">
      <formula>IF(F65&gt;=1,1)</formula>
    </cfRule>
    <cfRule type="expression" dxfId="22" priority="60" stopIfTrue="1">
      <formula>IF(D65&gt;=1,1)</formula>
    </cfRule>
  </conditionalFormatting>
  <conditionalFormatting sqref="A151:A155 A158:A159 A146:A149">
    <cfRule type="expression" dxfId="21" priority="50" stopIfTrue="1">
      <formula>IF(D146=1,1)</formula>
    </cfRule>
  </conditionalFormatting>
  <conditionalFormatting sqref="A100">
    <cfRule type="expression" dxfId="20" priority="43" stopIfTrue="1">
      <formula>IF(D100=1,1)</formula>
    </cfRule>
  </conditionalFormatting>
  <conditionalFormatting sqref="A73">
    <cfRule type="expression" dxfId="19" priority="41" stopIfTrue="1">
      <formula>IF(D73=1,1)</formula>
    </cfRule>
  </conditionalFormatting>
  <conditionalFormatting sqref="A74">
    <cfRule type="expression" dxfId="18" priority="40" stopIfTrue="1">
      <formula>IF(D74=1,1)</formula>
    </cfRule>
  </conditionalFormatting>
  <conditionalFormatting sqref="A150">
    <cfRule type="expression" dxfId="17" priority="39" stopIfTrue="1">
      <formula>IF(D150=1,1)</formula>
    </cfRule>
  </conditionalFormatting>
  <conditionalFormatting sqref="A20 A46:A49">
    <cfRule type="expression" dxfId="16" priority="31" stopIfTrue="1">
      <formula>IF(C20=1,1)</formula>
    </cfRule>
  </conditionalFormatting>
  <conditionalFormatting sqref="A29">
    <cfRule type="expression" dxfId="15" priority="30" stopIfTrue="1">
      <formula>IF(C29=1,1)</formula>
    </cfRule>
  </conditionalFormatting>
  <conditionalFormatting sqref="A38">
    <cfRule type="expression" dxfId="14" priority="29" stopIfTrue="1">
      <formula>IF(C38=1,1)</formula>
    </cfRule>
  </conditionalFormatting>
  <conditionalFormatting sqref="A43:A44">
    <cfRule type="expression" dxfId="13" priority="28" stopIfTrue="1">
      <formula>IF(C43=1,1)</formula>
    </cfRule>
  </conditionalFormatting>
  <conditionalFormatting sqref="A112">
    <cfRule type="expression" dxfId="12" priority="20" stopIfTrue="1">
      <formula>IF(F112&gt;=1,1)</formula>
    </cfRule>
    <cfRule type="expression" dxfId="11" priority="21" stopIfTrue="1">
      <formula>IF(D112&gt;=1,1)</formula>
    </cfRule>
  </conditionalFormatting>
  <conditionalFormatting sqref="A143">
    <cfRule type="expression" dxfId="10" priority="12" stopIfTrue="1">
      <formula>IF(F143&gt;=1,1)</formula>
    </cfRule>
    <cfRule type="expression" dxfId="9" priority="13" stopIfTrue="1">
      <formula>IF(D143&gt;=1,1)</formula>
    </cfRule>
  </conditionalFormatting>
  <conditionalFormatting sqref="A18">
    <cfRule type="expression" dxfId="8" priority="10" stopIfTrue="1">
      <formula>IF(C18=1,1)</formula>
    </cfRule>
  </conditionalFormatting>
  <conditionalFormatting sqref="D61">
    <cfRule type="expression" dxfId="7" priority="5">
      <formula>SUM(D4:D60)&lt;-20%</formula>
    </cfRule>
    <cfRule type="cellIs" dxfId="6" priority="8" operator="greaterThan">
      <formula>0.8</formula>
    </cfRule>
  </conditionalFormatting>
  <conditionalFormatting sqref="A120">
    <cfRule type="expression" dxfId="5" priority="4" stopIfTrue="1">
      <formula>IF(D120=1,1)</formula>
    </cfRule>
  </conditionalFormatting>
  <conditionalFormatting sqref="A156:A157">
    <cfRule type="expression" dxfId="4" priority="1" stopIfTrue="1">
      <formula>IF(F156&gt;=1,1)</formula>
    </cfRule>
    <cfRule type="expression" dxfId="3" priority="3" stopIfTrue="1">
      <formula>IF(D156&gt;=1,1)</formula>
    </cfRule>
  </conditionalFormatting>
  <conditionalFormatting sqref="A156:A157">
    <cfRule type="expression" dxfId="2" priority="2" stopIfTrue="1">
      <formula>IF(D156=1,1)</formula>
    </cfRule>
  </conditionalFormatting>
  <conditionalFormatting sqref="A45">
    <cfRule type="expression" dxfId="1" priority="62" stopIfTrue="1">
      <formula>IF(#REF!=1,1)</formula>
    </cfRule>
  </conditionalFormatting>
  <conditionalFormatting sqref="A50">
    <cfRule type="expression" dxfId="0" priority="65" stopIfTrue="1">
      <formula>IF(#REF!=1,1)</formula>
    </cfRule>
  </conditionalFormatting>
  <pageMargins left="0.7" right="0.7" top="0.75" bottom="0.75" header="0.3" footer="0.3"/>
  <pageSetup paperSize="9" orientation="portrait" r:id="rId1"/>
  <ignoredErrors>
    <ignoredError sqref="F214:G214 G21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22"/>
  <sheetViews>
    <sheetView zoomScale="90" zoomScaleNormal="90" workbookViewId="0">
      <selection activeCell="B27" sqref="B27"/>
    </sheetView>
  </sheetViews>
  <sheetFormatPr defaultColWidth="8.86328125" defaultRowHeight="15.75"/>
  <cols>
    <col min="1" max="1" width="52.19921875" style="93" bestFit="1" customWidth="1"/>
    <col min="2" max="2" width="25.796875" style="93" customWidth="1"/>
    <col min="3" max="3" width="20.06640625" style="93" customWidth="1"/>
    <col min="4" max="4" width="20.33203125" style="93" customWidth="1"/>
    <col min="5" max="5" width="13.33203125" style="93" customWidth="1"/>
    <col min="6" max="6" width="23.46484375" style="93" customWidth="1"/>
    <col min="7" max="7" width="17.1328125" style="93" customWidth="1"/>
    <col min="8" max="8" width="12.86328125" style="93" customWidth="1"/>
    <col min="9" max="9" width="14.53125" style="93" customWidth="1"/>
    <col min="10" max="16384" width="8.86328125" style="93"/>
  </cols>
  <sheetData>
    <row r="1" spans="1:9" ht="28.8" customHeight="1" thickBot="1">
      <c r="A1" s="286" t="s">
        <v>127</v>
      </c>
      <c r="B1" s="287" t="s">
        <v>389</v>
      </c>
      <c r="C1" s="287" t="s">
        <v>388</v>
      </c>
      <c r="D1" s="613" t="s">
        <v>123</v>
      </c>
      <c r="E1" s="613"/>
      <c r="F1" s="613"/>
      <c r="G1" s="613"/>
      <c r="H1" s="613"/>
      <c r="I1" s="614"/>
    </row>
    <row r="2" spans="1:9" ht="27.6" customHeight="1">
      <c r="A2" s="288" t="s">
        <v>141</v>
      </c>
      <c r="B2" s="289" t="s">
        <v>128</v>
      </c>
      <c r="C2" s="276">
        <v>0</v>
      </c>
      <c r="D2" s="611" t="s">
        <v>129</v>
      </c>
      <c r="E2" s="611"/>
      <c r="F2" s="611"/>
      <c r="G2" s="611"/>
      <c r="H2" s="611"/>
      <c r="I2" s="612"/>
    </row>
    <row r="3" spans="1:9" ht="41.45" customHeight="1">
      <c r="A3" s="290" t="s">
        <v>130</v>
      </c>
      <c r="B3" s="291" t="s">
        <v>131</v>
      </c>
      <c r="C3" s="277">
        <v>0</v>
      </c>
      <c r="D3" s="615" t="s">
        <v>132</v>
      </c>
      <c r="E3" s="615"/>
      <c r="F3" s="615"/>
      <c r="G3" s="615"/>
      <c r="H3" s="615"/>
      <c r="I3" s="616"/>
    </row>
    <row r="4" spans="1:9" ht="27.6" customHeight="1">
      <c r="A4" s="290" t="s">
        <v>133</v>
      </c>
      <c r="B4" s="291" t="s">
        <v>134</v>
      </c>
      <c r="C4" s="277">
        <v>0</v>
      </c>
      <c r="D4" s="615" t="s">
        <v>135</v>
      </c>
      <c r="E4" s="615"/>
      <c r="F4" s="615"/>
      <c r="G4" s="615"/>
      <c r="H4" s="615"/>
      <c r="I4" s="616"/>
    </row>
    <row r="5" spans="1:9" ht="41.45" customHeight="1">
      <c r="A5" s="290" t="s">
        <v>136</v>
      </c>
      <c r="B5" s="291" t="s">
        <v>137</v>
      </c>
      <c r="C5" s="277">
        <v>0</v>
      </c>
      <c r="D5" s="615" t="s">
        <v>285</v>
      </c>
      <c r="E5" s="615"/>
      <c r="F5" s="615"/>
      <c r="G5" s="615"/>
      <c r="H5" s="615"/>
      <c r="I5" s="616"/>
    </row>
    <row r="6" spans="1:9">
      <c r="A6" s="292" t="s">
        <v>379</v>
      </c>
      <c r="B6" s="293" t="s">
        <v>319</v>
      </c>
      <c r="C6" s="558">
        <v>1800</v>
      </c>
      <c r="D6" s="615" t="s">
        <v>391</v>
      </c>
      <c r="E6" s="615"/>
      <c r="F6" s="615"/>
      <c r="G6" s="615"/>
      <c r="H6" s="615"/>
      <c r="I6" s="616"/>
    </row>
    <row r="7" spans="1:9" ht="28.25" customHeight="1" thickBot="1">
      <c r="A7" s="294" t="s">
        <v>139</v>
      </c>
      <c r="B7" s="295" t="s">
        <v>140</v>
      </c>
      <c r="C7" s="278">
        <v>0</v>
      </c>
      <c r="D7" s="617" t="s">
        <v>138</v>
      </c>
      <c r="E7" s="617"/>
      <c r="F7" s="617"/>
      <c r="G7" s="617"/>
      <c r="H7" s="617"/>
      <c r="I7" s="618"/>
    </row>
    <row r="8" spans="1:9" ht="16.149999999999999" thickBot="1"/>
    <row r="9" spans="1:9" ht="36.4" thickBot="1">
      <c r="A9" s="27" t="s">
        <v>124</v>
      </c>
      <c r="B9" s="28" t="s">
        <v>299</v>
      </c>
      <c r="C9" s="28" t="s">
        <v>305</v>
      </c>
      <c r="D9" s="28" t="s">
        <v>306</v>
      </c>
      <c r="E9" s="28" t="s">
        <v>125</v>
      </c>
      <c r="F9" s="28" t="s">
        <v>387</v>
      </c>
      <c r="G9" s="28" t="s">
        <v>130</v>
      </c>
      <c r="H9" s="28" t="s">
        <v>149</v>
      </c>
      <c r="I9" s="29" t="s">
        <v>1</v>
      </c>
    </row>
    <row r="10" spans="1:9">
      <c r="A10" s="608" t="s">
        <v>258</v>
      </c>
      <c r="B10" s="609"/>
      <c r="C10" s="610"/>
      <c r="D10" s="296"/>
      <c r="E10" s="297">
        <f>SUM(E11:E12)</f>
        <v>0</v>
      </c>
      <c r="F10" s="297">
        <f>SUM(F11:F12)</f>
        <v>0</v>
      </c>
      <c r="G10" s="297">
        <f>SUM(G11:G12)</f>
        <v>0</v>
      </c>
      <c r="H10" s="297">
        <f>SUM(H11:H12)</f>
        <v>0</v>
      </c>
      <c r="I10" s="298">
        <f>SUM(E10:H10)</f>
        <v>0</v>
      </c>
    </row>
    <row r="11" spans="1:9">
      <c r="A11" s="299" t="s">
        <v>126</v>
      </c>
      <c r="B11" s="279">
        <v>1</v>
      </c>
      <c r="C11" s="279">
        <v>3</v>
      </c>
      <c r="D11" s="280">
        <v>2</v>
      </c>
      <c r="E11" s="300">
        <f>B11*(C11+D11)*$C$4</f>
        <v>0</v>
      </c>
      <c r="F11" s="300">
        <f>B11*$C$2</f>
        <v>0</v>
      </c>
      <c r="G11" s="300">
        <f>B11*C11*$C$3</f>
        <v>0</v>
      </c>
      <c r="H11" s="300"/>
      <c r="I11" s="301"/>
    </row>
    <row r="12" spans="1:9" ht="16.149999999999999" thickBot="1">
      <c r="A12" s="302" t="s">
        <v>257</v>
      </c>
      <c r="B12" s="281">
        <v>2</v>
      </c>
      <c r="C12" s="281">
        <v>3</v>
      </c>
      <c r="D12" s="282">
        <v>2</v>
      </c>
      <c r="E12" s="303">
        <f>B12*(C12+D12)*$C$4</f>
        <v>0</v>
      </c>
      <c r="F12" s="303">
        <f>B12*$C$2</f>
        <v>0</v>
      </c>
      <c r="G12" s="303">
        <f>B12*C12*$C$3</f>
        <v>0</v>
      </c>
      <c r="H12" s="303">
        <f>B12*$C$5</f>
        <v>0</v>
      </c>
      <c r="I12" s="304"/>
    </row>
    <row r="13" spans="1:9" ht="15.75" customHeight="1">
      <c r="A13" s="605" t="s">
        <v>459</v>
      </c>
      <c r="B13" s="606"/>
      <c r="C13" s="607"/>
      <c r="D13" s="305"/>
      <c r="E13" s="306">
        <f>SUM(E14:E15)</f>
        <v>0</v>
      </c>
      <c r="F13" s="306">
        <f>SUM(F14:F15)</f>
        <v>0</v>
      </c>
      <c r="G13" s="306">
        <f>SUM(G14:G15)</f>
        <v>0</v>
      </c>
      <c r="H13" s="306">
        <f>SUM(H14:H15)</f>
        <v>0</v>
      </c>
      <c r="I13" s="307">
        <f>SUM(E13:H13)</f>
        <v>0</v>
      </c>
    </row>
    <row r="14" spans="1:9">
      <c r="A14" s="299" t="s">
        <v>126</v>
      </c>
      <c r="B14" s="279">
        <v>1</v>
      </c>
      <c r="C14" s="279">
        <v>2</v>
      </c>
      <c r="D14" s="280">
        <v>2</v>
      </c>
      <c r="E14" s="300">
        <f>B14*(C14+D14)*$C$4</f>
        <v>0</v>
      </c>
      <c r="F14" s="300">
        <f>B14*$C$2</f>
        <v>0</v>
      </c>
      <c r="G14" s="308">
        <f>B14*C14*$C$3</f>
        <v>0</v>
      </c>
      <c r="H14" s="300"/>
      <c r="I14" s="301"/>
    </row>
    <row r="15" spans="1:9" ht="16.149999999999999" thickBot="1">
      <c r="A15" s="309" t="s">
        <v>257</v>
      </c>
      <c r="B15" s="283">
        <v>2</v>
      </c>
      <c r="C15" s="283">
        <v>2</v>
      </c>
      <c r="D15" s="284">
        <v>2</v>
      </c>
      <c r="E15" s="300">
        <f>B15*(C15+D15)*$C$4</f>
        <v>0</v>
      </c>
      <c r="F15" s="308">
        <f>B15*$C$2</f>
        <v>0</v>
      </c>
      <c r="G15" s="308">
        <f>B15*C15*$C$3</f>
        <v>0</v>
      </c>
      <c r="H15" s="308">
        <f>B15*$C$5</f>
        <v>0</v>
      </c>
      <c r="I15" s="310"/>
    </row>
    <row r="16" spans="1:9">
      <c r="A16" s="605" t="s">
        <v>460</v>
      </c>
      <c r="B16" s="606"/>
      <c r="C16" s="607"/>
      <c r="D16" s="311"/>
      <c r="E16" s="297">
        <f>SUM(E17:E21)</f>
        <v>0</v>
      </c>
      <c r="F16" s="297">
        <f>SUM(F17:F21)</f>
        <v>0</v>
      </c>
      <c r="G16" s="297">
        <f>SUM(G17:G21)</f>
        <v>0</v>
      </c>
      <c r="H16" s="297">
        <f>SUM(H17:H21)</f>
        <v>0</v>
      </c>
      <c r="I16" s="298">
        <f>SUM(E16:H16)</f>
        <v>0</v>
      </c>
    </row>
    <row r="17" spans="1:9">
      <c r="A17" s="299" t="s">
        <v>126</v>
      </c>
      <c r="B17" s="279">
        <v>1</v>
      </c>
      <c r="C17" s="279">
        <v>3</v>
      </c>
      <c r="D17" s="280">
        <v>2</v>
      </c>
      <c r="E17" s="300">
        <f>B17*(C17+D17)*$C$4</f>
        <v>0</v>
      </c>
      <c r="F17" s="300">
        <f>B17*$C$2</f>
        <v>0</v>
      </c>
      <c r="G17" s="300">
        <f>B17*C17*$C$3</f>
        <v>0</v>
      </c>
      <c r="H17" s="300"/>
      <c r="I17" s="301"/>
    </row>
    <row r="18" spans="1:9">
      <c r="A18" s="299" t="s">
        <v>33</v>
      </c>
      <c r="B18" s="283">
        <v>1</v>
      </c>
      <c r="C18" s="283">
        <v>5</v>
      </c>
      <c r="D18" s="284">
        <v>2</v>
      </c>
      <c r="E18" s="300">
        <f>B18*(C18+D18)*$C$4</f>
        <v>0</v>
      </c>
      <c r="F18" s="300">
        <f>B18*$C$2</f>
        <v>0</v>
      </c>
      <c r="G18" s="300">
        <f>B18*C18*$C$3</f>
        <v>0</v>
      </c>
      <c r="H18" s="308">
        <f>B18*$C$5</f>
        <v>0</v>
      </c>
      <c r="I18" s="301"/>
    </row>
    <row r="19" spans="1:9">
      <c r="A19" s="309" t="s">
        <v>458</v>
      </c>
      <c r="B19" s="283">
        <v>1</v>
      </c>
      <c r="C19" s="283">
        <v>14</v>
      </c>
      <c r="D19" s="284">
        <v>2</v>
      </c>
      <c r="E19" s="566">
        <f>B19*(C19+D19+(Калькулятор!E210+Калькулятор!E211))*$C$4</f>
        <v>0</v>
      </c>
      <c r="F19" s="308">
        <f>B19*$C$2</f>
        <v>0</v>
      </c>
      <c r="G19" s="566">
        <f>B19*(C19+(Калькулятор!E210+Калькулятор!E211))*$C$3</f>
        <v>0</v>
      </c>
      <c r="H19" s="308">
        <f>B19*$C$5</f>
        <v>0</v>
      </c>
      <c r="I19" s="310"/>
    </row>
    <row r="20" spans="1:9" ht="16.149999999999999" thickBot="1">
      <c r="A20" s="564" t="s">
        <v>462</v>
      </c>
      <c r="B20" s="556">
        <v>0</v>
      </c>
      <c r="C20" s="283">
        <v>0</v>
      </c>
      <c r="D20" s="284">
        <v>2</v>
      </c>
      <c r="E20" s="308">
        <f>B20*(C20+D20)*$C$4</f>
        <v>0</v>
      </c>
      <c r="F20" s="308">
        <f>B20*$C$2</f>
        <v>0</v>
      </c>
      <c r="G20" s="308">
        <f>B20*C20*$C$3</f>
        <v>0</v>
      </c>
      <c r="H20" s="308">
        <f>B20*$C$5</f>
        <v>0</v>
      </c>
      <c r="I20" s="310"/>
    </row>
    <row r="21" spans="1:9" ht="16.149999999999999" thickBot="1">
      <c r="A21" s="565" t="s">
        <v>380</v>
      </c>
      <c r="B21" s="285">
        <v>1</v>
      </c>
      <c r="C21" s="285">
        <v>4</v>
      </c>
      <c r="D21" s="557">
        <v>2</v>
      </c>
      <c r="E21" s="312">
        <f>B21*(C21+D21)*$C$4</f>
        <v>0</v>
      </c>
      <c r="F21" s="312">
        <f>B21*$C$2</f>
        <v>0</v>
      </c>
      <c r="G21" s="312">
        <f>B21*C21*$C$3</f>
        <v>0</v>
      </c>
      <c r="H21" s="312"/>
      <c r="I21" s="313"/>
    </row>
    <row r="22" spans="1:9" ht="18.399999999999999" thickBot="1">
      <c r="A22" s="314" t="s">
        <v>114</v>
      </c>
      <c r="B22" s="315"/>
      <c r="C22" s="315"/>
      <c r="D22" s="315"/>
      <c r="E22" s="316">
        <f>E10+E13+E16</f>
        <v>0</v>
      </c>
      <c r="F22" s="316">
        <f>F10+F13+F16</f>
        <v>0</v>
      </c>
      <c r="G22" s="316">
        <f>G10+G13+G16</f>
        <v>0</v>
      </c>
      <c r="H22" s="316">
        <f>H10+H13+H16</f>
        <v>0</v>
      </c>
      <c r="I22" s="316">
        <f>I10+I13+I16+C7</f>
        <v>0</v>
      </c>
    </row>
  </sheetData>
  <sheetProtection algorithmName="SHA-512" hashValue="/ojccdDC4bAmap6+kj2mN/K/gMelRIHGadPaHfbt6Mkmh6pO8uKjpHN+Kfg7KvaUv+yzCv2ugTfXcppC/dRCCw==" saltValue="1cqEBadMQYwnZk/DAIR/Tw==" spinCount="100000" sheet="1" formatCells="0" formatRows="0" insertRows="0"/>
  <mergeCells count="10">
    <mergeCell ref="A16:C16"/>
    <mergeCell ref="A13:C13"/>
    <mergeCell ref="A10:C10"/>
    <mergeCell ref="D2:I2"/>
    <mergeCell ref="D1:I1"/>
    <mergeCell ref="D3:I3"/>
    <mergeCell ref="D4:I4"/>
    <mergeCell ref="D5:I5"/>
    <mergeCell ref="D7:I7"/>
    <mergeCell ref="D6:I6"/>
  </mergeCells>
  <pageMargins left="0.7" right="0.7" top="0.75" bottom="0.75" header="0.3" footer="0.3"/>
  <pageSetup paperSize="9" orientation="portrait" r:id="rId1"/>
  <ignoredErrors>
    <ignoredError sqref="E13:G13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G22"/>
  <sheetViews>
    <sheetView zoomScale="90" zoomScaleNormal="90" workbookViewId="0">
      <selection activeCell="C19" sqref="C19"/>
    </sheetView>
  </sheetViews>
  <sheetFormatPr defaultColWidth="9.1328125" defaultRowHeight="15.75"/>
  <cols>
    <col min="1" max="1" width="4" style="93" customWidth="1"/>
    <col min="2" max="2" width="67.796875" style="93" customWidth="1"/>
    <col min="3" max="3" width="14" style="93" customWidth="1"/>
    <col min="4" max="4" width="20.6640625" style="93" customWidth="1"/>
    <col min="5" max="5" width="23.19921875" style="93" customWidth="1"/>
    <col min="6" max="6" width="9.1328125" style="93"/>
    <col min="7" max="7" width="10.33203125" style="93" bestFit="1" customWidth="1"/>
    <col min="8" max="16384" width="9.1328125" style="93"/>
  </cols>
  <sheetData>
    <row r="1" spans="1:7" ht="16.149999999999999" thickBot="1">
      <c r="A1" s="187"/>
      <c r="B1" s="187" t="s">
        <v>110</v>
      </c>
    </row>
    <row r="2" spans="1:7" ht="36.4" thickBot="1">
      <c r="A2" s="317" t="s">
        <v>108</v>
      </c>
      <c r="B2" s="318" t="s">
        <v>111</v>
      </c>
      <c r="C2" s="318" t="s">
        <v>61</v>
      </c>
      <c r="D2" s="318" t="s">
        <v>112</v>
      </c>
      <c r="E2" s="319" t="s">
        <v>113</v>
      </c>
    </row>
    <row r="3" spans="1:7" ht="31.5">
      <c r="A3" s="320">
        <v>1</v>
      </c>
      <c r="B3" s="321" t="s">
        <v>286</v>
      </c>
      <c r="C3" s="345">
        <v>1</v>
      </c>
      <c r="D3" s="322">
        <v>322500</v>
      </c>
      <c r="E3" s="323">
        <f t="shared" ref="E3:E11" si="0">C3*D3</f>
        <v>322500</v>
      </c>
    </row>
    <row r="4" spans="1:7">
      <c r="A4" s="324">
        <v>2</v>
      </c>
      <c r="B4" s="325" t="s">
        <v>287</v>
      </c>
      <c r="C4" s="346"/>
      <c r="D4" s="326">
        <v>24750</v>
      </c>
      <c r="E4" s="327">
        <f t="shared" si="0"/>
        <v>0</v>
      </c>
    </row>
    <row r="5" spans="1:7">
      <c r="A5" s="324">
        <v>3</v>
      </c>
      <c r="B5" s="325" t="s">
        <v>288</v>
      </c>
      <c r="C5" s="346"/>
      <c r="D5" s="326">
        <v>105600</v>
      </c>
      <c r="E5" s="327">
        <f>C5*D5</f>
        <v>0</v>
      </c>
    </row>
    <row r="6" spans="1:7">
      <c r="A6" s="324">
        <v>4</v>
      </c>
      <c r="B6" s="325" t="s">
        <v>289</v>
      </c>
      <c r="C6" s="346"/>
      <c r="D6" s="326">
        <v>177320</v>
      </c>
      <c r="E6" s="327">
        <f t="shared" si="0"/>
        <v>0</v>
      </c>
    </row>
    <row r="7" spans="1:7">
      <c r="A7" s="324">
        <v>5</v>
      </c>
      <c r="B7" s="325" t="s">
        <v>290</v>
      </c>
      <c r="C7" s="346"/>
      <c r="D7" s="326">
        <v>290400</v>
      </c>
      <c r="E7" s="327">
        <f t="shared" si="0"/>
        <v>0</v>
      </c>
    </row>
    <row r="8" spans="1:7">
      <c r="A8" s="324">
        <v>6</v>
      </c>
      <c r="B8" s="325" t="s">
        <v>291</v>
      </c>
      <c r="C8" s="346"/>
      <c r="D8" s="326">
        <v>677600</v>
      </c>
      <c r="E8" s="327">
        <f t="shared" si="0"/>
        <v>0</v>
      </c>
    </row>
    <row r="9" spans="1:7">
      <c r="A9" s="324">
        <v>7</v>
      </c>
      <c r="B9" s="325" t="s">
        <v>292</v>
      </c>
      <c r="C9" s="346"/>
      <c r="D9" s="326">
        <v>1287600</v>
      </c>
      <c r="E9" s="327">
        <f t="shared" si="0"/>
        <v>0</v>
      </c>
    </row>
    <row r="10" spans="1:7">
      <c r="A10" s="324">
        <v>8</v>
      </c>
      <c r="B10" s="325" t="s">
        <v>293</v>
      </c>
      <c r="C10" s="346"/>
      <c r="D10" s="326">
        <v>3715500</v>
      </c>
      <c r="E10" s="327">
        <f>C10*D10</f>
        <v>0</v>
      </c>
    </row>
    <row r="11" spans="1:7" ht="16.149999999999999" thickBot="1">
      <c r="A11" s="328">
        <v>9</v>
      </c>
      <c r="B11" s="329" t="s">
        <v>294</v>
      </c>
      <c r="C11" s="347"/>
      <c r="D11" s="330">
        <v>5940200</v>
      </c>
      <c r="E11" s="331">
        <f t="shared" si="0"/>
        <v>0</v>
      </c>
    </row>
    <row r="12" spans="1:7" ht="18.399999999999999" thickBot="1">
      <c r="A12" s="619" t="s">
        <v>114</v>
      </c>
      <c r="B12" s="620"/>
      <c r="C12" s="620"/>
      <c r="D12" s="621"/>
      <c r="E12" s="332">
        <f>SUM(E3:E11)</f>
        <v>322500</v>
      </c>
      <c r="G12" s="333"/>
    </row>
    <row r="14" spans="1:7" ht="16.149999999999999" thickBot="1">
      <c r="B14" s="187" t="s">
        <v>115</v>
      </c>
    </row>
    <row r="15" spans="1:7" ht="55.8" customHeight="1" thickBot="1">
      <c r="A15" s="286" t="s">
        <v>108</v>
      </c>
      <c r="B15" s="287" t="s">
        <v>111</v>
      </c>
      <c r="C15" s="287" t="s">
        <v>61</v>
      </c>
      <c r="D15" s="287" t="s">
        <v>112</v>
      </c>
      <c r="E15" s="334" t="s">
        <v>113</v>
      </c>
    </row>
    <row r="16" spans="1:7">
      <c r="A16" s="335">
        <v>1</v>
      </c>
      <c r="B16" s="336" t="s">
        <v>116</v>
      </c>
      <c r="C16" s="348"/>
      <c r="D16" s="337">
        <v>26200</v>
      </c>
      <c r="E16" s="338">
        <f t="shared" ref="E16:E21" si="1">C16*D16</f>
        <v>0</v>
      </c>
    </row>
    <row r="17" spans="1:5">
      <c r="A17" s="324">
        <v>2</v>
      </c>
      <c r="B17" s="325" t="s">
        <v>117</v>
      </c>
      <c r="C17" s="346"/>
      <c r="D17" s="339">
        <v>50200</v>
      </c>
      <c r="E17" s="327">
        <f t="shared" si="1"/>
        <v>0</v>
      </c>
    </row>
    <row r="18" spans="1:5">
      <c r="A18" s="324">
        <v>3</v>
      </c>
      <c r="B18" s="325" t="s">
        <v>118</v>
      </c>
      <c r="C18" s="346"/>
      <c r="D18" s="339">
        <v>94400</v>
      </c>
      <c r="E18" s="327">
        <f t="shared" si="1"/>
        <v>0</v>
      </c>
    </row>
    <row r="19" spans="1:5">
      <c r="A19" s="324">
        <v>4</v>
      </c>
      <c r="B19" s="325" t="s">
        <v>119</v>
      </c>
      <c r="C19" s="349">
        <v>0</v>
      </c>
      <c r="D19" s="339">
        <v>17500</v>
      </c>
      <c r="E19" s="327">
        <f t="shared" si="1"/>
        <v>0</v>
      </c>
    </row>
    <row r="20" spans="1:5">
      <c r="A20" s="324">
        <v>5</v>
      </c>
      <c r="B20" s="325" t="s">
        <v>120</v>
      </c>
      <c r="C20" s="346"/>
      <c r="D20" s="339">
        <v>104700</v>
      </c>
      <c r="E20" s="327">
        <f t="shared" si="1"/>
        <v>0</v>
      </c>
    </row>
    <row r="21" spans="1:5" ht="31.9" thickBot="1">
      <c r="A21" s="340">
        <v>6</v>
      </c>
      <c r="B21" s="341" t="s">
        <v>170</v>
      </c>
      <c r="C21" s="350"/>
      <c r="D21" s="342">
        <v>343214</v>
      </c>
      <c r="E21" s="343">
        <f t="shared" si="1"/>
        <v>0</v>
      </c>
    </row>
    <row r="22" spans="1:5" ht="18.399999999999999" thickBot="1">
      <c r="A22" s="619" t="s">
        <v>114</v>
      </c>
      <c r="B22" s="620"/>
      <c r="C22" s="620"/>
      <c r="D22" s="621"/>
      <c r="E22" s="344">
        <f>SUM(E16:E21)</f>
        <v>0</v>
      </c>
    </row>
  </sheetData>
  <sheetProtection formatCells="0" formatRows="0" insertRows="0"/>
  <mergeCells count="2">
    <mergeCell ref="A12:D12"/>
    <mergeCell ref="A22:D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  <outlinePr summaryBelow="0"/>
  </sheetPr>
  <dimension ref="A1:G90"/>
  <sheetViews>
    <sheetView workbookViewId="0">
      <selection activeCell="C2" sqref="C2"/>
    </sheetView>
  </sheetViews>
  <sheetFormatPr defaultColWidth="8.86328125" defaultRowHeight="15.75" outlineLevelRow="2"/>
  <cols>
    <col min="1" max="1" width="97.53125" style="14" customWidth="1"/>
    <col min="2" max="2" width="8.19921875" style="14" bestFit="1" customWidth="1"/>
    <col min="3" max="3" width="6.86328125" style="14" customWidth="1"/>
    <col min="4" max="4" width="18.19921875" style="14" bestFit="1" customWidth="1"/>
    <col min="5" max="5" width="18.796875" style="14" customWidth="1"/>
    <col min="6" max="6" width="17" style="14" customWidth="1"/>
    <col min="7" max="7" width="20.53125" style="14" customWidth="1"/>
    <col min="8" max="8" width="8.86328125" style="14"/>
    <col min="9" max="9" width="8.6640625" style="14" customWidth="1"/>
    <col min="10" max="16384" width="8.86328125" style="14"/>
  </cols>
  <sheetData>
    <row r="1" spans="1:7" ht="16.149999999999999" thickBot="1">
      <c r="A1" s="351" t="s">
        <v>405</v>
      </c>
    </row>
    <row r="2" spans="1:7" ht="16.149999999999999" thickBot="1">
      <c r="A2" s="352" t="s">
        <v>320</v>
      </c>
    </row>
    <row r="3" spans="1:7">
      <c r="A3" s="353" t="s">
        <v>370</v>
      </c>
    </row>
    <row r="4" spans="1:7">
      <c r="A4" s="354" t="s">
        <v>371</v>
      </c>
    </row>
    <row r="5" spans="1:7">
      <c r="A5" s="354" t="s">
        <v>372</v>
      </c>
    </row>
    <row r="6" spans="1:7">
      <c r="A6" s="354" t="s">
        <v>373</v>
      </c>
    </row>
    <row r="7" spans="1:7">
      <c r="A7" s="354" t="s">
        <v>374</v>
      </c>
    </row>
    <row r="8" spans="1:7">
      <c r="A8" s="354" t="s">
        <v>375</v>
      </c>
    </row>
    <row r="9" spans="1:7" ht="31.9" thickBot="1">
      <c r="A9" s="355" t="s">
        <v>321</v>
      </c>
    </row>
    <row r="10" spans="1:7" ht="16.149999999999999" thickBot="1"/>
    <row r="11" spans="1:7" ht="31.9" thickBot="1">
      <c r="A11" s="356" t="s">
        <v>65</v>
      </c>
      <c r="B11" s="114" t="s">
        <v>11</v>
      </c>
      <c r="C11" s="357" t="s">
        <v>322</v>
      </c>
      <c r="D11" s="357" t="s">
        <v>38</v>
      </c>
      <c r="E11" s="357" t="s">
        <v>57</v>
      </c>
      <c r="F11" s="358" t="s">
        <v>56</v>
      </c>
      <c r="G11" s="359" t="s">
        <v>122</v>
      </c>
    </row>
    <row r="12" spans="1:7" ht="16.149999999999999" thickBot="1">
      <c r="A12" s="360" t="s">
        <v>153</v>
      </c>
      <c r="B12" s="361"/>
      <c r="C12" s="362"/>
      <c r="D12" s="363"/>
      <c r="E12" s="362">
        <f>SUM(E13+E20+E29+E31)</f>
        <v>264</v>
      </c>
      <c r="F12" s="364">
        <f>SUM(F13+F20+F29+F31)</f>
        <v>1112800</v>
      </c>
      <c r="G12" s="365">
        <f>G13+G20+G29</f>
        <v>25</v>
      </c>
    </row>
    <row r="13" spans="1:7">
      <c r="A13" s="366" t="s">
        <v>409</v>
      </c>
      <c r="B13" s="367"/>
      <c r="C13" s="368"/>
      <c r="D13" s="368"/>
      <c r="E13" s="368">
        <f>SUM(E14:E18)</f>
        <v>64</v>
      </c>
      <c r="F13" s="369">
        <f>SUM(F14:F19)</f>
        <v>272800</v>
      </c>
      <c r="G13" s="370">
        <v>5</v>
      </c>
    </row>
    <row r="14" spans="1:7" outlineLevel="1">
      <c r="A14" s="384" t="s">
        <v>394</v>
      </c>
      <c r="B14" s="371">
        <v>1</v>
      </c>
      <c r="C14" s="372">
        <v>16</v>
      </c>
      <c r="D14" s="373" t="s">
        <v>323</v>
      </c>
      <c r="E14" s="372">
        <f>B14*C14</f>
        <v>16</v>
      </c>
      <c r="F14" s="374">
        <f>B14*E14*Услуги!$B$2</f>
        <v>67200</v>
      </c>
      <c r="G14" s="375"/>
    </row>
    <row r="15" spans="1:7" outlineLevel="1">
      <c r="A15" s="384" t="s">
        <v>395</v>
      </c>
      <c r="B15" s="371">
        <v>1</v>
      </c>
      <c r="C15" s="372">
        <v>16</v>
      </c>
      <c r="D15" s="373" t="s">
        <v>323</v>
      </c>
      <c r="E15" s="372">
        <f t="shared" ref="E15:E16" si="0">B15*C15</f>
        <v>16</v>
      </c>
      <c r="F15" s="374">
        <f>B15*E15*Услуги!$B$2</f>
        <v>67200</v>
      </c>
      <c r="G15" s="375"/>
    </row>
    <row r="16" spans="1:7" outlineLevel="1">
      <c r="A16" s="384" t="s">
        <v>396</v>
      </c>
      <c r="B16" s="371">
        <v>1</v>
      </c>
      <c r="C16" s="372">
        <v>16</v>
      </c>
      <c r="D16" s="373" t="s">
        <v>323</v>
      </c>
      <c r="E16" s="372">
        <f t="shared" si="0"/>
        <v>16</v>
      </c>
      <c r="F16" s="374">
        <f>B16*E16*Услуги!$B$2</f>
        <v>67200</v>
      </c>
      <c r="G16" s="375"/>
    </row>
    <row r="17" spans="1:7" outlineLevel="1">
      <c r="A17" s="384" t="s">
        <v>397</v>
      </c>
      <c r="B17" s="371">
        <v>1</v>
      </c>
      <c r="C17" s="372">
        <v>8</v>
      </c>
      <c r="D17" s="373" t="s">
        <v>323</v>
      </c>
      <c r="E17" s="372">
        <f t="shared" ref="E17:E18" si="1">B17*C17</f>
        <v>8</v>
      </c>
      <c r="F17" s="374">
        <f>B17*E17*Услуги!$B$2</f>
        <v>33600</v>
      </c>
      <c r="G17" s="375"/>
    </row>
    <row r="18" spans="1:7" outlineLevel="1">
      <c r="A18" s="384" t="s">
        <v>398</v>
      </c>
      <c r="B18" s="371">
        <v>1</v>
      </c>
      <c r="C18" s="372">
        <v>8</v>
      </c>
      <c r="D18" s="373" t="s">
        <v>323</v>
      </c>
      <c r="E18" s="372">
        <f t="shared" si="1"/>
        <v>8</v>
      </c>
      <c r="F18" s="374">
        <f>B18*E18*Услуги!$B$2</f>
        <v>33600</v>
      </c>
      <c r="G18" s="375"/>
    </row>
    <row r="19" spans="1:7" outlineLevel="1">
      <c r="A19" s="384" t="s">
        <v>231</v>
      </c>
      <c r="B19" s="371">
        <v>1</v>
      </c>
      <c r="C19" s="372"/>
      <c r="D19" s="373" t="s">
        <v>50</v>
      </c>
      <c r="E19" s="372"/>
      <c r="F19" s="374">
        <f>B19*Услуги!B5</f>
        <v>4000</v>
      </c>
      <c r="G19" s="375"/>
    </row>
    <row r="20" spans="1:7">
      <c r="A20" s="376" t="s">
        <v>410</v>
      </c>
      <c r="B20" s="377"/>
      <c r="C20" s="378"/>
      <c r="D20" s="379"/>
      <c r="E20" s="378">
        <f>SUM(E21:E28)</f>
        <v>150</v>
      </c>
      <c r="F20" s="380">
        <f>SUM(F21:F28)</f>
        <v>630000</v>
      </c>
      <c r="G20" s="381">
        <v>15</v>
      </c>
    </row>
    <row r="21" spans="1:7" outlineLevel="1">
      <c r="A21" s="384" t="s">
        <v>324</v>
      </c>
      <c r="B21" s="371">
        <v>1</v>
      </c>
      <c r="C21" s="372">
        <v>20</v>
      </c>
      <c r="D21" s="373" t="s">
        <v>323</v>
      </c>
      <c r="E21" s="372">
        <f>B21*C21+(E59*0.2)</f>
        <v>20</v>
      </c>
      <c r="F21" s="374">
        <f>B21*E21*Услуги!$B$2</f>
        <v>84000</v>
      </c>
      <c r="G21" s="375"/>
    </row>
    <row r="22" spans="1:7" outlineLevel="1">
      <c r="A22" s="384" t="s">
        <v>325</v>
      </c>
      <c r="B22" s="371">
        <v>1</v>
      </c>
      <c r="C22" s="372">
        <v>10</v>
      </c>
      <c r="D22" s="373" t="s">
        <v>323</v>
      </c>
      <c r="E22" s="372">
        <f>B22*C22</f>
        <v>10</v>
      </c>
      <c r="F22" s="374">
        <f>B22*E22*Услуги!$B$2</f>
        <v>42000</v>
      </c>
      <c r="G22" s="375"/>
    </row>
    <row r="23" spans="1:7" outlineLevel="1">
      <c r="A23" s="384" t="s">
        <v>399</v>
      </c>
      <c r="B23" s="371">
        <v>1</v>
      </c>
      <c r="C23" s="372">
        <v>24</v>
      </c>
      <c r="D23" s="373" t="s">
        <v>323</v>
      </c>
      <c r="E23" s="372">
        <f t="shared" ref="E23:E28" si="2">B23*C23</f>
        <v>24</v>
      </c>
      <c r="F23" s="374">
        <f>B23*E23*Услуги!$B$2</f>
        <v>100800</v>
      </c>
      <c r="G23" s="375"/>
    </row>
    <row r="24" spans="1:7" outlineLevel="1">
      <c r="A24" s="384" t="s">
        <v>400</v>
      </c>
      <c r="B24" s="371">
        <v>1</v>
      </c>
      <c r="C24" s="372">
        <v>6</v>
      </c>
      <c r="D24" s="373" t="s">
        <v>323</v>
      </c>
      <c r="E24" s="372">
        <f t="shared" si="2"/>
        <v>6</v>
      </c>
      <c r="F24" s="374">
        <f>B24*E24*Услуги!$B$2</f>
        <v>25200</v>
      </c>
      <c r="G24" s="375"/>
    </row>
    <row r="25" spans="1:7" outlineLevel="1">
      <c r="A25" s="384" t="s">
        <v>401</v>
      </c>
      <c r="B25" s="371">
        <v>1</v>
      </c>
      <c r="C25" s="372">
        <v>24</v>
      </c>
      <c r="D25" s="373" t="s">
        <v>323</v>
      </c>
      <c r="E25" s="372">
        <f t="shared" si="2"/>
        <v>24</v>
      </c>
      <c r="F25" s="374">
        <f>B25*E25*Услуги!$B$2</f>
        <v>100800</v>
      </c>
      <c r="G25" s="375"/>
    </row>
    <row r="26" spans="1:7" outlineLevel="1">
      <c r="A26" s="384" t="s">
        <v>402</v>
      </c>
      <c r="B26" s="371">
        <v>1</v>
      </c>
      <c r="C26" s="372">
        <v>6</v>
      </c>
      <c r="D26" s="373" t="s">
        <v>323</v>
      </c>
      <c r="E26" s="372">
        <f t="shared" si="2"/>
        <v>6</v>
      </c>
      <c r="F26" s="374">
        <f>B26*E26*Услуги!$B$2</f>
        <v>25200</v>
      </c>
      <c r="G26" s="375"/>
    </row>
    <row r="27" spans="1:7" outlineLevel="1">
      <c r="A27" s="384" t="s">
        <v>403</v>
      </c>
      <c r="B27" s="371">
        <v>1</v>
      </c>
      <c r="C27" s="372">
        <v>20</v>
      </c>
      <c r="D27" s="373" t="s">
        <v>323</v>
      </c>
      <c r="E27" s="372">
        <f t="shared" si="2"/>
        <v>20</v>
      </c>
      <c r="F27" s="374">
        <f>B27*E27*Услуги!$B$2</f>
        <v>84000</v>
      </c>
      <c r="G27" s="375"/>
    </row>
    <row r="28" spans="1:7" outlineLevel="1">
      <c r="A28" s="384" t="s">
        <v>404</v>
      </c>
      <c r="B28" s="371">
        <v>1</v>
      </c>
      <c r="C28" s="372">
        <v>40</v>
      </c>
      <c r="D28" s="373" t="s">
        <v>323</v>
      </c>
      <c r="E28" s="372">
        <f t="shared" si="2"/>
        <v>40</v>
      </c>
      <c r="F28" s="374">
        <f>B28*E28*Услуги!$B$2</f>
        <v>168000</v>
      </c>
      <c r="G28" s="375"/>
    </row>
    <row r="29" spans="1:7">
      <c r="A29" s="376" t="s">
        <v>326</v>
      </c>
      <c r="B29" s="377"/>
      <c r="C29" s="378"/>
      <c r="D29" s="379"/>
      <c r="E29" s="378">
        <f>SUM(E30)</f>
        <v>20</v>
      </c>
      <c r="F29" s="382">
        <f>SUM(F30)</f>
        <v>84000</v>
      </c>
      <c r="G29" s="381">
        <v>5</v>
      </c>
    </row>
    <row r="30" spans="1:7" outlineLevel="1">
      <c r="A30" s="384" t="s">
        <v>327</v>
      </c>
      <c r="B30" s="371">
        <v>1</v>
      </c>
      <c r="C30" s="372">
        <v>20</v>
      </c>
      <c r="D30" s="373" t="s">
        <v>323</v>
      </c>
      <c r="E30" s="372">
        <f t="shared" ref="E30" si="3">B30*C30</f>
        <v>20</v>
      </c>
      <c r="F30" s="374">
        <f>B30*E30*Услуги!$B$2</f>
        <v>84000</v>
      </c>
      <c r="G30" s="375"/>
    </row>
    <row r="31" spans="1:7">
      <c r="A31" s="376" t="s">
        <v>328</v>
      </c>
      <c r="B31" s="377"/>
      <c r="C31" s="378"/>
      <c r="D31" s="379"/>
      <c r="E31" s="378">
        <f>SUM(E32:E34)</f>
        <v>30</v>
      </c>
      <c r="F31" s="382">
        <f>SUM(F32:F34)</f>
        <v>126000</v>
      </c>
      <c r="G31" s="383">
        <f>G12</f>
        <v>25</v>
      </c>
    </row>
    <row r="32" spans="1:7" outlineLevel="1">
      <c r="A32" s="384" t="s">
        <v>408</v>
      </c>
      <c r="B32" s="371">
        <v>1</v>
      </c>
      <c r="C32" s="372">
        <v>7</v>
      </c>
      <c r="D32" s="373" t="s">
        <v>35</v>
      </c>
      <c r="E32" s="372">
        <f t="shared" ref="E32:E34" si="4">B32*C32</f>
        <v>7</v>
      </c>
      <c r="F32" s="374">
        <f>B32*E32*Услуги!$B$2</f>
        <v>29400</v>
      </c>
      <c r="G32" s="375"/>
    </row>
    <row r="33" spans="1:7" outlineLevel="1">
      <c r="A33" s="384" t="s">
        <v>329</v>
      </c>
      <c r="B33" s="371">
        <v>1</v>
      </c>
      <c r="C33" s="372">
        <v>3</v>
      </c>
      <c r="D33" s="373" t="s">
        <v>35</v>
      </c>
      <c r="E33" s="372">
        <f t="shared" si="4"/>
        <v>3</v>
      </c>
      <c r="F33" s="374">
        <f>B33*E33*Услуги!$B$2</f>
        <v>12600</v>
      </c>
      <c r="G33" s="375"/>
    </row>
    <row r="34" spans="1:7" ht="16.149999999999999" outlineLevel="1" thickBot="1">
      <c r="A34" s="385" t="s">
        <v>330</v>
      </c>
      <c r="B34" s="386">
        <v>1</v>
      </c>
      <c r="C34" s="387">
        <v>20</v>
      </c>
      <c r="D34" s="373" t="s">
        <v>35</v>
      </c>
      <c r="E34" s="372">
        <f t="shared" si="4"/>
        <v>20</v>
      </c>
      <c r="F34" s="374">
        <f>B34*E34*Услуги!$B$2</f>
        <v>84000</v>
      </c>
      <c r="G34" s="388"/>
    </row>
    <row r="35" spans="1:7" ht="16.149999999999999" collapsed="1" thickBot="1">
      <c r="A35" s="360" t="s">
        <v>152</v>
      </c>
      <c r="B35" s="389"/>
      <c r="C35" s="362"/>
      <c r="D35" s="390"/>
      <c r="E35" s="362">
        <f>SUM(E36+E64+E67+E70+E72)</f>
        <v>144</v>
      </c>
      <c r="F35" s="364">
        <f>SUM(F36+F64+F67+F70+F72)</f>
        <v>604800</v>
      </c>
      <c r="G35" s="365">
        <f>MAX((MAX(G36,G64)+G67+G70),15)</f>
        <v>15</v>
      </c>
    </row>
    <row r="36" spans="1:7">
      <c r="A36" s="391" t="s">
        <v>331</v>
      </c>
      <c r="B36" s="367"/>
      <c r="C36" s="368"/>
      <c r="D36" s="392"/>
      <c r="E36" s="368">
        <f>SUM(E37+E49+E59)</f>
        <v>100</v>
      </c>
      <c r="F36" s="369">
        <f>SUM(F37+F49+F59)</f>
        <v>420000</v>
      </c>
      <c r="G36" s="370">
        <f>G37+G49+G59</f>
        <v>7</v>
      </c>
    </row>
    <row r="37" spans="1:7" outlineLevel="1">
      <c r="A37" s="393" t="s">
        <v>332</v>
      </c>
      <c r="B37" s="394"/>
      <c r="C37" s="395"/>
      <c r="D37" s="396"/>
      <c r="E37" s="395">
        <f>SUM(E38:E48)</f>
        <v>100</v>
      </c>
      <c r="F37" s="397">
        <f>SUM(F38:F48)</f>
        <v>420000</v>
      </c>
      <c r="G37" s="398">
        <v>7</v>
      </c>
    </row>
    <row r="38" spans="1:7" outlineLevel="2">
      <c r="A38" s="532" t="s">
        <v>333</v>
      </c>
      <c r="B38" s="371">
        <v>1</v>
      </c>
      <c r="C38" s="372">
        <v>8</v>
      </c>
      <c r="D38" s="373" t="s">
        <v>355</v>
      </c>
      <c r="E38" s="372">
        <f t="shared" ref="E38:E48" si="5">B38*C38</f>
        <v>8</v>
      </c>
      <c r="F38" s="374">
        <f>B38*E38*Услуги!$B$2</f>
        <v>33600</v>
      </c>
      <c r="G38" s="375"/>
    </row>
    <row r="39" spans="1:7" outlineLevel="2">
      <c r="A39" s="532" t="s">
        <v>334</v>
      </c>
      <c r="B39" s="371">
        <v>1</v>
      </c>
      <c r="C39" s="372">
        <v>4</v>
      </c>
      <c r="D39" s="373" t="s">
        <v>355</v>
      </c>
      <c r="E39" s="372">
        <f t="shared" si="5"/>
        <v>4</v>
      </c>
      <c r="F39" s="374">
        <f>B39*E39*Услуги!$B$2</f>
        <v>16800</v>
      </c>
      <c r="G39" s="375"/>
    </row>
    <row r="40" spans="1:7" outlineLevel="2">
      <c r="A40" s="532" t="s">
        <v>335</v>
      </c>
      <c r="B40" s="371">
        <v>1</v>
      </c>
      <c r="C40" s="372">
        <v>8</v>
      </c>
      <c r="D40" s="373" t="s">
        <v>355</v>
      </c>
      <c r="E40" s="372">
        <f t="shared" si="5"/>
        <v>8</v>
      </c>
      <c r="F40" s="374">
        <f>B40*E40*Услуги!$B$2</f>
        <v>33600</v>
      </c>
      <c r="G40" s="375"/>
    </row>
    <row r="41" spans="1:7" ht="31.5" outlineLevel="2">
      <c r="A41" s="532" t="s">
        <v>336</v>
      </c>
      <c r="B41" s="371">
        <v>1</v>
      </c>
      <c r="C41" s="372">
        <v>4</v>
      </c>
      <c r="D41" s="373" t="s">
        <v>355</v>
      </c>
      <c r="E41" s="372">
        <f t="shared" si="5"/>
        <v>4</v>
      </c>
      <c r="F41" s="374">
        <f>B41*E41*Услуги!$B$2</f>
        <v>16800</v>
      </c>
      <c r="G41" s="375"/>
    </row>
    <row r="42" spans="1:7" outlineLevel="2">
      <c r="A42" s="532" t="s">
        <v>337</v>
      </c>
      <c r="B42" s="371">
        <v>1</v>
      </c>
      <c r="C42" s="372">
        <v>16</v>
      </c>
      <c r="D42" s="373" t="s">
        <v>355</v>
      </c>
      <c r="E42" s="372">
        <f t="shared" si="5"/>
        <v>16</v>
      </c>
      <c r="F42" s="374">
        <f>B42*E42*Услуги!$B$2</f>
        <v>67200</v>
      </c>
      <c r="G42" s="375"/>
    </row>
    <row r="43" spans="1:7" ht="31.5" outlineLevel="2">
      <c r="A43" s="532" t="s">
        <v>338</v>
      </c>
      <c r="B43" s="371">
        <v>1</v>
      </c>
      <c r="C43" s="372">
        <v>8</v>
      </c>
      <c r="D43" s="373" t="s">
        <v>355</v>
      </c>
      <c r="E43" s="372">
        <f t="shared" si="5"/>
        <v>8</v>
      </c>
      <c r="F43" s="374">
        <f>B43*E43*Услуги!$B$2</f>
        <v>33600</v>
      </c>
      <c r="G43" s="375"/>
    </row>
    <row r="44" spans="1:7" ht="31.5" outlineLevel="2">
      <c r="A44" s="532" t="s">
        <v>339</v>
      </c>
      <c r="B44" s="371">
        <v>1</v>
      </c>
      <c r="C44" s="372">
        <v>16</v>
      </c>
      <c r="D44" s="373" t="s">
        <v>355</v>
      </c>
      <c r="E44" s="372">
        <f t="shared" si="5"/>
        <v>16</v>
      </c>
      <c r="F44" s="374">
        <f>B44*E44*Услуги!$B$2</f>
        <v>67200</v>
      </c>
      <c r="G44" s="375"/>
    </row>
    <row r="45" spans="1:7" outlineLevel="2">
      <c r="A45" s="532" t="s">
        <v>340</v>
      </c>
      <c r="B45" s="371">
        <v>1</v>
      </c>
      <c r="C45" s="372">
        <v>4</v>
      </c>
      <c r="D45" s="373" t="s">
        <v>355</v>
      </c>
      <c r="E45" s="372">
        <f t="shared" si="5"/>
        <v>4</v>
      </c>
      <c r="F45" s="374">
        <f>B45*E45*Услуги!$B$2</f>
        <v>16800</v>
      </c>
      <c r="G45" s="375"/>
    </row>
    <row r="46" spans="1:7" ht="31.5" outlineLevel="2">
      <c r="A46" s="532" t="s">
        <v>341</v>
      </c>
      <c r="B46" s="371">
        <v>1</v>
      </c>
      <c r="C46" s="372">
        <v>8</v>
      </c>
      <c r="D46" s="373" t="s">
        <v>355</v>
      </c>
      <c r="E46" s="372">
        <f t="shared" si="5"/>
        <v>8</v>
      </c>
      <c r="F46" s="374">
        <f>B46*E46*Услуги!$B$2</f>
        <v>33600</v>
      </c>
      <c r="G46" s="375"/>
    </row>
    <row r="47" spans="1:7" ht="31.5" outlineLevel="2">
      <c r="A47" s="532" t="s">
        <v>342</v>
      </c>
      <c r="B47" s="371">
        <v>1</v>
      </c>
      <c r="C47" s="372">
        <v>4</v>
      </c>
      <c r="D47" s="373" t="s">
        <v>355</v>
      </c>
      <c r="E47" s="372">
        <f t="shared" si="5"/>
        <v>4</v>
      </c>
      <c r="F47" s="374">
        <f>B47*E47*Услуги!$B$2</f>
        <v>16800</v>
      </c>
      <c r="G47" s="375"/>
    </row>
    <row r="48" spans="1:7" outlineLevel="2">
      <c r="A48" s="399" t="s">
        <v>406</v>
      </c>
      <c r="B48" s="371">
        <v>1</v>
      </c>
      <c r="C48" s="372">
        <v>20</v>
      </c>
      <c r="D48" s="373" t="s">
        <v>407</v>
      </c>
      <c r="E48" s="372">
        <f t="shared" si="5"/>
        <v>20</v>
      </c>
      <c r="F48" s="374">
        <f>B48*E48*Услуги!$B$2</f>
        <v>84000</v>
      </c>
      <c r="G48" s="375"/>
    </row>
    <row r="49" spans="1:7" outlineLevel="1">
      <c r="A49" s="400" t="s">
        <v>343</v>
      </c>
      <c r="B49" s="401"/>
      <c r="C49" s="402"/>
      <c r="D49" s="403"/>
      <c r="E49" s="402">
        <f>SUM(E50:E58)</f>
        <v>0</v>
      </c>
      <c r="F49" s="404">
        <f>SUM(F50:F58)</f>
        <v>0</v>
      </c>
      <c r="G49" s="405">
        <f>SUM(G50:G58)</f>
        <v>0</v>
      </c>
    </row>
    <row r="50" spans="1:7" ht="31.5" outlineLevel="2">
      <c r="A50" s="384" t="s">
        <v>344</v>
      </c>
      <c r="B50" s="371">
        <f>IF(Калькулятор!D80&gt;0,1,0)</f>
        <v>0</v>
      </c>
      <c r="C50" s="372">
        <v>4</v>
      </c>
      <c r="D50" s="373" t="s">
        <v>355</v>
      </c>
      <c r="E50" s="372">
        <f>B50*C50</f>
        <v>0</v>
      </c>
      <c r="F50" s="374">
        <f>B50*E50*Услуги!$B$2</f>
        <v>0</v>
      </c>
      <c r="G50" s="375">
        <f>MAX(FLOOR((E50)/8,1),0)</f>
        <v>0</v>
      </c>
    </row>
    <row r="51" spans="1:7" ht="31.5" outlineLevel="2">
      <c r="A51" s="384" t="s">
        <v>345</v>
      </c>
      <c r="B51" s="371">
        <f>IF(Калькулятор!D81&gt;0,1,0)</f>
        <v>0</v>
      </c>
      <c r="C51" s="372">
        <v>8</v>
      </c>
      <c r="D51" s="373" t="s">
        <v>355</v>
      </c>
      <c r="E51" s="372">
        <f t="shared" ref="E51:E65" si="6">B51*C51</f>
        <v>0</v>
      </c>
      <c r="F51" s="374">
        <f>B51*E51*Услуги!$B$2</f>
        <v>0</v>
      </c>
      <c r="G51" s="375">
        <f t="shared" ref="G51:G58" si="7">MAX(FLOOR((E51)/8,1),0)</f>
        <v>0</v>
      </c>
    </row>
    <row r="52" spans="1:7" ht="31.5" outlineLevel="2">
      <c r="A52" s="384" t="s">
        <v>346</v>
      </c>
      <c r="B52" s="371">
        <f>IF(Калькулятор!D82&gt;0,1,0)</f>
        <v>0</v>
      </c>
      <c r="C52" s="372">
        <v>8</v>
      </c>
      <c r="D52" s="373" t="s">
        <v>355</v>
      </c>
      <c r="E52" s="372">
        <f t="shared" si="6"/>
        <v>0</v>
      </c>
      <c r="F52" s="374">
        <f>B52*E52*Услуги!$B$2</f>
        <v>0</v>
      </c>
      <c r="G52" s="375">
        <f t="shared" si="7"/>
        <v>0</v>
      </c>
    </row>
    <row r="53" spans="1:7" ht="31.5" outlineLevel="2">
      <c r="A53" s="384" t="s">
        <v>347</v>
      </c>
      <c r="B53" s="371">
        <f>IF(Калькулятор!D88&gt;0,1,0)</f>
        <v>0</v>
      </c>
      <c r="C53" s="372">
        <v>8</v>
      </c>
      <c r="D53" s="373" t="s">
        <v>355</v>
      </c>
      <c r="E53" s="372">
        <f t="shared" si="6"/>
        <v>0</v>
      </c>
      <c r="F53" s="374">
        <f>B53*E53*Услуги!$B$2</f>
        <v>0</v>
      </c>
      <c r="G53" s="375">
        <f t="shared" si="7"/>
        <v>0</v>
      </c>
    </row>
    <row r="54" spans="1:7" outlineLevel="2">
      <c r="A54" s="407" t="s">
        <v>348</v>
      </c>
      <c r="B54" s="371">
        <f>IF(Калькулятор!D90&gt;0,1,0)</f>
        <v>0</v>
      </c>
      <c r="C54" s="372">
        <v>4</v>
      </c>
      <c r="D54" s="373" t="s">
        <v>355</v>
      </c>
      <c r="E54" s="372">
        <f t="shared" si="6"/>
        <v>0</v>
      </c>
      <c r="F54" s="374">
        <f>B54*E54*Услуги!$B$2</f>
        <v>0</v>
      </c>
      <c r="G54" s="375">
        <f t="shared" si="7"/>
        <v>0</v>
      </c>
    </row>
    <row r="55" spans="1:7" outlineLevel="2">
      <c r="A55" s="384" t="s">
        <v>349</v>
      </c>
      <c r="B55" s="371">
        <f>IF(Калькулятор!D91&gt;0,1,0)</f>
        <v>0</v>
      </c>
      <c r="C55" s="372">
        <v>12</v>
      </c>
      <c r="D55" s="373" t="s">
        <v>355</v>
      </c>
      <c r="E55" s="372">
        <f t="shared" si="6"/>
        <v>0</v>
      </c>
      <c r="F55" s="374">
        <f>B55*E55*Услуги!$B$2</f>
        <v>0</v>
      </c>
      <c r="G55" s="375">
        <f t="shared" si="7"/>
        <v>0</v>
      </c>
    </row>
    <row r="56" spans="1:7" outlineLevel="2">
      <c r="A56" s="407" t="s">
        <v>350</v>
      </c>
      <c r="B56" s="371">
        <f>IF(Калькулятор!D111&gt;0,1,0)</f>
        <v>0</v>
      </c>
      <c r="C56" s="372">
        <v>12</v>
      </c>
      <c r="D56" s="373" t="s">
        <v>355</v>
      </c>
      <c r="E56" s="372">
        <f t="shared" si="6"/>
        <v>0</v>
      </c>
      <c r="F56" s="374">
        <f>B56*E56*Услуги!$B$2</f>
        <v>0</v>
      </c>
      <c r="G56" s="375">
        <f t="shared" si="7"/>
        <v>0</v>
      </c>
    </row>
    <row r="57" spans="1:7" ht="31.25" customHeight="1" outlineLevel="2">
      <c r="A57" s="384" t="s">
        <v>351</v>
      </c>
      <c r="B57" s="371">
        <f>IF(Калькулятор!D122&gt;0,1,0)</f>
        <v>0</v>
      </c>
      <c r="C57" s="372">
        <v>8</v>
      </c>
      <c r="D57" s="373" t="s">
        <v>355</v>
      </c>
      <c r="E57" s="372">
        <f t="shared" si="6"/>
        <v>0</v>
      </c>
      <c r="F57" s="374">
        <f>B57*E57*Услуги!$B$2</f>
        <v>0</v>
      </c>
      <c r="G57" s="375">
        <f t="shared" si="7"/>
        <v>0</v>
      </c>
    </row>
    <row r="58" spans="1:7" outlineLevel="2">
      <c r="A58" s="407" t="s">
        <v>352</v>
      </c>
      <c r="B58" s="371">
        <f>IF(Калькулятор!D128&gt;0,1,0)</f>
        <v>0</v>
      </c>
      <c r="C58" s="372">
        <v>8</v>
      </c>
      <c r="D58" s="373" t="s">
        <v>355</v>
      </c>
      <c r="E58" s="372">
        <f t="shared" si="6"/>
        <v>0</v>
      </c>
      <c r="F58" s="374">
        <f>B58*E58*Услуги!$B$2</f>
        <v>0</v>
      </c>
      <c r="G58" s="375">
        <f t="shared" si="7"/>
        <v>0</v>
      </c>
    </row>
    <row r="59" spans="1:7" outlineLevel="1">
      <c r="A59" s="400" t="s">
        <v>353</v>
      </c>
      <c r="B59" s="401"/>
      <c r="C59" s="402"/>
      <c r="D59" s="403"/>
      <c r="E59" s="402">
        <f>SUM(E60:E63)</f>
        <v>0</v>
      </c>
      <c r="F59" s="404">
        <f>SUM(F60:F63)</f>
        <v>0</v>
      </c>
      <c r="G59" s="405">
        <f>SUM(G60:G63)</f>
        <v>0</v>
      </c>
    </row>
    <row r="60" spans="1:7" outlineLevel="2">
      <c r="A60" s="533" t="s">
        <v>354</v>
      </c>
      <c r="B60" s="371">
        <f>IF(Калькулятор!D94&gt;0,1,0)</f>
        <v>0</v>
      </c>
      <c r="C60" s="372">
        <v>8</v>
      </c>
      <c r="D60" s="373" t="s">
        <v>355</v>
      </c>
      <c r="E60" s="372">
        <f t="shared" si="6"/>
        <v>0</v>
      </c>
      <c r="F60" s="374">
        <f>B60*E60*Услуги!$B$2</f>
        <v>0</v>
      </c>
      <c r="G60" s="375">
        <f>MAX(FLOOR((E60)/8,1),0)</f>
        <v>0</v>
      </c>
    </row>
    <row r="61" spans="1:7" outlineLevel="2">
      <c r="A61" s="407" t="s">
        <v>356</v>
      </c>
      <c r="B61" s="371">
        <f>IF(Калькулятор!D97&gt;0,1,0)</f>
        <v>0</v>
      </c>
      <c r="C61" s="372">
        <v>4</v>
      </c>
      <c r="D61" s="373" t="s">
        <v>355</v>
      </c>
      <c r="E61" s="372">
        <f t="shared" si="6"/>
        <v>0</v>
      </c>
      <c r="F61" s="374">
        <f>B61*E61*Услуги!$B$2</f>
        <v>0</v>
      </c>
      <c r="G61" s="375">
        <f t="shared" ref="G61:G62" si="8">MAX(FLOOR((E61)/8,1),0)</f>
        <v>0</v>
      </c>
    </row>
    <row r="62" spans="1:7" outlineLevel="2">
      <c r="A62" s="384" t="s">
        <v>357</v>
      </c>
      <c r="B62" s="371">
        <f>IF(Калькулятор!D99&gt;0,1,0)</f>
        <v>0</v>
      </c>
      <c r="C62" s="372">
        <v>8</v>
      </c>
      <c r="D62" s="373" t="s">
        <v>355</v>
      </c>
      <c r="E62" s="372">
        <f t="shared" si="6"/>
        <v>0</v>
      </c>
      <c r="F62" s="374">
        <f>B62*E62*Услуги!$B$2</f>
        <v>0</v>
      </c>
      <c r="G62" s="375">
        <f t="shared" si="8"/>
        <v>0</v>
      </c>
    </row>
    <row r="63" spans="1:7" outlineLevel="2">
      <c r="A63" s="384" t="s">
        <v>358</v>
      </c>
      <c r="B63" s="371">
        <f>IF(Калькулятор!D95&gt;0,1,0)</f>
        <v>0</v>
      </c>
      <c r="C63" s="372">
        <v>8</v>
      </c>
      <c r="D63" s="373" t="s">
        <v>355</v>
      </c>
      <c r="E63" s="372">
        <f t="shared" si="6"/>
        <v>0</v>
      </c>
      <c r="F63" s="374">
        <f>B63*E63*Услуги!$B$2</f>
        <v>0</v>
      </c>
      <c r="G63" s="375">
        <f>MAX(FLOOR((E63)/8,1),0)</f>
        <v>0</v>
      </c>
    </row>
    <row r="64" spans="1:7">
      <c r="A64" s="406" t="s">
        <v>359</v>
      </c>
      <c r="B64" s="377"/>
      <c r="C64" s="378"/>
      <c r="D64" s="379"/>
      <c r="E64" s="378">
        <f>SUM(E65:E66)</f>
        <v>0</v>
      </c>
      <c r="F64" s="380">
        <f>SUM(F65:F66)</f>
        <v>0</v>
      </c>
      <c r="G64" s="381">
        <f>SUM(G65:G66)</f>
        <v>0</v>
      </c>
    </row>
    <row r="65" spans="1:7" outlineLevel="1">
      <c r="A65" s="407" t="s">
        <v>376</v>
      </c>
      <c r="B65" s="371">
        <f>IF(Калькулятор!D74&gt;0,1,0)</f>
        <v>0</v>
      </c>
      <c r="C65" s="372">
        <v>40</v>
      </c>
      <c r="D65" s="373" t="s">
        <v>355</v>
      </c>
      <c r="E65" s="372">
        <f t="shared" si="6"/>
        <v>0</v>
      </c>
      <c r="F65" s="374">
        <f>B65*E65*Услуги!$B$2</f>
        <v>0</v>
      </c>
      <c r="G65" s="375">
        <f>B65</f>
        <v>0</v>
      </c>
    </row>
    <row r="66" spans="1:7" ht="31.5" outlineLevel="1">
      <c r="A66" s="384" t="s">
        <v>377</v>
      </c>
      <c r="B66" s="371">
        <f>IF(Калькулятор!D163+Калькулятор!D164&gt;1,1,0)</f>
        <v>0</v>
      </c>
      <c r="C66" s="372">
        <v>150</v>
      </c>
      <c r="D66" s="373" t="s">
        <v>304</v>
      </c>
      <c r="E66" s="372">
        <f>B66*C66</f>
        <v>0</v>
      </c>
      <c r="F66" s="374">
        <f>B66*E66*Услуги!$B$2</f>
        <v>0</v>
      </c>
      <c r="G66" s="375">
        <f>MAX(FLOOR((E66)/8,1),0)</f>
        <v>0</v>
      </c>
    </row>
    <row r="67" spans="1:7">
      <c r="A67" s="406" t="s">
        <v>360</v>
      </c>
      <c r="B67" s="377"/>
      <c r="C67" s="378"/>
      <c r="D67" s="379"/>
      <c r="E67" s="378">
        <f>SUM(E68:E69)</f>
        <v>0</v>
      </c>
      <c r="F67" s="382">
        <f>SUM(F68:F69)</f>
        <v>0</v>
      </c>
      <c r="G67" s="381">
        <v>1</v>
      </c>
    </row>
    <row r="68" spans="1:7" outlineLevel="1">
      <c r="A68" s="407" t="s">
        <v>361</v>
      </c>
      <c r="B68" s="371">
        <f>IF(Калькулятор!E200&gt;0,1,0)</f>
        <v>0</v>
      </c>
      <c r="C68" s="372">
        <v>2</v>
      </c>
      <c r="D68" s="373" t="s">
        <v>355</v>
      </c>
      <c r="E68" s="372">
        <f>B68*C68</f>
        <v>0</v>
      </c>
      <c r="F68" s="374">
        <f>B68*E68*Услуги!$B$2</f>
        <v>0</v>
      </c>
      <c r="G68" s="375"/>
    </row>
    <row r="69" spans="1:7" outlineLevel="1">
      <c r="A69" s="407" t="s">
        <v>362</v>
      </c>
      <c r="B69" s="371">
        <f>IF(Калькулятор!E201&gt;0,1,0)</f>
        <v>0</v>
      </c>
      <c r="C69" s="372">
        <v>4</v>
      </c>
      <c r="D69" s="373" t="s">
        <v>355</v>
      </c>
      <c r="E69" s="372">
        <f>B69*C69</f>
        <v>0</v>
      </c>
      <c r="F69" s="374">
        <f>B69*E69*Услуги!$B$2</f>
        <v>0</v>
      </c>
      <c r="G69" s="375"/>
    </row>
    <row r="70" spans="1:7">
      <c r="A70" s="406" t="s">
        <v>363</v>
      </c>
      <c r="B70" s="377"/>
      <c r="C70" s="378"/>
      <c r="D70" s="379"/>
      <c r="E70" s="378">
        <f>SUM(E71)</f>
        <v>24</v>
      </c>
      <c r="F70" s="380">
        <f>SUM(F71)</f>
        <v>100800</v>
      </c>
      <c r="G70" s="381">
        <v>3</v>
      </c>
    </row>
    <row r="71" spans="1:7" ht="31.5" outlineLevel="1">
      <c r="A71" s="384" t="s">
        <v>364</v>
      </c>
      <c r="B71" s="371">
        <v>1</v>
      </c>
      <c r="C71" s="372">
        <v>24</v>
      </c>
      <c r="D71" s="373" t="s">
        <v>323</v>
      </c>
      <c r="E71" s="372">
        <f t="shared" ref="E71" si="9">B71*C71</f>
        <v>24</v>
      </c>
      <c r="F71" s="374">
        <f>B71*E71*Услуги!$B$2</f>
        <v>100800</v>
      </c>
      <c r="G71" s="375"/>
    </row>
    <row r="72" spans="1:7">
      <c r="A72" s="376" t="s">
        <v>328</v>
      </c>
      <c r="B72" s="377"/>
      <c r="C72" s="378"/>
      <c r="D72" s="379"/>
      <c r="E72" s="378">
        <f>SUM(E73)</f>
        <v>20</v>
      </c>
      <c r="F72" s="382">
        <f>SUM(F73)</f>
        <v>84000</v>
      </c>
      <c r="G72" s="383">
        <f>G35</f>
        <v>15</v>
      </c>
    </row>
    <row r="73" spans="1:7" ht="16.149999999999999" outlineLevel="1" thickBot="1">
      <c r="A73" s="385" t="s">
        <v>330</v>
      </c>
      <c r="B73" s="408">
        <v>1</v>
      </c>
      <c r="C73" s="409">
        <v>20</v>
      </c>
      <c r="D73" s="410" t="s">
        <v>35</v>
      </c>
      <c r="E73" s="372">
        <f t="shared" ref="E73" si="10">B73*C73</f>
        <v>20</v>
      </c>
      <c r="F73" s="374">
        <f>B73*E73*Услуги!$B$2</f>
        <v>84000</v>
      </c>
      <c r="G73" s="411"/>
    </row>
    <row r="74" spans="1:7" ht="16.149999999999999" collapsed="1" thickBot="1">
      <c r="A74" s="412" t="s">
        <v>157</v>
      </c>
      <c r="B74" s="389"/>
      <c r="C74" s="413"/>
      <c r="D74" s="390"/>
      <c r="E74" s="362" t="e">
        <f>E75+E79+E82+E86+E88</f>
        <v>#REF!</v>
      </c>
      <c r="F74" s="364" t="e">
        <f>F75+F79+F82+F86+F88</f>
        <v>#REF!</v>
      </c>
      <c r="G74" s="365" t="e">
        <f>G75+G79+G82</f>
        <v>#DIV/0!</v>
      </c>
    </row>
    <row r="75" spans="1:7">
      <c r="A75" s="406" t="s">
        <v>411</v>
      </c>
      <c r="B75" s="377"/>
      <c r="C75" s="378"/>
      <c r="D75" s="379"/>
      <c r="E75" s="378" t="e">
        <f>SUM(E76:E78)</f>
        <v>#REF!</v>
      </c>
      <c r="F75" s="380" t="e">
        <f>SUM(F76:F78)</f>
        <v>#REF!</v>
      </c>
      <c r="G75" s="381">
        <v>3</v>
      </c>
    </row>
    <row r="76" spans="1:7" outlineLevel="1">
      <c r="A76" s="275" t="s">
        <v>412</v>
      </c>
      <c r="B76" s="371" t="e">
        <f>IF(Калькулятор!#REF!&gt;0,1,0)</f>
        <v>#REF!</v>
      </c>
      <c r="C76" s="372">
        <v>8</v>
      </c>
      <c r="D76" s="373" t="s">
        <v>355</v>
      </c>
      <c r="E76" s="372" t="e">
        <f>B76*C76</f>
        <v>#REF!</v>
      </c>
      <c r="F76" s="374" t="e">
        <f>B76*E76*Услуги!$B$2</f>
        <v>#REF!</v>
      </c>
      <c r="G76" s="375"/>
    </row>
    <row r="77" spans="1:7" outlineLevel="1">
      <c r="A77" s="275" t="s">
        <v>413</v>
      </c>
      <c r="B77" s="371">
        <f>IF(Калькулятор!E210&gt;0,1,0)</f>
        <v>1</v>
      </c>
      <c r="C77" s="372">
        <v>8</v>
      </c>
      <c r="D77" s="373" t="s">
        <v>355</v>
      </c>
      <c r="E77" s="372">
        <f t="shared" ref="E77:E81" si="11">B77*C77</f>
        <v>8</v>
      </c>
      <c r="F77" s="374">
        <f>B77*E77*Услуги!$B$2</f>
        <v>33600</v>
      </c>
      <c r="G77" s="375"/>
    </row>
    <row r="78" spans="1:7" outlineLevel="1">
      <c r="A78" s="275" t="s">
        <v>414</v>
      </c>
      <c r="B78" s="371">
        <f>IF(Калькулятор!E211&gt;0,1,0)</f>
        <v>1</v>
      </c>
      <c r="C78" s="372">
        <v>8</v>
      </c>
      <c r="D78" s="373" t="s">
        <v>355</v>
      </c>
      <c r="E78" s="372">
        <f t="shared" si="11"/>
        <v>8</v>
      </c>
      <c r="F78" s="374">
        <f>B78*E78*Услуги!$B$2</f>
        <v>33600</v>
      </c>
      <c r="G78" s="375"/>
    </row>
    <row r="79" spans="1:7">
      <c r="A79" s="406" t="s">
        <v>160</v>
      </c>
      <c r="B79" s="377"/>
      <c r="C79" s="378"/>
      <c r="D79" s="379"/>
      <c r="E79" s="378">
        <f>SUM(E80:E81)</f>
        <v>192</v>
      </c>
      <c r="F79" s="380">
        <f>SUM(F80:F81)</f>
        <v>830400</v>
      </c>
      <c r="G79" s="381" t="e">
        <f>SUM(G80:G81)</f>
        <v>#DIV/0!</v>
      </c>
    </row>
    <row r="80" spans="1:7" outlineLevel="1">
      <c r="A80" s="275" t="s">
        <v>160</v>
      </c>
      <c r="B80" s="371">
        <v>1</v>
      </c>
      <c r="C80" s="372">
        <v>160</v>
      </c>
      <c r="D80" s="373" t="s">
        <v>323</v>
      </c>
      <c r="E80" s="372">
        <f t="shared" si="11"/>
        <v>160</v>
      </c>
      <c r="F80" s="374">
        <f>Калькулятор!G213</f>
        <v>696000</v>
      </c>
      <c r="G80" s="375" t="e">
        <f>MAX(FLOOR((E80)/8,1),0)/Командировки!B20</f>
        <v>#DIV/0!</v>
      </c>
    </row>
    <row r="81" spans="1:7" outlineLevel="1">
      <c r="A81" s="275" t="s">
        <v>102</v>
      </c>
      <c r="B81" s="371">
        <v>1</v>
      </c>
      <c r="C81" s="372">
        <f>C80*0.2</f>
        <v>32</v>
      </c>
      <c r="D81" s="373" t="s">
        <v>365</v>
      </c>
      <c r="E81" s="372">
        <f t="shared" si="11"/>
        <v>32</v>
      </c>
      <c r="F81" s="374">
        <f>B81*E81*Услуги!$B$2</f>
        <v>134400</v>
      </c>
      <c r="G81" s="414"/>
    </row>
    <row r="82" spans="1:7">
      <c r="A82" s="406" t="s">
        <v>366</v>
      </c>
      <c r="B82" s="377"/>
      <c r="C82" s="378"/>
      <c r="D82" s="379"/>
      <c r="E82" s="378">
        <f>SUM(E83:E85)</f>
        <v>72</v>
      </c>
      <c r="F82" s="380">
        <f>SUM(F83:F85)</f>
        <v>259200</v>
      </c>
      <c r="G82" s="381">
        <v>5</v>
      </c>
    </row>
    <row r="83" spans="1:7" outlineLevel="1">
      <c r="A83" s="275" t="s">
        <v>383</v>
      </c>
      <c r="B83" s="371">
        <f>IF(Калькулятор!D217&gt;0,1,0)</f>
        <v>1</v>
      </c>
      <c r="C83" s="372">
        <v>40</v>
      </c>
      <c r="D83" s="373" t="s">
        <v>392</v>
      </c>
      <c r="E83" s="372">
        <f>B83*C83</f>
        <v>40</v>
      </c>
      <c r="F83" s="374">
        <f>B83*Калькулятор!G217</f>
        <v>124800</v>
      </c>
      <c r="G83" s="375"/>
    </row>
    <row r="84" spans="1:7" outlineLevel="1">
      <c r="A84" s="275" t="s">
        <v>385</v>
      </c>
      <c r="B84" s="371">
        <v>1</v>
      </c>
      <c r="C84" s="372">
        <v>32</v>
      </c>
      <c r="D84" s="373" t="s">
        <v>393</v>
      </c>
      <c r="E84" s="372">
        <f t="shared" ref="E84" si="12">B84*C84</f>
        <v>32</v>
      </c>
      <c r="F84" s="374">
        <f>B84*E84*Услуги!$B$2</f>
        <v>134400</v>
      </c>
      <c r="G84" s="415"/>
    </row>
    <row r="85" spans="1:7" outlineLevel="1">
      <c r="A85" s="275" t="s">
        <v>367</v>
      </c>
      <c r="B85" s="371">
        <f>IF(B83&gt;0,0,1)</f>
        <v>0</v>
      </c>
      <c r="C85" s="372">
        <v>6</v>
      </c>
      <c r="D85" s="373" t="s">
        <v>355</v>
      </c>
      <c r="E85" s="372">
        <f t="shared" ref="E85" si="13">B85*C85</f>
        <v>0</v>
      </c>
      <c r="F85" s="374">
        <f>B85*E85*Услуги!$B$2</f>
        <v>0</v>
      </c>
      <c r="G85" s="415"/>
    </row>
    <row r="86" spans="1:7">
      <c r="A86" s="406" t="s">
        <v>368</v>
      </c>
      <c r="B86" s="377"/>
      <c r="C86" s="378"/>
      <c r="D86" s="379"/>
      <c r="E86" s="378">
        <f>SUM(E87:E87)</f>
        <v>0</v>
      </c>
      <c r="F86" s="380">
        <f>SUM(F87:F87)</f>
        <v>0</v>
      </c>
      <c r="G86" s="381"/>
    </row>
    <row r="87" spans="1:7" ht="31.5" outlineLevel="1">
      <c r="A87" s="275" t="s">
        <v>369</v>
      </c>
      <c r="B87" s="371">
        <v>1</v>
      </c>
      <c r="C87" s="416">
        <f>Калькулятор!D214</f>
        <v>0</v>
      </c>
      <c r="D87" s="373" t="s">
        <v>355</v>
      </c>
      <c r="E87" s="372">
        <f>B87*C87*2</f>
        <v>0</v>
      </c>
      <c r="F87" s="374">
        <f>B87*C87*Услуги!$B$4</f>
        <v>0</v>
      </c>
      <c r="G87" s="415"/>
    </row>
    <row r="88" spans="1:7">
      <c r="A88" s="376" t="s">
        <v>328</v>
      </c>
      <c r="B88" s="377"/>
      <c r="C88" s="378"/>
      <c r="D88" s="379"/>
      <c r="E88" s="378">
        <f>SUM(E89)</f>
        <v>20</v>
      </c>
      <c r="F88" s="382">
        <f>SUM(F89)</f>
        <v>84000</v>
      </c>
      <c r="G88" s="383" t="e">
        <f>G74</f>
        <v>#DIV/0!</v>
      </c>
    </row>
    <row r="89" spans="1:7" ht="16.149999999999999" outlineLevel="1" thickBot="1">
      <c r="A89" s="385" t="s">
        <v>330</v>
      </c>
      <c r="B89" s="408">
        <v>1</v>
      </c>
      <c r="C89" s="409">
        <v>20</v>
      </c>
      <c r="D89" s="410" t="s">
        <v>35</v>
      </c>
      <c r="E89" s="372">
        <f>B89*C89</f>
        <v>20</v>
      </c>
      <c r="F89" s="374">
        <f>B89*E89*Услуги!$B$2</f>
        <v>84000</v>
      </c>
      <c r="G89" s="411"/>
    </row>
    <row r="90" spans="1:7" ht="16.149999999999999" collapsed="1" thickBot="1">
      <c r="A90" s="360" t="s">
        <v>12</v>
      </c>
      <c r="B90" s="417"/>
      <c r="C90" s="418"/>
      <c r="D90" s="418"/>
      <c r="E90" s="419" t="e">
        <f>SUM(E12+E35+E74)</f>
        <v>#REF!</v>
      </c>
      <c r="F90" s="420" t="e">
        <f>SUM(F12+F35+F74)</f>
        <v>#REF!</v>
      </c>
      <c r="G90" s="421" t="e">
        <f>SUM(G12+G35+G74)</f>
        <v>#DIV/0!</v>
      </c>
    </row>
  </sheetData>
  <sheetProtection formatCells="0" formatRows="0" insertRow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0"/>
  <sheetViews>
    <sheetView zoomScale="130" zoomScaleNormal="130" workbookViewId="0">
      <selection activeCell="C14" sqref="C14"/>
    </sheetView>
  </sheetViews>
  <sheetFormatPr defaultColWidth="9.1328125" defaultRowHeight="10.9"/>
  <cols>
    <col min="1" max="1" width="65.33203125" style="1" bestFit="1" customWidth="1"/>
    <col min="2" max="2" width="26.46484375" style="1" bestFit="1" customWidth="1"/>
    <col min="3" max="3" width="14.86328125" style="1" customWidth="1"/>
    <col min="4" max="16384" width="9.1328125" style="1"/>
  </cols>
  <sheetData>
    <row r="1" spans="1:3" ht="12.75">
      <c r="A1" s="8" t="s">
        <v>38</v>
      </c>
      <c r="B1" t="s">
        <v>34</v>
      </c>
      <c r="C1"/>
    </row>
    <row r="2" spans="1:3" ht="12.75">
      <c r="A2"/>
      <c r="B2"/>
      <c r="C2"/>
    </row>
    <row r="3" spans="1:3" ht="12.75">
      <c r="A3" s="8" t="s">
        <v>197</v>
      </c>
      <c r="B3" t="s">
        <v>196</v>
      </c>
      <c r="C3"/>
    </row>
    <row r="4" spans="1:3" ht="12.75">
      <c r="A4" s="9" t="s">
        <v>162</v>
      </c>
      <c r="B4">
        <v>81</v>
      </c>
      <c r="C4"/>
    </row>
    <row r="5" spans="1:3" ht="12.75">
      <c r="A5" s="9" t="s">
        <v>46</v>
      </c>
      <c r="B5">
        <v>0</v>
      </c>
      <c r="C5"/>
    </row>
    <row r="6" spans="1:3" ht="12.75">
      <c r="A6" s="9" t="s">
        <v>30</v>
      </c>
      <c r="B6">
        <v>0</v>
      </c>
      <c r="C6"/>
    </row>
    <row r="7" spans="1:3" ht="12.75">
      <c r="A7" s="9" t="s">
        <v>28</v>
      </c>
      <c r="B7">
        <v>0</v>
      </c>
      <c r="C7"/>
    </row>
    <row r="8" spans="1:3" ht="12.75">
      <c r="A8" s="9" t="s">
        <v>32</v>
      </c>
      <c r="B8">
        <v>0</v>
      </c>
      <c r="C8"/>
    </row>
    <row r="9" spans="1:3" ht="12.75">
      <c r="A9" s="9" t="s">
        <v>31</v>
      </c>
      <c r="B9">
        <v>0</v>
      </c>
      <c r="C9"/>
    </row>
    <row r="10" spans="1:3" ht="12.75">
      <c r="A10" s="9" t="s">
        <v>29</v>
      </c>
      <c r="B10">
        <v>0</v>
      </c>
      <c r="C10"/>
    </row>
    <row r="11" spans="1:3" ht="12.75">
      <c r="A11" s="9" t="s">
        <v>45</v>
      </c>
      <c r="B11">
        <v>4.05</v>
      </c>
      <c r="C11"/>
    </row>
    <row r="12" spans="1:3" ht="12.75">
      <c r="A12" s="9" t="s">
        <v>39</v>
      </c>
      <c r="B12">
        <v>47.25</v>
      </c>
      <c r="C12"/>
    </row>
    <row r="13" spans="1:3" ht="12.75">
      <c r="A13" s="9" t="s">
        <v>161</v>
      </c>
      <c r="B13">
        <v>75.600000000000009</v>
      </c>
      <c r="C13"/>
    </row>
    <row r="14" spans="1:3" ht="12.75">
      <c r="A14" s="9" t="s">
        <v>145</v>
      </c>
      <c r="B14">
        <v>8</v>
      </c>
      <c r="C14"/>
    </row>
    <row r="15" spans="1:3" ht="12.75">
      <c r="A15" s="9" t="s">
        <v>142</v>
      </c>
      <c r="B15">
        <v>16</v>
      </c>
      <c r="C15"/>
    </row>
    <row r="16" spans="1:3" ht="12.75">
      <c r="A16" s="9" t="s">
        <v>104</v>
      </c>
      <c r="B16">
        <v>0</v>
      </c>
      <c r="C16"/>
    </row>
    <row r="17" spans="1:3" ht="12.75">
      <c r="A17" s="9" t="s">
        <v>103</v>
      </c>
      <c r="B17">
        <v>0</v>
      </c>
      <c r="C17"/>
    </row>
    <row r="18" spans="1:3" ht="12.75">
      <c r="A18" s="9" t="s">
        <v>52</v>
      </c>
      <c r="B18">
        <v>10.125</v>
      </c>
      <c r="C18"/>
    </row>
    <row r="19" spans="1:3" ht="12.75">
      <c r="A19" s="9" t="s">
        <v>168</v>
      </c>
      <c r="B19">
        <v>0</v>
      </c>
      <c r="C19" s="3"/>
    </row>
    <row r="20" spans="1:3" ht="12.75">
      <c r="A20" s="9" t="s">
        <v>163</v>
      </c>
      <c r="B20">
        <v>0</v>
      </c>
      <c r="C20" s="3"/>
    </row>
    <row r="21" spans="1:3" ht="12.75">
      <c r="A21" s="9" t="s">
        <v>198</v>
      </c>
      <c r="B21">
        <v>242.02500000000003</v>
      </c>
      <c r="C21" s="3"/>
    </row>
    <row r="22" spans="1:3" ht="12.75">
      <c r="A22"/>
      <c r="B22"/>
      <c r="C22" s="3"/>
    </row>
    <row r="23" spans="1:3" ht="12.75">
      <c r="A23"/>
      <c r="B23"/>
      <c r="C23" s="3"/>
    </row>
    <row r="24" spans="1:3" ht="12.75">
      <c r="A24"/>
      <c r="B24"/>
      <c r="C24" s="3"/>
    </row>
    <row r="25" spans="1:3" ht="12.75">
      <c r="A25"/>
      <c r="B25"/>
      <c r="C25" s="3"/>
    </row>
    <row r="26" spans="1:3" ht="12.75">
      <c r="A26"/>
      <c r="B26"/>
      <c r="C26" s="3"/>
    </row>
    <row r="27" spans="1:3" ht="12.75">
      <c r="A27"/>
      <c r="B27"/>
      <c r="C27" s="3"/>
    </row>
    <row r="28" spans="1:3" ht="12.75">
      <c r="A28"/>
      <c r="B28"/>
      <c r="C28" s="3"/>
    </row>
    <row r="29" spans="1:3" ht="12.75">
      <c r="A29"/>
      <c r="B29"/>
      <c r="C29" s="3"/>
    </row>
    <row r="30" spans="1:3" ht="12.75">
      <c r="A30"/>
      <c r="B30"/>
      <c r="C30" s="3"/>
    </row>
    <row r="31" spans="1:3" ht="12.75">
      <c r="A31"/>
      <c r="B31"/>
      <c r="C31" s="3"/>
    </row>
    <row r="32" spans="1:3" ht="12.75">
      <c r="A32"/>
      <c r="B32"/>
      <c r="C32" s="3"/>
    </row>
    <row r="33" spans="1:3" ht="12.75">
      <c r="A33"/>
      <c r="B33"/>
      <c r="C33" s="3"/>
    </row>
    <row r="34" spans="1:3" ht="12.75">
      <c r="A34"/>
      <c r="B34"/>
      <c r="C34" s="3"/>
    </row>
    <row r="35" spans="1:3" ht="12.75">
      <c r="A35"/>
      <c r="B35"/>
      <c r="C35" s="3"/>
    </row>
    <row r="36" spans="1:3" ht="12.75">
      <c r="A36"/>
      <c r="B36"/>
      <c r="C36" s="3"/>
    </row>
    <row r="37" spans="1:3" ht="12.75">
      <c r="A37"/>
      <c r="B37"/>
      <c r="C37" s="3"/>
    </row>
    <row r="38" spans="1:3" ht="12.75">
      <c r="A38"/>
      <c r="B38"/>
      <c r="C38" s="3"/>
    </row>
    <row r="39" spans="1:3" ht="12.75">
      <c r="A39"/>
      <c r="B39"/>
      <c r="C39" s="3"/>
    </row>
    <row r="40" spans="1:3" ht="12.75">
      <c r="A40"/>
      <c r="B40"/>
      <c r="C40" s="3"/>
    </row>
    <row r="41" spans="1:3" ht="12.75">
      <c r="A41"/>
      <c r="B41"/>
      <c r="C41" s="3"/>
    </row>
    <row r="42" spans="1:3" ht="12.75">
      <c r="A42"/>
      <c r="B42"/>
      <c r="C42" s="5"/>
    </row>
    <row r="43" spans="1:3" ht="12.75">
      <c r="A43"/>
      <c r="B43"/>
      <c r="C43" s="5"/>
    </row>
    <row r="44" spans="1:3" ht="12.75">
      <c r="A44"/>
      <c r="B44"/>
      <c r="C44" s="7"/>
    </row>
    <row r="45" spans="1:3" ht="12.75">
      <c r="A45"/>
      <c r="B45"/>
    </row>
    <row r="46" spans="1:3" ht="12.75">
      <c r="A46"/>
      <c r="B46"/>
      <c r="C46" s="3"/>
    </row>
    <row r="47" spans="1:3" ht="12.75">
      <c r="A47"/>
      <c r="B47"/>
      <c r="C47" s="3"/>
    </row>
    <row r="48" spans="1:3" ht="12.75">
      <c r="A48"/>
      <c r="B48"/>
      <c r="C48" s="3"/>
    </row>
    <row r="49" spans="1:3" ht="12.75">
      <c r="A49"/>
      <c r="B49"/>
      <c r="C49" s="3"/>
    </row>
    <row r="50" spans="1:3" ht="12.75">
      <c r="A50"/>
      <c r="B50"/>
      <c r="C50" s="3"/>
    </row>
    <row r="51" spans="1:3" ht="12.75">
      <c r="A51"/>
      <c r="B51"/>
      <c r="C51" s="3"/>
    </row>
    <row r="52" spans="1:3">
      <c r="A52" s="4"/>
      <c r="C52" s="3"/>
    </row>
    <row r="53" spans="1:3">
      <c r="A53" s="4"/>
      <c r="C53" s="3"/>
    </row>
    <row r="54" spans="1:3">
      <c r="A54" s="4"/>
      <c r="C54" s="3"/>
    </row>
    <row r="55" spans="1:3">
      <c r="A55" s="4"/>
      <c r="C55" s="3"/>
    </row>
    <row r="56" spans="1:3">
      <c r="A56" s="4"/>
      <c r="C56" s="3"/>
    </row>
    <row r="57" spans="1:3">
      <c r="A57" s="4"/>
      <c r="C57" s="3"/>
    </row>
    <row r="58" spans="1:3">
      <c r="A58" s="4"/>
      <c r="B58" s="2"/>
      <c r="C58" s="3"/>
    </row>
    <row r="59" spans="1:3">
      <c r="A59" s="4"/>
      <c r="C59" s="3"/>
    </row>
    <row r="60" spans="1:3">
      <c r="A60" s="4"/>
      <c r="C60" s="3"/>
    </row>
    <row r="61" spans="1:3">
      <c r="A61" s="4"/>
      <c r="C61" s="3"/>
    </row>
    <row r="62" spans="1:3">
      <c r="A62" s="4"/>
      <c r="C62" s="3"/>
    </row>
    <row r="63" spans="1:3">
      <c r="A63" s="4"/>
      <c r="C63" s="3"/>
    </row>
    <row r="64" spans="1:3">
      <c r="A64" s="4"/>
      <c r="C64" s="3"/>
    </row>
    <row r="65" spans="1:3">
      <c r="A65" s="4"/>
      <c r="C65" s="3"/>
    </row>
    <row r="66" spans="1:3">
      <c r="A66" s="4"/>
      <c r="C66" s="3"/>
    </row>
    <row r="67" spans="1:3">
      <c r="A67" s="4"/>
      <c r="C67" s="3"/>
    </row>
    <row r="68" spans="1:3">
      <c r="A68" s="4"/>
      <c r="C68" s="3"/>
    </row>
    <row r="69" spans="1:3">
      <c r="A69" s="4"/>
      <c r="C69" s="3"/>
    </row>
    <row r="70" spans="1:3">
      <c r="A70" s="4"/>
      <c r="C70" s="3"/>
    </row>
    <row r="71" spans="1:3">
      <c r="A71" s="4"/>
      <c r="C71" s="3"/>
    </row>
    <row r="72" spans="1:3">
      <c r="A72" s="4"/>
      <c r="C72" s="3"/>
    </row>
    <row r="73" spans="1:3">
      <c r="A73" s="4"/>
      <c r="C73" s="3"/>
    </row>
    <row r="74" spans="1:3">
      <c r="A74" s="4"/>
      <c r="C74" s="3"/>
    </row>
    <row r="75" spans="1:3">
      <c r="A75" s="4"/>
      <c r="C75" s="3"/>
    </row>
    <row r="76" spans="1:3">
      <c r="A76" s="4"/>
      <c r="C76" s="3"/>
    </row>
    <row r="77" spans="1:3">
      <c r="A77" s="4"/>
      <c r="C77" s="3"/>
    </row>
    <row r="78" spans="1:3">
      <c r="A78" s="4"/>
      <c r="C78" s="3"/>
    </row>
    <row r="79" spans="1:3">
      <c r="A79" s="4"/>
      <c r="C79" s="3"/>
    </row>
    <row r="80" spans="1:3">
      <c r="A80" s="4"/>
      <c r="C80" s="3"/>
    </row>
    <row r="81" spans="1:3">
      <c r="A81" s="4"/>
      <c r="B81" s="2"/>
      <c r="C81" s="3"/>
    </row>
    <row r="82" spans="1:3">
      <c r="A82" s="4"/>
      <c r="C82" s="3"/>
    </row>
    <row r="83" spans="1:3">
      <c r="A83" s="4"/>
      <c r="C83" s="3"/>
    </row>
    <row r="84" spans="1:3">
      <c r="A84" s="4"/>
      <c r="C84" s="3"/>
    </row>
    <row r="85" spans="1:3">
      <c r="B85" s="2"/>
      <c r="C85" s="5"/>
    </row>
    <row r="88" spans="1:3">
      <c r="A88" s="6"/>
      <c r="B88" s="6"/>
      <c r="C88" s="7"/>
    </row>
    <row r="89" spans="1:3">
      <c r="A89" s="4"/>
      <c r="C89" s="3"/>
    </row>
    <row r="90" spans="1:3">
      <c r="B90" s="2"/>
      <c r="C90" s="5"/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2.75"/>
  <cols>
    <col min="1" max="1" width="69.33203125" bestFit="1" customWidth="1"/>
    <col min="2" max="2" width="26.46484375" bestFit="1" customWidth="1"/>
    <col min="3" max="3" width="8.33203125" bestFit="1" customWidth="1"/>
    <col min="4" max="4" width="11.33203125" bestFit="1" customWidth="1"/>
    <col min="5" max="5" width="11.53125" bestFit="1" customWidth="1"/>
    <col min="6" max="6" width="7.1328125" bestFit="1" customWidth="1"/>
    <col min="7" max="7" width="6.6640625" bestFit="1" customWidth="1"/>
    <col min="8" max="8" width="10.1328125" bestFit="1" customWidth="1"/>
  </cols>
  <sheetData>
    <row r="1" spans="1:2">
      <c r="A1" s="8" t="s">
        <v>38</v>
      </c>
      <c r="B1" t="s">
        <v>33</v>
      </c>
    </row>
    <row r="3" spans="1:2">
      <c r="A3" s="8" t="s">
        <v>197</v>
      </c>
      <c r="B3" t="s">
        <v>196</v>
      </c>
    </row>
    <row r="4" spans="1:2">
      <c r="A4" s="9" t="s">
        <v>44</v>
      </c>
      <c r="B4">
        <v>1.35</v>
      </c>
    </row>
    <row r="5" spans="1:2">
      <c r="A5" s="9" t="s">
        <v>41</v>
      </c>
      <c r="B5">
        <v>0</v>
      </c>
    </row>
    <row r="6" spans="1:2">
      <c r="A6" s="9" t="s">
        <v>64</v>
      </c>
      <c r="B6">
        <v>0</v>
      </c>
    </row>
    <row r="7" spans="1:2">
      <c r="A7" s="9" t="s">
        <v>198</v>
      </c>
      <c r="B7">
        <v>1.35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"/>
  <sheetViews>
    <sheetView workbookViewId="0"/>
  </sheetViews>
  <sheetFormatPr defaultRowHeight="12.75"/>
  <cols>
    <col min="1" max="1" width="61.46484375" bestFit="1" customWidth="1"/>
    <col min="2" max="2" width="26.46484375" bestFit="1" customWidth="1"/>
    <col min="3" max="3" width="13.33203125" bestFit="1" customWidth="1"/>
  </cols>
  <sheetData>
    <row r="1" spans="1:2">
      <c r="A1" s="8" t="s">
        <v>38</v>
      </c>
      <c r="B1" t="s">
        <v>35</v>
      </c>
    </row>
    <row r="3" spans="1:2">
      <c r="A3" s="8" t="s">
        <v>197</v>
      </c>
      <c r="B3" t="s">
        <v>196</v>
      </c>
    </row>
    <row r="4" spans="1:2">
      <c r="A4" s="9" t="s">
        <v>48</v>
      </c>
      <c r="B4">
        <v>1.89</v>
      </c>
    </row>
    <row r="5" spans="1:2">
      <c r="A5" s="9" t="s">
        <v>47</v>
      </c>
      <c r="B5">
        <v>4.8000000000000007</v>
      </c>
    </row>
    <row r="6" spans="1:2">
      <c r="A6" s="9" t="s">
        <v>40</v>
      </c>
      <c r="B6">
        <v>20.25</v>
      </c>
    </row>
    <row r="7" spans="1:2">
      <c r="A7" s="9" t="s">
        <v>106</v>
      </c>
      <c r="B7">
        <v>32.4</v>
      </c>
    </row>
    <row r="8" spans="1:2">
      <c r="A8" s="9" t="s">
        <v>51</v>
      </c>
      <c r="B8">
        <v>3.375</v>
      </c>
    </row>
    <row r="9" spans="1:2">
      <c r="A9" s="9" t="s">
        <v>54</v>
      </c>
      <c r="B9">
        <v>26.729999999999997</v>
      </c>
    </row>
    <row r="10" spans="1:2">
      <c r="A10" s="9" t="s">
        <v>198</v>
      </c>
      <c r="B10">
        <v>89.444999999999993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Резюме_Проекта</vt:lpstr>
      <vt:lpstr>Услуги</vt:lpstr>
      <vt:lpstr>Калькулятор</vt:lpstr>
      <vt:lpstr>Командировки</vt:lpstr>
      <vt:lpstr>Лицензии</vt:lpstr>
      <vt:lpstr>Экспресс внедрение</vt:lpstr>
      <vt:lpstr>Задачи консультанта</vt:lpstr>
      <vt:lpstr>Задачи архитектора</vt:lpstr>
      <vt:lpstr>Задачи РП</vt:lpstr>
      <vt:lpstr>Задачи разработчика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Калькулятор оценки проектов внедрения WMS</dc:title>
  <dc:subject>Version 0.1 2004-12-20</dc:subject>
  <dc:creator>Андрей Солдатов</dc:creator>
  <cp:lastModifiedBy>Андрей Солдатов</cp:lastModifiedBy>
  <cp:lastPrinted>2020-06-18T11:44:20Z</cp:lastPrinted>
  <dcterms:created xsi:type="dcterms:W3CDTF">1999-10-08T08:30:46Z</dcterms:created>
  <dcterms:modified xsi:type="dcterms:W3CDTF">2024-08-07T12:13:18Z</dcterms:modified>
</cp:coreProperties>
</file>