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2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em\TDH Dropbox\TDH\Production\"/>
    </mc:Choice>
  </mc:AlternateContent>
  <xr:revisionPtr revIDLastSave="0" documentId="13_ncr:1_{9CB1EACA-14F0-47ED-89E9-494F2F3B5D35}" xr6:coauthVersionLast="47" xr6:coauthVersionMax="47" xr10:uidLastSave="{00000000-0000-0000-0000-000000000000}"/>
  <bookViews>
    <workbookView xWindow="-108" yWindow="-108" windowWidth="23256" windowHeight="12720" tabRatio="810" firstSheet="1" activeTab="1" xr2:uid="{00000000-000D-0000-FFFF-FFFF00000000}"/>
  </bookViews>
  <sheets>
    <sheet name="BUILD SHEET UB Series" sheetId="11" r:id="rId1"/>
    <sheet name="In-Production UB Series" sheetId="12" r:id="rId2"/>
    <sheet name="Hose Lengths" sheetId="7" r:id="rId3"/>
    <sheet name="BUILD SHEET LG. Unit" sheetId="14" r:id="rId4"/>
    <sheet name="In-Production LG. Units" sheetId="15" r:id="rId5"/>
  </sheets>
  <definedNames>
    <definedName name="_xlnm.Print_Area" localSheetId="3">'BUILD SHEET LG. Unit'!$A$1:$H$39</definedName>
    <definedName name="_xlnm.Print_Area" localSheetId="0">'BUILD SHEET UB Series'!$A$1:$H$39</definedName>
    <definedName name="_xlnm.Print_Area" localSheetId="4">'In-Production LG. Units'!$A$1:$I$47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2" l="1"/>
  <c r="F23" i="12"/>
  <c r="A23" i="12" s="1"/>
  <c r="D28" i="12"/>
  <c r="F28" i="12"/>
  <c r="H7" i="12"/>
  <c r="D19" i="12" s="1"/>
  <c r="A19" i="12" s="1"/>
  <c r="B17" i="12"/>
  <c r="F30" i="12"/>
  <c r="A30" i="12" s="1"/>
  <c r="D12" i="12"/>
  <c r="H6" i="11"/>
  <c r="C9" i="15" s="1"/>
  <c r="G9" i="15" s="1"/>
  <c r="A20" i="15"/>
  <c r="D19" i="15"/>
  <c r="A19" i="15"/>
  <c r="F27" i="15"/>
  <c r="G27" i="15"/>
  <c r="H7" i="15"/>
  <c r="F20" i="15"/>
  <c r="G20" i="15"/>
  <c r="G21" i="15"/>
  <c r="G22" i="15"/>
  <c r="G23" i="15"/>
  <c r="F24" i="15"/>
  <c r="G24" i="15"/>
  <c r="F25" i="15"/>
  <c r="G25" i="15"/>
  <c r="G26" i="15"/>
  <c r="F28" i="15"/>
  <c r="G28" i="15"/>
  <c r="F38" i="15"/>
  <c r="H13" i="14"/>
  <c r="F36" i="15"/>
  <c r="A36" i="15"/>
  <c r="A28" i="15"/>
  <c r="A27" i="15"/>
  <c r="F32" i="15"/>
  <c r="A32" i="15"/>
  <c r="G32" i="15"/>
  <c r="F29" i="15"/>
  <c r="A29" i="15"/>
  <c r="D20" i="15"/>
  <c r="F37" i="15"/>
  <c r="G14" i="14"/>
  <c r="B41" i="15"/>
  <c r="B40" i="15"/>
  <c r="F41" i="15"/>
  <c r="F40" i="15"/>
  <c r="B29" i="15"/>
  <c r="C28" i="15"/>
  <c r="D28" i="15"/>
  <c r="E28" i="15"/>
  <c r="C27" i="15"/>
  <c r="B39" i="15"/>
  <c r="B38" i="15"/>
  <c r="B37" i="15"/>
  <c r="F39" i="15"/>
  <c r="D32" i="15"/>
  <c r="B19" i="14"/>
  <c r="B27" i="15"/>
  <c r="C19" i="14"/>
  <c r="B20" i="14"/>
  <c r="B28" i="15"/>
  <c r="C20" i="14"/>
  <c r="D47" i="15"/>
  <c r="H47" i="15"/>
  <c r="H33" i="14"/>
  <c r="G45" i="15"/>
  <c r="H32" i="14"/>
  <c r="G44" i="15"/>
  <c r="H31" i="14"/>
  <c r="G43" i="15"/>
  <c r="B45" i="15"/>
  <c r="B44" i="15"/>
  <c r="D44" i="15"/>
  <c r="D45" i="15"/>
  <c r="F43" i="15"/>
  <c r="F44" i="15"/>
  <c r="F45" i="15"/>
  <c r="F42" i="15"/>
  <c r="F35" i="15"/>
  <c r="G35" i="15"/>
  <c r="F34" i="15"/>
  <c r="G34" i="15"/>
  <c r="D43" i="15"/>
  <c r="B43" i="15"/>
  <c r="B42" i="15"/>
  <c r="B36" i="15"/>
  <c r="D35" i="15"/>
  <c r="B35" i="15"/>
  <c r="D34" i="15"/>
  <c r="B34" i="15"/>
  <c r="D33" i="15"/>
  <c r="B33" i="15"/>
  <c r="B31" i="15"/>
  <c r="B30" i="15"/>
  <c r="H29" i="15"/>
  <c r="G19" i="15"/>
  <c r="D24" i="15"/>
  <c r="G29" i="15"/>
  <c r="F30" i="15"/>
  <c r="G30" i="15"/>
  <c r="F31" i="15"/>
  <c r="A22" i="15"/>
  <c r="B22" i="15"/>
  <c r="A21" i="15"/>
  <c r="B20" i="15"/>
  <c r="C17" i="15"/>
  <c r="G16" i="15"/>
  <c r="E16" i="15"/>
  <c r="C16" i="15"/>
  <c r="H15" i="15"/>
  <c r="G15" i="15"/>
  <c r="G14" i="15"/>
  <c r="H8" i="14"/>
  <c r="B14" i="15"/>
  <c r="G11" i="15"/>
  <c r="C11" i="15"/>
  <c r="D12" i="15"/>
  <c r="G12" i="15"/>
  <c r="E7" i="15"/>
  <c r="C8" i="15" a="1"/>
  <c r="C8" i="15"/>
  <c r="C7" i="15"/>
  <c r="G39" i="15"/>
  <c r="G38" i="15"/>
  <c r="G37" i="15"/>
  <c r="F33" i="15"/>
  <c r="H31" i="15"/>
  <c r="H30" i="15"/>
  <c r="A30" i="15"/>
  <c r="H28" i="15"/>
  <c r="H27" i="15"/>
  <c r="H26" i="15"/>
  <c r="H25" i="15"/>
  <c r="H24" i="15"/>
  <c r="B24" i="15"/>
  <c r="H23" i="15"/>
  <c r="H22" i="15"/>
  <c r="H21" i="15"/>
  <c r="H20" i="15"/>
  <c r="H19" i="15"/>
  <c r="H12" i="14"/>
  <c r="H19" i="12"/>
  <c r="F20" i="12"/>
  <c r="D20" i="12"/>
  <c r="A20" i="12"/>
  <c r="B22" i="12"/>
  <c r="F32" i="12"/>
  <c r="H32" i="12"/>
  <c r="F29" i="12"/>
  <c r="H29" i="12" s="1"/>
  <c r="H22" i="12"/>
  <c r="H21" i="12"/>
  <c r="F31" i="12"/>
  <c r="A31" i="12" s="1"/>
  <c r="H31" i="12"/>
  <c r="G12" i="12"/>
  <c r="H31" i="11"/>
  <c r="G43" i="12" s="1"/>
  <c r="D34" i="12"/>
  <c r="F35" i="12"/>
  <c r="G35" i="12" s="1"/>
  <c r="B35" i="12"/>
  <c r="D35" i="12"/>
  <c r="C8" i="12"/>
  <c r="H15" i="11"/>
  <c r="G14" i="12"/>
  <c r="B43" i="12"/>
  <c r="B20" i="12"/>
  <c r="B34" i="12"/>
  <c r="B33" i="12"/>
  <c r="B28" i="12"/>
  <c r="B23" i="12"/>
  <c r="B25" i="12"/>
  <c r="G11" i="12"/>
  <c r="D2" i="7" s="1"/>
  <c r="H8" i="11"/>
  <c r="B14" i="12"/>
  <c r="A21" i="12"/>
  <c r="F36" i="12"/>
  <c r="A36" i="12"/>
  <c r="D45" i="12"/>
  <c r="F17" i="12"/>
  <c r="H16" i="12"/>
  <c r="D16" i="12"/>
  <c r="B36" i="12"/>
  <c r="F43" i="12"/>
  <c r="F42" i="12"/>
  <c r="F41" i="12"/>
  <c r="F40" i="12"/>
  <c r="F39" i="12"/>
  <c r="G39" i="12" s="1"/>
  <c r="F38" i="12"/>
  <c r="G38" i="12" s="1"/>
  <c r="F37" i="12"/>
  <c r="G37" i="12"/>
  <c r="F34" i="12"/>
  <c r="G34" i="12" s="1"/>
  <c r="F33" i="12"/>
  <c r="B31" i="12"/>
  <c r="H30" i="12"/>
  <c r="F25" i="12"/>
  <c r="H25" i="12" s="1"/>
  <c r="B16" i="12"/>
  <c r="A28" i="12" s="1"/>
  <c r="D43" i="12"/>
  <c r="B42" i="12"/>
  <c r="B41" i="12"/>
  <c r="B40" i="12"/>
  <c r="B39" i="12"/>
  <c r="B38" i="12"/>
  <c r="B37" i="12"/>
  <c r="B32" i="12"/>
  <c r="B30" i="12"/>
  <c r="B29" i="12"/>
  <c r="D25" i="12"/>
  <c r="F26" i="12" s="1"/>
  <c r="H15" i="12"/>
  <c r="C11" i="12"/>
  <c r="E7" i="12"/>
  <c r="C7" i="12"/>
  <c r="C3" i="7"/>
  <c r="C6" i="7" s="1"/>
  <c r="H27" i="12"/>
  <c r="H24" i="12"/>
  <c r="G19" i="12"/>
  <c r="G20" i="12" s="1"/>
  <c r="G21" i="12" s="1"/>
  <c r="G22" i="12" s="1"/>
  <c r="G24" i="12" s="1"/>
  <c r="G25" i="12" s="1"/>
  <c r="G16" i="11"/>
  <c r="G15" i="12"/>
  <c r="H14" i="11"/>
  <c r="H12" i="11"/>
  <c r="D33" i="12"/>
  <c r="G31" i="15"/>
  <c r="A22" i="12" a="1"/>
  <c r="A22" i="12" s="1"/>
  <c r="C33" i="7" s="1"/>
  <c r="F3" i="7"/>
  <c r="F5" i="7" s="1"/>
  <c r="F7" i="7"/>
  <c r="F27" i="7"/>
  <c r="G23" i="12"/>
  <c r="G28" i="12"/>
  <c r="H23" i="12"/>
  <c r="H28" i="12"/>
  <c r="G29" i="12"/>
  <c r="C10" i="7"/>
  <c r="H20" i="12"/>
  <c r="A29" i="12"/>
  <c r="H26" i="12" l="1"/>
  <c r="G26" i="12"/>
  <c r="G27" i="12" s="1"/>
  <c r="G30" i="12" s="1"/>
  <c r="G31" i="12" s="1"/>
  <c r="G32" i="12" s="1"/>
  <c r="F28" i="7"/>
  <c r="F6" i="7"/>
  <c r="F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<sst xmlns="http://schemas.openxmlformats.org/spreadsheetml/2006/main" count="469" uniqueCount="249">
  <si>
    <r>
      <t xml:space="preserve">Production Sheet </t>
    </r>
    <r>
      <rPr>
        <b/>
        <u/>
        <sz val="22"/>
        <color rgb="FF00FF00"/>
        <rFont val="Brush Script MT"/>
        <family val="4"/>
      </rPr>
      <t>UB Series</t>
    </r>
  </si>
  <si>
    <t>3X2</t>
  </si>
  <si>
    <t>3X3</t>
  </si>
  <si>
    <t>NONE</t>
  </si>
  <si>
    <t>4X3</t>
  </si>
  <si>
    <t>5/16" Cable</t>
  </si>
  <si>
    <t>500'</t>
  </si>
  <si>
    <t xml:space="preserve">Customer - </t>
  </si>
  <si>
    <t>C. Willis</t>
  </si>
  <si>
    <t>Breakout Cylinder</t>
  </si>
  <si>
    <t>6X2</t>
  </si>
  <si>
    <t>3/8" Cable</t>
  </si>
  <si>
    <t>600'</t>
  </si>
  <si>
    <t>Serial # -</t>
  </si>
  <si>
    <t>9X3H042021-15</t>
  </si>
  <si>
    <t>AUX Hydraulics</t>
  </si>
  <si>
    <t>6X3</t>
  </si>
  <si>
    <t>700'</t>
  </si>
  <si>
    <t>Model-</t>
  </si>
  <si>
    <t>9X3</t>
  </si>
  <si>
    <t>HYBRID</t>
  </si>
  <si>
    <t>Winch #</t>
  </si>
  <si>
    <t>Wire Winder</t>
  </si>
  <si>
    <t>7X3</t>
  </si>
  <si>
    <t>800'</t>
  </si>
  <si>
    <t>Truck-</t>
  </si>
  <si>
    <t>Regular</t>
  </si>
  <si>
    <t>Ford</t>
  </si>
  <si>
    <t>VIN</t>
  </si>
  <si>
    <t>TBD</t>
  </si>
  <si>
    <t>Side Gate</t>
  </si>
  <si>
    <t>900'</t>
  </si>
  <si>
    <t>Truck Body-</t>
  </si>
  <si>
    <t>11' Flatbed</t>
  </si>
  <si>
    <t>Color</t>
  </si>
  <si>
    <t>GRY</t>
  </si>
  <si>
    <t>Wire Spool Holder</t>
  </si>
  <si>
    <t>1000'</t>
  </si>
  <si>
    <t>Drive Side-</t>
  </si>
  <si>
    <t>Half Utility</t>
  </si>
  <si>
    <t>RED</t>
  </si>
  <si>
    <t>Line-X</t>
  </si>
  <si>
    <t>Chevy</t>
  </si>
  <si>
    <t>1100'</t>
  </si>
  <si>
    <t>Pass Side-</t>
  </si>
  <si>
    <t>Full Utility</t>
  </si>
  <si>
    <t>Cathead</t>
  </si>
  <si>
    <t>Extended</t>
  </si>
  <si>
    <t>1200'</t>
  </si>
  <si>
    <t>Basic Pipe Rack</t>
  </si>
  <si>
    <t>ALUM</t>
  </si>
  <si>
    <t>Sand Line Counter</t>
  </si>
  <si>
    <t>Crew</t>
  </si>
  <si>
    <t>Ram</t>
  </si>
  <si>
    <t>1300'</t>
  </si>
  <si>
    <t>Vise Holder</t>
  </si>
  <si>
    <t>1400'</t>
  </si>
  <si>
    <t>Sand Line-</t>
  </si>
  <si>
    <t>3500 Pound</t>
  </si>
  <si>
    <t>Basic Black/White</t>
  </si>
  <si>
    <t>1500'</t>
  </si>
  <si>
    <t>Auto Oil Cooler</t>
  </si>
  <si>
    <t>2-Part Block</t>
  </si>
  <si>
    <t>Custom</t>
  </si>
  <si>
    <t>Outrigger-</t>
  </si>
  <si>
    <t>Front</t>
  </si>
  <si>
    <t>Mast Height</t>
  </si>
  <si>
    <t>48'</t>
  </si>
  <si>
    <t>3-Part Block</t>
  </si>
  <si>
    <t>40'</t>
  </si>
  <si>
    <t>Electric Over Hydraulic Upgrade</t>
  </si>
  <si>
    <t>9' Flatbed</t>
  </si>
  <si>
    <t>Hook-</t>
  </si>
  <si>
    <t>5-S-6</t>
  </si>
  <si>
    <t>Colors</t>
  </si>
  <si>
    <t>9' ALU SB</t>
  </si>
  <si>
    <t>Paint-</t>
  </si>
  <si>
    <t>N/A</t>
  </si>
  <si>
    <t>9' ALU TT SB</t>
  </si>
  <si>
    <t>3T Basic</t>
  </si>
  <si>
    <t>3-S-6</t>
  </si>
  <si>
    <t>WHT</t>
  </si>
  <si>
    <t>11' Standard SB</t>
  </si>
  <si>
    <t>5T Basic</t>
  </si>
  <si>
    <t>BLK</t>
  </si>
  <si>
    <t>11' Tip-Top SB</t>
  </si>
  <si>
    <t>11' ALU SB</t>
  </si>
  <si>
    <t>BLU</t>
  </si>
  <si>
    <t>11' ALU TT SB</t>
  </si>
  <si>
    <t>GRN</t>
  </si>
  <si>
    <t>ORA</t>
  </si>
  <si>
    <t>PTO Driven</t>
  </si>
  <si>
    <t>Air Compressor- 17 cfm</t>
  </si>
  <si>
    <t>Getec 300-10 Welder/Generator</t>
  </si>
  <si>
    <t>Hyd Pipe Rack</t>
  </si>
  <si>
    <t>Under Carriage- Drive Side 2.5' Box</t>
  </si>
  <si>
    <t>Drive Side Box</t>
  </si>
  <si>
    <t>Under Carriage-</t>
  </si>
  <si>
    <t>Drive &amp; Pass Box</t>
  </si>
  <si>
    <t>Pass Side Box</t>
  </si>
  <si>
    <t>1000 Pound</t>
  </si>
  <si>
    <t>Tool Cage</t>
  </si>
  <si>
    <t>1500 Pound</t>
  </si>
  <si>
    <t>2500 Pound</t>
  </si>
  <si>
    <t>TDH Decal Color</t>
  </si>
  <si>
    <t>Cust. Decal Color</t>
  </si>
  <si>
    <t>Color Code</t>
  </si>
  <si>
    <t>Dual Behind Cab</t>
  </si>
  <si>
    <t>Notes-</t>
  </si>
  <si>
    <r>
      <t xml:space="preserve">Production Sheet </t>
    </r>
    <r>
      <rPr>
        <b/>
        <u/>
        <sz val="16"/>
        <color rgb="FF92D050"/>
        <rFont val="Brush Script MT"/>
        <family val="4"/>
      </rPr>
      <t>UB Series</t>
    </r>
  </si>
  <si>
    <t>Truck Cab:</t>
  </si>
  <si>
    <t>VIN:</t>
  </si>
  <si>
    <t>Unit:</t>
  </si>
  <si>
    <t>Diesel</t>
  </si>
  <si>
    <t>Model YR:</t>
  </si>
  <si>
    <t>Date Start</t>
  </si>
  <si>
    <t>Date to Finish</t>
  </si>
  <si>
    <t>Customer-</t>
  </si>
  <si>
    <t>Control System-</t>
  </si>
  <si>
    <t>PTO SN:</t>
  </si>
  <si>
    <t>Main Winch:</t>
  </si>
  <si>
    <t>Serial #:</t>
  </si>
  <si>
    <t>Sand Winch:</t>
  </si>
  <si>
    <t>Motor SN:</t>
  </si>
  <si>
    <t>Frame</t>
  </si>
  <si>
    <t>Mast</t>
  </si>
  <si>
    <t>NOTES</t>
  </si>
  <si>
    <t>Pipe Racks</t>
  </si>
  <si>
    <t>Filter</t>
  </si>
  <si>
    <t xml:space="preserve">Shark Grey Metallic </t>
  </si>
  <si>
    <t>Code</t>
  </si>
  <si>
    <t>Motor/Cyl</t>
  </si>
  <si>
    <t>Options</t>
  </si>
  <si>
    <t>Valve Bank</t>
  </si>
  <si>
    <t>Spool</t>
  </si>
  <si>
    <t>Checked By</t>
  </si>
  <si>
    <t>Main Line-</t>
  </si>
  <si>
    <t>YES</t>
  </si>
  <si>
    <t>Mast -</t>
  </si>
  <si>
    <t>Raise &amp; Lower</t>
  </si>
  <si>
    <t>Extension</t>
  </si>
  <si>
    <t>Right Rear</t>
  </si>
  <si>
    <t>Additional Outrigger</t>
  </si>
  <si>
    <t>Left Rear</t>
  </si>
  <si>
    <t>Paint Color</t>
  </si>
  <si>
    <t>Mast Extension</t>
  </si>
  <si>
    <t>Truck Wrap</t>
  </si>
  <si>
    <t>Pipe Racks = 16"W x 10"T with 6" divider down middle entire 20'. Torch tank holder(half box)</t>
  </si>
  <si>
    <t>Red outer mast, grey inner extension. Grey winches and outriggers.</t>
  </si>
  <si>
    <t>Race Red</t>
  </si>
  <si>
    <t>Ford F550 Hydraulic Hose Cut Length</t>
  </si>
  <si>
    <t>PTO Pump to Hydraulic Tank</t>
  </si>
  <si>
    <t>64"</t>
  </si>
  <si>
    <t>3/8" Mast T to Mast Cylinder</t>
  </si>
  <si>
    <t>87"</t>
  </si>
  <si>
    <t>1 1/4" Hose - SXS</t>
  </si>
  <si>
    <t>96"</t>
  </si>
  <si>
    <t>PTO Pump to Bank</t>
  </si>
  <si>
    <t>214"</t>
  </si>
  <si>
    <t>220"</t>
  </si>
  <si>
    <t>1" Hose - SXS</t>
  </si>
  <si>
    <t>238"</t>
  </si>
  <si>
    <t>3/8" Bank to Left Outrigger</t>
  </si>
  <si>
    <t>3/8" Bank to Front Outrigger</t>
  </si>
  <si>
    <t>65" - SX90</t>
  </si>
  <si>
    <t>302" - SX90</t>
  </si>
  <si>
    <t>1" Filter to Fan - 183" - SXS</t>
  </si>
  <si>
    <t>1" Fan to Tank - 11.25" - SXS</t>
  </si>
  <si>
    <t>324" - SX90</t>
  </si>
  <si>
    <t>3/8" Bank to Right Outrigger</t>
  </si>
  <si>
    <t>1/2" Bank to ML</t>
  </si>
  <si>
    <t>334" - SX90</t>
  </si>
  <si>
    <t>152" - SXS</t>
  </si>
  <si>
    <t>154" - SX90</t>
  </si>
  <si>
    <t>3/8" Bank to Drive Pipe Rack</t>
  </si>
  <si>
    <t>1/2" Bank to SL</t>
  </si>
  <si>
    <t>48" - SXS</t>
  </si>
  <si>
    <t>172" - SX90</t>
  </si>
  <si>
    <t>59" - SXS</t>
  </si>
  <si>
    <t>174" - SX90</t>
  </si>
  <si>
    <t>3/8" Bank to Pass Pipe Rack</t>
  </si>
  <si>
    <t>4x3</t>
  </si>
  <si>
    <t>1/2" Block to Bank</t>
  </si>
  <si>
    <t>7x3</t>
  </si>
  <si>
    <t>32" - SXS</t>
  </si>
  <si>
    <t>9x3</t>
  </si>
  <si>
    <t>1/2" Bank to Mast T</t>
  </si>
  <si>
    <t>162" - SX90</t>
  </si>
  <si>
    <t>3/8" Bank to Dual Behind Cab</t>
  </si>
  <si>
    <t>1/2" Bank to Extension</t>
  </si>
  <si>
    <t>186" - 90X45 Driver</t>
  </si>
  <si>
    <t>156 IN - SXS</t>
  </si>
  <si>
    <t>204" - 90X45 Passenger</t>
  </si>
  <si>
    <t>1/2" Bank to Aux</t>
  </si>
  <si>
    <t>1/2" Air Compressor</t>
  </si>
  <si>
    <t>68" - SX45</t>
  </si>
  <si>
    <t>78" - SXS</t>
  </si>
  <si>
    <t>42" - SXS</t>
  </si>
  <si>
    <t>1/2" Bank to Generator by Tank</t>
  </si>
  <si>
    <t>135" SXS</t>
  </si>
  <si>
    <t>3/8" Bank to Wire Winder</t>
  </si>
  <si>
    <t>x2 Bank to block 46" SX90</t>
  </si>
  <si>
    <t>x2 Bank to Motor 140" SXS</t>
  </si>
  <si>
    <t>Case Drain 155" SX90</t>
  </si>
  <si>
    <r>
      <t xml:space="preserve">Production Sheet </t>
    </r>
    <r>
      <rPr>
        <b/>
        <u/>
        <sz val="22"/>
        <color rgb="FF00FF00"/>
        <rFont val="Brush Script MT"/>
        <family val="4"/>
      </rPr>
      <t>LG. Units</t>
    </r>
  </si>
  <si>
    <t>15X3</t>
  </si>
  <si>
    <t>20X3</t>
  </si>
  <si>
    <t>25X4</t>
  </si>
  <si>
    <t>30X4</t>
  </si>
  <si>
    <t>1/2" Cable</t>
  </si>
  <si>
    <t>35X4</t>
  </si>
  <si>
    <t xml:space="preserve">Spinner </t>
  </si>
  <si>
    <t>Kenworth</t>
  </si>
  <si>
    <t>T800</t>
  </si>
  <si>
    <t>18' Flatbed</t>
  </si>
  <si>
    <t>1600'</t>
  </si>
  <si>
    <t>Peterbilt</t>
  </si>
  <si>
    <t>1800'</t>
  </si>
  <si>
    <t>Freightliner</t>
  </si>
  <si>
    <t>2000'</t>
  </si>
  <si>
    <t>2200'</t>
  </si>
  <si>
    <t>2400'</t>
  </si>
  <si>
    <t>2600'</t>
  </si>
  <si>
    <t>2800'</t>
  </si>
  <si>
    <t>15-S-6</t>
  </si>
  <si>
    <t>4-Part Block</t>
  </si>
  <si>
    <t>3000'</t>
  </si>
  <si>
    <t>13' Flatbed</t>
  </si>
  <si>
    <t>15' Flatbed</t>
  </si>
  <si>
    <t>52'</t>
  </si>
  <si>
    <t>22' Flatbed</t>
  </si>
  <si>
    <t>55'</t>
  </si>
  <si>
    <t>58'</t>
  </si>
  <si>
    <t>10-S-6</t>
  </si>
  <si>
    <t>Additional Layback to 18'</t>
  </si>
  <si>
    <t>25-S-6</t>
  </si>
  <si>
    <t>Line-X Bed</t>
  </si>
  <si>
    <t>Getec HM1400 Generator</t>
  </si>
  <si>
    <t>25 TON 2-part Block</t>
  </si>
  <si>
    <t>4.5' Locking Tool Box</t>
  </si>
  <si>
    <t>5000 Pound</t>
  </si>
  <si>
    <t>2.5' Locking Tool Box</t>
  </si>
  <si>
    <t>8000 Pound</t>
  </si>
  <si>
    <t>Layout Line/Swing Arm</t>
  </si>
  <si>
    <r>
      <t xml:space="preserve">Production Sheet </t>
    </r>
    <r>
      <rPr>
        <b/>
        <u/>
        <sz val="16"/>
        <color rgb="FF92D050"/>
        <rFont val="Brush Script MT"/>
        <family val="4"/>
      </rPr>
      <t>LG. Units</t>
    </r>
  </si>
  <si>
    <t>Truck Make:</t>
  </si>
  <si>
    <t>Model:</t>
  </si>
  <si>
    <t>Separate Circuit-</t>
  </si>
  <si>
    <t>Customer Decal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</si>
</sst>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6"/>
      <color rgb="FF92D050"/>
      <name val="Calibri"/>
      <family val="2"/>
      <scheme val="minor"/>
    </font>
    <font>
      <sz val="11"/>
      <color rgb="FF00FF0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name val="Calibri"/>
      <family val="2"/>
      <scheme val="minor"/>
    </font>
    <font>
      <b/>
      <u/>
      <sz val="36"/>
      <color rgb="FF00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22"/>
      <color rgb="FF00FF00"/>
      <name val="Brush Script MT"/>
      <family val="4"/>
    </font>
    <font>
      <b/>
      <u/>
      <sz val="22"/>
      <color rgb="FF92D050"/>
      <name val="Calibri"/>
      <family val="2"/>
      <scheme val="minor"/>
    </font>
    <font>
      <b/>
      <u/>
      <sz val="16"/>
      <color rgb="FF92D050"/>
      <name val="Brush Script MT"/>
      <family val="4"/>
    </font>
    <font>
      <b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3" tint="0.59996337778862885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5">
    <xf numFmtId="0" fontId="0" fillId="0" borderId="0" xfId="0"/>
    <xf numFmtId="44" fontId="0" fillId="0" borderId="0" xfId="1" applyFont="1"/>
    <xf numFmtId="0" fontId="3" fillId="0" borderId="0" xfId="0" applyFont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6" fillId="0" borderId="0" xfId="0" applyFont="1" applyAlignment="1" applyProtection="1">
      <alignment vertical="top"/>
      <protection locked="0"/>
    </xf>
    <xf numFmtId="0" fontId="10" fillId="0" borderId="1" xfId="0" applyFont="1" applyBorder="1"/>
    <xf numFmtId="0" fontId="10" fillId="0" borderId="7" xfId="0" applyFont="1" applyBorder="1" applyAlignment="1">
      <alignment horizontal="right"/>
    </xf>
    <xf numFmtId="0" fontId="0" fillId="0" borderId="7" xfId="1" applyNumberFormat="1" applyFont="1" applyBorder="1"/>
    <xf numFmtId="0" fontId="10" fillId="0" borderId="0" xfId="0" applyFont="1"/>
    <xf numFmtId="0" fontId="10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1" applyNumberFormat="1" applyFont="1"/>
    <xf numFmtId="0" fontId="12" fillId="0" borderId="0" xfId="0" applyFont="1"/>
    <xf numFmtId="0" fontId="3" fillId="0" borderId="0" xfId="0" applyFont="1" applyProtection="1">
      <protection locked="0"/>
    </xf>
    <xf numFmtId="44" fontId="3" fillId="0" borderId="0" xfId="1" applyFont="1" applyProtection="1">
      <protection locked="0"/>
    </xf>
    <xf numFmtId="0" fontId="5" fillId="0" borderId="0" xfId="0" applyFont="1" applyProtection="1">
      <protection locked="0"/>
    </xf>
    <xf numFmtId="44" fontId="5" fillId="0" borderId="0" xfId="1" applyFont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44" fontId="0" fillId="0" borderId="0" xfId="1" applyFont="1" applyProtection="1">
      <protection locked="0"/>
    </xf>
    <xf numFmtId="0" fontId="6" fillId="0" borderId="0" xfId="0" applyFont="1" applyAlignment="1" applyProtection="1">
      <alignment horizontal="right" vertical="top"/>
      <protection locked="0"/>
    </xf>
    <xf numFmtId="0" fontId="13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0" fillId="0" borderId="2" xfId="0" applyBorder="1" applyAlignment="1" applyProtection="1">
      <alignment horizontal="left"/>
      <protection hidden="1"/>
    </xf>
    <xf numFmtId="0" fontId="5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11" xfId="0" applyBorder="1"/>
    <xf numFmtId="0" fontId="2" fillId="0" borderId="2" xfId="0" applyFont="1" applyBorder="1" applyProtection="1">
      <protection locked="0" hidden="1"/>
    </xf>
    <xf numFmtId="0" fontId="2" fillId="0" borderId="5" xfId="0" applyFont="1" applyBorder="1" applyProtection="1">
      <protection locked="0" hidden="1"/>
    </xf>
    <xf numFmtId="0" fontId="2" fillId="0" borderId="11" xfId="0" applyFont="1" applyBorder="1" applyProtection="1">
      <protection locked="0" hidden="1"/>
    </xf>
    <xf numFmtId="8" fontId="0" fillId="0" borderId="0" xfId="0" applyNumberFormat="1"/>
    <xf numFmtId="0" fontId="10" fillId="0" borderId="3" xfId="0" applyFont="1" applyBorder="1"/>
    <xf numFmtId="0" fontId="13" fillId="0" borderId="1" xfId="0" applyFont="1" applyBorder="1" applyAlignment="1">
      <alignment horizontal="right"/>
    </xf>
    <xf numFmtId="0" fontId="0" fillId="0" borderId="7" xfId="1" applyNumberFormat="1" applyFont="1" applyBorder="1" applyAlignment="1">
      <alignment horizontal="center"/>
    </xf>
    <xf numFmtId="0" fontId="12" fillId="0" borderId="7" xfId="0" applyFont="1" applyBorder="1" applyAlignment="1" applyProtection="1">
      <alignment horizontal="right"/>
      <protection locked="0" hidden="1"/>
    </xf>
    <xf numFmtId="0" fontId="12" fillId="0" borderId="7" xfId="0" applyFont="1" applyBorder="1" applyProtection="1">
      <protection locked="0" hidden="1"/>
    </xf>
    <xf numFmtId="0" fontId="12" fillId="0" borderId="12" xfId="0" applyFont="1" applyBorder="1" applyProtection="1">
      <protection locked="0" hidden="1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4" fontId="8" fillId="0" borderId="0" xfId="1" applyFont="1"/>
    <xf numFmtId="0" fontId="10" fillId="0" borderId="13" xfId="0" applyFont="1" applyBorder="1" applyAlignment="1">
      <alignment horizontal="left"/>
    </xf>
    <xf numFmtId="0" fontId="12" fillId="0" borderId="13" xfId="1" applyNumberFormat="1" applyFont="1" applyBorder="1" applyProtection="1">
      <protection hidden="1"/>
    </xf>
    <xf numFmtId="0" fontId="19" fillId="2" borderId="14" xfId="0" applyFont="1" applyFill="1" applyBorder="1" applyAlignment="1">
      <alignment horizontal="left"/>
    </xf>
    <xf numFmtId="0" fontId="10" fillId="0" borderId="7" xfId="1" applyNumberFormat="1" applyFont="1" applyBorder="1" applyAlignment="1">
      <alignment horizontal="center"/>
    </xf>
    <xf numFmtId="0" fontId="10" fillId="3" borderId="7" xfId="1" applyNumberFormat="1" applyFont="1" applyFill="1" applyBorder="1" applyAlignment="1">
      <alignment horizontal="center"/>
    </xf>
    <xf numFmtId="0" fontId="2" fillId="3" borderId="0" xfId="0" applyFont="1" applyFill="1"/>
    <xf numFmtId="0" fontId="2" fillId="3" borderId="7" xfId="1" applyNumberFormat="1" applyFont="1" applyFill="1" applyBorder="1" applyAlignment="1">
      <alignment horizontal="center"/>
    </xf>
    <xf numFmtId="0" fontId="10" fillId="0" borderId="7" xfId="0" applyFont="1" applyBorder="1"/>
    <xf numFmtId="0" fontId="0" fillId="0" borderId="7" xfId="0" applyBorder="1"/>
    <xf numFmtId="0" fontId="17" fillId="0" borderId="7" xfId="0" applyFont="1" applyBorder="1"/>
    <xf numFmtId="0" fontId="11" fillId="0" borderId="0" xfId="0" applyFont="1"/>
    <xf numFmtId="0" fontId="21" fillId="0" borderId="0" xfId="0" applyFont="1"/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24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26" fillId="0" borderId="13" xfId="1" applyNumberFormat="1" applyFont="1" applyBorder="1" applyProtection="1">
      <protection hidden="1"/>
    </xf>
    <xf numFmtId="0" fontId="0" fillId="0" borderId="5" xfId="0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right"/>
      <protection locked="0"/>
    </xf>
    <xf numFmtId="14" fontId="7" fillId="0" borderId="15" xfId="0" applyNumberFormat="1" applyFont="1" applyBorder="1"/>
    <xf numFmtId="0" fontId="16" fillId="0" borderId="17" xfId="0" applyFont="1" applyBorder="1" applyAlignment="1" applyProtection="1">
      <alignment horizontal="right"/>
      <protection locked="0"/>
    </xf>
    <xf numFmtId="0" fontId="12" fillId="0" borderId="22" xfId="1" applyNumberFormat="1" applyFont="1" applyBorder="1" applyProtection="1">
      <protection hidden="1"/>
    </xf>
    <xf numFmtId="0" fontId="10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10" fillId="0" borderId="24" xfId="0" applyFont="1" applyBorder="1" applyAlignment="1">
      <alignment horizontal="center"/>
    </xf>
    <xf numFmtId="0" fontId="0" fillId="0" borderId="21" xfId="1" applyNumberFormat="1" applyFont="1" applyBorder="1" applyAlignment="1">
      <alignment horizontal="center"/>
    </xf>
    <xf numFmtId="0" fontId="0" fillId="0" borderId="21" xfId="1" applyNumberFormat="1" applyFont="1" applyBorder="1"/>
    <xf numFmtId="0" fontId="0" fillId="0" borderId="11" xfId="0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12" fillId="0" borderId="21" xfId="0" applyFont="1" applyBorder="1" applyAlignment="1" applyProtection="1">
      <alignment horizontal="right"/>
      <protection locked="0" hidden="1"/>
    </xf>
    <xf numFmtId="0" fontId="2" fillId="3" borderId="0" xfId="1" applyNumberFormat="1" applyFont="1" applyFill="1"/>
    <xf numFmtId="0" fontId="2" fillId="3" borderId="0" xfId="1" applyNumberFormat="1" applyFont="1" applyFill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28" xfId="1" applyNumberFormat="1" applyFont="1" applyBorder="1" applyAlignment="1">
      <alignment horizontal="center"/>
    </xf>
    <xf numFmtId="0" fontId="10" fillId="0" borderId="28" xfId="1" applyNumberFormat="1" applyFont="1" applyBorder="1" applyAlignment="1">
      <alignment horizontal="center"/>
    </xf>
    <xf numFmtId="0" fontId="0" fillId="0" borderId="29" xfId="1" applyNumberFormat="1" applyFont="1" applyBorder="1"/>
    <xf numFmtId="0" fontId="13" fillId="2" borderId="30" xfId="0" applyFont="1" applyFill="1" applyBorder="1" applyAlignment="1">
      <alignment vertical="center"/>
    </xf>
    <xf numFmtId="0" fontId="0" fillId="0" borderId="31" xfId="1" applyNumberFormat="1" applyFont="1" applyBorder="1"/>
    <xf numFmtId="0" fontId="0" fillId="3" borderId="31" xfId="1" applyNumberFormat="1" applyFont="1" applyFill="1" applyBorder="1"/>
    <xf numFmtId="0" fontId="0" fillId="0" borderId="32" xfId="1" applyNumberFormat="1" applyFont="1" applyBorder="1"/>
    <xf numFmtId="0" fontId="10" fillId="0" borderId="0" xfId="0" applyFont="1" applyAlignment="1">
      <alignment horizontal="right"/>
    </xf>
    <xf numFmtId="44" fontId="6" fillId="0" borderId="0" xfId="1" applyFont="1" applyAlignment="1">
      <alignment horizontal="center"/>
    </xf>
    <xf numFmtId="0" fontId="10" fillId="0" borderId="16" xfId="0" applyFont="1" applyBorder="1" applyAlignment="1" applyProtection="1">
      <alignment horizontal="right"/>
      <protection locked="0"/>
    </xf>
    <xf numFmtId="0" fontId="12" fillId="0" borderId="0" xfId="0" applyFont="1" applyProtection="1">
      <protection locked="0"/>
    </xf>
    <xf numFmtId="44" fontId="10" fillId="0" borderId="16" xfId="1" applyFont="1" applyBorder="1" applyProtection="1">
      <protection locked="0"/>
    </xf>
    <xf numFmtId="0" fontId="12" fillId="0" borderId="36" xfId="0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2" fillId="0" borderId="0" xfId="0" applyFont="1" applyAlignment="1" applyProtection="1">
      <alignment vertical="center"/>
      <protection locked="0"/>
    </xf>
    <xf numFmtId="44" fontId="12" fillId="0" borderId="0" xfId="1" applyFont="1" applyAlignment="1" applyProtection="1">
      <alignment horizontal="center"/>
      <protection locked="0"/>
    </xf>
    <xf numFmtId="0" fontId="3" fillId="0" borderId="7" xfId="0" applyFont="1" applyBorder="1" applyAlignment="1">
      <alignment horizontal="center"/>
    </xf>
    <xf numFmtId="0" fontId="0" fillId="0" borderId="16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0" fontId="26" fillId="0" borderId="7" xfId="0" applyFont="1" applyBorder="1" applyAlignment="1" applyProtection="1">
      <alignment horizontal="right"/>
      <protection locked="0" hidden="1"/>
    </xf>
    <xf numFmtId="0" fontId="26" fillId="0" borderId="7" xfId="0" applyFont="1" applyBorder="1" applyAlignment="1" applyProtection="1">
      <alignment horizontal="right"/>
      <protection hidden="1"/>
    </xf>
    <xf numFmtId="0" fontId="26" fillId="2" borderId="3" xfId="0" applyFont="1" applyFill="1" applyBorder="1" applyAlignment="1">
      <alignment horizontal="center"/>
    </xf>
    <xf numFmtId="0" fontId="10" fillId="0" borderId="7" xfId="1" applyNumberFormat="1" applyFont="1" applyBorder="1" applyAlignment="1"/>
    <xf numFmtId="0" fontId="10" fillId="0" borderId="1" xfId="0" applyFont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27" fillId="3" borderId="0" xfId="0" applyFont="1" applyFill="1" applyAlignment="1">
      <alignment horizontal="center"/>
    </xf>
    <xf numFmtId="0" fontId="26" fillId="0" borderId="25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1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10" fillId="0" borderId="7" xfId="0" applyFont="1" applyBorder="1" applyAlignment="1" applyProtection="1">
      <alignment vertical="center"/>
      <protection locked="0"/>
    </xf>
    <xf numFmtId="0" fontId="12" fillId="2" borderId="39" xfId="0" applyFont="1" applyFill="1" applyBorder="1" applyAlignment="1">
      <alignment horizontal="left"/>
    </xf>
    <xf numFmtId="0" fontId="10" fillId="0" borderId="38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8" xfId="0" applyFont="1" applyBorder="1"/>
    <xf numFmtId="0" fontId="10" fillId="0" borderId="17" xfId="0" applyFont="1" applyBorder="1"/>
    <xf numFmtId="0" fontId="10" fillId="0" borderId="18" xfId="1" applyNumberFormat="1" applyFont="1" applyBorder="1" applyAlignment="1"/>
    <xf numFmtId="0" fontId="13" fillId="2" borderId="0" xfId="0" applyFont="1" applyFill="1" applyAlignment="1">
      <alignment vertical="center"/>
    </xf>
    <xf numFmtId="0" fontId="13" fillId="2" borderId="23" xfId="0" applyFont="1" applyFill="1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1" xfId="0" applyBorder="1"/>
    <xf numFmtId="0" fontId="10" fillId="0" borderId="2" xfId="0" applyFont="1" applyBorder="1" applyAlignment="1">
      <alignment horizontal="center"/>
    </xf>
    <xf numFmtId="0" fontId="31" fillId="0" borderId="30" xfId="0" applyFont="1" applyBorder="1" applyAlignment="1">
      <alignment horizontal="center" vertical="center"/>
    </xf>
    <xf numFmtId="0" fontId="10" fillId="0" borderId="0" xfId="1" quotePrefix="1" applyNumberFormat="1" applyFont="1" applyBorder="1" applyAlignment="1">
      <alignment horizontal="center" vertical="center"/>
    </xf>
    <xf numFmtId="44" fontId="18" fillId="0" borderId="0" xfId="1" applyFont="1" applyBorder="1" applyAlignment="1">
      <alignment horizontal="center" vertical="center"/>
    </xf>
    <xf numFmtId="44" fontId="18" fillId="0" borderId="0" xfId="1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2" fillId="0" borderId="0" xfId="0" applyFont="1"/>
    <xf numFmtId="0" fontId="10" fillId="0" borderId="6" xfId="0" applyFont="1" applyBorder="1"/>
    <xf numFmtId="0" fontId="10" fillId="0" borderId="8" xfId="1" applyNumberFormat="1" applyFont="1" applyBorder="1" applyAlignment="1">
      <alignment horizontal="right"/>
    </xf>
    <xf numFmtId="0" fontId="15" fillId="0" borderId="0" xfId="0" applyFont="1" applyAlignment="1" applyProtection="1">
      <alignment horizontal="right" vertical="top"/>
      <protection locked="0"/>
    </xf>
    <xf numFmtId="0" fontId="10" fillId="0" borderId="1" xfId="0" applyFont="1" applyBorder="1" applyAlignment="1">
      <alignment horizontal="right"/>
    </xf>
    <xf numFmtId="0" fontId="0" fillId="0" borderId="38" xfId="0" applyBorder="1" applyAlignment="1" applyProtection="1">
      <alignment horizontal="right"/>
      <protection locked="0"/>
    </xf>
    <xf numFmtId="0" fontId="0" fillId="0" borderId="5" xfId="0" applyBorder="1" applyProtection="1">
      <protection locked="0"/>
    </xf>
    <xf numFmtId="0" fontId="12" fillId="0" borderId="12" xfId="0" applyFont="1" applyBorder="1" applyAlignment="1" applyProtection="1">
      <alignment horizontal="right"/>
      <protection locked="0" hidden="1"/>
    </xf>
    <xf numFmtId="0" fontId="12" fillId="0" borderId="43" xfId="1" applyNumberFormat="1" applyFont="1" applyBorder="1" applyProtection="1">
      <protection hidden="1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left" vertical="top"/>
      <protection locked="0"/>
    </xf>
    <xf numFmtId="0" fontId="10" fillId="0" borderId="2" xfId="0" applyFont="1" applyBorder="1" applyAlignment="1" applyProtection="1">
      <alignment horizontal="left" vertical="top"/>
      <protection locked="0"/>
    </xf>
    <xf numFmtId="0" fontId="10" fillId="0" borderId="3" xfId="0" applyFont="1" applyBorder="1" applyAlignment="1" applyProtection="1">
      <alignment horizontal="left" vertical="top"/>
      <protection locked="0"/>
    </xf>
    <xf numFmtId="44" fontId="10" fillId="0" borderId="16" xfId="1" applyFont="1" applyBorder="1" applyAlignment="1" applyProtection="1">
      <alignment horizontal="center"/>
      <protection locked="0"/>
    </xf>
    <xf numFmtId="0" fontId="13" fillId="2" borderId="44" xfId="0" applyFont="1" applyFill="1" applyBorder="1" applyAlignment="1">
      <alignment vertical="center"/>
    </xf>
    <xf numFmtId="0" fontId="0" fillId="0" borderId="12" xfId="1" applyNumberFormat="1" applyFont="1" applyBorder="1" applyAlignment="1">
      <alignment horizontal="center"/>
    </xf>
    <xf numFmtId="0" fontId="0" fillId="0" borderId="12" xfId="1" applyNumberFormat="1" applyFont="1" applyBorder="1"/>
    <xf numFmtId="0" fontId="0" fillId="0" borderId="45" xfId="1" applyNumberFormat="1" applyFont="1" applyBorder="1"/>
    <xf numFmtId="0" fontId="10" fillId="0" borderId="3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7" xfId="0" applyFont="1" applyBorder="1" applyAlignment="1">
      <alignment horizontal="right"/>
    </xf>
    <xf numFmtId="0" fontId="10" fillId="0" borderId="7" xfId="0" applyFont="1" applyBorder="1" applyAlignment="1">
      <alignment horizontal="center"/>
    </xf>
    <xf numFmtId="0" fontId="10" fillId="0" borderId="8" xfId="1" applyNumberFormat="1" applyFont="1" applyBorder="1" applyAlignment="1"/>
    <xf numFmtId="0" fontId="10" fillId="0" borderId="47" xfId="0" applyFont="1" applyBorder="1"/>
    <xf numFmtId="0" fontId="32" fillId="0" borderId="46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0" fillId="0" borderId="3" xfId="0" applyBorder="1"/>
    <xf numFmtId="0" fontId="10" fillId="5" borderId="3" xfId="0" applyFont="1" applyFill="1" applyBorder="1" applyAlignment="1">
      <alignment horizontal="center"/>
    </xf>
    <xf numFmtId="0" fontId="33" fillId="5" borderId="2" xfId="0" applyFont="1" applyFill="1" applyBorder="1"/>
    <xf numFmtId="0" fontId="10" fillId="0" borderId="7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10" fillId="0" borderId="0" xfId="1" quotePrefix="1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35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top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23" fillId="0" borderId="6" xfId="0" applyFont="1" applyBorder="1" applyAlignment="1" applyProtection="1">
      <alignment horizontal="center"/>
      <protection locked="0"/>
    </xf>
    <xf numFmtId="0" fontId="23" fillId="0" borderId="18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 applyProtection="1">
      <alignment horizontal="center"/>
      <protection locked="0" hidden="1"/>
    </xf>
    <xf numFmtId="0" fontId="12" fillId="0" borderId="3" xfId="0" applyFont="1" applyBorder="1" applyAlignment="1" applyProtection="1">
      <alignment horizontal="center"/>
      <protection locked="0" hidden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24" xfId="0" applyBorder="1" applyAlignment="1">
      <alignment horizontal="left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14" fontId="14" fillId="0" borderId="2" xfId="0" applyNumberFormat="1" applyFont="1" applyBorder="1" applyAlignment="1">
      <alignment horizontal="center"/>
    </xf>
    <xf numFmtId="14" fontId="14" fillId="0" borderId="3" xfId="0" applyNumberFormat="1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14" fontId="14" fillId="0" borderId="1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3" fillId="0" borderId="3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21" fillId="0" borderId="0" xfId="0" applyFont="1" applyAlignment="1"/>
  </cellXfs>
  <cellStyles count="2">
    <cellStyle name="Currency" xfId="1" builtinId="4"/>
    <cellStyle name="Normal" xfId="0" builtinId="0"/>
  </cellStyles>
  <dxfs count="7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checked="Checked" fmlaLink="F15" noThreeD="1"/>
</file>

<file path=xl/ctrlProps/ctrlProp2.xml><?xml version="1.0" encoding="utf-8"?>
<formControlPr xmlns="http://schemas.microsoft.com/office/spreadsheetml/2009/9/main" objectType="CheckBox" checked="Checked" fmlaLink="F13" noThreeD="1"/>
</file>

<file path=xl/ctrlProps/ctrlProp3.xml><?xml version="1.0" encoding="utf-8"?>
<formControlPr xmlns="http://schemas.microsoft.com/office/spreadsheetml/2009/9/main" objectType="CheckBox" checked="Checked" fmlaLink="F14" noThreeD="1"/>
</file>

<file path=xl/ctrlProps/ctrlProp4.xml><?xml version="1.0" encoding="utf-8"?>
<formControlPr xmlns="http://schemas.microsoft.com/office/spreadsheetml/2009/9/main" objectType="CheckBox" checked="Checked" fmlaLink="F11" noThreeD="1"/>
</file>

<file path=xl/ctrlProps/ctrlProp5.xml><?xml version="1.0" encoding="utf-8"?>
<formControlPr xmlns="http://schemas.microsoft.com/office/spreadsheetml/2009/9/main" objectType="CheckBox" checked="Checked" fmlaLink="F12" noThreeD="1"/>
</file>

<file path=xl/ctrlProps/ctrlProp6.xml><?xml version="1.0" encoding="utf-8"?>
<formControlPr xmlns="http://schemas.microsoft.com/office/spreadsheetml/2009/9/main" objectType="CheckBox" checked="Checked" fmlaLink="F16" noThreeD="1"/>
</file>

<file path=xl/ctrlProps/ctrlProp7.xml><?xml version="1.0" encoding="utf-8"?>
<formControlPr xmlns="http://schemas.microsoft.com/office/spreadsheetml/2009/9/main" objectType="CheckBox" checked="Checked" fmlaLink="F25" noThreeD="1"/>
</file>

<file path=xl/ctrlProps/ctrlProp8.xml><?xml version="1.0" encoding="utf-8"?>
<formControlPr xmlns="http://schemas.microsoft.com/office/spreadsheetml/2009/9/main" objectType="CheckBox" checked="Checked" fmlaLink="F20" noThreeD="1"/>
</file>

<file path=xl/ctrlProps/ctrlProp9.xml><?xml version="1.0" encoding="utf-8"?>
<formControlPr xmlns="http://schemas.microsoft.com/office/spreadsheetml/2009/9/main" objectType="CheckBox" checked="Checked" fmlaLink="F17" noThreeD="1"/>
</file>

<file path=xl/ctrlProps/ctrlProp10.xml><?xml version="1.0" encoding="utf-8"?>
<formControlPr xmlns="http://schemas.microsoft.com/office/spreadsheetml/2009/9/main" objectType="CheckBox" checked="Checked" fmlaLink="F19" noThreeD="1"/>
</file>

<file path=xl/ctrlProps/ctrlProp11.xml><?xml version="1.0" encoding="utf-8"?>
<formControlPr xmlns="http://schemas.microsoft.com/office/spreadsheetml/2009/9/main" objectType="CheckBox" fmlaLink="$F$21" noThreeD="1"/>
</file>

<file path=xl/ctrlProps/ctrlProp12.xml><?xml version="1.0" encoding="utf-8"?>
<formControlPr xmlns="http://schemas.microsoft.com/office/spreadsheetml/2009/9/main" objectType="CheckBox" checked="Checked" fmlaLink="$F$22" noThreeD="1"/>
</file>

<file path=xl/ctrlProps/ctrlProp13.xml><?xml version="1.0" encoding="utf-8"?>
<formControlPr xmlns="http://schemas.microsoft.com/office/spreadsheetml/2009/9/main" objectType="CheckBox" checked="Checked" fmlaLink="$F$23" noThreeD="1"/>
</file>

<file path=xl/ctrlProps/ctrlProp14.xml><?xml version="1.0" encoding="utf-8"?>
<formControlPr xmlns="http://schemas.microsoft.com/office/spreadsheetml/2009/9/main" objectType="CheckBox" checked="Checked" fmlaLink="$F$24" noThreeD="1"/>
</file>

<file path=xl/ctrlProps/ctrlProp15.xml><?xml version="1.0" encoding="utf-8"?>
<formControlPr xmlns="http://schemas.microsoft.com/office/spreadsheetml/2009/9/main" objectType="CheckBox" checked="Checked" fmlaLink="$F$31" noThreeD="1"/>
</file>

<file path=xl/ctrlProps/ctrlProp16.xml><?xml version="1.0" encoding="utf-8"?>
<formControlPr xmlns="http://schemas.microsoft.com/office/spreadsheetml/2009/9/main" objectType="CheckBox" fmlaLink="$F$26" noThreeD="1"/>
</file>

<file path=xl/ctrlProps/ctrlProp17.xml><?xml version="1.0" encoding="utf-8"?>
<formControlPr xmlns="http://schemas.microsoft.com/office/spreadsheetml/2009/9/main" objectType="CheckBox" checked="Checked" fmlaLink="$F$18" noThreeD="1"/>
</file>

<file path=xl/ctrlProps/ctrlProp18.xml><?xml version="1.0" encoding="utf-8"?>
<formControlPr xmlns="http://schemas.microsoft.com/office/spreadsheetml/2009/9/main" objectType="CheckBox" checked="Checked" fmlaLink="$F$27" noThreeD="1"/>
</file>

<file path=xl/ctrlProps/ctrlProp19.xml><?xml version="1.0" encoding="utf-8"?>
<formControlPr xmlns="http://schemas.microsoft.com/office/spreadsheetml/2009/9/main" objectType="CheckBox" checked="Checked" fmlaLink="$F$30" noThreeD="1"/>
</file>

<file path=xl/ctrlProps/ctrlProp20.xml><?xml version="1.0" encoding="utf-8"?>
<formControlPr xmlns="http://schemas.microsoft.com/office/spreadsheetml/2009/9/main" objectType="CheckBox" checked="Checked" fmlaLink="$F$28" noThreeD="1"/>
</file>

<file path=xl/ctrlProps/ctrlProp21.xml><?xml version="1.0" encoding="utf-8"?>
<formControlPr xmlns="http://schemas.microsoft.com/office/spreadsheetml/2009/9/main" objectType="CheckBox" checked="Checked" fmlaLink="$F$29" noThreeD="1"/>
</file>

<file path=xl/ctrlProps/ctrlProp22.xml><?xml version="1.0" encoding="utf-8"?>
<formControlPr xmlns="http://schemas.microsoft.com/office/spreadsheetml/2009/9/main" objectType="CheckBox" checked="Checked" fmlaLink="$F$10" noThreeD="1"/>
</file>

<file path=xl/ctrlProps/ctrlProp23.xml><?xml version="1.0" encoding="utf-8"?>
<formControlPr xmlns="http://schemas.microsoft.com/office/spreadsheetml/2009/9/main" objectType="CheckBox" fmlaLink="F13" noThreeD="1"/>
</file>

<file path=xl/ctrlProps/ctrlProp24.xml><?xml version="1.0" encoding="utf-8"?>
<formControlPr xmlns="http://schemas.microsoft.com/office/spreadsheetml/2009/9/main" objectType="CheckBox" fmlaLink="F11" noThreeD="1"/>
</file>

<file path=xl/ctrlProps/ctrlProp25.xml><?xml version="1.0" encoding="utf-8"?>
<formControlPr xmlns="http://schemas.microsoft.com/office/spreadsheetml/2009/9/main" objectType="CheckBox" fmlaLink="F12" noThreeD="1"/>
</file>

<file path=xl/ctrlProps/ctrlProp26.xml><?xml version="1.0" encoding="utf-8"?>
<formControlPr xmlns="http://schemas.microsoft.com/office/spreadsheetml/2009/9/main" objectType="CheckBox" fmlaLink="F14" noThreeD="1"/>
</file>

<file path=xl/ctrlProps/ctrlProp27.xml><?xml version="1.0" encoding="utf-8"?>
<formControlPr xmlns="http://schemas.microsoft.com/office/spreadsheetml/2009/9/main" objectType="CheckBox" fmlaLink="F24" noThreeD="1"/>
</file>

<file path=xl/ctrlProps/ctrlProp28.xml><?xml version="1.0" encoding="utf-8"?>
<formControlPr xmlns="http://schemas.microsoft.com/office/spreadsheetml/2009/9/main" objectType="CheckBox" fmlaLink="F18" noThreeD="1"/>
</file>

<file path=xl/ctrlProps/ctrlProp29.xml><?xml version="1.0" encoding="utf-8"?>
<formControlPr xmlns="http://schemas.microsoft.com/office/spreadsheetml/2009/9/main" objectType="CheckBox" fmlaLink="F15" noThreeD="1"/>
</file>

<file path=xl/ctrlProps/ctrlProp30.xml><?xml version="1.0" encoding="utf-8"?>
<formControlPr xmlns="http://schemas.microsoft.com/office/spreadsheetml/2009/9/main" objectType="CheckBox" checked="Checked" fmlaLink="F17" noThreeD="1"/>
</file>

<file path=xl/ctrlProps/ctrlProp31.xml><?xml version="1.0" encoding="utf-8"?>
<formControlPr xmlns="http://schemas.microsoft.com/office/spreadsheetml/2009/9/main" objectType="CheckBox" fmlaLink="$F$19" noThreeD="1"/>
</file>

<file path=xl/ctrlProps/ctrlProp32.xml><?xml version="1.0" encoding="utf-8"?>
<formControlPr xmlns="http://schemas.microsoft.com/office/spreadsheetml/2009/9/main" objectType="CheckBox" fmlaLink="$F$21" noThreeD="1"/>
</file>

<file path=xl/ctrlProps/ctrlProp33.xml><?xml version="1.0" encoding="utf-8"?>
<formControlPr xmlns="http://schemas.microsoft.com/office/spreadsheetml/2009/9/main" objectType="CheckBox" fmlaLink="$F$22" noThreeD="1"/>
</file>

<file path=xl/ctrlProps/ctrlProp34.xml><?xml version="1.0" encoding="utf-8"?>
<formControlPr xmlns="http://schemas.microsoft.com/office/spreadsheetml/2009/9/main" objectType="CheckBox" fmlaLink="$F$23" noThreeD="1"/>
</file>

<file path=xl/ctrlProps/ctrlProp35.xml><?xml version="1.0" encoding="utf-8"?>
<formControlPr xmlns="http://schemas.microsoft.com/office/spreadsheetml/2009/9/main" objectType="CheckBox" fmlaLink="$F$31" noThreeD="1"/>
</file>

<file path=xl/ctrlProps/ctrlProp36.xml><?xml version="1.0" encoding="utf-8"?>
<formControlPr xmlns="http://schemas.microsoft.com/office/spreadsheetml/2009/9/main" objectType="CheckBox" fmlaLink="$F$25" noThreeD="1"/>
</file>

<file path=xl/ctrlProps/ctrlProp37.xml><?xml version="1.0" encoding="utf-8"?>
<formControlPr xmlns="http://schemas.microsoft.com/office/spreadsheetml/2009/9/main" objectType="CheckBox" fmlaLink="$F$16" noThreeD="1"/>
</file>

<file path=xl/ctrlProps/ctrlProp38.xml><?xml version="1.0" encoding="utf-8"?>
<formControlPr xmlns="http://schemas.microsoft.com/office/spreadsheetml/2009/9/main" objectType="CheckBox" fmlaLink="$F$26" noThreeD="1"/>
</file>

<file path=xl/ctrlProps/ctrlProp39.xml><?xml version="1.0" encoding="utf-8"?>
<formControlPr xmlns="http://schemas.microsoft.com/office/spreadsheetml/2009/9/main" objectType="CheckBox" fmlaLink="$F$30" noThreeD="1"/>
</file>

<file path=xl/ctrlProps/ctrlProp40.xml><?xml version="1.0" encoding="utf-8"?>
<formControlPr xmlns="http://schemas.microsoft.com/office/spreadsheetml/2009/9/main" objectType="CheckBox" fmlaLink="$F$28" noThreeD="1"/>
</file>

<file path=xl/ctrlProps/ctrlProp41.xml><?xml version="1.0" encoding="utf-8"?>
<formControlPr xmlns="http://schemas.microsoft.com/office/spreadsheetml/2009/9/main" objectType="CheckBox" fmlaLink="$F$29" noThreeD="1"/>
</file>

<file path=xl/ctrlProps/ctrlProp42.xml><?xml version="1.0" encoding="utf-8"?>
<formControlPr xmlns="http://schemas.microsoft.com/office/spreadsheetml/2009/9/main" objectType="CheckBox" checked="Checked" fmlaLink="$F$10" noThreeD="1"/>
</file>

<file path=xl/ctrlProps/ctrlProp43.xml><?xml version="1.0" encoding="utf-8"?>
<formControlPr xmlns="http://schemas.microsoft.com/office/spreadsheetml/2009/9/main" objectType="CheckBox" fmlaLink="$F$32" noThreeD="1"/>
</file>

<file path=xl/ctrlProps/ctrlProp44.xml><?xml version="1.0" encoding="utf-8"?>
<formControlPr xmlns="http://schemas.microsoft.com/office/spreadsheetml/2009/9/main" objectType="CheckBox" fmlaLink="$F$33" noThreeD="1"/>
</file>

<file path=xl/ctrlProps/ctrlProp45.xml><?xml version="1.0" encoding="utf-8"?>
<formControlPr xmlns="http://schemas.microsoft.com/office/spreadsheetml/2009/9/main" objectType="CheckBox" fmlaLink="$F$21" noThreeD="1"/>
</file>

<file path=xl/ctrlProps/ctrlProp46.xml><?xml version="1.0" encoding="utf-8"?>
<formControlPr xmlns="http://schemas.microsoft.com/office/spreadsheetml/2009/9/main" objectType="CheckBox" fmlaLink="$F$20" noThreeD="1"/>
</file>

<file path=xl/ctrlProps/ctrlProp47.xml><?xml version="1.0" encoding="utf-8"?>
<formControlPr xmlns="http://schemas.microsoft.com/office/spreadsheetml/2009/9/main" objectType="CheckBox" fmlaLink="$F$27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6</xdr:col>
          <xdr:colOff>388620</xdr:colOff>
          <xdr:row>14</xdr:row>
          <xdr:rowOff>220980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0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6</xdr:col>
          <xdr:colOff>388620</xdr:colOff>
          <xdr:row>13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0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6</xdr:col>
          <xdr:colOff>388620</xdr:colOff>
          <xdr:row>13</xdr:row>
          <xdr:rowOff>220980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0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22860</xdr:rowOff>
        </xdr:from>
        <xdr:to>
          <xdr:col>6</xdr:col>
          <xdr:colOff>388620</xdr:colOff>
          <xdr:row>11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0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30480</xdr:rowOff>
        </xdr:from>
        <xdr:to>
          <xdr:col>6</xdr:col>
          <xdr:colOff>388620</xdr:colOff>
          <xdr:row>12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0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7620</xdr:rowOff>
        </xdr:from>
        <xdr:to>
          <xdr:col>6</xdr:col>
          <xdr:colOff>373380</xdr:colOff>
          <xdr:row>15</xdr:row>
          <xdr:rowOff>220980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0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22860</xdr:rowOff>
        </xdr:from>
        <xdr:to>
          <xdr:col>6</xdr:col>
          <xdr:colOff>373380</xdr:colOff>
          <xdr:row>25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0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6</xdr:col>
          <xdr:colOff>373380</xdr:colOff>
          <xdr:row>19</xdr:row>
          <xdr:rowOff>220980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0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6</xdr:col>
          <xdr:colOff>381000</xdr:colOff>
          <xdr:row>17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0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22860</xdr:rowOff>
        </xdr:from>
        <xdr:to>
          <xdr:col>6</xdr:col>
          <xdr:colOff>350520</xdr:colOff>
          <xdr:row>19</xdr:row>
          <xdr:rowOff>7620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0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7620</xdr:rowOff>
        </xdr:from>
        <xdr:to>
          <xdr:col>6</xdr:col>
          <xdr:colOff>373380</xdr:colOff>
          <xdr:row>21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0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7620</xdr:rowOff>
        </xdr:from>
        <xdr:to>
          <xdr:col>6</xdr:col>
          <xdr:colOff>373380</xdr:colOff>
          <xdr:row>22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0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7620</xdr:rowOff>
        </xdr:from>
        <xdr:to>
          <xdr:col>6</xdr:col>
          <xdr:colOff>373380</xdr:colOff>
          <xdr:row>23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0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7620</xdr:rowOff>
        </xdr:from>
        <xdr:to>
          <xdr:col>6</xdr:col>
          <xdr:colOff>373380</xdr:colOff>
          <xdr:row>24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0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7620</xdr:rowOff>
        </xdr:from>
        <xdr:to>
          <xdr:col>6</xdr:col>
          <xdr:colOff>373380</xdr:colOff>
          <xdr:row>31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0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22860</xdr:rowOff>
        </xdr:from>
        <xdr:to>
          <xdr:col>6</xdr:col>
          <xdr:colOff>373380</xdr:colOff>
          <xdr:row>26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0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6</xdr:col>
          <xdr:colOff>373380</xdr:colOff>
          <xdr:row>18</xdr:row>
          <xdr:rowOff>7620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0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22860</xdr:rowOff>
        </xdr:from>
        <xdr:to>
          <xdr:col>6</xdr:col>
          <xdr:colOff>373380</xdr:colOff>
          <xdr:row>27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0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22860</xdr:rowOff>
        </xdr:from>
        <xdr:to>
          <xdr:col>6</xdr:col>
          <xdr:colOff>373380</xdr:colOff>
          <xdr:row>30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0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22860</xdr:rowOff>
        </xdr:from>
        <xdr:to>
          <xdr:col>6</xdr:col>
          <xdr:colOff>373380</xdr:colOff>
          <xdr:row>28</xdr:row>
          <xdr:rowOff>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0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22860</xdr:rowOff>
        </xdr:from>
        <xdr:to>
          <xdr:col>6</xdr:col>
          <xdr:colOff>373380</xdr:colOff>
          <xdr:row>29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0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22860</xdr:rowOff>
        </xdr:from>
        <xdr:to>
          <xdr:col>6</xdr:col>
          <xdr:colOff>388620</xdr:colOff>
          <xdr:row>10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0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6</xdr:col>
          <xdr:colOff>388620</xdr:colOff>
          <xdr:row>12</xdr:row>
          <xdr:rowOff>220980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22860</xdr:rowOff>
        </xdr:from>
        <xdr:to>
          <xdr:col>6</xdr:col>
          <xdr:colOff>388620</xdr:colOff>
          <xdr:row>11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30480</xdr:rowOff>
        </xdr:from>
        <xdr:to>
          <xdr:col>6</xdr:col>
          <xdr:colOff>388620</xdr:colOff>
          <xdr:row>12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7620</xdr:rowOff>
        </xdr:from>
        <xdr:to>
          <xdr:col>6</xdr:col>
          <xdr:colOff>373380</xdr:colOff>
          <xdr:row>13</xdr:row>
          <xdr:rowOff>220980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3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22860</xdr:rowOff>
        </xdr:from>
        <xdr:to>
          <xdr:col>6</xdr:col>
          <xdr:colOff>373380</xdr:colOff>
          <xdr:row>24</xdr:row>
          <xdr:rowOff>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6</xdr:col>
          <xdr:colOff>373380</xdr:colOff>
          <xdr:row>17</xdr:row>
          <xdr:rowOff>220980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3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6</xdr:col>
          <xdr:colOff>381000</xdr:colOff>
          <xdr:row>15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3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22860</xdr:rowOff>
        </xdr:from>
        <xdr:to>
          <xdr:col>6</xdr:col>
          <xdr:colOff>350520</xdr:colOff>
          <xdr:row>17</xdr:row>
          <xdr:rowOff>7620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3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7620</xdr:rowOff>
        </xdr:from>
        <xdr:to>
          <xdr:col>6</xdr:col>
          <xdr:colOff>373380</xdr:colOff>
          <xdr:row>19</xdr:row>
          <xdr:rowOff>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3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7620</xdr:rowOff>
        </xdr:from>
        <xdr:to>
          <xdr:col>6</xdr:col>
          <xdr:colOff>373380</xdr:colOff>
          <xdr:row>21</xdr:row>
          <xdr:rowOff>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3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7620</xdr:rowOff>
        </xdr:from>
        <xdr:to>
          <xdr:col>6</xdr:col>
          <xdr:colOff>373380</xdr:colOff>
          <xdr:row>22</xdr:row>
          <xdr:rowOff>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3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7620</xdr:rowOff>
        </xdr:from>
        <xdr:to>
          <xdr:col>6</xdr:col>
          <xdr:colOff>373380</xdr:colOff>
          <xdr:row>23</xdr:row>
          <xdr:rowOff>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3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7620</xdr:rowOff>
        </xdr:from>
        <xdr:to>
          <xdr:col>6</xdr:col>
          <xdr:colOff>373380</xdr:colOff>
          <xdr:row>31</xdr:row>
          <xdr:rowOff>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3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22860</xdr:rowOff>
        </xdr:from>
        <xdr:to>
          <xdr:col>6</xdr:col>
          <xdr:colOff>373380</xdr:colOff>
          <xdr:row>25</xdr:row>
          <xdr:rowOff>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3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6</xdr:col>
          <xdr:colOff>373380</xdr:colOff>
          <xdr:row>16</xdr:row>
          <xdr:rowOff>7620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3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22860</xdr:rowOff>
        </xdr:from>
        <xdr:to>
          <xdr:col>6</xdr:col>
          <xdr:colOff>373380</xdr:colOff>
          <xdr:row>26</xdr:row>
          <xdr:rowOff>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3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22860</xdr:rowOff>
        </xdr:from>
        <xdr:to>
          <xdr:col>6</xdr:col>
          <xdr:colOff>373380</xdr:colOff>
          <xdr:row>30</xdr:row>
          <xdr:rowOff>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3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22860</xdr:rowOff>
        </xdr:from>
        <xdr:to>
          <xdr:col>6</xdr:col>
          <xdr:colOff>373380</xdr:colOff>
          <xdr:row>28</xdr:row>
          <xdr:rowOff>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3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22860</xdr:rowOff>
        </xdr:from>
        <xdr:to>
          <xdr:col>6</xdr:col>
          <xdr:colOff>373380</xdr:colOff>
          <xdr:row>29</xdr:row>
          <xdr:rowOff>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3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22860</xdr:rowOff>
        </xdr:from>
        <xdr:to>
          <xdr:col>6</xdr:col>
          <xdr:colOff>388620</xdr:colOff>
          <xdr:row>10</xdr:row>
          <xdr:rowOff>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3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7620</xdr:rowOff>
        </xdr:from>
        <xdr:to>
          <xdr:col>6</xdr:col>
          <xdr:colOff>373380</xdr:colOff>
          <xdr:row>32</xdr:row>
          <xdr:rowOff>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3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7620</xdr:rowOff>
        </xdr:from>
        <xdr:to>
          <xdr:col>6</xdr:col>
          <xdr:colOff>373380</xdr:colOff>
          <xdr:row>33</xdr:row>
          <xdr:rowOff>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3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7620</xdr:rowOff>
        </xdr:from>
        <xdr:to>
          <xdr:col>6</xdr:col>
          <xdr:colOff>373380</xdr:colOff>
          <xdr:row>20</xdr:row>
          <xdr:rowOff>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3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7620</xdr:rowOff>
        </xdr:from>
        <xdr:to>
          <xdr:col>6</xdr:col>
          <xdr:colOff>373380</xdr:colOff>
          <xdr:row>20</xdr:row>
          <xdr:rowOff>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3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22860</xdr:rowOff>
        </xdr:from>
        <xdr:to>
          <xdr:col>6</xdr:col>
          <xdr:colOff>373380</xdr:colOff>
          <xdr:row>27</xdr:row>
          <xdr:rowOff>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3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.xml"/><Relationship Id="rId13" Type="http://schemas.openxmlformats.org/officeDocument/2006/relationships/ctrlProp" Target="../ctrlProps/ctrlProp31.xml"/><Relationship Id="rId18" Type="http://schemas.openxmlformats.org/officeDocument/2006/relationships/ctrlProp" Target="../ctrlProps/ctrlProp36.xml"/><Relationship Id="rId26" Type="http://schemas.openxmlformats.org/officeDocument/2006/relationships/ctrlProp" Target="../ctrlProps/ctrlProp44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39.xml"/><Relationship Id="rId7" Type="http://schemas.openxmlformats.org/officeDocument/2006/relationships/ctrlProp" Target="../ctrlProps/ctrlProp25.xml"/><Relationship Id="rId12" Type="http://schemas.openxmlformats.org/officeDocument/2006/relationships/ctrlProp" Target="../ctrlProps/ctrlProp30.xml"/><Relationship Id="rId17" Type="http://schemas.openxmlformats.org/officeDocument/2006/relationships/ctrlProp" Target="../ctrlProps/ctrlProp35.xml"/><Relationship Id="rId25" Type="http://schemas.openxmlformats.org/officeDocument/2006/relationships/ctrlProp" Target="../ctrlProps/ctrlProp43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4.xml"/><Relationship Id="rId20" Type="http://schemas.openxmlformats.org/officeDocument/2006/relationships/ctrlProp" Target="../ctrlProps/ctrlProp38.xml"/><Relationship Id="rId29" Type="http://schemas.openxmlformats.org/officeDocument/2006/relationships/ctrlProp" Target="../ctrlProps/ctrlProp47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4.xml"/><Relationship Id="rId11" Type="http://schemas.openxmlformats.org/officeDocument/2006/relationships/ctrlProp" Target="../ctrlProps/ctrlProp29.xml"/><Relationship Id="rId24" Type="http://schemas.openxmlformats.org/officeDocument/2006/relationships/ctrlProp" Target="../ctrlProps/ctrlProp42.xml"/><Relationship Id="rId5" Type="http://schemas.openxmlformats.org/officeDocument/2006/relationships/ctrlProp" Target="../ctrlProps/ctrlProp23.xml"/><Relationship Id="rId15" Type="http://schemas.openxmlformats.org/officeDocument/2006/relationships/ctrlProp" Target="../ctrlProps/ctrlProp33.xml"/><Relationship Id="rId23" Type="http://schemas.openxmlformats.org/officeDocument/2006/relationships/ctrlProp" Target="../ctrlProps/ctrlProp41.xml"/><Relationship Id="rId28" Type="http://schemas.openxmlformats.org/officeDocument/2006/relationships/ctrlProp" Target="../ctrlProps/ctrlProp46.xml"/><Relationship Id="rId10" Type="http://schemas.openxmlformats.org/officeDocument/2006/relationships/ctrlProp" Target="../ctrlProps/ctrlProp28.xml"/><Relationship Id="rId19" Type="http://schemas.openxmlformats.org/officeDocument/2006/relationships/ctrlProp" Target="../ctrlProps/ctrlProp37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27.xml"/><Relationship Id="rId14" Type="http://schemas.openxmlformats.org/officeDocument/2006/relationships/ctrlProp" Target="../ctrlProps/ctrlProp32.xml"/><Relationship Id="rId22" Type="http://schemas.openxmlformats.org/officeDocument/2006/relationships/ctrlProp" Target="../ctrlProps/ctrlProp40.xml"/><Relationship Id="rId27" Type="http://schemas.openxmlformats.org/officeDocument/2006/relationships/ctrlProp" Target="../ctrlProps/ctrlProp4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CF55-41A9-49BD-86F9-37C164103FFB}">
  <dimension ref="A1:P87"/>
  <sheetViews>
    <sheetView showGridLines="0" showZeros="0" showRuler="0" view="pageLayout" topLeftCell="A9" zoomScale="90" zoomScaleNormal="100" zoomScalePageLayoutView="90" workbookViewId="0">
      <selection activeCell="H31" sqref="H31"/>
    </sheetView>
  </sheetViews>
  <sheetFormatPr defaultRowHeight="14.45"/>
  <cols>
    <col min="1" max="1" width="7.42578125" customWidth="1"/>
    <col min="2" max="2" width="14.5703125" style="24" bestFit="1" customWidth="1"/>
    <col min="3" max="3" width="16.7109375" style="24" customWidth="1"/>
    <col min="4" max="4" width="2.28515625" style="24" customWidth="1"/>
    <col min="5" max="5" width="2.5703125" style="24" customWidth="1"/>
    <col min="6" max="6" width="4.28515625" style="22" customWidth="1"/>
    <col min="7" max="7" width="14.85546875" style="25" customWidth="1"/>
    <col min="8" max="8" width="20.28515625" customWidth="1"/>
    <col min="9" max="9" width="17.28515625" customWidth="1"/>
    <col min="10" max="10" width="10.42578125" hidden="1" customWidth="1"/>
    <col min="11" max="11" width="5.7109375" hidden="1" customWidth="1"/>
    <col min="12" max="12" width="17.28515625" hidden="1" customWidth="1"/>
    <col min="13" max="13" width="13.28515625" style="1" hidden="1" customWidth="1"/>
    <col min="14" max="14" width="11.140625" hidden="1" customWidth="1"/>
    <col min="15" max="15" width="10.28515625" style="1" hidden="1" customWidth="1"/>
    <col min="16" max="16" width="8.85546875" customWidth="1"/>
  </cols>
  <sheetData>
    <row r="1" spans="1:16">
      <c r="A1" s="2"/>
      <c r="B1" s="17"/>
      <c r="C1" s="17"/>
      <c r="D1" s="17"/>
      <c r="E1" s="17"/>
      <c r="F1" s="17"/>
      <c r="G1" s="18"/>
      <c r="H1" s="2"/>
      <c r="I1" s="2"/>
    </row>
    <row r="2" spans="1:16" ht="17.25" customHeight="1">
      <c r="A2" s="2"/>
      <c r="B2" s="17"/>
      <c r="C2" s="17"/>
      <c r="D2" s="17"/>
      <c r="E2" s="17"/>
      <c r="F2" s="17"/>
      <c r="G2" s="18"/>
      <c r="H2" s="2"/>
      <c r="I2" s="2"/>
    </row>
    <row r="3" spans="1:16" ht="17.45" customHeight="1">
      <c r="A3" s="2"/>
      <c r="B3" s="183" t="s">
        <v>0</v>
      </c>
      <c r="C3" s="183"/>
      <c r="D3" s="183"/>
      <c r="E3" s="183"/>
      <c r="F3" s="183"/>
      <c r="G3" s="183"/>
      <c r="H3" s="183"/>
      <c r="I3" s="2"/>
      <c r="M3" t="s">
        <v>1</v>
      </c>
    </row>
    <row r="4" spans="1:16" ht="10.9" customHeight="1">
      <c r="A4" s="2"/>
      <c r="B4" s="183"/>
      <c r="C4" s="183"/>
      <c r="D4" s="183"/>
      <c r="E4" s="183"/>
      <c r="F4" s="183"/>
      <c r="G4" s="183"/>
      <c r="H4" s="183"/>
      <c r="I4" s="2"/>
      <c r="M4" t="s">
        <v>2</v>
      </c>
      <c r="O4" s="1" t="s">
        <v>3</v>
      </c>
    </row>
    <row r="5" spans="1:16" ht="15" customHeight="1">
      <c r="A5" s="2"/>
      <c r="B5" s="183"/>
      <c r="C5" s="183"/>
      <c r="D5" s="183"/>
      <c r="E5" s="183"/>
      <c r="F5" s="183"/>
      <c r="G5" s="183"/>
      <c r="H5" s="183"/>
      <c r="I5" s="2"/>
      <c r="M5" t="s">
        <v>4</v>
      </c>
      <c r="N5" s="1" t="s">
        <v>5</v>
      </c>
      <c r="O5" s="1" t="s">
        <v>6</v>
      </c>
    </row>
    <row r="6" spans="1:16" ht="19.5" customHeight="1">
      <c r="A6" s="2"/>
      <c r="B6" s="67" t="s">
        <v>7</v>
      </c>
      <c r="C6" s="184" t="s">
        <v>8</v>
      </c>
      <c r="D6" s="185"/>
      <c r="E6" s="185"/>
      <c r="F6" s="185"/>
      <c r="G6" s="186"/>
      <c r="H6" s="68">
        <f ca="1">TODAY()</f>
        <v>45231</v>
      </c>
      <c r="J6" t="s">
        <v>9</v>
      </c>
      <c r="M6" t="s">
        <v>10</v>
      </c>
      <c r="N6" s="1" t="s">
        <v>11</v>
      </c>
      <c r="O6" s="1" t="s">
        <v>12</v>
      </c>
    </row>
    <row r="7" spans="1:16" ht="18.600000000000001" customHeight="1">
      <c r="A7" s="2"/>
      <c r="B7" s="19"/>
      <c r="C7" s="69" t="s">
        <v>13</v>
      </c>
      <c r="D7" s="187" t="s">
        <v>14</v>
      </c>
      <c r="E7" s="187"/>
      <c r="F7" s="187"/>
      <c r="G7" s="188"/>
      <c r="H7" s="4"/>
      <c r="J7" t="s">
        <v>15</v>
      </c>
      <c r="M7" s="1" t="s">
        <v>16</v>
      </c>
      <c r="O7" s="123" t="s">
        <v>17</v>
      </c>
    </row>
    <row r="8" spans="1:16" ht="18" customHeight="1">
      <c r="A8" s="3"/>
      <c r="B8" s="120" t="s">
        <v>18</v>
      </c>
      <c r="C8" s="5" t="s">
        <v>19</v>
      </c>
      <c r="D8" s="191" t="s">
        <v>20</v>
      </c>
      <c r="E8" s="191"/>
      <c r="F8" s="192"/>
      <c r="G8" s="108" t="s">
        <v>21</v>
      </c>
      <c r="H8" s="47" t="str">
        <f>IF(C8="3X2","3000TDH",IF(C8="3X3","3000TDH",IF(C8="4X3","4000TDH",IF(C8="6X2","6000TDH",IF(C8="6X3","6000TDH",IF(C8="7X3","7000TDH",IF(C8="9X3","9000TDH","")))))))</f>
        <v>9000TDH</v>
      </c>
      <c r="I8" s="12"/>
      <c r="J8" t="s">
        <v>22</v>
      </c>
      <c r="K8" s="37"/>
      <c r="M8" s="1" t="s">
        <v>23</v>
      </c>
      <c r="N8" s="1"/>
      <c r="O8" s="1" t="s">
        <v>24</v>
      </c>
      <c r="P8" s="1"/>
    </row>
    <row r="9" spans="1:16" ht="18" customHeight="1">
      <c r="A9" s="3"/>
      <c r="B9" s="120" t="s">
        <v>25</v>
      </c>
      <c r="C9" s="5" t="s">
        <v>26</v>
      </c>
      <c r="D9" s="191" t="s">
        <v>27</v>
      </c>
      <c r="E9" s="191"/>
      <c r="F9" s="192"/>
      <c r="G9" s="41" t="s">
        <v>28</v>
      </c>
      <c r="H9" s="49" t="s">
        <v>29</v>
      </c>
      <c r="I9" s="2"/>
      <c r="J9" t="s">
        <v>30</v>
      </c>
      <c r="K9" s="37"/>
      <c r="M9" s="1" t="s">
        <v>19</v>
      </c>
      <c r="N9" s="1"/>
      <c r="O9" s="1" t="s">
        <v>31</v>
      </c>
      <c r="P9" s="1"/>
    </row>
    <row r="10" spans="1:16" ht="18" customHeight="1">
      <c r="A10" s="3"/>
      <c r="B10" s="120" t="s">
        <v>32</v>
      </c>
      <c r="C10" s="5" t="s">
        <v>33</v>
      </c>
      <c r="D10" s="5"/>
      <c r="E10" s="30"/>
      <c r="F10" s="34" t="b">
        <v>1</v>
      </c>
      <c r="G10" s="41" t="s">
        <v>34</v>
      </c>
      <c r="H10" s="125" t="s">
        <v>35</v>
      </c>
      <c r="I10" s="2"/>
      <c r="J10" t="s">
        <v>36</v>
      </c>
      <c r="K10" s="37"/>
      <c r="M10"/>
      <c r="N10" s="1"/>
      <c r="O10" s="1" t="s">
        <v>37</v>
      </c>
      <c r="P10" s="1"/>
    </row>
    <row r="11" spans="1:16" ht="18" customHeight="1">
      <c r="A11" s="3"/>
      <c r="B11" s="120" t="s">
        <v>38</v>
      </c>
      <c r="C11" s="7" t="s">
        <v>39</v>
      </c>
      <c r="D11" s="7"/>
      <c r="E11" s="30"/>
      <c r="F11" s="34" t="b">
        <v>1</v>
      </c>
      <c r="G11" s="41" t="s">
        <v>34</v>
      </c>
      <c r="H11" s="48" t="s">
        <v>40</v>
      </c>
      <c r="I11" s="2"/>
      <c r="J11" s="16" t="s">
        <v>41</v>
      </c>
      <c r="K11" s="37"/>
      <c r="M11" t="s">
        <v>26</v>
      </c>
      <c r="N11" s="1" t="s">
        <v>42</v>
      </c>
      <c r="O11" s="1" t="s">
        <v>43</v>
      </c>
      <c r="P11" s="1"/>
    </row>
    <row r="12" spans="1:16" ht="18" customHeight="1">
      <c r="A12" s="3"/>
      <c r="B12" s="120" t="s">
        <v>44</v>
      </c>
      <c r="C12" s="5" t="s">
        <v>45</v>
      </c>
      <c r="D12" s="5"/>
      <c r="E12" s="30"/>
      <c r="F12" s="34" t="b">
        <v>1</v>
      </c>
      <c r="G12" s="41" t="s">
        <v>34</v>
      </c>
      <c r="H12" s="48" t="str">
        <f>H11</f>
        <v>RED</v>
      </c>
      <c r="I12" s="2"/>
      <c r="J12" t="s">
        <v>46</v>
      </c>
      <c r="K12" s="37"/>
      <c r="M12" t="s">
        <v>47</v>
      </c>
      <c r="N12" s="1" t="s">
        <v>27</v>
      </c>
      <c r="O12" s="1" t="s">
        <v>48</v>
      </c>
      <c r="P12" s="1"/>
    </row>
    <row r="13" spans="1:16" ht="18" customHeight="1">
      <c r="A13" s="2"/>
      <c r="B13" s="120" t="s">
        <v>38</v>
      </c>
      <c r="C13" s="5" t="s">
        <v>49</v>
      </c>
      <c r="D13" s="5"/>
      <c r="E13" s="30"/>
      <c r="F13" s="34" t="b">
        <v>1</v>
      </c>
      <c r="G13" s="41" t="s">
        <v>34</v>
      </c>
      <c r="H13" s="48" t="s">
        <v>50</v>
      </c>
      <c r="I13" s="2"/>
      <c r="J13" s="16" t="s">
        <v>51</v>
      </c>
      <c r="K13" s="37"/>
      <c r="M13" t="s">
        <v>52</v>
      </c>
      <c r="N13" s="1" t="s">
        <v>53</v>
      </c>
      <c r="O13" s="1" t="s">
        <v>54</v>
      </c>
      <c r="P13" s="1"/>
    </row>
    <row r="14" spans="1:16" ht="18" customHeight="1">
      <c r="A14" s="2"/>
      <c r="B14" s="120" t="s">
        <v>44</v>
      </c>
      <c r="C14" s="5" t="s">
        <v>49</v>
      </c>
      <c r="D14" s="5"/>
      <c r="E14" s="30"/>
      <c r="F14" s="34" t="b">
        <v>1</v>
      </c>
      <c r="G14" s="41" t="s">
        <v>34</v>
      </c>
      <c r="H14" s="48" t="str">
        <f>H13</f>
        <v>ALUM</v>
      </c>
      <c r="I14" s="2"/>
      <c r="J14" t="s">
        <v>55</v>
      </c>
      <c r="K14" s="37"/>
      <c r="M14"/>
      <c r="N14" s="1"/>
      <c r="O14" s="1" t="s">
        <v>56</v>
      </c>
      <c r="P14" s="1"/>
    </row>
    <row r="15" spans="1:16" ht="18" customHeight="1">
      <c r="A15" s="2"/>
      <c r="B15" s="120" t="s">
        <v>57</v>
      </c>
      <c r="C15" s="5" t="s">
        <v>58</v>
      </c>
      <c r="D15" s="5"/>
      <c r="E15" s="30"/>
      <c r="F15" s="34" t="b">
        <v>1</v>
      </c>
      <c r="G15" s="108" t="s">
        <v>21</v>
      </c>
      <c r="H15" s="65" t="str">
        <f>IF(AND(F15=TRUE),IF(C15="1000 POUND","1000TDH",IF(C15="1500 POUND","1500TDH",IF(C15="2500 POUND","2500TDH",IF(C15="3500 POUND","3500TDH","")))),"")</f>
        <v>3500TDH</v>
      </c>
      <c r="I15" s="2"/>
      <c r="J15" s="16"/>
      <c r="L15" s="37"/>
      <c r="M15" t="s">
        <v>59</v>
      </c>
      <c r="N15" s="1"/>
      <c r="O15" s="1" t="s">
        <v>60</v>
      </c>
      <c r="P15" s="1"/>
    </row>
    <row r="16" spans="1:16" ht="18" customHeight="1">
      <c r="A16" s="2"/>
      <c r="B16" s="189" t="s">
        <v>61</v>
      </c>
      <c r="C16" s="190"/>
      <c r="D16" s="5"/>
      <c r="E16" s="31"/>
      <c r="F16" s="34" t="b">
        <v>1</v>
      </c>
      <c r="G16" s="109" t="str">
        <f>IF(C15="1500 POUND",N5,IF(C15="1000 POUND",N5,N6))</f>
        <v>3/8" Cable</v>
      </c>
      <c r="H16" s="48" t="s">
        <v>60</v>
      </c>
      <c r="I16" s="2"/>
      <c r="J16" s="16" t="s">
        <v>62</v>
      </c>
      <c r="L16" s="37"/>
      <c r="M16" t="s">
        <v>63</v>
      </c>
      <c r="N16" s="1"/>
      <c r="P16" s="1"/>
    </row>
    <row r="17" spans="1:16" ht="18" customHeight="1">
      <c r="A17" s="2"/>
      <c r="B17" s="6" t="s">
        <v>64</v>
      </c>
      <c r="C17" s="5" t="s">
        <v>65</v>
      </c>
      <c r="D17" s="5"/>
      <c r="E17" s="31"/>
      <c r="F17" s="34" t="b">
        <v>1</v>
      </c>
      <c r="G17" s="109" t="s">
        <v>66</v>
      </c>
      <c r="H17" s="48" t="s">
        <v>67</v>
      </c>
      <c r="I17" s="2"/>
      <c r="J17" s="16" t="s">
        <v>68</v>
      </c>
      <c r="L17" s="37"/>
      <c r="M17"/>
      <c r="N17" s="1"/>
      <c r="O17" s="103" t="s">
        <v>69</v>
      </c>
      <c r="P17" s="1"/>
    </row>
    <row r="18" spans="1:16" ht="18" customHeight="1">
      <c r="A18" s="2"/>
      <c r="B18" s="172" t="s">
        <v>70</v>
      </c>
      <c r="C18" s="173"/>
      <c r="D18" s="5"/>
      <c r="E18" s="31"/>
      <c r="F18" s="34" t="b">
        <v>1</v>
      </c>
      <c r="G18" s="41" t="s">
        <v>34</v>
      </c>
      <c r="H18" s="125" t="s">
        <v>35</v>
      </c>
      <c r="I18" s="2"/>
      <c r="J18" s="2"/>
      <c r="L18" s="37"/>
      <c r="M18" t="s">
        <v>71</v>
      </c>
      <c r="N18" s="1"/>
      <c r="O18" s="103" t="s">
        <v>67</v>
      </c>
      <c r="P18" s="1"/>
    </row>
    <row r="19" spans="1:16" ht="18" customHeight="1">
      <c r="A19" s="2"/>
      <c r="B19" s="6" t="s">
        <v>72</v>
      </c>
      <c r="C19" s="29" t="s">
        <v>73</v>
      </c>
      <c r="D19" s="29"/>
      <c r="E19" s="31"/>
      <c r="F19" s="34" t="b">
        <v>1</v>
      </c>
      <c r="G19" s="42"/>
      <c r="H19" s="48"/>
      <c r="I19" s="2"/>
      <c r="J19" s="45" t="s">
        <v>74</v>
      </c>
      <c r="L19" s="37"/>
      <c r="M19" t="s">
        <v>75</v>
      </c>
      <c r="N19" s="1"/>
      <c r="P19" s="1"/>
    </row>
    <row r="20" spans="1:16" ht="18" customHeight="1">
      <c r="A20" s="2"/>
      <c r="B20" s="6" t="s">
        <v>76</v>
      </c>
      <c r="C20" s="5" t="s">
        <v>63</v>
      </c>
      <c r="D20" s="5"/>
      <c r="E20" s="31"/>
      <c r="F20" s="34" t="b">
        <v>1</v>
      </c>
      <c r="G20" s="42"/>
      <c r="H20" s="48"/>
      <c r="I20" s="2"/>
      <c r="J20" s="45" t="s">
        <v>77</v>
      </c>
      <c r="L20" s="37"/>
      <c r="M20" t="s">
        <v>78</v>
      </c>
      <c r="N20" s="1"/>
      <c r="O20" s="1" t="s">
        <v>79</v>
      </c>
      <c r="P20" s="1"/>
    </row>
    <row r="21" spans="1:16" ht="18" customHeight="1">
      <c r="A21" s="2"/>
      <c r="B21" s="172" t="s">
        <v>15</v>
      </c>
      <c r="C21" s="173"/>
      <c r="D21" s="118"/>
      <c r="E21" s="31"/>
      <c r="F21" s="34" t="b">
        <v>0</v>
      </c>
      <c r="G21" s="42"/>
      <c r="H21" s="48"/>
      <c r="I21" s="2"/>
      <c r="J21" s="45" t="s">
        <v>29</v>
      </c>
      <c r="L21" s="37"/>
      <c r="M21" t="s">
        <v>33</v>
      </c>
      <c r="N21" s="1"/>
      <c r="O21" s="1" t="s">
        <v>80</v>
      </c>
      <c r="P21" s="1"/>
    </row>
    <row r="22" spans="1:16" ht="18" customHeight="1">
      <c r="A22" s="2"/>
      <c r="B22" s="172" t="s">
        <v>41</v>
      </c>
      <c r="C22" s="173"/>
      <c r="D22" s="118"/>
      <c r="E22" s="31"/>
      <c r="F22" s="34" t="b">
        <v>1</v>
      </c>
      <c r="G22" s="42"/>
      <c r="H22" s="48"/>
      <c r="I22" s="2"/>
      <c r="J22" s="44" t="s">
        <v>81</v>
      </c>
      <c r="L22" s="37"/>
      <c r="M22" t="s">
        <v>82</v>
      </c>
      <c r="N22" s="1"/>
      <c r="O22" s="1" t="s">
        <v>83</v>
      </c>
      <c r="P22" s="1"/>
    </row>
    <row r="23" spans="1:16" ht="18" customHeight="1">
      <c r="A23" s="2"/>
      <c r="B23" s="172" t="s">
        <v>36</v>
      </c>
      <c r="C23" s="173"/>
      <c r="D23" s="118"/>
      <c r="E23" s="31"/>
      <c r="F23" s="34" t="b">
        <v>1</v>
      </c>
      <c r="G23" s="42"/>
      <c r="H23" s="48"/>
      <c r="I23" s="2"/>
      <c r="J23" s="44" t="s">
        <v>84</v>
      </c>
      <c r="M23" t="s">
        <v>85</v>
      </c>
      <c r="N23" s="1"/>
      <c r="O23" s="1" t="s">
        <v>73</v>
      </c>
      <c r="P23" s="1"/>
    </row>
    <row r="24" spans="1:16" ht="18" customHeight="1">
      <c r="A24" s="2"/>
      <c r="B24" s="172" t="s">
        <v>30</v>
      </c>
      <c r="C24" s="173"/>
      <c r="D24" s="118"/>
      <c r="E24" s="31"/>
      <c r="F24" s="34" t="b">
        <v>1</v>
      </c>
      <c r="G24" s="42"/>
      <c r="H24" s="48"/>
      <c r="I24" s="2"/>
      <c r="J24" s="44" t="s">
        <v>40</v>
      </c>
      <c r="M24" t="s">
        <v>86</v>
      </c>
      <c r="N24" s="1"/>
      <c r="O24"/>
      <c r="P24" s="1"/>
    </row>
    <row r="25" spans="1:16" ht="18" customHeight="1">
      <c r="A25" s="2"/>
      <c r="B25" s="172" t="s">
        <v>51</v>
      </c>
      <c r="C25" s="173"/>
      <c r="D25" s="118"/>
      <c r="E25" s="31"/>
      <c r="F25" s="34" t="b">
        <v>1</v>
      </c>
      <c r="G25" s="42"/>
      <c r="H25" s="48"/>
      <c r="I25" s="2"/>
      <c r="J25" s="44" t="s">
        <v>87</v>
      </c>
      <c r="M25" t="s">
        <v>88</v>
      </c>
      <c r="O25"/>
      <c r="P25" s="1"/>
    </row>
    <row r="26" spans="1:16" ht="18" customHeight="1">
      <c r="A26" s="2"/>
      <c r="B26" s="172" t="s">
        <v>55</v>
      </c>
      <c r="C26" s="173"/>
      <c r="D26" s="66"/>
      <c r="E26" s="32"/>
      <c r="F26" s="35" t="b">
        <v>0</v>
      </c>
      <c r="G26" s="43"/>
      <c r="H26" s="48"/>
      <c r="I26" s="2"/>
      <c r="J26" s="44" t="s">
        <v>89</v>
      </c>
      <c r="M26" s="1" t="s">
        <v>45</v>
      </c>
      <c r="O26"/>
      <c r="P26" s="1"/>
    </row>
    <row r="27" spans="1:16" ht="18" customHeight="1">
      <c r="A27" s="2"/>
      <c r="B27" s="172" t="s">
        <v>22</v>
      </c>
      <c r="C27" s="173"/>
      <c r="D27" s="66"/>
      <c r="E27" s="32"/>
      <c r="F27" s="35" t="b">
        <v>1</v>
      </c>
      <c r="G27" s="43"/>
      <c r="H27" s="48"/>
      <c r="I27" s="2"/>
      <c r="J27" s="44" t="s">
        <v>90</v>
      </c>
      <c r="M27" s="1" t="s">
        <v>39</v>
      </c>
      <c r="O27" t="s">
        <v>91</v>
      </c>
      <c r="P27" s="1"/>
    </row>
    <row r="28" spans="1:16" ht="18" customHeight="1">
      <c r="A28" s="2"/>
      <c r="B28" s="172" t="s">
        <v>92</v>
      </c>
      <c r="C28" s="173"/>
      <c r="D28" s="66"/>
      <c r="E28" s="32"/>
      <c r="F28" s="35" t="b">
        <v>1</v>
      </c>
      <c r="G28" s="43"/>
      <c r="H28" s="48"/>
      <c r="I28" s="2"/>
      <c r="J28" s="44" t="s">
        <v>35</v>
      </c>
      <c r="O28" s="1" t="s">
        <v>20</v>
      </c>
      <c r="P28" s="1"/>
    </row>
    <row r="29" spans="1:16" ht="18" customHeight="1">
      <c r="A29" s="2"/>
      <c r="B29" s="172" t="s">
        <v>93</v>
      </c>
      <c r="C29" s="173"/>
      <c r="D29" s="66"/>
      <c r="E29" s="32"/>
      <c r="F29" s="35" t="b">
        <v>1</v>
      </c>
      <c r="G29" s="43"/>
      <c r="H29" s="48"/>
      <c r="I29" s="2"/>
      <c r="J29" s="44" t="s">
        <v>50</v>
      </c>
      <c r="L29" s="15"/>
      <c r="M29" t="s">
        <v>94</v>
      </c>
      <c r="O29"/>
    </row>
    <row r="30" spans="1:16" ht="18" customHeight="1" thickBot="1">
      <c r="A30" s="2"/>
      <c r="B30" s="172" t="s">
        <v>95</v>
      </c>
      <c r="C30" s="173"/>
      <c r="D30" s="66"/>
      <c r="E30" s="32"/>
      <c r="F30" s="35" t="b">
        <v>1</v>
      </c>
      <c r="G30" s="78" t="s">
        <v>34</v>
      </c>
      <c r="H30" s="70" t="s">
        <v>35</v>
      </c>
      <c r="I30" s="2"/>
      <c r="J30" s="44" t="s">
        <v>96</v>
      </c>
      <c r="M30" t="s">
        <v>49</v>
      </c>
      <c r="P30" s="1"/>
    </row>
    <row r="31" spans="1:16" ht="18" customHeight="1" thickBot="1">
      <c r="A31" s="2"/>
      <c r="B31" s="77" t="s">
        <v>97</v>
      </c>
      <c r="C31" s="76" t="s">
        <v>98</v>
      </c>
      <c r="D31" s="64"/>
      <c r="E31" s="33"/>
      <c r="F31" s="36" t="b">
        <v>1</v>
      </c>
      <c r="G31" s="78" t="s">
        <v>34</v>
      </c>
      <c r="H31" s="70" t="str">
        <f>IF(F31=TRUE,H10,"")</f>
        <v>GRY</v>
      </c>
      <c r="I31" s="2"/>
      <c r="J31" s="44" t="s">
        <v>99</v>
      </c>
      <c r="M31"/>
    </row>
    <row r="32" spans="1:16" ht="12.6" customHeight="1">
      <c r="A32" s="2"/>
      <c r="B32" s="19"/>
      <c r="C32" s="21"/>
      <c r="D32" s="20"/>
      <c r="E32" s="19"/>
      <c r="G32" s="20"/>
      <c r="H32" s="2"/>
      <c r="I32" s="2"/>
      <c r="J32" s="44" t="s">
        <v>98</v>
      </c>
      <c r="M32" s="15" t="s">
        <v>100</v>
      </c>
    </row>
    <row r="33" spans="1:15" ht="18.600000000000001" customHeight="1">
      <c r="A33" s="2"/>
      <c r="B33" s="139"/>
      <c r="C33" s="174"/>
      <c r="D33" s="174"/>
      <c r="E33" s="174"/>
      <c r="G33" s="138"/>
      <c r="H33" s="137"/>
      <c r="I33" s="2"/>
      <c r="J33" s="44" t="s">
        <v>101</v>
      </c>
      <c r="M33" s="15" t="s">
        <v>102</v>
      </c>
    </row>
    <row r="34" spans="1:15" ht="16.149999999999999" customHeight="1">
      <c r="A34" s="2"/>
      <c r="B34" s="140"/>
      <c r="C34" s="175"/>
      <c r="D34" s="175"/>
      <c r="E34" s="175"/>
      <c r="F34" s="46"/>
      <c r="G34" s="90"/>
      <c r="H34" s="44"/>
      <c r="I34" s="2"/>
      <c r="M34" s="15" t="s">
        <v>103</v>
      </c>
    </row>
    <row r="35" spans="1:15" ht="13.15" customHeight="1" thickBot="1">
      <c r="A35" s="2"/>
      <c r="B35" s="17"/>
      <c r="C35" s="23"/>
      <c r="D35" s="18"/>
      <c r="E35" s="17"/>
      <c r="F35" s="17"/>
      <c r="G35" s="18"/>
      <c r="H35" s="2"/>
      <c r="I35" s="2"/>
      <c r="M35" s="1" t="s">
        <v>58</v>
      </c>
    </row>
    <row r="36" spans="1:15" ht="17.45" customHeight="1" thickBot="1">
      <c r="A36" s="2"/>
      <c r="B36" s="91" t="s">
        <v>104</v>
      </c>
      <c r="C36" s="176" t="s">
        <v>29</v>
      </c>
      <c r="D36" s="177"/>
      <c r="E36" s="178"/>
      <c r="F36" s="92"/>
      <c r="G36" s="93" t="s">
        <v>105</v>
      </c>
      <c r="H36" s="94" t="s">
        <v>29</v>
      </c>
      <c r="I36" s="2"/>
      <c r="M36" s="16" t="s">
        <v>65</v>
      </c>
    </row>
    <row r="37" spans="1:15" ht="16.149999999999999" customHeight="1">
      <c r="A37" s="2"/>
      <c r="B37" s="95" t="s">
        <v>106</v>
      </c>
      <c r="C37" s="179"/>
      <c r="D37" s="180"/>
      <c r="E37" s="181"/>
      <c r="F37" s="96"/>
      <c r="G37" s="97" t="s">
        <v>106</v>
      </c>
      <c r="H37" s="98"/>
      <c r="I37" s="2"/>
      <c r="M37" t="s">
        <v>107</v>
      </c>
    </row>
    <row r="38" spans="1:15" ht="12.6" customHeight="1">
      <c r="A38" s="2"/>
      <c r="B38" s="26"/>
      <c r="C38" s="8"/>
      <c r="D38" s="8"/>
      <c r="E38" s="8"/>
      <c r="F38" s="182"/>
      <c r="G38" s="182"/>
      <c r="H38" s="2"/>
      <c r="I38" s="2"/>
    </row>
    <row r="39" spans="1:15" ht="14.45" customHeight="1">
      <c r="A39" s="2"/>
      <c r="B39" s="124" t="s">
        <v>108</v>
      </c>
      <c r="C39" s="171"/>
      <c r="D39" s="171"/>
      <c r="E39" s="171"/>
      <c r="F39" s="171"/>
      <c r="G39" s="171"/>
      <c r="H39" s="171"/>
      <c r="I39" s="2"/>
      <c r="O39"/>
    </row>
    <row r="40" spans="1:15">
      <c r="A40" s="2"/>
      <c r="B40"/>
      <c r="C40"/>
      <c r="D40"/>
      <c r="E40"/>
      <c r="F40"/>
      <c r="G40"/>
      <c r="H40" s="2"/>
      <c r="I40" s="2"/>
      <c r="O40"/>
    </row>
    <row r="41" spans="1:15">
      <c r="B41"/>
      <c r="C41"/>
      <c r="D41"/>
      <c r="E41"/>
      <c r="F41"/>
      <c r="G41"/>
      <c r="H41" s="2"/>
      <c r="I41" s="2"/>
      <c r="O41"/>
    </row>
    <row r="42" spans="1:15">
      <c r="B42"/>
      <c r="C42"/>
      <c r="D42"/>
      <c r="E42"/>
      <c r="F42"/>
      <c r="G42"/>
      <c r="H42" s="1"/>
      <c r="M42"/>
      <c r="O42"/>
    </row>
    <row r="43" spans="1:15">
      <c r="B43"/>
      <c r="C43"/>
      <c r="D43"/>
      <c r="E43"/>
      <c r="F43"/>
      <c r="G43"/>
      <c r="M43"/>
      <c r="O43"/>
    </row>
    <row r="44" spans="1:15">
      <c r="B44"/>
      <c r="C44"/>
      <c r="D44"/>
      <c r="E44"/>
      <c r="F44"/>
      <c r="G44"/>
      <c r="M44"/>
      <c r="O44"/>
    </row>
    <row r="45" spans="1:15">
      <c r="B45"/>
      <c r="C45"/>
      <c r="D45"/>
      <c r="E45"/>
      <c r="F45"/>
      <c r="G45"/>
      <c r="M45"/>
      <c r="O45"/>
    </row>
    <row r="46" spans="1:15">
      <c r="B46"/>
      <c r="C46"/>
      <c r="D46"/>
      <c r="E46"/>
      <c r="F46"/>
      <c r="G46"/>
      <c r="M46"/>
      <c r="O46"/>
    </row>
    <row r="47" spans="1:15" ht="15.75" customHeight="1">
      <c r="B47"/>
      <c r="C47"/>
      <c r="D47"/>
      <c r="E47"/>
      <c r="F47"/>
      <c r="G47"/>
      <c r="M47"/>
      <c r="O47"/>
    </row>
    <row r="48" spans="1:15" ht="15.75" customHeight="1">
      <c r="B48"/>
      <c r="C48"/>
      <c r="D48"/>
      <c r="E48"/>
      <c r="F48"/>
      <c r="G48"/>
      <c r="M48"/>
      <c r="O48"/>
    </row>
    <row r="49" customFormat="1"/>
    <row r="50" customFormat="1"/>
    <row r="51" customFormat="1"/>
    <row r="52" customFormat="1" ht="15.75" customHeight="1"/>
    <row r="53" customFormat="1" ht="15.75" customHeigh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 ht="21.75" customHeight="1"/>
    <row r="80" customFormat="1" ht="21.75" customHeight="1"/>
    <row r="81" spans="2:13" ht="21.75" customHeight="1">
      <c r="F81" s="24"/>
      <c r="M81"/>
    </row>
    <row r="82" spans="2:13" ht="21.75" customHeight="1">
      <c r="D82" s="28"/>
      <c r="E82" s="28"/>
      <c r="F82" s="28"/>
      <c r="M82"/>
    </row>
    <row r="83" spans="2:13">
      <c r="F83" s="24"/>
    </row>
    <row r="87" spans="2:13">
      <c r="B87" s="27"/>
      <c r="C87" s="27"/>
    </row>
  </sheetData>
  <dataConsolidate link="1"/>
  <mergeCells count="23">
    <mergeCell ref="B3:H5"/>
    <mergeCell ref="C6:G6"/>
    <mergeCell ref="D7:G7"/>
    <mergeCell ref="B21:C21"/>
    <mergeCell ref="B22:C22"/>
    <mergeCell ref="B16:C16"/>
    <mergeCell ref="D9:F9"/>
    <mergeCell ref="D8:F8"/>
    <mergeCell ref="C39:H39"/>
    <mergeCell ref="B18:C18"/>
    <mergeCell ref="B30:C30"/>
    <mergeCell ref="C33:E33"/>
    <mergeCell ref="C34:E34"/>
    <mergeCell ref="C36:E36"/>
    <mergeCell ref="C37:E37"/>
    <mergeCell ref="F38:G38"/>
    <mergeCell ref="B24:C24"/>
    <mergeCell ref="B25:C25"/>
    <mergeCell ref="B26:C26"/>
    <mergeCell ref="B27:C27"/>
    <mergeCell ref="B28:C28"/>
    <mergeCell ref="B29:C29"/>
    <mergeCell ref="B23:C23"/>
  </mergeCells>
  <conditionalFormatting sqref="H9:H10">
    <cfRule type="expression" dxfId="73" priority="3">
      <formula>$B9=1</formula>
    </cfRule>
    <cfRule type="expression" dxfId="72" priority="4">
      <formula>$K9="yes"</formula>
    </cfRule>
  </conditionalFormatting>
  <conditionalFormatting sqref="H18">
    <cfRule type="expression" dxfId="71" priority="1">
      <formula>$B18=1</formula>
    </cfRule>
    <cfRule type="expression" dxfId="70" priority="2">
      <formula>$K18="yes"</formula>
    </cfRule>
  </conditionalFormatting>
  <dataValidations count="23">
    <dataValidation type="list" allowBlank="1" showInputMessage="1" showErrorMessage="1" sqref="H16" xr:uid="{6897D395-7984-4A79-8886-04F0CB570578}">
      <formula1>$O$4:$O$15</formula1>
    </dataValidation>
    <dataValidation type="list" allowBlank="1" showInputMessage="1" showErrorMessage="1" sqref="H13 H10 H18" xr:uid="{1EC86337-5E69-441F-B67B-1A40403948AF}">
      <formula1>$J$20:$J$29</formula1>
    </dataValidation>
    <dataValidation type="list" allowBlank="1" showInputMessage="1" showErrorMessage="1" sqref="B27:C27" xr:uid="{C5F5C8A8-26D9-4838-AE85-3BA79DA18478}">
      <formula1>$J$8</formula1>
    </dataValidation>
    <dataValidation type="list" allowBlank="1" showInputMessage="1" showErrorMessage="1" sqref="C36:E36 H36" xr:uid="{4DC774AA-8934-4946-9D69-36ABD233D704}">
      <formula1>$J$21:$J$28</formula1>
    </dataValidation>
    <dataValidation type="list" allowBlank="1" showInputMessage="1" showErrorMessage="1" sqref="B25:C26" xr:uid="{501F24F1-B607-4891-9B87-F59453EE624B}">
      <formula1>$J$12:$J$14</formula1>
    </dataValidation>
    <dataValidation type="list" allowBlank="1" showInputMessage="1" showErrorMessage="1" prompt="Does not apply if SB is selected" sqref="C31" xr:uid="{CA824DA1-FB80-4557-950C-199BFDBABA26}">
      <formula1>$J$30:$J$33</formula1>
    </dataValidation>
    <dataValidation type="list" allowBlank="1" showInputMessage="1" showErrorMessage="1" sqref="C17" xr:uid="{FF995E2D-6A44-4550-BF83-5F0F2B57E3DE}">
      <formula1>$M$36:$M$37</formula1>
    </dataValidation>
    <dataValidation type="list" allowBlank="1" showInputMessage="1" showErrorMessage="1" sqref="B21:C21" xr:uid="{1F07C5B4-6F64-428D-B5D1-BDBF5F9166C9}">
      <formula1>$J$6:$J$7</formula1>
    </dataValidation>
    <dataValidation type="list" allowBlank="1" showInputMessage="1" showErrorMessage="1" sqref="C33 H11" xr:uid="{E0C803D0-A53D-49E4-A3A0-46AE7A67E319}">
      <formula1>$J$20:$J$28</formula1>
    </dataValidation>
    <dataValidation type="list" allowBlank="1" showInputMessage="1" showErrorMessage="1" sqref="C20" xr:uid="{CE01D8B1-E958-4093-AFFF-88A5385E4EC4}">
      <formula1>$M$15:$M$16</formula1>
    </dataValidation>
    <dataValidation type="list" allowBlank="1" showInputMessage="1" showErrorMessage="1" prompt="Hyd Pipe Rack does not work with 11' Tip-Top SB" sqref="C14" xr:uid="{3CD74EA1-E41B-4CAF-A19C-2C788A43C325}">
      <formula1>$M$29:$M$30</formula1>
    </dataValidation>
    <dataValidation type="list" allowBlank="1" showInputMessage="1" showErrorMessage="1" promptTitle="Service Body" prompt="Only applies if 11' Flatbed is selected" sqref="C11:C12" xr:uid="{DD5662C5-885E-411D-8E23-2A62263A194E}">
      <formula1>$M$26:$M$27</formula1>
    </dataValidation>
    <dataValidation type="list" allowBlank="1" showInputMessage="1" showErrorMessage="1" sqref="C9" xr:uid="{1F8A7137-5433-456A-A12F-31E87F0C43FE}">
      <formula1>$M$11:$M$13</formula1>
    </dataValidation>
    <dataValidation type="list" allowBlank="1" showErrorMessage="1" sqref="C15" xr:uid="{D3F1B139-CD67-4713-A2A3-584EA60CF161}">
      <formula1>$M$32:$M$35</formula1>
    </dataValidation>
    <dataValidation type="list" allowBlank="1" showInputMessage="1" showErrorMessage="1" prompt="Hyd Pipe Rack does not work with 11' Tip Top SB" sqref="C13" xr:uid="{84FE6149-716D-4DF0-A047-197B6F47A88E}">
      <formula1>$M$29:$M$30</formula1>
    </dataValidation>
    <dataValidation type="list" allowBlank="1" showInputMessage="1" showErrorMessage="1" sqref="H17" xr:uid="{FA165DCB-37EF-4F9C-BEF4-A474F7909480}">
      <formula1>$O$17:$O$18</formula1>
    </dataValidation>
    <dataValidation type="list" allowBlank="1" showInputMessage="1" showErrorMessage="1" sqref="C8" xr:uid="{6147D912-3E7B-4E79-9F80-998D8721F295}">
      <formula1>$M$3:$M$9</formula1>
    </dataValidation>
    <dataValidation type="list" allowBlank="1" showInputMessage="1" showErrorMessage="1" sqref="C19" xr:uid="{3632220B-08C6-41B1-A7D1-02C269B7F3BC}">
      <formula1>$O$20:$O$24</formula1>
    </dataValidation>
    <dataValidation type="list" allowBlank="1" showInputMessage="1" showErrorMessage="1" sqref="B24:C24" xr:uid="{D9AD0D37-A12F-4323-B2D4-40D25A1DDA67}">
      <formula1>$J$9:$J$9</formula1>
    </dataValidation>
    <dataValidation type="list" allowBlank="1" showInputMessage="1" showErrorMessage="1" sqref="B22:C23" xr:uid="{09E4777E-9CA6-4391-9A34-12A3F585717E}">
      <formula1>$J$9:$J$11</formula1>
    </dataValidation>
    <dataValidation type="list" allowBlank="1" showInputMessage="1" showErrorMessage="1" sqref="D9:F9" xr:uid="{87791195-E023-405A-B7FC-16E187DC89A5}">
      <formula1>$N$11:$N$13</formula1>
    </dataValidation>
    <dataValidation type="list" allowBlank="1" showInputMessage="1" showErrorMessage="1" sqref="D8:F8" xr:uid="{A8FEE178-E393-4EAF-881A-12A66C467CBB}">
      <formula1>$O$27:$O$28</formula1>
    </dataValidation>
    <dataValidation type="list" allowBlank="1" showInputMessage="1" showErrorMessage="1" sqref="C10" xr:uid="{A8CF920A-54AD-4F0D-9915-FB0438E27E70}">
      <formula1>$M$18:$M$25</formula1>
    </dataValidation>
  </dataValidations>
  <pageMargins left="0.7" right="0.7" top="0.75" bottom="0.75" header="0.3" footer="0.3"/>
  <pageSetup orientation="portrait" horizontalDpi="4294967293" r:id="rId1"/>
  <headerFooter>
    <oddHeader>&amp;C&amp;G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5" name="Check Box 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6</xdr:col>
                    <xdr:colOff>388620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6" name="Check Box 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6</xdr:col>
                    <xdr:colOff>388620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7" name="Check Box 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6</xdr:col>
                    <xdr:colOff>388620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8" name="Check Box 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22860</xdr:rowOff>
                  </from>
                  <to>
                    <xdr:col>6</xdr:col>
                    <xdr:colOff>388620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9" name="Check Box 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30480</xdr:rowOff>
                  </from>
                  <to>
                    <xdr:col>6</xdr:col>
                    <xdr:colOff>388620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10" name="Check Box 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7620</xdr:rowOff>
                  </from>
                  <to>
                    <xdr:col>6</xdr:col>
                    <xdr:colOff>373380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1" name="Check Box 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22860</xdr:rowOff>
                  </from>
                  <to>
                    <xdr:col>6</xdr:col>
                    <xdr:colOff>373380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2" name="Check Box 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6</xdr:col>
                    <xdr:colOff>373380</xdr:colOff>
                    <xdr:row>19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3" name="Check Box 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6</xdr:col>
                    <xdr:colOff>381000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4" name="Check Box 1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22860</xdr:rowOff>
                  </from>
                  <to>
                    <xdr:col>6</xdr:col>
                    <xdr:colOff>350520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5" name="Check Box 1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7620</xdr:rowOff>
                  </from>
                  <to>
                    <xdr:col>6</xdr:col>
                    <xdr:colOff>373380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6" name="Check Box 1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7620</xdr:rowOff>
                  </from>
                  <to>
                    <xdr:col>6</xdr:col>
                    <xdr:colOff>373380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7" name="Check Box 1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7620</xdr:rowOff>
                  </from>
                  <to>
                    <xdr:col>6</xdr:col>
                    <xdr:colOff>373380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8" name="Check Box 1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7620</xdr:rowOff>
                  </from>
                  <to>
                    <xdr:col>6</xdr:col>
                    <xdr:colOff>373380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9" name="Check Box 1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7620</xdr:rowOff>
                  </from>
                  <to>
                    <xdr:col>6</xdr:col>
                    <xdr:colOff>373380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20" name="Check Box 1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22860</xdr:rowOff>
                  </from>
                  <to>
                    <xdr:col>6</xdr:col>
                    <xdr:colOff>373380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1" name="Check Box 1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6</xdr:col>
                    <xdr:colOff>373380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2" name="Check Box 1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22860</xdr:rowOff>
                  </from>
                  <to>
                    <xdr:col>6</xdr:col>
                    <xdr:colOff>373380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3" name="Check Box 1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22860</xdr:rowOff>
                  </from>
                  <to>
                    <xdr:col>6</xdr:col>
                    <xdr:colOff>373380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4" name="Check Box 2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22860</xdr:rowOff>
                  </from>
                  <to>
                    <xdr:col>6</xdr:col>
                    <xdr:colOff>373380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5" name="Check Box 2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22860</xdr:rowOff>
                  </from>
                  <to>
                    <xdr:col>6</xdr:col>
                    <xdr:colOff>373380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6" name="Check Box 2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22860</xdr:rowOff>
                  </from>
                  <to>
                    <xdr:col>6</xdr:col>
                    <xdr:colOff>388620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6A5E-656D-4FB9-A894-E3DAE0CAF94C}">
  <dimension ref="A4:I47"/>
  <sheetViews>
    <sheetView showGridLines="0" showZeros="0" tabSelected="1" showRuler="0" view="pageLayout" topLeftCell="A6" zoomScale="90" zoomScaleNormal="100" zoomScalePageLayoutView="90" workbookViewId="0">
      <selection activeCell="C10" sqref="C10"/>
    </sheetView>
  </sheetViews>
  <sheetFormatPr defaultRowHeight="14.45"/>
  <cols>
    <col min="1" max="2" width="10.7109375" customWidth="1"/>
    <col min="3" max="3" width="9.5703125" customWidth="1"/>
    <col min="4" max="4" width="8.7109375" customWidth="1"/>
    <col min="5" max="5" width="8.85546875" customWidth="1"/>
    <col min="6" max="6" width="10.7109375" customWidth="1"/>
    <col min="7" max="7" width="9.7109375" customWidth="1"/>
    <col min="8" max="8" width="8.42578125" customWidth="1"/>
    <col min="9" max="9" width="10.28515625" bestFit="1" customWidth="1"/>
  </cols>
  <sheetData>
    <row r="4" spans="1:9" ht="1.1499999999999999" customHeight="1"/>
    <row r="5" spans="1:9" ht="31.9" customHeight="1">
      <c r="B5" s="220" t="s">
        <v>109</v>
      </c>
      <c r="C5" s="221"/>
      <c r="D5" s="221"/>
      <c r="E5" s="221"/>
      <c r="F5" s="221"/>
      <c r="G5" s="221"/>
      <c r="H5" s="222"/>
    </row>
    <row r="6" spans="1:9" ht="10.15" customHeight="1"/>
    <row r="7" spans="1:9">
      <c r="B7" s="9" t="s">
        <v>110</v>
      </c>
      <c r="C7" s="38" t="str">
        <f>'BUILD SHEET UB Series'!C9</f>
        <v>Regular</v>
      </c>
      <c r="D7" s="60" t="s">
        <v>111</v>
      </c>
      <c r="E7" s="223" t="str">
        <f>'BUILD SHEET UB Series'!H9</f>
        <v>TBD</v>
      </c>
      <c r="F7" s="223"/>
      <c r="G7" s="39" t="s">
        <v>112</v>
      </c>
      <c r="H7" s="59" t="str">
        <f>'BUILD SHEET UB Series'!C8</f>
        <v>9X3</v>
      </c>
    </row>
    <row r="8" spans="1:9" ht="13.15" customHeight="1">
      <c r="B8" s="71" t="s">
        <v>113</v>
      </c>
      <c r="C8" s="104" t="str">
        <f>'BUILD SHEET UB Series'!D9</f>
        <v>Ford</v>
      </c>
      <c r="D8" s="71" t="s">
        <v>114</v>
      </c>
      <c r="E8">
        <v>2021</v>
      </c>
    </row>
    <row r="9" spans="1:9">
      <c r="B9" s="10" t="s">
        <v>115</v>
      </c>
      <c r="C9" s="224">
        <v>44308</v>
      </c>
      <c r="D9" s="225"/>
      <c r="E9" s="226" t="s">
        <v>116</v>
      </c>
      <c r="F9" s="227"/>
      <c r="G9" s="228">
        <v>44325</v>
      </c>
      <c r="H9" s="229"/>
    </row>
    <row r="10" spans="1:9" ht="10.15" customHeight="1"/>
    <row r="11" spans="1:9" ht="15" thickBot="1">
      <c r="B11" s="9" t="s">
        <v>117</v>
      </c>
      <c r="C11" s="218" t="str">
        <f>'BUILD SHEET UB Series'!C6:G6</f>
        <v>C. Willis</v>
      </c>
      <c r="D11" s="219"/>
      <c r="E11" s="89"/>
      <c r="F11" s="126" t="s">
        <v>13</v>
      </c>
      <c r="G11" s="218" t="str">
        <f>'BUILD SHEET UB Series'!D7</f>
        <v>9X3H042021-15</v>
      </c>
      <c r="H11" s="219"/>
    </row>
    <row r="12" spans="1:9" ht="10.9" customHeight="1">
      <c r="A12" s="12"/>
      <c r="B12" s="230" t="s">
        <v>118</v>
      </c>
      <c r="C12" s="231"/>
      <c r="D12" s="234" t="str">
        <f>IF('BUILD SHEET UB Series'!F18=TRUE,"PISTOL GRIP CONTROL PANEL","PROPORTIONAL HYDRAULIC")</f>
        <v>PISTOL GRIP CONTROL PANEL</v>
      </c>
      <c r="E12" s="235"/>
      <c r="F12" s="236"/>
      <c r="G12" s="234" t="str">
        <f>'BUILD SHEET UB Series'!D8</f>
        <v>HYBRID</v>
      </c>
      <c r="H12" s="235"/>
      <c r="I12" s="166" t="s">
        <v>119</v>
      </c>
    </row>
    <row r="13" spans="1:9" ht="15" thickBot="1">
      <c r="A13" s="12"/>
      <c r="B13" s="232"/>
      <c r="C13" s="233"/>
      <c r="D13" s="237"/>
      <c r="E13" s="238"/>
      <c r="F13" s="239"/>
      <c r="G13" s="237"/>
      <c r="H13" s="238"/>
      <c r="I13" s="165"/>
    </row>
    <row r="14" spans="1:9">
      <c r="A14" s="112" t="s">
        <v>120</v>
      </c>
      <c r="B14" s="38" t="str">
        <f>'BUILD SHEET UB Series'!H8</f>
        <v>9000TDH</v>
      </c>
      <c r="C14" s="127" t="s">
        <v>121</v>
      </c>
      <c r="D14" s="128"/>
      <c r="F14" s="129" t="s">
        <v>122</v>
      </c>
      <c r="G14" s="130" t="str">
        <f>'BUILD SHEET UB Series'!H15</f>
        <v>3500TDH</v>
      </c>
      <c r="H14" s="143" t="s">
        <v>121</v>
      </c>
      <c r="I14" s="164"/>
    </row>
    <row r="15" spans="1:9">
      <c r="B15" s="12"/>
      <c r="C15" s="163" t="s">
        <v>123</v>
      </c>
      <c r="D15" s="61"/>
      <c r="E15" s="14" t="s">
        <v>34</v>
      </c>
      <c r="F15" s="12"/>
      <c r="G15" s="13" t="str">
        <f>'BUILD SHEET UB Series'!G16</f>
        <v>3/8" Cable</v>
      </c>
      <c r="H15" s="13" t="str">
        <f>'BUILD SHEET UB Series'!H16</f>
        <v>1500'</v>
      </c>
    </row>
    <row r="16" spans="1:9">
      <c r="A16" s="9" t="s">
        <v>124</v>
      </c>
      <c r="B16" s="216" t="str">
        <f>'BUILD SHEET UB Series'!C10</f>
        <v>11' Flatbed</v>
      </c>
      <c r="C16" s="217"/>
      <c r="D16" s="134" t="str">
        <f>'BUILD SHEET UB Series'!H10</f>
        <v>GRY</v>
      </c>
      <c r="E16" s="9" t="s">
        <v>125</v>
      </c>
      <c r="F16" s="119" t="s">
        <v>126</v>
      </c>
      <c r="G16" s="9" t="s">
        <v>127</v>
      </c>
      <c r="H16" s="61" t="str">
        <f>'BUILD SHEET UB Series'!H13</f>
        <v>ALUM</v>
      </c>
    </row>
    <row r="17" spans="1:9">
      <c r="A17" s="89" t="s">
        <v>128</v>
      </c>
      <c r="B17" s="197" t="str">
        <f>"GLF2110QBGIS161"</f>
        <v>GLF2110QBGIS161</v>
      </c>
      <c r="C17" s="197"/>
      <c r="D17" t="s">
        <v>129</v>
      </c>
      <c r="E17" s="105"/>
      <c r="F17" s="101">
        <f>'BUILD SHEET UB Series'!C34</f>
        <v>0</v>
      </c>
      <c r="G17" s="105" t="s">
        <v>130</v>
      </c>
      <c r="H17" s="122"/>
    </row>
    <row r="18" spans="1:9" ht="15" thickBot="1">
      <c r="A18" s="114" t="s">
        <v>131</v>
      </c>
      <c r="B18" s="212" t="s">
        <v>132</v>
      </c>
      <c r="C18" s="212"/>
      <c r="D18" s="212"/>
      <c r="E18" s="212"/>
      <c r="F18" s="52"/>
      <c r="G18" s="79" t="s">
        <v>133</v>
      </c>
      <c r="H18" s="80" t="s">
        <v>134</v>
      </c>
      <c r="I18" s="79" t="s">
        <v>135</v>
      </c>
    </row>
    <row r="19" spans="1:9" ht="15" thickBot="1">
      <c r="A19" s="115" t="str">
        <f>_xlfn.IFS(D19="3,000","BG0475",D19="4,000","BG0785",D19="6,000","BG0785BE",D19="7,000","A10F M 63",D19="9,000","AA2FM80")</f>
        <v>AA2FM80</v>
      </c>
      <c r="B19" s="213" t="s">
        <v>136</v>
      </c>
      <c r="C19" s="213"/>
      <c r="D19" s="214" t="str">
        <f>IF(H7="3X2","3,000",IF(H7="3X3","3,000",IF(H7="4X3","4,000",IF(H7="6X2","6,000",IF(H7="6X3","6,000",IF(H7="7X3","7,000",IF(H7="9X3","9,000","")))))))</f>
        <v>9,000</v>
      </c>
      <c r="E19" s="215"/>
      <c r="F19" s="81" t="s">
        <v>137</v>
      </c>
      <c r="G19" s="82" t="str">
        <f>IF(F19="YES","1","")</f>
        <v>1</v>
      </c>
      <c r="H19" s="83" t="str">
        <f>IF(AND(F19="YES",D12="PROPORTIONAL HYDRAULIC"),"H644",IF(F19="YES","H744",""))</f>
        <v>H744</v>
      </c>
      <c r="I19" s="84"/>
    </row>
    <row r="20" spans="1:9">
      <c r="A20" s="115" t="str">
        <f>IF(AND(F20="YES"),_xlfn.IFS(D20="1000 POUND","BG0140",D20="1500 POUND","BG0310",D20="2500 POUND","BG0335",D20="3500 POUND","BG00475"),"N/A")</f>
        <v>BG00475</v>
      </c>
      <c r="B20" s="207" t="str">
        <f>'BUILD SHEET UB Series'!B15</f>
        <v>Sand Line-</v>
      </c>
      <c r="C20" s="207"/>
      <c r="D20" s="194" t="str">
        <f>'BUILD SHEET UB Series'!C15</f>
        <v>3500 Pound</v>
      </c>
      <c r="E20" s="195"/>
      <c r="F20" s="121" t="str">
        <f>IF('BUILD SHEET UB Series'!F15=TRUE,"YES","NO")</f>
        <v>YES</v>
      </c>
      <c r="G20" s="40" t="str">
        <f>IF(AND(F20="YES",G19="1"),"2","")</f>
        <v>2</v>
      </c>
      <c r="H20" s="50" t="str">
        <f>IF(AND(F20="YES",D12="PROPORTIONAL HYDRAULIC"),"H544",IF(F20="YES","H744",""))</f>
        <v>H744</v>
      </c>
      <c r="I20" s="86"/>
    </row>
    <row r="21" spans="1:9">
      <c r="A21" s="116">
        <f>IF(F21="YES",212778,"N/A")</f>
        <v>212778</v>
      </c>
      <c r="B21" s="135"/>
      <c r="C21" s="133" t="s">
        <v>138</v>
      </c>
      <c r="D21" s="194" t="s">
        <v>139</v>
      </c>
      <c r="E21" s="195"/>
      <c r="F21" s="121" t="s">
        <v>137</v>
      </c>
      <c r="G21" s="40" t="str">
        <f>IF(AND(F21="YES",G20="2"),"3","2")</f>
        <v>3</v>
      </c>
      <c r="H21" s="50" t="str">
        <f>IF(F21="YES","C524","")</f>
        <v>C524</v>
      </c>
      <c r="I21" s="86"/>
    </row>
    <row r="22" spans="1:9">
      <c r="A22" s="116" t="str" cm="1">
        <f t="array" ref="A22">_xlfn.IFS(H7="3X2","3.5 X 2.25",H7="3X3","3.5 X 2.25",H7="4X3","3.5 X 2.25",H7="6X2","3.5 X 2.25",H7="6X3","4 X 3.5",H7="7X3","4 X 3.5",H7="9X3","4 X 3.5")</f>
        <v>4 X 3.5</v>
      </c>
      <c r="B22" s="135" t="str">
        <f>'BUILD SHEET UB Series'!H17</f>
        <v>48'</v>
      </c>
      <c r="C22" s="133" t="s">
        <v>138</v>
      </c>
      <c r="D22" s="194" t="s">
        <v>140</v>
      </c>
      <c r="E22" s="195"/>
      <c r="F22" s="121" t="s">
        <v>137</v>
      </c>
      <c r="G22" s="40" t="str">
        <f>IF(AND(F22="YES",G21="2"),"3","4")</f>
        <v>4</v>
      </c>
      <c r="H22" s="50" t="str">
        <f>IF(F22="YES","C424","")</f>
        <v>C424</v>
      </c>
      <c r="I22" s="86"/>
    </row>
    <row r="23" spans="1:9">
      <c r="A23" s="117" t="str">
        <f>IF(AND(F23="YES",D23="HYD PIPE RACK",OR(B16="11' FLATBED",B16="9' FLATBED")),212675,IF(AND(F23="YES",D23="HYD PIPE RACK"),212677,"N/A"))</f>
        <v>N/A</v>
      </c>
      <c r="B23" s="207" t="str">
        <f>'BUILD SHEET UB Series'!B14</f>
        <v>Pass Side-</v>
      </c>
      <c r="C23" s="207"/>
      <c r="D23" s="194" t="str">
        <f>'BUILD SHEET UB Series'!C14</f>
        <v>Basic Pipe Rack</v>
      </c>
      <c r="E23" s="195"/>
      <c r="F23" s="121" t="str">
        <f>IF('BUILD SHEET UB Series'!F13=TRUE,"YES","NO")</f>
        <v>YES</v>
      </c>
      <c r="G23" s="40" t="str">
        <f>IF(AND(D23="HYD PIPE RACK",F23="YES"),G22+1,"")</f>
        <v/>
      </c>
      <c r="H23" s="50" t="str">
        <f>IF(AND(F23="YES",D23="HYD PIPE RACK"),"C124","")</f>
        <v/>
      </c>
      <c r="I23" s="86"/>
    </row>
    <row r="24" spans="1:9">
      <c r="A24" s="117"/>
      <c r="B24" s="207" t="s">
        <v>64</v>
      </c>
      <c r="C24" s="207"/>
      <c r="D24" s="194" t="s">
        <v>141</v>
      </c>
      <c r="E24" s="195"/>
      <c r="F24" s="121" t="s">
        <v>137</v>
      </c>
      <c r="G24" s="40">
        <f>IF(AND(F24="YES"),_xlfn.IFS(AND(F23="YES",D23="HYD PIPE RACK"),G23+1,F22="YES",G22+1),"")</f>
        <v>5</v>
      </c>
      <c r="H24" s="50" t="str">
        <f>IF(F24="YES","C224","")</f>
        <v>C224</v>
      </c>
      <c r="I24" s="86"/>
    </row>
    <row r="25" spans="1:9">
      <c r="A25" s="117"/>
      <c r="B25" s="206" t="str">
        <f>'BUILD SHEET UB Series'!B17</f>
        <v>Outrigger-</v>
      </c>
      <c r="C25" s="207"/>
      <c r="D25" s="194" t="str">
        <f>'BUILD SHEET UB Series'!C17</f>
        <v>Front</v>
      </c>
      <c r="E25" s="195"/>
      <c r="F25" s="121" t="str">
        <f>IF('BUILD SHEET UB Series'!F17=TRUE,"YES","NO")</f>
        <v>YES</v>
      </c>
      <c r="G25" s="40">
        <f>IF(AND(F25="YES"),_xlfn.IFS(F24="YES",G24+1),"")</f>
        <v>6</v>
      </c>
      <c r="H25" s="50" t="str">
        <f>IF(F25="YES","C224","")</f>
        <v>C224</v>
      </c>
      <c r="I25" s="86"/>
    </row>
    <row r="26" spans="1:9">
      <c r="A26" s="117"/>
      <c r="B26" s="189" t="s">
        <v>142</v>
      </c>
      <c r="C26" s="190"/>
      <c r="D26" s="190"/>
      <c r="E26" s="196"/>
      <c r="F26" s="121" t="str">
        <f>IF(AND(D25="DUAL BEHIND CAB",F25="YES"),"YES","NO")</f>
        <v>NO</v>
      </c>
      <c r="G26" s="40" t="str">
        <f>IF(AND(F26="YES"),_xlfn.IFS(F25="YES",G25+1),"")</f>
        <v/>
      </c>
      <c r="H26" s="50" t="str">
        <f>IF(F26="YES","C224","")</f>
        <v/>
      </c>
      <c r="I26" s="86"/>
    </row>
    <row r="27" spans="1:9">
      <c r="A27" s="117"/>
      <c r="B27" s="206" t="s">
        <v>64</v>
      </c>
      <c r="C27" s="207"/>
      <c r="D27" s="194" t="s">
        <v>143</v>
      </c>
      <c r="E27" s="195"/>
      <c r="F27" s="121" t="s">
        <v>137</v>
      </c>
      <c r="G27" s="40">
        <f>IF(AND(F27="YES"),_xlfn.IFS(F26="YES",G26+1,F25="YES",G25+1,F24="YES",G24+1,F23="YES",G23+1),"")</f>
        <v>7</v>
      </c>
      <c r="H27" s="50" t="str">
        <f>IF(F27="YES","C224","")</f>
        <v>C224</v>
      </c>
      <c r="I27" s="86"/>
    </row>
    <row r="28" spans="1:9">
      <c r="A28" s="117" t="str">
        <f>IF(AND(F28="YES",D28="HYD PIPE RACK",OR(B16="11' FLATBED",B16="9' FLATBED")),212675,IF(AND(F28="YES",D28="HYD PIPE RACK"),212677,"N/A"))</f>
        <v>N/A</v>
      </c>
      <c r="B28" s="206" t="str">
        <f>'BUILD SHEET UB Series'!B13</f>
        <v>Drive Side-</v>
      </c>
      <c r="C28" s="207"/>
      <c r="D28" s="194" t="str">
        <f>'BUILD SHEET UB Series'!C13</f>
        <v>Basic Pipe Rack</v>
      </c>
      <c r="E28" s="195"/>
      <c r="F28" s="121" t="str">
        <f>IF('BUILD SHEET UB Series'!F13=TRUE,"YES","NO")</f>
        <v>YES</v>
      </c>
      <c r="G28" s="40" t="str">
        <f>IF(AND(D28="HYD PIPE RACK",F28="YES"),_xlfn.IFS(F27="YES",G27+1,F26="YES",G26+1,F25="YES",G25+1),"")</f>
        <v/>
      </c>
      <c r="H28" s="50" t="str">
        <f>IF(AND(F28="YES",D28="HYD PIPE RACK"),"C124","")</f>
        <v/>
      </c>
      <c r="I28" s="86"/>
    </row>
    <row r="29" spans="1:9">
      <c r="A29" s="117" t="str">
        <f>IF(AND(F29="YES"),IF(B29="BREAKOUT CYLINDER","MIDGET VLV","N/A"),"N/A")</f>
        <v>N/A</v>
      </c>
      <c r="B29" s="190" t="str">
        <f>'BUILD SHEET UB Series'!B21:C21</f>
        <v>AUX Hydraulics</v>
      </c>
      <c r="C29" s="190"/>
      <c r="D29" s="190"/>
      <c r="E29" s="196"/>
      <c r="F29" s="121" t="str">
        <f>IF('BUILD SHEET UB Series'!F21=TRUE,"YES","NO")</f>
        <v>NO</v>
      </c>
      <c r="G29" s="40" t="str">
        <f>IF(AND(F29="YES"),IF(AND(F28="YES",D28="HYD PIPE RACK"),G28+1,IF(F27="YES",G27+1,"")),"")</f>
        <v/>
      </c>
      <c r="H29" s="50" t="str">
        <f>IF(F29="YES","C524","")</f>
        <v/>
      </c>
      <c r="I29" s="86"/>
    </row>
    <row r="30" spans="1:9">
      <c r="A30" s="117" t="str">
        <f>IF(AND(F30="YES",B30="WIRE WINDER",D12="PROPORTIONAL HYDRAULIC"),"MANUAL",IF(AND(F30="YES",B30="WIRE WINDER",D12="PISTOL GRIP CONTROL PANEL"),"ELECTRIC","N/A"))</f>
        <v>ELECTRIC</v>
      </c>
      <c r="B30" s="190" t="str">
        <f>'BUILD SHEET UB Series'!B27:C27</f>
        <v>Wire Winder</v>
      </c>
      <c r="C30" s="190"/>
      <c r="D30" s="190"/>
      <c r="E30" s="196"/>
      <c r="F30" s="121" t="str">
        <f>IF('BUILD SHEET UB Series'!F27=TRUE,"YES","NO")</f>
        <v>YES</v>
      </c>
      <c r="G30" s="40">
        <f>IF(AND(F30="YES"),IF(F29="YES",G29+1,IF(AND(F28="YES",D28="HYD PIPE RACK"),G28+1,IF(F27="YES",G27+1,""))),"")</f>
        <v>8</v>
      </c>
      <c r="H30" s="50" t="str">
        <f>IF(F30="YES","C124","")</f>
        <v>C124</v>
      </c>
      <c r="I30" s="86"/>
    </row>
    <row r="31" spans="1:9">
      <c r="A31" s="117" t="str">
        <f>IF(AND(F31="YES",B31="AIR COMPRESSOR- 17 cfm"),"M315","N/A")</f>
        <v>M315</v>
      </c>
      <c r="B31" s="189" t="str">
        <f>'BUILD SHEET UB Series'!B28:C28</f>
        <v>Air Compressor- 17 cfm</v>
      </c>
      <c r="C31" s="190"/>
      <c r="D31" s="190"/>
      <c r="E31" s="196"/>
      <c r="F31" s="121" t="str">
        <f>IF('BUILD SHEET UB Series'!F28=TRUE,"YES","NO")</f>
        <v>YES</v>
      </c>
      <c r="G31" s="40">
        <f>IF(AND(F31="YES"),IF(F30="YES",G30+1,IF(F29="YES",G29+1,IF(AND(F28="YES",D28="HYD PIPE RACK"),G28+1,IF(F27="YES",G27+1,"")))),"")</f>
        <v>9</v>
      </c>
      <c r="H31" s="50" t="str">
        <f>IF(F31="YES","H544","")</f>
        <v>H544</v>
      </c>
      <c r="I31" s="86"/>
    </row>
    <row r="32" spans="1:9">
      <c r="A32" s="117"/>
      <c r="B32" s="189" t="str">
        <f>'BUILD SHEET UB Series'!B29:C29</f>
        <v>Getec 300-10 Welder/Generator</v>
      </c>
      <c r="C32" s="190"/>
      <c r="D32" s="190"/>
      <c r="E32" s="196"/>
      <c r="F32" s="121" t="str">
        <f>IF('BUILD SHEET UB Series'!F29=TRUE,"YES","NO")</f>
        <v>YES</v>
      </c>
      <c r="G32" s="40">
        <f>IF(AND(F32="YES"),IF(F31="YES",G31+1,IF(F30="YES",G30+1,IF(F29="YES",G29+1,IF(AND(F28="YES",D28="HYD PIPE RACK"),G28+1,IF(F27="YES",G27+1,""))))),"")</f>
        <v>10</v>
      </c>
      <c r="H32" s="50" t="str">
        <f>IF(F32="YES","H544","")</f>
        <v>H544</v>
      </c>
      <c r="I32" s="86"/>
    </row>
    <row r="33" spans="1:9">
      <c r="A33" s="117"/>
      <c r="B33" s="206" t="str">
        <f>'BUILD SHEET UB Series'!B19</f>
        <v>Hook-</v>
      </c>
      <c r="C33" s="207"/>
      <c r="D33" s="208" t="str">
        <f>'BUILD SHEET UB Series'!C19</f>
        <v>5-S-6</v>
      </c>
      <c r="E33" s="209"/>
      <c r="F33" s="110" t="str">
        <f>IF('BUILD SHEET UB Series'!F19=TRUE,"YES","NO")</f>
        <v>YES</v>
      </c>
      <c r="G33" s="53" t="s">
        <v>144</v>
      </c>
      <c r="H33" s="51"/>
      <c r="I33" s="87"/>
    </row>
    <row r="34" spans="1:9">
      <c r="A34" s="117"/>
      <c r="B34" s="207" t="str">
        <f>'BUILD SHEET UB Series'!B11</f>
        <v>Drive Side-</v>
      </c>
      <c r="C34" s="207"/>
      <c r="D34" s="194" t="str">
        <f>'BUILD SHEET UB Series'!C11</f>
        <v>Half Utility</v>
      </c>
      <c r="E34" s="195"/>
      <c r="F34" s="121" t="str">
        <f>IF('BUILD SHEET UB Series'!F11=TRUE,"YES","NO")</f>
        <v>YES</v>
      </c>
      <c r="G34" s="40" t="str">
        <f>IF(F34="YES",'BUILD SHEET UB Series'!H11,"")</f>
        <v>RED</v>
      </c>
      <c r="H34" s="50"/>
      <c r="I34" s="86"/>
    </row>
    <row r="35" spans="1:9">
      <c r="A35" s="117"/>
      <c r="B35" s="207" t="str">
        <f>'BUILD SHEET UB Series'!B12</f>
        <v>Pass Side-</v>
      </c>
      <c r="C35" s="207"/>
      <c r="D35" s="210" t="str">
        <f>'BUILD SHEET UB Series'!C12</f>
        <v>Full Utility</v>
      </c>
      <c r="E35" s="211"/>
      <c r="F35" s="121" t="str">
        <f>IF('BUILD SHEET UB Series'!F12=TRUE,"YES","NO")</f>
        <v>YES</v>
      </c>
      <c r="G35" s="40" t="str">
        <f>IF(F35="YES",'BUILD SHEET UB Series'!H12,"")</f>
        <v>RED</v>
      </c>
      <c r="H35" s="50"/>
      <c r="I35" s="86"/>
    </row>
    <row r="36" spans="1:9">
      <c r="A36" s="136" t="str">
        <f>IF(F36="YES","Mar-18-2-60-4A","N/A")</f>
        <v>Mar-18-2-60-4A</v>
      </c>
      <c r="B36" s="189" t="str">
        <f>'BUILD SHEET UB Series'!B16:C16</f>
        <v>Auto Oil Cooler</v>
      </c>
      <c r="C36" s="190"/>
      <c r="D36" s="190"/>
      <c r="E36" s="196"/>
      <c r="F36" s="121" t="str">
        <f>IF('BUILD SHEET UB Series'!F16=TRUE,"YES","NO")</f>
        <v>YES</v>
      </c>
      <c r="G36" s="40"/>
      <c r="H36" s="50"/>
      <c r="I36" s="86"/>
    </row>
    <row r="37" spans="1:9">
      <c r="A37" s="85"/>
      <c r="B37" s="190" t="str">
        <f>'BUILD SHEET UB Series'!B22:C22</f>
        <v>Line-X</v>
      </c>
      <c r="C37" s="190"/>
      <c r="D37" s="190"/>
      <c r="E37" s="196"/>
      <c r="F37" s="121" t="str">
        <f>IF('BUILD SHEET UB Series'!F22=TRUE,"YES","NO")</f>
        <v>YES</v>
      </c>
      <c r="G37" s="40" t="str">
        <f>IF(F37="YES","BLK","")</f>
        <v>BLK</v>
      </c>
      <c r="H37" s="50"/>
      <c r="I37" s="86"/>
    </row>
    <row r="38" spans="1:9">
      <c r="A38" s="85"/>
      <c r="B38" s="190" t="str">
        <f>'BUILD SHEET UB Series'!B24:C24</f>
        <v>Side Gate</v>
      </c>
      <c r="C38" s="190"/>
      <c r="D38" s="190"/>
      <c r="E38" s="196"/>
      <c r="F38" s="121" t="str">
        <f>IF('BUILD SHEET UB Series'!F24=TRUE,"YES","NO")</f>
        <v>YES</v>
      </c>
      <c r="G38" s="40">
        <f>IF(F38="YES",C16,"")</f>
        <v>0</v>
      </c>
      <c r="H38" s="50"/>
      <c r="I38" s="86"/>
    </row>
    <row r="39" spans="1:9">
      <c r="A39" s="85"/>
      <c r="B39" s="190" t="str">
        <f>'BUILD SHEET UB Series'!B23:C23</f>
        <v>Wire Spool Holder</v>
      </c>
      <c r="C39" s="190"/>
      <c r="D39" s="190"/>
      <c r="E39" s="196"/>
      <c r="F39" s="121" t="str">
        <f>IF('BUILD SHEET UB Series'!F23=TRUE,"YES","NO")</f>
        <v>YES</v>
      </c>
      <c r="G39" s="40">
        <f>IF(F39="YES",C16,"")</f>
        <v>0</v>
      </c>
      <c r="H39" s="50"/>
      <c r="I39" s="86"/>
    </row>
    <row r="40" spans="1:9">
      <c r="A40" s="85"/>
      <c r="B40" s="190" t="str">
        <f>'BUILD SHEET UB Series'!B25:C25</f>
        <v>Sand Line Counter</v>
      </c>
      <c r="C40" s="190"/>
      <c r="D40" s="190"/>
      <c r="E40" s="196"/>
      <c r="F40" s="121" t="str">
        <f>IF('BUILD SHEET UB Series'!F25=TRUE,"YES","NO")</f>
        <v>YES</v>
      </c>
      <c r="G40" s="40"/>
      <c r="H40" s="50"/>
      <c r="I40" s="86"/>
    </row>
    <row r="41" spans="1:9">
      <c r="A41" s="85"/>
      <c r="B41" s="190" t="str">
        <f>'BUILD SHEET UB Series'!B26:C26</f>
        <v>Vise Holder</v>
      </c>
      <c r="C41" s="190"/>
      <c r="D41" s="190"/>
      <c r="E41" s="196"/>
      <c r="F41" s="121" t="str">
        <f>IF('BUILD SHEET UB Series'!F26=TRUE,"YES","NO")</f>
        <v>NO</v>
      </c>
      <c r="G41" s="40"/>
      <c r="H41" s="11"/>
      <c r="I41" s="86"/>
    </row>
    <row r="42" spans="1:9">
      <c r="A42" s="85"/>
      <c r="B42" s="197" t="str">
        <f>'BUILD SHEET UB Series'!B30:C30</f>
        <v>Under Carriage- Drive Side 2.5' Box</v>
      </c>
      <c r="C42" s="197"/>
      <c r="D42" s="190"/>
      <c r="E42" s="196"/>
      <c r="F42" s="169" t="str">
        <f>IF('BUILD SHEET UB Series'!F30=TRUE,"YES","NO")</f>
        <v>YES</v>
      </c>
      <c r="G42" s="40" t="s">
        <v>35</v>
      </c>
      <c r="H42" s="11"/>
      <c r="I42" s="86"/>
    </row>
    <row r="43" spans="1:9" ht="15" customHeight="1" thickBot="1">
      <c r="A43" s="132"/>
      <c r="B43" s="198" t="str">
        <f>'BUILD SHEET UB Series'!B31</f>
        <v>Under Carriage-</v>
      </c>
      <c r="C43" s="199"/>
      <c r="D43" s="200" t="str">
        <f>'BUILD SHEET UB Series'!C31</f>
        <v>Drive &amp; Pass Box</v>
      </c>
      <c r="E43" s="201"/>
      <c r="F43" s="73" t="str">
        <f>IF('BUILD SHEET UB Series'!F31=TRUE,"YES","NO")</f>
        <v>YES</v>
      </c>
      <c r="G43" s="74" t="str">
        <f>IF(F43="YES",'BUILD SHEET UB Series'!H31,"")</f>
        <v>GRY</v>
      </c>
      <c r="H43" s="75"/>
      <c r="I43" s="88"/>
    </row>
    <row r="44" spans="1:9" ht="13.9" customHeight="1" thickBot="1">
      <c r="A44" s="113"/>
      <c r="B44" s="202" t="s">
        <v>145</v>
      </c>
      <c r="C44" s="203"/>
      <c r="D44" s="102" t="s">
        <v>40</v>
      </c>
      <c r="E44" s="122"/>
      <c r="F44" s="202" t="s">
        <v>146</v>
      </c>
      <c r="G44" s="203"/>
      <c r="H44" s="99" t="s">
        <v>40</v>
      </c>
      <c r="I44" s="15"/>
    </row>
    <row r="45" spans="1:9" ht="12" customHeight="1">
      <c r="A45" s="113"/>
      <c r="B45" s="204" t="s">
        <v>106</v>
      </c>
      <c r="C45" s="204"/>
      <c r="D45" s="100">
        <f>'BUILD SHEET UB Series'!C37:E37</f>
        <v>0</v>
      </c>
      <c r="E45" s="122"/>
      <c r="F45" s="205"/>
      <c r="G45" s="205"/>
      <c r="H45" s="122"/>
    </row>
    <row r="46" spans="1:9">
      <c r="A46" s="107" t="s">
        <v>126</v>
      </c>
      <c r="B46" s="193" t="s">
        <v>147</v>
      </c>
      <c r="C46" s="194"/>
      <c r="D46" s="194"/>
      <c r="E46" s="194"/>
      <c r="F46" s="194"/>
      <c r="G46" s="194"/>
      <c r="H46" s="194"/>
      <c r="I46" s="195"/>
    </row>
    <row r="47" spans="1:9">
      <c r="A47" s="106"/>
      <c r="B47" s="134" t="s">
        <v>148</v>
      </c>
      <c r="C47" s="31"/>
      <c r="D47" s="31"/>
      <c r="E47" s="31"/>
      <c r="F47" s="31"/>
      <c r="G47" s="31"/>
      <c r="H47" s="170" t="s">
        <v>149</v>
      </c>
      <c r="I47" s="168"/>
    </row>
  </sheetData>
  <mergeCells count="54">
    <mergeCell ref="B17:C17"/>
    <mergeCell ref="B16:C16"/>
    <mergeCell ref="C11:D11"/>
    <mergeCell ref="G11:H11"/>
    <mergeCell ref="B5:H5"/>
    <mergeCell ref="E7:F7"/>
    <mergeCell ref="C9:D9"/>
    <mergeCell ref="E9:F9"/>
    <mergeCell ref="G9:H9"/>
    <mergeCell ref="B12:C13"/>
    <mergeCell ref="D12:F13"/>
    <mergeCell ref="G12:H13"/>
    <mergeCell ref="B18:E18"/>
    <mergeCell ref="B19:C19"/>
    <mergeCell ref="D19:E19"/>
    <mergeCell ref="B20:C20"/>
    <mergeCell ref="D20:E20"/>
    <mergeCell ref="D21:E21"/>
    <mergeCell ref="D22:E22"/>
    <mergeCell ref="B23:C23"/>
    <mergeCell ref="D23:E23"/>
    <mergeCell ref="B32:E32"/>
    <mergeCell ref="B24:C24"/>
    <mergeCell ref="D24:E24"/>
    <mergeCell ref="B25:C25"/>
    <mergeCell ref="D25:E25"/>
    <mergeCell ref="B26:E26"/>
    <mergeCell ref="B27:C27"/>
    <mergeCell ref="D27:E27"/>
    <mergeCell ref="B28:C28"/>
    <mergeCell ref="D28:E28"/>
    <mergeCell ref="B29:E29"/>
    <mergeCell ref="B30:E30"/>
    <mergeCell ref="B37:E37"/>
    <mergeCell ref="B38:E38"/>
    <mergeCell ref="B39:E39"/>
    <mergeCell ref="B40:E40"/>
    <mergeCell ref="B35:C35"/>
    <mergeCell ref="D35:E35"/>
    <mergeCell ref="B36:E36"/>
    <mergeCell ref="B31:E31"/>
    <mergeCell ref="B33:C33"/>
    <mergeCell ref="D33:E33"/>
    <mergeCell ref="B34:C34"/>
    <mergeCell ref="D34:E34"/>
    <mergeCell ref="B46:I46"/>
    <mergeCell ref="B41:E41"/>
    <mergeCell ref="B42:E42"/>
    <mergeCell ref="B43:C43"/>
    <mergeCell ref="D43:E43"/>
    <mergeCell ref="B44:C44"/>
    <mergeCell ref="F44:G44"/>
    <mergeCell ref="B45:C45"/>
    <mergeCell ref="F45:G45"/>
  </mergeCells>
  <conditionalFormatting sqref="B20:E20">
    <cfRule type="expression" dxfId="69" priority="30">
      <formula>$F$20="YES"</formula>
    </cfRule>
  </conditionalFormatting>
  <conditionalFormatting sqref="B23:E23">
    <cfRule type="expression" dxfId="68" priority="29">
      <formula>$F$23="YES"</formula>
    </cfRule>
  </conditionalFormatting>
  <conditionalFormatting sqref="D24">
    <cfRule type="expression" dxfId="67" priority="28">
      <formula>$F$24="YES"</formula>
    </cfRule>
  </conditionalFormatting>
  <conditionalFormatting sqref="B19:E19">
    <cfRule type="expression" dxfId="66" priority="27">
      <formula>$F$19="YES"</formula>
    </cfRule>
  </conditionalFormatting>
  <conditionalFormatting sqref="B29">
    <cfRule type="expression" dxfId="65" priority="26">
      <formula>$F$29="YES"</formula>
    </cfRule>
  </conditionalFormatting>
  <conditionalFormatting sqref="B34 D34">
    <cfRule type="expression" dxfId="64" priority="25">
      <formula>$F$34="YES"</formula>
    </cfRule>
  </conditionalFormatting>
  <conditionalFormatting sqref="B39:E39">
    <cfRule type="expression" dxfId="63" priority="22">
      <formula>$F$39="YES"</formula>
    </cfRule>
  </conditionalFormatting>
  <conditionalFormatting sqref="B40:E40">
    <cfRule type="expression" dxfId="62" priority="21">
      <formula>$F$40="YES"</formula>
    </cfRule>
  </conditionalFormatting>
  <conditionalFormatting sqref="B41:E41">
    <cfRule type="expression" dxfId="61" priority="20">
      <formula>$F$41="YES"</formula>
    </cfRule>
  </conditionalFormatting>
  <conditionalFormatting sqref="B42">
    <cfRule type="expression" dxfId="60" priority="19">
      <formula>$F$42="YES"</formula>
    </cfRule>
  </conditionalFormatting>
  <conditionalFormatting sqref="B21:E21">
    <cfRule type="expression" dxfId="59" priority="18">
      <formula>$F$21="YES"</formula>
    </cfRule>
  </conditionalFormatting>
  <conditionalFormatting sqref="B22:E22">
    <cfRule type="expression" dxfId="58" priority="17">
      <formula>$F$22="YES"</formula>
    </cfRule>
  </conditionalFormatting>
  <conditionalFormatting sqref="B24">
    <cfRule type="expression" dxfId="57" priority="16">
      <formula>$F$24="YES"</formula>
    </cfRule>
  </conditionalFormatting>
  <conditionalFormatting sqref="B28 D28">
    <cfRule type="expression" dxfId="56" priority="15">
      <formula>$F$28="YES"</formula>
    </cfRule>
  </conditionalFormatting>
  <conditionalFormatting sqref="B30:E30">
    <cfRule type="expression" dxfId="55" priority="14">
      <formula>$F$30="YES"</formula>
    </cfRule>
  </conditionalFormatting>
  <conditionalFormatting sqref="B43 D43">
    <cfRule type="expression" dxfId="54" priority="13">
      <formula>$F$43="YES"</formula>
    </cfRule>
  </conditionalFormatting>
  <conditionalFormatting sqref="B38:E38">
    <cfRule type="expression" dxfId="53" priority="12">
      <formula>$F$38="YES"</formula>
    </cfRule>
  </conditionalFormatting>
  <conditionalFormatting sqref="B37:E37">
    <cfRule type="expression" dxfId="52" priority="11">
      <formula>$F$37="YES"</formula>
    </cfRule>
  </conditionalFormatting>
  <conditionalFormatting sqref="B31:E31">
    <cfRule type="expression" dxfId="51" priority="10">
      <formula>$F$31="YES"</formula>
    </cfRule>
  </conditionalFormatting>
  <conditionalFormatting sqref="B32:E32">
    <cfRule type="expression" dxfId="50" priority="9">
      <formula>$F$32="YES"</formula>
    </cfRule>
  </conditionalFormatting>
  <conditionalFormatting sqref="B25">
    <cfRule type="expression" dxfId="49" priority="8">
      <formula>$F$25="YES"</formula>
    </cfRule>
  </conditionalFormatting>
  <conditionalFormatting sqref="D25:E25">
    <cfRule type="expression" dxfId="48" priority="7">
      <formula>$F$25="YES"</formula>
    </cfRule>
  </conditionalFormatting>
  <conditionalFormatting sqref="B26:E26">
    <cfRule type="expression" dxfId="47" priority="6">
      <formula>$F$26="YES"</formula>
    </cfRule>
  </conditionalFormatting>
  <conditionalFormatting sqref="B33:E33">
    <cfRule type="expression" dxfId="46" priority="5">
      <formula>$F$33="YES"</formula>
    </cfRule>
  </conditionalFormatting>
  <conditionalFormatting sqref="B27:E27">
    <cfRule type="expression" dxfId="45" priority="4">
      <formula>$F$27="YES"</formula>
    </cfRule>
  </conditionalFormatting>
  <conditionalFormatting sqref="B36:E36">
    <cfRule type="expression" dxfId="44" priority="2">
      <formula>$F$36="YES"</formula>
    </cfRule>
  </conditionalFormatting>
  <conditionalFormatting sqref="B35:E35">
    <cfRule type="expression" dxfId="43" priority="1">
      <formula>$F$35="YES"</formula>
    </cfRule>
  </conditionalFormatting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B54B-3102-4140-9DE7-F95EDE38FED8}">
  <dimension ref="B1:J60"/>
  <sheetViews>
    <sheetView showZeros="0" zoomScale="70" zoomScaleNormal="70" workbookViewId="0">
      <selection activeCell="D2" sqref="D2:F2"/>
    </sheetView>
  </sheetViews>
  <sheetFormatPr defaultRowHeight="14.45"/>
  <cols>
    <col min="2" max="2" width="3" customWidth="1"/>
    <col min="3" max="3" width="26.7109375" bestFit="1" customWidth="1"/>
    <col min="4" max="4" width="9.140625" customWidth="1"/>
    <col min="5" max="5" width="3" customWidth="1"/>
    <col min="6" max="6" width="26.42578125" bestFit="1" customWidth="1"/>
    <col min="7" max="7" width="11.28515625" customWidth="1"/>
    <col min="8" max="8" width="26.42578125" customWidth="1"/>
    <col min="9" max="9" width="26.42578125" hidden="1" customWidth="1"/>
    <col min="10" max="10" width="21.42578125" bestFit="1" customWidth="1"/>
  </cols>
  <sheetData>
    <row r="1" spans="2:10" ht="23.45">
      <c r="B1" s="240" t="s">
        <v>150</v>
      </c>
      <c r="C1" s="240"/>
      <c r="D1" s="240"/>
      <c r="E1" s="240"/>
      <c r="F1" s="244"/>
      <c r="G1" s="58"/>
      <c r="H1" s="58"/>
    </row>
    <row r="2" spans="2:10" ht="23.45">
      <c r="B2" s="57"/>
      <c r="C2" s="62" t="s">
        <v>13</v>
      </c>
      <c r="D2" s="241" t="str">
        <f>'In-Production UB Series'!G11</f>
        <v>9X3H042021-15</v>
      </c>
      <c r="E2" s="241"/>
      <c r="F2" s="241"/>
      <c r="I2" s="12" t="s">
        <v>151</v>
      </c>
    </row>
    <row r="3" spans="2:10" ht="21">
      <c r="C3" s="63" t="str">
        <f>'In-Production UB Series'!C7</f>
        <v>Regular</v>
      </c>
      <c r="F3" s="63" t="str">
        <f>'In-Production UB Series'!H7</f>
        <v>9X3</v>
      </c>
      <c r="I3" t="s">
        <v>152</v>
      </c>
    </row>
    <row r="4" spans="2:10">
      <c r="B4" s="12"/>
      <c r="C4" s="12" t="s">
        <v>151</v>
      </c>
      <c r="F4" s="12" t="s">
        <v>153</v>
      </c>
      <c r="G4" s="12"/>
      <c r="H4" s="12"/>
      <c r="I4" t="s">
        <v>154</v>
      </c>
    </row>
    <row r="5" spans="2:10">
      <c r="C5" t="s">
        <v>155</v>
      </c>
      <c r="E5" s="55"/>
      <c r="F5" t="str">
        <f>IF(F3="3X2","30 IN - SXS",IF(F3="4X3","29 IN - SXS",IF(F3="6X2","30 IN - SXS",IF(F3="7X3","29 IN - SXS",IF(F3="9X3","29 IN - SXS","")))))</f>
        <v>29 IN - SXS</v>
      </c>
      <c r="I5" t="s">
        <v>156</v>
      </c>
    </row>
    <row r="6" spans="2:10">
      <c r="B6" s="55"/>
      <c r="C6" t="str">
        <f>IF(C3="REGULAR",I3,IF(C3="EXTENDED",I4,IF(C3="CREW",I5,"")))</f>
        <v>64"</v>
      </c>
      <c r="E6" s="55"/>
      <c r="F6" t="str">
        <f>IF(F3="3X2","34 IN - SXS",IF(F3="4X3","29 IN - SXS",IF(F3="6X2","34 IN - SXS",IF(F3="7X3","29 IN - SXS",IF(F3="9X3","29 IN - SXS","")))))</f>
        <v>29 IN - SXS</v>
      </c>
      <c r="I6" s="12" t="s">
        <v>157</v>
      </c>
    </row>
    <row r="7" spans="2:10">
      <c r="E7" s="54"/>
      <c r="F7" t="str">
        <f>IF(F3="3X2","38 IN - SXS",IF(F3="4X3","132 IN - SXS",IF(F3="6X2","38 IN - SXS",IF(F3="7X3","132 IN - SXS",IF(F3="9X3","132 IN - SXS","")))))</f>
        <v>132 IN - SXS</v>
      </c>
      <c r="I7" t="s">
        <v>158</v>
      </c>
      <c r="J7" s="12"/>
    </row>
    <row r="8" spans="2:10">
      <c r="B8" s="12"/>
      <c r="C8" s="12" t="s">
        <v>157</v>
      </c>
      <c r="E8" s="55"/>
      <c r="F8" t="str">
        <f>IF(F3="3X2","108 IN - SXS",IF(F3="4X3","132 IN - SXS",IF(F3="6X2","108 IN - SXS",IF(F3="7X3","132 IN - SXS",IF(F3="9X3","132 IN - SXS","")))))</f>
        <v>132 IN - SXS</v>
      </c>
      <c r="G8" s="12"/>
      <c r="H8" s="12"/>
      <c r="I8" t="s">
        <v>159</v>
      </c>
    </row>
    <row r="9" spans="2:10">
      <c r="C9" t="s">
        <v>160</v>
      </c>
      <c r="I9" t="s">
        <v>161</v>
      </c>
    </row>
    <row r="10" spans="2:10">
      <c r="B10" s="55"/>
      <c r="C10" t="str">
        <f>IF(C3="REGULAR",I7,IF(C3="EXTENDED",I8,IF(C3="CREW",I9,"")))</f>
        <v>214"</v>
      </c>
      <c r="F10" s="12" t="s">
        <v>162</v>
      </c>
      <c r="I10" s="12" t="s">
        <v>163</v>
      </c>
    </row>
    <row r="11" spans="2:10">
      <c r="E11" s="55"/>
      <c r="F11" t="s">
        <v>164</v>
      </c>
      <c r="I11" t="s">
        <v>165</v>
      </c>
      <c r="J11" s="12"/>
    </row>
    <row r="12" spans="2:10">
      <c r="B12" s="54"/>
      <c r="C12" s="12" t="s">
        <v>166</v>
      </c>
      <c r="E12" s="55"/>
      <c r="F12" t="s">
        <v>164</v>
      </c>
      <c r="G12" s="12"/>
      <c r="H12" s="12"/>
      <c r="I12" t="s">
        <v>165</v>
      </c>
    </row>
    <row r="13" spans="2:10">
      <c r="B13" s="54"/>
      <c r="C13" s="12" t="s">
        <v>167</v>
      </c>
      <c r="I13" t="s">
        <v>168</v>
      </c>
    </row>
    <row r="14" spans="2:10">
      <c r="F14" s="12" t="s">
        <v>169</v>
      </c>
      <c r="I14" t="s">
        <v>168</v>
      </c>
    </row>
    <row r="15" spans="2:10">
      <c r="B15" s="12"/>
      <c r="C15" s="12" t="s">
        <v>170</v>
      </c>
      <c r="E15" s="55"/>
      <c r="F15" t="s">
        <v>164</v>
      </c>
      <c r="I15" t="s">
        <v>171</v>
      </c>
      <c r="J15" s="12"/>
    </row>
    <row r="16" spans="2:10">
      <c r="B16" s="55"/>
      <c r="C16" t="s">
        <v>172</v>
      </c>
      <c r="E16" s="55"/>
      <c r="F16" t="s">
        <v>164</v>
      </c>
      <c r="G16" s="12"/>
      <c r="H16" s="12"/>
      <c r="I16" t="s">
        <v>171</v>
      </c>
    </row>
    <row r="17" spans="2:10">
      <c r="B17" s="55"/>
      <c r="C17" t="s">
        <v>173</v>
      </c>
    </row>
    <row r="18" spans="2:10">
      <c r="F18" s="12" t="s">
        <v>174</v>
      </c>
      <c r="I18" t="s">
        <v>26</v>
      </c>
    </row>
    <row r="19" spans="2:10">
      <c r="B19" s="12"/>
      <c r="C19" s="12" t="s">
        <v>175</v>
      </c>
      <c r="E19" s="55"/>
      <c r="F19" t="s">
        <v>176</v>
      </c>
      <c r="I19" s="12" t="s">
        <v>47</v>
      </c>
      <c r="J19" s="12"/>
    </row>
    <row r="20" spans="2:10">
      <c r="B20" s="56"/>
      <c r="C20" t="s">
        <v>177</v>
      </c>
      <c r="E20" s="55"/>
      <c r="F20" t="s">
        <v>178</v>
      </c>
      <c r="G20" s="12"/>
      <c r="H20" s="12"/>
      <c r="I20" t="s">
        <v>52</v>
      </c>
    </row>
    <row r="21" spans="2:10">
      <c r="B21" s="56"/>
      <c r="C21" t="s">
        <v>179</v>
      </c>
    </row>
    <row r="22" spans="2:10">
      <c r="F22" s="12" t="s">
        <v>180</v>
      </c>
      <c r="I22" t="s">
        <v>181</v>
      </c>
    </row>
    <row r="23" spans="2:10">
      <c r="C23" s="12" t="s">
        <v>182</v>
      </c>
      <c r="E23" s="55"/>
      <c r="F23" t="s">
        <v>176</v>
      </c>
      <c r="I23" s="12" t="s">
        <v>183</v>
      </c>
      <c r="J23" s="12"/>
    </row>
    <row r="24" spans="2:10">
      <c r="B24" s="55"/>
      <c r="C24" t="s">
        <v>184</v>
      </c>
      <c r="E24" s="55"/>
      <c r="F24" t="s">
        <v>178</v>
      </c>
      <c r="G24" s="12"/>
      <c r="H24" s="12"/>
      <c r="I24" t="s">
        <v>185</v>
      </c>
    </row>
    <row r="25" spans="2:10">
      <c r="B25" s="55"/>
      <c r="C25" t="s">
        <v>184</v>
      </c>
    </row>
    <row r="26" spans="2:10">
      <c r="C26" s="12"/>
      <c r="F26" s="12" t="s">
        <v>163</v>
      </c>
      <c r="I26" s="12"/>
    </row>
    <row r="27" spans="2:10">
      <c r="B27" s="12"/>
      <c r="C27" s="12" t="s">
        <v>186</v>
      </c>
      <c r="E27" s="55"/>
      <c r="F27" t="str">
        <f>IF(C3="REGULAR",I11,IF(C3="EXTENDED",I13,IF(C3="CREW",I15,"")))</f>
        <v>302" - SX90</v>
      </c>
      <c r="J27" s="12"/>
    </row>
    <row r="28" spans="2:10">
      <c r="B28" s="55"/>
      <c r="C28" t="s">
        <v>187</v>
      </c>
      <c r="E28" s="55"/>
      <c r="F28" t="str">
        <f>IF(C3="REGULAR",I12,IF(C3="EXTENDED",I14,IF(C3="CREW",I16,"")))</f>
        <v>302" - SX90</v>
      </c>
    </row>
    <row r="29" spans="2:10">
      <c r="B29" s="55"/>
      <c r="C29" t="s">
        <v>187</v>
      </c>
    </row>
    <row r="30" spans="2:10">
      <c r="F30" s="12" t="s">
        <v>188</v>
      </c>
      <c r="J30" s="12"/>
    </row>
    <row r="31" spans="2:10">
      <c r="B31" s="12"/>
      <c r="C31" s="12" t="s">
        <v>189</v>
      </c>
      <c r="E31" s="55"/>
      <c r="F31" t="s">
        <v>190</v>
      </c>
    </row>
    <row r="32" spans="2:10">
      <c r="B32" s="55"/>
      <c r="C32" t="s">
        <v>191</v>
      </c>
      <c r="E32" s="55"/>
      <c r="F32" t="s">
        <v>192</v>
      </c>
      <c r="I32" s="12"/>
    </row>
    <row r="33" spans="2:10">
      <c r="B33" s="55"/>
      <c r="C33" t="str">
        <f>IF('In-Production UB Series'!A22="DALE","158 IN - SXS","263 IN - SXS")</f>
        <v>263 IN - SXS</v>
      </c>
      <c r="F33" s="12"/>
    </row>
    <row r="34" spans="2:10">
      <c r="B34" s="12"/>
      <c r="F34" s="12" t="s">
        <v>193</v>
      </c>
    </row>
    <row r="35" spans="2:10">
      <c r="C35" s="12" t="s">
        <v>194</v>
      </c>
      <c r="E35" s="55"/>
      <c r="F35" t="s">
        <v>195</v>
      </c>
    </row>
    <row r="36" spans="2:10">
      <c r="B36" s="54"/>
      <c r="C36" t="s">
        <v>196</v>
      </c>
      <c r="E36" s="55"/>
      <c r="F36" t="s">
        <v>195</v>
      </c>
      <c r="I36" s="12"/>
      <c r="J36" s="12"/>
    </row>
    <row r="37" spans="2:10">
      <c r="B37" s="54"/>
      <c r="C37" t="s">
        <v>196</v>
      </c>
    </row>
    <row r="38" spans="2:10">
      <c r="B38" s="54"/>
      <c r="C38" t="s">
        <v>197</v>
      </c>
      <c r="E38" s="12"/>
      <c r="F38" s="12" t="s">
        <v>198</v>
      </c>
    </row>
    <row r="39" spans="2:10">
      <c r="E39" s="54"/>
      <c r="F39" t="s">
        <v>199</v>
      </c>
      <c r="I39" s="12"/>
    </row>
    <row r="40" spans="2:10">
      <c r="B40" s="54"/>
      <c r="C40" s="12" t="s">
        <v>200</v>
      </c>
      <c r="E40" s="54"/>
      <c r="F40" t="s">
        <v>199</v>
      </c>
      <c r="I40" s="12"/>
      <c r="J40" s="12"/>
    </row>
    <row r="41" spans="2:10">
      <c r="B41" s="54"/>
      <c r="C41" t="s">
        <v>201</v>
      </c>
      <c r="E41" s="12"/>
      <c r="F41" s="12" t="s">
        <v>198</v>
      </c>
    </row>
    <row r="42" spans="2:10">
      <c r="B42" s="54"/>
      <c r="C42" t="s">
        <v>202</v>
      </c>
      <c r="E42" s="54"/>
    </row>
    <row r="43" spans="2:10">
      <c r="B43" s="54"/>
      <c r="C43" t="s">
        <v>203</v>
      </c>
      <c r="E43" s="54"/>
      <c r="F43" s="12"/>
    </row>
    <row r="44" spans="2:10">
      <c r="C44" s="12"/>
      <c r="J44" s="12"/>
    </row>
    <row r="47" spans="2:10">
      <c r="F47" s="12"/>
    </row>
    <row r="48" spans="2:10">
      <c r="C48" s="12"/>
      <c r="J48" s="12"/>
    </row>
    <row r="52" spans="3:10">
      <c r="C52" s="12"/>
      <c r="J52" s="12"/>
    </row>
    <row r="56" spans="3:10">
      <c r="C56" s="12"/>
      <c r="J56" s="12"/>
    </row>
    <row r="60" spans="3:10">
      <c r="C60" s="12"/>
    </row>
  </sheetData>
  <mergeCells count="2">
    <mergeCell ref="B1:F1"/>
    <mergeCell ref="D2:F2"/>
  </mergeCells>
  <conditionalFormatting sqref="F34:F36">
    <cfRule type="expression" dxfId="42" priority="11">
      <formula>#REF!="NO"</formula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166F2A3E-E3CA-43FF-9823-0AA077D30C00}">
            <xm:f>'In-Production UB Series'!$F$20="NO"</xm:f>
            <x14:dxf>
              <font>
                <strike/>
              </font>
            </x14:dxf>
          </x14:cfRule>
          <xm:sqref>C19:C21 C23:C24</xm:sqref>
        </x14:conditionalFormatting>
        <x14:conditionalFormatting xmlns:xm="http://schemas.microsoft.com/office/excel/2006/main">
          <x14:cfRule type="expression" priority="9" id="{EFB20299-7FA2-457A-B7DB-C44B3E344269}">
            <xm:f>'In-Production UB Series'!$F$28="NO"</xm:f>
            <x14:dxf>
              <font>
                <strike/>
              </font>
            </x14:dxf>
          </x14:cfRule>
          <xm:sqref>F18:F20</xm:sqref>
        </x14:conditionalFormatting>
        <x14:conditionalFormatting xmlns:xm="http://schemas.microsoft.com/office/excel/2006/main">
          <x14:cfRule type="expression" priority="67" id="{0C14B003-9AFF-4128-944E-10736CB9A9E5}">
            <xm:f>'In-Production UB Series'!$D$25:$E$25="DUAL BEHIND CAB"</xm:f>
            <x14:dxf>
              <font>
                <strike/>
              </font>
            </x14:dxf>
          </x14:cfRule>
          <x14:cfRule type="expression" priority="68" id="{3647BA84-557E-4022-8E8E-F006D20F6A2B}">
            <xm:f>'In-Production UB Series'!$F$25="NO"</xm:f>
            <x14:dxf>
              <font>
                <strike/>
              </font>
            </x14:dxf>
          </x14:cfRule>
          <xm:sqref>F26:F28</xm:sqref>
        </x14:conditionalFormatting>
        <x14:conditionalFormatting xmlns:xm="http://schemas.microsoft.com/office/excel/2006/main">
          <x14:cfRule type="expression" priority="69" id="{8439B8B2-0F0D-49F7-B61C-7B4462DBA48D}">
            <xm:f>'In-Production UB Series'!$F$26="NO"</xm:f>
            <x14:dxf>
              <font>
                <strike/>
              </font>
            </x14:dxf>
          </x14:cfRule>
          <xm:sqref>F30:F32</xm:sqref>
        </x14:conditionalFormatting>
        <x14:conditionalFormatting xmlns:xm="http://schemas.microsoft.com/office/excel/2006/main">
          <x14:cfRule type="expression" priority="73" id="{885A3DC4-097F-496E-B3EC-6F86A895C4A9}">
            <xm:f>'In-Production UB Series'!$F$23="NO"</xm:f>
            <x14:dxf>
              <font>
                <strike/>
              </font>
            </x14:dxf>
          </x14:cfRule>
          <xm:sqref>F22:F24</xm:sqref>
        </x14:conditionalFormatting>
        <x14:conditionalFormatting xmlns:xm="http://schemas.microsoft.com/office/excel/2006/main">
          <x14:cfRule type="expression" priority="4" id="{AEC1B61B-69EB-4884-B6A6-A460162513F0}">
            <xm:f>'In-Production UB Series'!$F$20="NO"</xm:f>
            <x14:dxf>
              <font>
                <strike/>
              </font>
            </x14:dxf>
          </x14:cfRule>
          <xm:sqref>C25</xm:sqref>
        </x14:conditionalFormatting>
        <x14:conditionalFormatting xmlns:xm="http://schemas.microsoft.com/office/excel/2006/main">
          <x14:cfRule type="expression" priority="3" id="{C2AB599D-68FE-4DA8-80DC-EA0E0ADC9BA2}">
            <xm:f>'In-Production UB Series'!$F$32="NO"</xm:f>
            <x14:dxf>
              <font>
                <strike/>
              </font>
            </x14:dxf>
          </x14:cfRule>
          <xm:sqref>F38:F43</xm:sqref>
        </x14:conditionalFormatting>
        <x14:conditionalFormatting xmlns:xm="http://schemas.microsoft.com/office/excel/2006/main">
          <x14:cfRule type="expression" priority="2" id="{9648918D-60F5-47DC-9152-2E746EA6E537}">
            <xm:f>'In-Production UB Series'!$F$30="NO"</xm:f>
            <x14:dxf>
              <font>
                <strike/>
              </font>
            </x14:dxf>
          </x14:cfRule>
          <xm:sqref>C40:C43</xm:sqref>
        </x14:conditionalFormatting>
        <x14:conditionalFormatting xmlns:xm="http://schemas.microsoft.com/office/excel/2006/main">
          <x14:cfRule type="expression" priority="1" id="{BA2D5776-0AF2-4304-B21B-18590D23B89E}">
            <xm:f>'In-Production UB Series'!$F$31="NO"</xm:f>
            <x14:dxf>
              <font>
                <strike/>
              </font>
            </x14:dxf>
          </x14:cfRule>
          <xm:sqref>C35:C38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36D9-9629-4F57-9E32-F852ACB5AF0A}">
  <dimension ref="A1:P87"/>
  <sheetViews>
    <sheetView showGridLines="0" showZeros="0" showRuler="0" view="pageLayout" topLeftCell="A6" zoomScale="90" zoomScaleNormal="100" zoomScalePageLayoutView="90" workbookViewId="0">
      <selection activeCell="C6" sqref="C6:G6"/>
    </sheetView>
  </sheetViews>
  <sheetFormatPr defaultRowHeight="14.45"/>
  <cols>
    <col min="1" max="1" width="7.42578125" customWidth="1"/>
    <col min="2" max="2" width="14.5703125" style="24" bestFit="1" customWidth="1"/>
    <col min="3" max="3" width="16.7109375" style="24" customWidth="1"/>
    <col min="4" max="4" width="2.28515625" style="24" customWidth="1"/>
    <col min="5" max="5" width="2.5703125" style="24" customWidth="1"/>
    <col min="6" max="6" width="4.28515625" style="22" customWidth="1"/>
    <col min="7" max="7" width="16.5703125" style="25" customWidth="1"/>
    <col min="8" max="8" width="18.85546875" customWidth="1"/>
    <col min="9" max="9" width="17.28515625" customWidth="1"/>
    <col min="10" max="10" width="10.42578125" hidden="1" customWidth="1"/>
    <col min="11" max="11" width="5.7109375" hidden="1" customWidth="1"/>
    <col min="12" max="12" width="17.28515625" hidden="1" customWidth="1"/>
    <col min="13" max="13" width="13.28515625" style="1" hidden="1" customWidth="1"/>
    <col min="14" max="14" width="11.140625" hidden="1" customWidth="1"/>
    <col min="15" max="15" width="10.28515625" style="1" hidden="1" customWidth="1"/>
  </cols>
  <sheetData>
    <row r="1" spans="1:16">
      <c r="A1" s="2"/>
      <c r="B1" s="17"/>
      <c r="C1" s="17"/>
      <c r="D1" s="17"/>
      <c r="E1" s="17"/>
      <c r="F1" s="17"/>
      <c r="G1" s="18"/>
      <c r="H1" s="2"/>
      <c r="I1" s="2"/>
    </row>
    <row r="2" spans="1:16" ht="17.25" customHeight="1">
      <c r="A2" s="2"/>
      <c r="B2" s="17"/>
      <c r="C2" s="17"/>
      <c r="D2" s="17"/>
      <c r="E2" s="17"/>
      <c r="F2" s="17"/>
      <c r="G2" s="18"/>
      <c r="H2" s="2"/>
      <c r="I2" s="2"/>
    </row>
    <row r="3" spans="1:16" ht="17.45" customHeight="1">
      <c r="A3" s="2"/>
      <c r="B3" s="183" t="s">
        <v>204</v>
      </c>
      <c r="C3" s="183"/>
      <c r="D3" s="183"/>
      <c r="E3" s="183"/>
      <c r="F3" s="183"/>
      <c r="G3" s="183"/>
      <c r="H3" s="183"/>
      <c r="I3" s="2"/>
      <c r="M3" t="s">
        <v>205</v>
      </c>
    </row>
    <row r="4" spans="1:16" ht="10.9" customHeight="1">
      <c r="A4" s="2"/>
      <c r="B4" s="183"/>
      <c r="C4" s="183"/>
      <c r="D4" s="183"/>
      <c r="E4" s="183"/>
      <c r="F4" s="183"/>
      <c r="G4" s="183"/>
      <c r="H4" s="183"/>
      <c r="I4" s="2"/>
      <c r="M4" t="s">
        <v>206</v>
      </c>
      <c r="O4" s="1" t="s">
        <v>3</v>
      </c>
    </row>
    <row r="5" spans="1:16" ht="15" customHeight="1">
      <c r="A5" s="2"/>
      <c r="B5" s="183"/>
      <c r="C5" s="183"/>
      <c r="D5" s="183"/>
      <c r="E5" s="183"/>
      <c r="F5" s="183"/>
      <c r="G5" s="183"/>
      <c r="H5" s="183"/>
      <c r="I5" s="2"/>
      <c r="M5" t="s">
        <v>207</v>
      </c>
      <c r="N5" s="1" t="s">
        <v>11</v>
      </c>
      <c r="O5" s="1" t="s">
        <v>12</v>
      </c>
    </row>
    <row r="6" spans="1:16" ht="19.5" customHeight="1">
      <c r="A6" s="2"/>
      <c r="B6" s="67" t="s">
        <v>7</v>
      </c>
      <c r="C6" s="184"/>
      <c r="D6" s="185"/>
      <c r="E6" s="185"/>
      <c r="F6" s="185"/>
      <c r="G6" s="186"/>
      <c r="H6" s="68">
        <v>43998</v>
      </c>
      <c r="J6" t="s">
        <v>9</v>
      </c>
      <c r="M6" t="s">
        <v>208</v>
      </c>
      <c r="N6" s="1" t="s">
        <v>209</v>
      </c>
      <c r="O6" s="1" t="s">
        <v>24</v>
      </c>
    </row>
    <row r="7" spans="1:16" ht="18.600000000000001" customHeight="1">
      <c r="A7" s="2"/>
      <c r="B7" s="19"/>
      <c r="C7" s="69" t="s">
        <v>13</v>
      </c>
      <c r="D7" s="187"/>
      <c r="E7" s="187"/>
      <c r="F7" s="187"/>
      <c r="G7" s="188"/>
      <c r="H7" s="4"/>
      <c r="J7" t="s">
        <v>15</v>
      </c>
      <c r="M7" s="1" t="s">
        <v>210</v>
      </c>
      <c r="O7" s="1" t="s">
        <v>37</v>
      </c>
    </row>
    <row r="8" spans="1:16" ht="18" customHeight="1">
      <c r="A8" s="3"/>
      <c r="B8" s="120" t="s">
        <v>18</v>
      </c>
      <c r="C8" s="5" t="s">
        <v>206</v>
      </c>
      <c r="D8" s="191" t="s">
        <v>91</v>
      </c>
      <c r="E8" s="191"/>
      <c r="F8" s="192"/>
      <c r="G8" s="108" t="s">
        <v>21</v>
      </c>
      <c r="H8" s="47" t="str">
        <f>IF(C8="15X3","15000TDH",IF(C8="20X3","20000TDH",IF(C8="25X4","25000TDH",IF(C8="30X4","30000TDH",IF(C8="35X4","35000TDH","")))))</f>
        <v>20000TDH</v>
      </c>
      <c r="I8" s="12"/>
      <c r="J8" t="s">
        <v>211</v>
      </c>
      <c r="K8" s="37"/>
      <c r="M8"/>
      <c r="N8" s="1"/>
      <c r="O8" s="1" t="s">
        <v>48</v>
      </c>
      <c r="P8" s="1"/>
    </row>
    <row r="9" spans="1:16" ht="18" customHeight="1">
      <c r="A9" s="3"/>
      <c r="B9" s="120" t="s">
        <v>25</v>
      </c>
      <c r="C9" s="5" t="s">
        <v>212</v>
      </c>
      <c r="D9" s="191" t="s">
        <v>213</v>
      </c>
      <c r="E9" s="191"/>
      <c r="F9" s="192"/>
      <c r="G9" s="41" t="s">
        <v>28</v>
      </c>
      <c r="H9" s="49"/>
      <c r="I9" s="2"/>
      <c r="J9" t="s">
        <v>22</v>
      </c>
      <c r="K9" s="37"/>
      <c r="M9" t="s">
        <v>27</v>
      </c>
      <c r="N9" s="1"/>
      <c r="O9" s="1" t="s">
        <v>56</v>
      </c>
      <c r="P9" s="1"/>
    </row>
    <row r="10" spans="1:16" ht="18" customHeight="1">
      <c r="A10" s="3"/>
      <c r="B10" s="120" t="s">
        <v>32</v>
      </c>
      <c r="C10" s="5" t="s">
        <v>214</v>
      </c>
      <c r="D10" s="5"/>
      <c r="E10" s="30"/>
      <c r="F10" s="34" t="b">
        <v>1</v>
      </c>
      <c r="G10" s="41" t="s">
        <v>34</v>
      </c>
      <c r="H10" s="125" t="s">
        <v>81</v>
      </c>
      <c r="I10" s="2"/>
      <c r="J10" t="s">
        <v>46</v>
      </c>
      <c r="K10" s="37"/>
      <c r="M10" t="s">
        <v>212</v>
      </c>
      <c r="N10" s="1"/>
      <c r="O10" s="1" t="s">
        <v>215</v>
      </c>
      <c r="P10" s="1"/>
    </row>
    <row r="11" spans="1:16" ht="18" customHeight="1">
      <c r="A11" s="3"/>
      <c r="B11" s="120" t="s">
        <v>38</v>
      </c>
      <c r="C11" s="7" t="s">
        <v>39</v>
      </c>
      <c r="D11" s="7"/>
      <c r="E11" s="30"/>
      <c r="F11" s="34" t="b">
        <v>0</v>
      </c>
      <c r="G11" s="41" t="s">
        <v>34</v>
      </c>
      <c r="H11" s="48" t="s">
        <v>29</v>
      </c>
      <c r="I11" s="2"/>
      <c r="J11" t="s">
        <v>36</v>
      </c>
      <c r="K11" s="37"/>
      <c r="M11" t="s">
        <v>216</v>
      </c>
      <c r="N11" s="1"/>
      <c r="O11" s="1" t="s">
        <v>217</v>
      </c>
      <c r="P11" s="1"/>
    </row>
    <row r="12" spans="1:16" ht="18" customHeight="1">
      <c r="A12" s="3"/>
      <c r="B12" s="120" t="s">
        <v>44</v>
      </c>
      <c r="C12" s="5" t="s">
        <v>39</v>
      </c>
      <c r="D12" s="5"/>
      <c r="E12" s="30"/>
      <c r="F12" s="34" t="b">
        <v>0</v>
      </c>
      <c r="G12" s="41" t="s">
        <v>34</v>
      </c>
      <c r="H12" s="48" t="str">
        <f>H11</f>
        <v>TBD</v>
      </c>
      <c r="I12" s="2"/>
      <c r="J12" s="16" t="s">
        <v>41</v>
      </c>
      <c r="K12" s="37"/>
      <c r="M12" t="s">
        <v>218</v>
      </c>
      <c r="N12" s="1"/>
      <c r="O12" s="1" t="s">
        <v>219</v>
      </c>
      <c r="P12" s="1"/>
    </row>
    <row r="13" spans="1:16" ht="18" customHeight="1">
      <c r="A13" s="2"/>
      <c r="B13" s="120" t="s">
        <v>57</v>
      </c>
      <c r="C13" s="5" t="s">
        <v>103</v>
      </c>
      <c r="D13" s="5"/>
      <c r="E13" s="30"/>
      <c r="F13" s="34" t="b">
        <v>0</v>
      </c>
      <c r="G13" s="108" t="s">
        <v>21</v>
      </c>
      <c r="H13" s="65" t="str">
        <f>IF(AND(F13=TRUE),IF(C13="2500 POUND","2500TDH",IF(C13="3500 POUND","3500TDH",IF(C13="5000 POUND","5000TDH",IF(C13="8000 POUND","8000TDH")))),"")</f>
        <v/>
      </c>
      <c r="I13" s="2"/>
      <c r="J13" s="16" t="s">
        <v>51</v>
      </c>
      <c r="K13" s="37"/>
      <c r="M13"/>
      <c r="N13" s="1"/>
      <c r="O13" s="1" t="s">
        <v>220</v>
      </c>
      <c r="P13" s="1"/>
    </row>
    <row r="14" spans="1:16" ht="18" customHeight="1">
      <c r="A14" s="2"/>
      <c r="B14" s="189" t="s">
        <v>61</v>
      </c>
      <c r="C14" s="190"/>
      <c r="D14" s="5"/>
      <c r="E14" s="31"/>
      <c r="F14" s="34" t="b">
        <v>0</v>
      </c>
      <c r="G14" s="109" t="str">
        <f>IF(C13="2500 POUND",N5,N6)</f>
        <v>3/8" Cable</v>
      </c>
      <c r="H14" s="48" t="s">
        <v>3</v>
      </c>
      <c r="I14" s="2"/>
      <c r="J14" t="s">
        <v>55</v>
      </c>
      <c r="K14" s="37"/>
      <c r="M14" t="s">
        <v>59</v>
      </c>
      <c r="N14" s="1"/>
      <c r="O14" s="1" t="s">
        <v>221</v>
      </c>
      <c r="P14" s="1"/>
    </row>
    <row r="15" spans="1:16" ht="18" customHeight="1">
      <c r="A15" s="2"/>
      <c r="B15" s="6" t="s">
        <v>64</v>
      </c>
      <c r="C15" s="5" t="s">
        <v>107</v>
      </c>
      <c r="D15" s="5"/>
      <c r="E15" s="31"/>
      <c r="F15" s="34" t="b">
        <v>0</v>
      </c>
      <c r="G15" s="109" t="s">
        <v>66</v>
      </c>
      <c r="H15" s="48" t="s">
        <v>67</v>
      </c>
      <c r="I15" s="2"/>
      <c r="J15" s="16"/>
      <c r="L15" s="37"/>
      <c r="M15" t="s">
        <v>63</v>
      </c>
      <c r="N15" s="1"/>
      <c r="O15" s="1" t="s">
        <v>222</v>
      </c>
      <c r="P15" s="1"/>
    </row>
    <row r="16" spans="1:16" ht="18" customHeight="1">
      <c r="A16" s="2"/>
      <c r="B16" s="172" t="s">
        <v>70</v>
      </c>
      <c r="C16" s="173"/>
      <c r="D16" s="5"/>
      <c r="E16" s="31"/>
      <c r="F16" s="34" t="b">
        <v>0</v>
      </c>
      <c r="G16" s="41" t="s">
        <v>34</v>
      </c>
      <c r="H16" s="125" t="s">
        <v>81</v>
      </c>
      <c r="I16" s="2"/>
      <c r="J16" s="16" t="s">
        <v>68</v>
      </c>
      <c r="L16" s="37"/>
      <c r="M16"/>
      <c r="N16" s="1"/>
      <c r="O16" s="1" t="s">
        <v>223</v>
      </c>
      <c r="P16" s="1"/>
    </row>
    <row r="17" spans="1:16" ht="18" customHeight="1">
      <c r="A17" s="2"/>
      <c r="B17" s="6" t="s">
        <v>72</v>
      </c>
      <c r="C17" s="29" t="s">
        <v>224</v>
      </c>
      <c r="D17" s="29"/>
      <c r="E17" s="31"/>
      <c r="F17" s="34" t="b">
        <v>1</v>
      </c>
      <c r="G17" s="42"/>
      <c r="H17" s="48"/>
      <c r="I17" s="2"/>
      <c r="J17" s="16" t="s">
        <v>225</v>
      </c>
      <c r="L17" s="37"/>
      <c r="M17" t="s">
        <v>33</v>
      </c>
      <c r="N17" s="1"/>
      <c r="O17" s="1" t="s">
        <v>226</v>
      </c>
      <c r="P17" s="1"/>
    </row>
    <row r="18" spans="1:16" ht="18" customHeight="1">
      <c r="A18" s="2"/>
      <c r="B18" s="6" t="s">
        <v>76</v>
      </c>
      <c r="C18" s="5" t="s">
        <v>59</v>
      </c>
      <c r="D18" s="5"/>
      <c r="E18" s="31"/>
      <c r="F18" s="34" t="b">
        <v>0</v>
      </c>
      <c r="G18" s="42"/>
      <c r="H18" s="48"/>
      <c r="I18" s="2"/>
      <c r="J18" s="2"/>
      <c r="L18" s="37"/>
      <c r="M18" t="s">
        <v>227</v>
      </c>
      <c r="N18" s="1"/>
      <c r="P18" s="1"/>
    </row>
    <row r="19" spans="1:16" ht="18" customHeight="1">
      <c r="A19" s="2"/>
      <c r="B19" s="120" t="str">
        <f>J34</f>
        <v>Drive Side-</v>
      </c>
      <c r="C19" s="31" t="str">
        <f>K34</f>
        <v>Layout Line/Swing Arm</v>
      </c>
      <c r="D19" s="118"/>
      <c r="E19" s="31"/>
      <c r="F19" s="34" t="b">
        <v>0</v>
      </c>
      <c r="G19" s="42"/>
      <c r="H19" s="48"/>
      <c r="I19" s="2"/>
      <c r="J19" s="45" t="s">
        <v>74</v>
      </c>
      <c r="L19" s="37"/>
      <c r="M19" t="s">
        <v>228</v>
      </c>
      <c r="N19" s="1"/>
      <c r="O19" s="103" t="s">
        <v>67</v>
      </c>
      <c r="P19" s="1"/>
    </row>
    <row r="20" spans="1:16" ht="18" customHeight="1">
      <c r="A20" s="2"/>
      <c r="B20" s="120" t="str">
        <f>J35</f>
        <v>Pass Side-</v>
      </c>
      <c r="C20" s="31" t="str">
        <f>K34</f>
        <v>Layout Line/Swing Arm</v>
      </c>
      <c r="D20" s="118"/>
      <c r="E20" s="31"/>
      <c r="F20" s="34" t="b">
        <v>0</v>
      </c>
      <c r="G20" s="42"/>
      <c r="H20" s="48"/>
      <c r="I20" s="2"/>
      <c r="J20" s="45" t="s">
        <v>77</v>
      </c>
      <c r="L20" s="37"/>
      <c r="M20" t="s">
        <v>214</v>
      </c>
      <c r="N20" s="1"/>
      <c r="O20" s="103" t="s">
        <v>229</v>
      </c>
      <c r="P20" s="1"/>
    </row>
    <row r="21" spans="1:16" ht="18" customHeight="1">
      <c r="A21" s="2"/>
      <c r="B21" s="172" t="s">
        <v>15</v>
      </c>
      <c r="C21" s="173"/>
      <c r="D21" s="118"/>
      <c r="E21" s="31"/>
      <c r="F21" s="34" t="b">
        <v>0</v>
      </c>
      <c r="G21" s="42"/>
      <c r="H21" s="48"/>
      <c r="I21" s="2"/>
      <c r="J21" s="45" t="s">
        <v>29</v>
      </c>
      <c r="L21" s="37"/>
      <c r="M21" t="s">
        <v>230</v>
      </c>
      <c r="N21" s="1"/>
      <c r="O21" s="103" t="s">
        <v>231</v>
      </c>
      <c r="P21" s="1"/>
    </row>
    <row r="22" spans="1:16" ht="18" customHeight="1">
      <c r="A22" s="2"/>
      <c r="B22" s="172" t="s">
        <v>36</v>
      </c>
      <c r="C22" s="173"/>
      <c r="D22" s="118"/>
      <c r="E22" s="31"/>
      <c r="F22" s="34" t="b">
        <v>0</v>
      </c>
      <c r="G22" s="42"/>
      <c r="H22" s="48"/>
      <c r="I22" s="2"/>
      <c r="J22" s="44" t="s">
        <v>81</v>
      </c>
      <c r="L22" s="37"/>
      <c r="M22"/>
      <c r="N22" s="1"/>
      <c r="O22" s="103" t="s">
        <v>232</v>
      </c>
      <c r="P22" s="1"/>
    </row>
    <row r="23" spans="1:16" ht="18" customHeight="1">
      <c r="A23" s="2"/>
      <c r="B23" s="172" t="s">
        <v>51</v>
      </c>
      <c r="C23" s="173"/>
      <c r="D23" s="118"/>
      <c r="E23" s="31"/>
      <c r="F23" s="34" t="b">
        <v>0</v>
      </c>
      <c r="G23" s="42"/>
      <c r="H23" s="48"/>
      <c r="I23" s="2"/>
      <c r="J23" s="44" t="s">
        <v>84</v>
      </c>
      <c r="M23" s="1" t="s">
        <v>45</v>
      </c>
      <c r="N23" s="1"/>
      <c r="P23" s="1"/>
    </row>
    <row r="24" spans="1:16" ht="18" customHeight="1">
      <c r="A24" s="2"/>
      <c r="B24" s="172" t="s">
        <v>55</v>
      </c>
      <c r="C24" s="173"/>
      <c r="D24" s="118"/>
      <c r="E24" s="31"/>
      <c r="F24" s="34" t="b">
        <v>0</v>
      </c>
      <c r="G24" s="42"/>
      <c r="H24" s="48"/>
      <c r="I24" s="2"/>
      <c r="J24" s="44" t="s">
        <v>40</v>
      </c>
      <c r="M24" s="1" t="s">
        <v>39</v>
      </c>
      <c r="N24" s="1"/>
      <c r="O24" s="1" t="s">
        <v>233</v>
      </c>
      <c r="P24" s="1"/>
    </row>
    <row r="25" spans="1:16" ht="18" customHeight="1">
      <c r="A25" s="2"/>
      <c r="B25" s="172" t="s">
        <v>22</v>
      </c>
      <c r="C25" s="173"/>
      <c r="D25" s="66"/>
      <c r="E25" s="32"/>
      <c r="F25" s="35" t="b">
        <v>0</v>
      </c>
      <c r="G25" s="43"/>
      <c r="H25" s="48"/>
      <c r="I25" s="2"/>
      <c r="J25" s="44" t="s">
        <v>87</v>
      </c>
      <c r="O25" s="1" t="s">
        <v>224</v>
      </c>
      <c r="P25" s="1"/>
    </row>
    <row r="26" spans="1:16" ht="18" customHeight="1">
      <c r="A26" s="2"/>
      <c r="B26" s="172" t="s">
        <v>234</v>
      </c>
      <c r="C26" s="173"/>
      <c r="D26" s="66"/>
      <c r="E26" s="32"/>
      <c r="F26" s="35" t="b">
        <v>0</v>
      </c>
      <c r="G26" s="43"/>
      <c r="H26" s="48"/>
      <c r="I26" s="2"/>
      <c r="J26" s="44" t="s">
        <v>89</v>
      </c>
      <c r="M26" t="s">
        <v>94</v>
      </c>
      <c r="O26" s="1" t="s">
        <v>235</v>
      </c>
      <c r="P26" s="1"/>
    </row>
    <row r="27" spans="1:16" ht="18" customHeight="1">
      <c r="A27" s="2"/>
      <c r="B27" s="172" t="s">
        <v>236</v>
      </c>
      <c r="C27" s="173"/>
      <c r="D27" s="66"/>
      <c r="E27" s="32"/>
      <c r="F27" s="35" t="b">
        <v>0</v>
      </c>
      <c r="G27" s="43"/>
      <c r="H27" s="48"/>
      <c r="I27" s="2"/>
      <c r="J27" s="44" t="s">
        <v>90</v>
      </c>
      <c r="M27" t="s">
        <v>49</v>
      </c>
      <c r="O27"/>
      <c r="P27" s="1"/>
    </row>
    <row r="28" spans="1:16" ht="18" customHeight="1">
      <c r="A28" s="2"/>
      <c r="B28" s="172" t="s">
        <v>92</v>
      </c>
      <c r="C28" s="173"/>
      <c r="D28" s="66"/>
      <c r="E28" s="32"/>
      <c r="F28" s="35" t="b">
        <v>0</v>
      </c>
      <c r="G28" s="43"/>
      <c r="H28" s="48"/>
      <c r="I28" s="2"/>
      <c r="J28" s="44" t="s">
        <v>35</v>
      </c>
      <c r="M28"/>
      <c r="O28"/>
      <c r="P28" s="1"/>
    </row>
    <row r="29" spans="1:16" ht="18" customHeight="1">
      <c r="A29" s="2"/>
      <c r="B29" s="172" t="s">
        <v>237</v>
      </c>
      <c r="C29" s="173"/>
      <c r="D29" s="66"/>
      <c r="E29" s="32"/>
      <c r="F29" s="35" t="b">
        <v>0</v>
      </c>
      <c r="G29" s="43"/>
      <c r="H29" s="48"/>
      <c r="I29" s="2"/>
      <c r="J29" s="44" t="s">
        <v>50</v>
      </c>
      <c r="L29" s="15"/>
      <c r="M29" t="s">
        <v>103</v>
      </c>
      <c r="O29"/>
    </row>
    <row r="30" spans="1:16" ht="18" customHeight="1">
      <c r="A30" s="2"/>
      <c r="B30" s="172" t="s">
        <v>238</v>
      </c>
      <c r="C30" s="173"/>
      <c r="D30" s="66"/>
      <c r="E30" s="32"/>
      <c r="F30" s="35" t="b">
        <v>0</v>
      </c>
      <c r="G30" s="43"/>
      <c r="H30" s="48"/>
      <c r="I30" s="2"/>
      <c r="J30" s="44"/>
      <c r="M30" s="15" t="s">
        <v>58</v>
      </c>
      <c r="O30" t="s">
        <v>91</v>
      </c>
      <c r="P30" s="1"/>
    </row>
    <row r="31" spans="1:16" ht="18" customHeight="1">
      <c r="A31" s="2"/>
      <c r="B31" s="146" t="s">
        <v>38</v>
      </c>
      <c r="C31" s="147" t="s">
        <v>101</v>
      </c>
      <c r="D31" s="66"/>
      <c r="E31" s="66"/>
      <c r="F31" s="150" t="b">
        <v>0</v>
      </c>
      <c r="G31" s="148" t="s">
        <v>34</v>
      </c>
      <c r="H31" s="149" t="str">
        <f>IF(F31=TRUE,H10,"")</f>
        <v/>
      </c>
      <c r="I31" s="2"/>
      <c r="J31" s="44" t="s">
        <v>239</v>
      </c>
      <c r="M31" s="15" t="s">
        <v>240</v>
      </c>
      <c r="O31" s="1" t="s">
        <v>20</v>
      </c>
    </row>
    <row r="32" spans="1:16" ht="18" customHeight="1">
      <c r="A32" s="2"/>
      <c r="B32" s="146" t="s">
        <v>44</v>
      </c>
      <c r="C32" s="147" t="s">
        <v>239</v>
      </c>
      <c r="D32" s="66"/>
      <c r="E32" s="66"/>
      <c r="F32" s="150" t="b">
        <v>0</v>
      </c>
      <c r="G32" s="148" t="s">
        <v>34</v>
      </c>
      <c r="H32" s="149" t="str">
        <f>IF(F32=TRUE,H10,"")</f>
        <v/>
      </c>
      <c r="I32" s="2"/>
      <c r="J32" s="44" t="s">
        <v>241</v>
      </c>
      <c r="M32" s="15" t="s">
        <v>242</v>
      </c>
      <c r="O32"/>
    </row>
    <row r="33" spans="1:15" ht="18" customHeight="1" thickBot="1">
      <c r="A33" s="2"/>
      <c r="B33" s="77" t="s">
        <v>44</v>
      </c>
      <c r="C33" s="76" t="s">
        <v>101</v>
      </c>
      <c r="D33" s="64"/>
      <c r="E33" s="64"/>
      <c r="F33" s="151" t="b">
        <v>0</v>
      </c>
      <c r="G33" s="78" t="s">
        <v>34</v>
      </c>
      <c r="H33" s="70" t="str">
        <f>IF(F33=TRUE,H10,"")</f>
        <v/>
      </c>
      <c r="I33" s="2"/>
      <c r="J33" s="44" t="s">
        <v>101</v>
      </c>
    </row>
    <row r="34" spans="1:15" ht="18" customHeight="1">
      <c r="A34" s="2"/>
      <c r="B34" s="140"/>
      <c r="F34" s="46"/>
      <c r="G34" s="90"/>
      <c r="H34" s="44"/>
      <c r="I34" s="2"/>
      <c r="J34" s="44" t="s">
        <v>38</v>
      </c>
      <c r="K34" t="s">
        <v>243</v>
      </c>
      <c r="M34" s="16" t="s">
        <v>65</v>
      </c>
    </row>
    <row r="35" spans="1:15" ht="13.15" customHeight="1" thickBot="1">
      <c r="A35" s="2"/>
      <c r="B35" s="17"/>
      <c r="C35" s="23"/>
      <c r="D35" s="18"/>
      <c r="E35" s="17"/>
      <c r="F35" s="17"/>
      <c r="G35" s="18"/>
      <c r="H35" s="2"/>
      <c r="I35" s="2"/>
      <c r="J35" s="44" t="s">
        <v>44</v>
      </c>
      <c r="M35" t="s">
        <v>107</v>
      </c>
    </row>
    <row r="36" spans="1:15" ht="17.45" customHeight="1" thickBot="1">
      <c r="A36" s="2"/>
      <c r="B36" s="91" t="s">
        <v>104</v>
      </c>
      <c r="C36" s="176" t="s">
        <v>29</v>
      </c>
      <c r="D36" s="177"/>
      <c r="E36" s="178"/>
      <c r="F36" s="92"/>
      <c r="G36" s="155" t="s">
        <v>105</v>
      </c>
      <c r="H36" s="94" t="s">
        <v>29</v>
      </c>
      <c r="I36" s="2"/>
    </row>
    <row r="37" spans="1:15" ht="16.149999999999999" customHeight="1">
      <c r="A37" s="2"/>
      <c r="B37" s="95" t="s">
        <v>106</v>
      </c>
      <c r="C37" s="179"/>
      <c r="D37" s="180"/>
      <c r="E37" s="181"/>
      <c r="F37" s="96"/>
      <c r="G37" s="97" t="s">
        <v>106</v>
      </c>
      <c r="H37" s="98"/>
      <c r="I37" s="2"/>
    </row>
    <row r="38" spans="1:15" ht="12.6" customHeight="1">
      <c r="A38" s="2"/>
      <c r="B38" s="26"/>
      <c r="C38" s="8"/>
      <c r="D38" s="8"/>
      <c r="E38" s="8"/>
      <c r="F38" s="144"/>
      <c r="G38" s="144"/>
      <c r="H38" s="2"/>
      <c r="I38" s="2"/>
    </row>
    <row r="39" spans="1:15" ht="14.45" customHeight="1">
      <c r="A39" s="2"/>
      <c r="B39" s="124" t="s">
        <v>108</v>
      </c>
      <c r="C39" s="152"/>
      <c r="D39" s="153"/>
      <c r="E39" s="153"/>
      <c r="F39" s="153"/>
      <c r="G39" s="153"/>
      <c r="H39" s="154"/>
      <c r="I39" s="2"/>
    </row>
    <row r="40" spans="1:15">
      <c r="A40" s="2"/>
      <c r="B40"/>
      <c r="C40"/>
      <c r="D40"/>
      <c r="E40"/>
      <c r="F40"/>
      <c r="G40"/>
      <c r="H40" s="2"/>
      <c r="I40" s="2"/>
      <c r="M40"/>
    </row>
    <row r="41" spans="1:15">
      <c r="B41"/>
      <c r="C41"/>
      <c r="D41"/>
      <c r="E41"/>
      <c r="F41"/>
      <c r="G41"/>
      <c r="H41" s="2"/>
      <c r="I41" s="2"/>
      <c r="M41"/>
    </row>
    <row r="42" spans="1:15">
      <c r="B42"/>
      <c r="C42"/>
      <c r="D42"/>
      <c r="E42"/>
      <c r="F42"/>
      <c r="G42"/>
      <c r="H42" s="1"/>
      <c r="M42"/>
      <c r="O42"/>
    </row>
    <row r="43" spans="1:15">
      <c r="B43"/>
      <c r="C43"/>
      <c r="D43"/>
      <c r="E43"/>
      <c r="F43"/>
      <c r="G43"/>
      <c r="M43"/>
      <c r="O43"/>
    </row>
    <row r="44" spans="1:15">
      <c r="B44"/>
      <c r="C44"/>
      <c r="D44"/>
      <c r="E44"/>
      <c r="F44"/>
      <c r="G44"/>
      <c r="M44"/>
      <c r="O44"/>
    </row>
    <row r="45" spans="1:15">
      <c r="B45"/>
      <c r="C45"/>
      <c r="D45"/>
      <c r="E45"/>
      <c r="F45"/>
      <c r="G45"/>
      <c r="M45"/>
      <c r="O45"/>
    </row>
    <row r="46" spans="1:15">
      <c r="B46"/>
      <c r="C46"/>
      <c r="D46"/>
      <c r="E46"/>
      <c r="F46"/>
      <c r="G46"/>
      <c r="M46"/>
      <c r="O46"/>
    </row>
    <row r="47" spans="1:15" ht="15.75" customHeight="1">
      <c r="B47"/>
      <c r="C47"/>
      <c r="D47"/>
      <c r="E47"/>
      <c r="F47"/>
      <c r="G47"/>
      <c r="M47"/>
      <c r="O47"/>
    </row>
    <row r="48" spans="1:15" ht="15.75" customHeight="1">
      <c r="B48"/>
      <c r="C48"/>
      <c r="D48"/>
      <c r="E48"/>
      <c r="F48"/>
      <c r="G48"/>
      <c r="M48"/>
      <c r="O48"/>
    </row>
    <row r="49" customFormat="1"/>
    <row r="50" customFormat="1"/>
    <row r="51" customFormat="1"/>
    <row r="52" customFormat="1" ht="15.75" customHeight="1"/>
    <row r="53" customFormat="1" ht="15.75" customHeigh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 ht="21.75" customHeight="1"/>
    <row r="80" customFormat="1" ht="21.75" customHeight="1"/>
    <row r="81" spans="2:15" ht="21.75" customHeight="1">
      <c r="F81" s="24"/>
      <c r="O81"/>
    </row>
    <row r="82" spans="2:15" ht="21.75" customHeight="1">
      <c r="D82" s="28"/>
      <c r="E82" s="28"/>
      <c r="F82" s="28"/>
      <c r="O82"/>
    </row>
    <row r="83" spans="2:15">
      <c r="F83" s="24"/>
      <c r="O83"/>
    </row>
    <row r="87" spans="2:15">
      <c r="B87" s="27"/>
      <c r="C87" s="27"/>
    </row>
  </sheetData>
  <dataConsolidate link="1"/>
  <mergeCells count="19">
    <mergeCell ref="C36:E36"/>
    <mergeCell ref="C37:E37"/>
    <mergeCell ref="B25:C25"/>
    <mergeCell ref="B26:C26"/>
    <mergeCell ref="B28:C28"/>
    <mergeCell ref="B29:C29"/>
    <mergeCell ref="B30:C30"/>
    <mergeCell ref="B27:C27"/>
    <mergeCell ref="B24:C24"/>
    <mergeCell ref="B3:H5"/>
    <mergeCell ref="C6:G6"/>
    <mergeCell ref="D7:G7"/>
    <mergeCell ref="D8:F8"/>
    <mergeCell ref="D9:F9"/>
    <mergeCell ref="B14:C14"/>
    <mergeCell ref="B16:C16"/>
    <mergeCell ref="B21:C21"/>
    <mergeCell ref="B22:C22"/>
    <mergeCell ref="B23:C23"/>
  </mergeCells>
  <conditionalFormatting sqref="H9:H10">
    <cfRule type="expression" dxfId="31" priority="3">
      <formula>$B9=1</formula>
    </cfRule>
    <cfRule type="expression" dxfId="30" priority="4">
      <formula>$K9="yes"</formula>
    </cfRule>
  </conditionalFormatting>
  <conditionalFormatting sqref="H16">
    <cfRule type="expression" dxfId="29" priority="76">
      <formula>$B16=1</formula>
    </cfRule>
    <cfRule type="expression" dxfId="28" priority="77">
      <formula>$K18="yes"</formula>
    </cfRule>
  </conditionalFormatting>
  <dataValidations count="19">
    <dataValidation type="list" allowBlank="1" showInputMessage="1" showErrorMessage="1" sqref="D8:F8" xr:uid="{A84055D5-6129-4F7A-9E24-796BE6DE1C35}">
      <formula1>$O$30:$O$31</formula1>
    </dataValidation>
    <dataValidation type="list" allowBlank="1" showErrorMessage="1" sqref="C13" xr:uid="{30D3B898-FA23-4E26-8D83-72BB0FF1649B}">
      <formula1>$M$29:$M$32</formula1>
    </dataValidation>
    <dataValidation type="list" allowBlank="1" showInputMessage="1" showErrorMessage="1" sqref="C11:C12" xr:uid="{60AE6F3D-1199-48CA-A932-E64B6502C16F}">
      <formula1>$M$23:$M$24</formula1>
    </dataValidation>
    <dataValidation type="list" allowBlank="1" showInputMessage="1" showErrorMessage="1" sqref="C18" xr:uid="{5989528B-5CB6-48AA-88CD-C848BAA7F13D}">
      <formula1>$M$14:$M$15</formula1>
    </dataValidation>
    <dataValidation type="list" allowBlank="1" showInputMessage="1" showErrorMessage="1" sqref="H11" xr:uid="{6D57BF5E-BDFE-4E8A-B4B0-8EDCE16004B7}">
      <formula1>$J$20:$J$28</formula1>
    </dataValidation>
    <dataValidation type="list" allowBlank="1" showInputMessage="1" showErrorMessage="1" sqref="B21:C21" xr:uid="{034842CD-D4FD-44E1-94F1-D3933A381AB7}">
      <formula1>$J$6:$J$8</formula1>
    </dataValidation>
    <dataValidation type="list" allowBlank="1" showInputMessage="1" showErrorMessage="1" sqref="C15" xr:uid="{58A35296-252C-4258-859C-C79890B76017}">
      <formula1>$M$34:$M$35</formula1>
    </dataValidation>
    <dataValidation type="list" allowBlank="1" showInputMessage="1" showErrorMessage="1" sqref="C36:E36 H36" xr:uid="{820B21A5-409D-485B-A6D3-E3D3884C3211}">
      <formula1>$J$21:$J$28</formula1>
    </dataValidation>
    <dataValidation type="list" allowBlank="1" showInputMessage="1" showErrorMessage="1" sqref="H10 H16" xr:uid="{EDB98330-2591-4A59-91D3-4CDCF327EF2E}">
      <formula1>$J$20:$J$29</formula1>
    </dataValidation>
    <dataValidation type="list" allowBlank="1" showInputMessage="1" showErrorMessage="1" sqref="C10" xr:uid="{E3F06CCF-5185-4E6D-B6BB-D0491EB6AB45}">
      <formula1>$M$17:$M$21</formula1>
    </dataValidation>
    <dataValidation type="list" allowBlank="1" showInputMessage="1" showErrorMessage="1" sqref="C17" xr:uid="{D6F51D1A-B0CB-46B6-8EB7-1AF4F3240EBD}">
      <formula1>$O$24:$O$27</formula1>
    </dataValidation>
    <dataValidation type="list" allowBlank="1" showInputMessage="1" showErrorMessage="1" sqref="C8" xr:uid="{071FEBC9-BFC3-4B92-9CB0-478B7E2A97D6}">
      <formula1>$M$3:$M$7</formula1>
    </dataValidation>
    <dataValidation type="list" allowBlank="1" showInputMessage="1" showErrorMessage="1" sqref="C31:C33" xr:uid="{570A2401-7E77-46A4-9761-B7B92450CA21}">
      <formula1>$J$31:$J$33</formula1>
    </dataValidation>
    <dataValidation type="list" allowBlank="1" showInputMessage="1" showErrorMessage="1" sqref="B31:B33" xr:uid="{F3BB7B71-6DAB-4F0A-8B2F-A7377B6683F1}">
      <formula1>$J$34:$J$36</formula1>
    </dataValidation>
    <dataValidation type="list" allowBlank="1" showInputMessage="1" showErrorMessage="1" sqref="B23:C24 B22:C22" xr:uid="{86670E27-A384-4D49-8B9B-51F17DB876BD}">
      <formula1>$J$11:$J$14</formula1>
    </dataValidation>
    <dataValidation type="list" allowBlank="1" showInputMessage="1" showErrorMessage="1" sqref="H15" xr:uid="{A3E52345-F995-4FE9-B169-BBF55A22D5BD}">
      <formula1>$O$19:$O$22</formula1>
    </dataValidation>
    <dataValidation type="list" allowBlank="1" showInputMessage="1" showErrorMessage="1" sqref="C25 B25" xr:uid="{5E3D58FD-D9EC-40E9-9C4B-6859FC38EF0C}">
      <formula1>$J$9:$J$10</formula1>
    </dataValidation>
    <dataValidation type="list" allowBlank="1" showInputMessage="1" showErrorMessage="1" sqref="C9" xr:uid="{2E0BAE06-6425-465F-90CE-AA10B28AC3A1}">
      <formula1>$M$9:$M$12</formula1>
    </dataValidation>
    <dataValidation type="list" allowBlank="1" showInputMessage="1" showErrorMessage="1" sqref="H14" xr:uid="{7A5AF201-A134-484A-83AD-617DDAEE1D95}">
      <formula1>$O$4:$O$17</formula1>
    </dataValidation>
  </dataValidations>
  <pageMargins left="0.7" right="0.7" top="0.75" bottom="0.75" header="0.3" footer="0.3"/>
  <pageSetup orientation="portrait" horizontalDpi="4294967293" r:id="rId1"/>
  <headerFooter>
    <oddHeader>&amp;C&amp;G</oddHeader>
  </headerFooter>
  <ignoredErrors>
    <ignoredError sqref="H32" formula="1"/>
  </ignoredError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5" name="Check Box 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6</xdr:col>
                    <xdr:colOff>388620</xdr:colOff>
                    <xdr:row>12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22860</xdr:rowOff>
                  </from>
                  <to>
                    <xdr:col>6</xdr:col>
                    <xdr:colOff>388620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30480</xdr:rowOff>
                  </from>
                  <to>
                    <xdr:col>6</xdr:col>
                    <xdr:colOff>388620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7620</xdr:rowOff>
                  </from>
                  <to>
                    <xdr:col>6</xdr:col>
                    <xdr:colOff>373380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22860</xdr:rowOff>
                  </from>
                  <to>
                    <xdr:col>6</xdr:col>
                    <xdr:colOff>373380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6</xdr:col>
                    <xdr:colOff>373380</xdr:colOff>
                    <xdr:row>17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6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22860</xdr:rowOff>
                  </from>
                  <to>
                    <xdr:col>6</xdr:col>
                    <xdr:colOff>350520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7620</xdr:rowOff>
                  </from>
                  <to>
                    <xdr:col>6</xdr:col>
                    <xdr:colOff>373380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7620</xdr:rowOff>
                  </from>
                  <to>
                    <xdr:col>6</xdr:col>
                    <xdr:colOff>373380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7620</xdr:rowOff>
                  </from>
                  <to>
                    <xdr:col>6</xdr:col>
                    <xdr:colOff>373380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7620</xdr:rowOff>
                  </from>
                  <to>
                    <xdr:col>6</xdr:col>
                    <xdr:colOff>373380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7620</xdr:rowOff>
                  </from>
                  <to>
                    <xdr:col>6</xdr:col>
                    <xdr:colOff>373380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22860</xdr:rowOff>
                  </from>
                  <to>
                    <xdr:col>6</xdr:col>
                    <xdr:colOff>373380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6</xdr:col>
                    <xdr:colOff>373380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22860</xdr:rowOff>
                  </from>
                  <to>
                    <xdr:col>6</xdr:col>
                    <xdr:colOff>373380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22860</xdr:rowOff>
                  </from>
                  <to>
                    <xdr:col>6</xdr:col>
                    <xdr:colOff>373380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22860</xdr:rowOff>
                  </from>
                  <to>
                    <xdr:col>6</xdr:col>
                    <xdr:colOff>373380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22860</xdr:rowOff>
                  </from>
                  <to>
                    <xdr:col>6</xdr:col>
                    <xdr:colOff>373380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22860</xdr:rowOff>
                  </from>
                  <to>
                    <xdr:col>6</xdr:col>
                    <xdr:colOff>388620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5" name="Check Box 2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7620</xdr:rowOff>
                  </from>
                  <to>
                    <xdr:col>6</xdr:col>
                    <xdr:colOff>373380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6" name="Check Box 2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7620</xdr:rowOff>
                  </from>
                  <to>
                    <xdr:col>6</xdr:col>
                    <xdr:colOff>373380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27" name="Check Box 2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7620</xdr:rowOff>
                  </from>
                  <to>
                    <xdr:col>6</xdr:col>
                    <xdr:colOff>373380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28" name="Check Box 3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7620</xdr:rowOff>
                  </from>
                  <to>
                    <xdr:col>6</xdr:col>
                    <xdr:colOff>373380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29" name="Check Box 3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22860</xdr:rowOff>
                  </from>
                  <to>
                    <xdr:col>6</xdr:col>
                    <xdr:colOff>373380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EE84-CAFE-47D3-82A8-306F6A224522}">
  <dimension ref="A4:I48"/>
  <sheetViews>
    <sheetView showGridLines="0" showZeros="0" showRuler="0" view="pageLayout" topLeftCell="A6" zoomScale="90" zoomScaleNormal="100" zoomScalePageLayoutView="90" workbookViewId="0">
      <selection activeCell="A20" sqref="A20"/>
    </sheetView>
  </sheetViews>
  <sheetFormatPr defaultRowHeight="14.45"/>
  <cols>
    <col min="1" max="2" width="10.7109375" customWidth="1"/>
    <col min="3" max="3" width="9.5703125" customWidth="1"/>
    <col min="4" max="4" width="8.7109375" customWidth="1"/>
    <col min="5" max="5" width="8.85546875" customWidth="1"/>
    <col min="6" max="6" width="10.7109375" customWidth="1"/>
    <col min="7" max="7" width="9.7109375" customWidth="1"/>
    <col min="8" max="8" width="8.42578125" customWidth="1"/>
    <col min="9" max="9" width="10.28515625" bestFit="1" customWidth="1"/>
  </cols>
  <sheetData>
    <row r="4" spans="1:9" ht="1.1499999999999999" customHeight="1"/>
    <row r="5" spans="1:9" ht="31.9" customHeight="1">
      <c r="B5" s="220" t="s">
        <v>244</v>
      </c>
      <c r="C5" s="221"/>
      <c r="D5" s="221"/>
      <c r="E5" s="221"/>
      <c r="F5" s="221"/>
      <c r="G5" s="221"/>
      <c r="H5" s="222"/>
    </row>
    <row r="6" spans="1:9" ht="10.15" customHeight="1"/>
    <row r="7" spans="1:9">
      <c r="B7" s="145" t="s">
        <v>245</v>
      </c>
      <c r="C7" s="160" t="str">
        <f>'BUILD SHEET LG. Unit'!C9</f>
        <v>Kenworth</v>
      </c>
      <c r="D7" s="60" t="s">
        <v>111</v>
      </c>
      <c r="E7" s="223">
        <f>'BUILD SHEET LG. Unit'!H9</f>
        <v>0</v>
      </c>
      <c r="F7" s="223"/>
      <c r="G7" s="39" t="s">
        <v>112</v>
      </c>
      <c r="H7" s="59" t="str">
        <f>'BUILD SHEET LG. Unit'!C8</f>
        <v>20X3</v>
      </c>
    </row>
    <row r="8" spans="1:9" ht="13.15" customHeight="1">
      <c r="B8" s="162" t="s">
        <v>246</v>
      </c>
      <c r="C8" s="161" t="str" cm="1">
        <f t="array" ref="C8:E8">'BUILD SHEET LG. Unit'!D9:F9</f>
        <v>T800</v>
      </c>
      <c r="D8">
        <v>0</v>
      </c>
      <c r="E8">
        <v>0</v>
      </c>
    </row>
    <row r="9" spans="1:9">
      <c r="B9" s="10" t="s">
        <v>115</v>
      </c>
      <c r="C9" s="228">
        <f ca="1">'BUILD SHEET UB Series'!H6</f>
        <v>45231</v>
      </c>
      <c r="D9" s="225"/>
      <c r="E9" s="226" t="s">
        <v>116</v>
      </c>
      <c r="F9" s="227"/>
      <c r="G9" s="228">
        <f ca="1">C9+30</f>
        <v>45261</v>
      </c>
      <c r="H9" s="229"/>
    </row>
    <row r="10" spans="1:9" ht="10.15" customHeight="1"/>
    <row r="11" spans="1:9" ht="15" thickBot="1">
      <c r="B11" s="9" t="s">
        <v>117</v>
      </c>
      <c r="C11" s="218">
        <f>'BUILD SHEET LG. Unit'!C6</f>
        <v>0</v>
      </c>
      <c r="D11" s="219"/>
      <c r="E11" s="89"/>
      <c r="F11" s="126" t="s">
        <v>13</v>
      </c>
      <c r="G11" s="218">
        <f>'BUILD SHEET LG. Unit'!D7</f>
        <v>0</v>
      </c>
      <c r="H11" s="219"/>
    </row>
    <row r="12" spans="1:9" ht="10.9" customHeight="1">
      <c r="A12" s="12"/>
      <c r="B12" s="230" t="s">
        <v>118</v>
      </c>
      <c r="C12" s="231"/>
      <c r="D12" s="234" t="str">
        <f>IF('BUILD SHEET LG. Unit'!B16=TRUE,"PISTOL GRIP CONTROL PANEL","PROPORTIONAL HYDRAULIC")</f>
        <v>PROPORTIONAL HYDRAULIC</v>
      </c>
      <c r="E12" s="235"/>
      <c r="F12" s="236"/>
      <c r="G12" s="234" t="str">
        <f>'BUILD SHEET LG. Unit'!D8</f>
        <v>PTO Driven</v>
      </c>
      <c r="H12" s="236"/>
      <c r="I12" s="141"/>
    </row>
    <row r="13" spans="1:9" ht="15" thickBot="1">
      <c r="A13" s="12"/>
      <c r="B13" s="232"/>
      <c r="C13" s="233"/>
      <c r="D13" s="237"/>
      <c r="E13" s="238"/>
      <c r="F13" s="239"/>
      <c r="G13" s="237"/>
      <c r="H13" s="239"/>
      <c r="I13" s="142"/>
    </row>
    <row r="14" spans="1:9">
      <c r="A14" s="112" t="s">
        <v>120</v>
      </c>
      <c r="B14" s="38" t="str">
        <f>'BUILD SHEET LG. Unit'!H8</f>
        <v>20000TDH</v>
      </c>
      <c r="C14" s="127" t="s">
        <v>121</v>
      </c>
      <c r="D14" s="128"/>
      <c r="F14" s="129" t="s">
        <v>122</v>
      </c>
      <c r="G14" s="130" t="str">
        <f>'BUILD SHEET LG. Unit'!H13</f>
        <v/>
      </c>
      <c r="H14" s="143" t="s">
        <v>121</v>
      </c>
      <c r="I14" s="111"/>
    </row>
    <row r="15" spans="1:9">
      <c r="B15" s="12"/>
      <c r="C15" s="122"/>
      <c r="D15" s="122"/>
      <c r="E15" s="14" t="s">
        <v>34</v>
      </c>
      <c r="F15" s="12"/>
      <c r="G15" s="13" t="str">
        <f>'BUILD SHEET LG. Unit'!G14</f>
        <v>3/8" Cable</v>
      </c>
      <c r="H15" s="13" t="str">
        <f>'BUILD SHEET LG. Unit'!H14</f>
        <v>NONE</v>
      </c>
    </row>
    <row r="16" spans="1:9">
      <c r="B16" s="9" t="s">
        <v>124</v>
      </c>
      <c r="C16" s="216" t="str">
        <f>'BUILD SHEET LG. Unit'!C10</f>
        <v>18' Flatbed</v>
      </c>
      <c r="D16" s="217"/>
      <c r="E16" s="134" t="str">
        <f>'BUILD SHEET LG. Unit'!H10</f>
        <v>WHT</v>
      </c>
      <c r="F16" s="9" t="s">
        <v>125</v>
      </c>
      <c r="G16" s="119" t="str">
        <f>'BUILD SHEET LG. Unit'!H16</f>
        <v>WHT</v>
      </c>
      <c r="H16" s="61"/>
    </row>
    <row r="17" spans="1:9">
      <c r="B17" s="89" t="s">
        <v>128</v>
      </c>
      <c r="C17" s="197" t="str">
        <f>"KLT410QBGGS16TP"</f>
        <v>KLT410QBGGS16TP</v>
      </c>
      <c r="D17" s="197"/>
      <c r="E17" s="105" t="s">
        <v>130</v>
      </c>
      <c r="F17" s="101"/>
      <c r="G17" s="105" t="s">
        <v>130</v>
      </c>
      <c r="H17" s="122"/>
    </row>
    <row r="18" spans="1:9" ht="15" thickBot="1">
      <c r="A18" s="114" t="s">
        <v>131</v>
      </c>
      <c r="B18" s="212" t="s">
        <v>132</v>
      </c>
      <c r="C18" s="212"/>
      <c r="D18" s="212"/>
      <c r="E18" s="212"/>
      <c r="F18" s="52"/>
      <c r="G18" s="79" t="s">
        <v>133</v>
      </c>
      <c r="H18" s="80" t="s">
        <v>134</v>
      </c>
      <c r="I18" s="79" t="s">
        <v>135</v>
      </c>
    </row>
    <row r="19" spans="1:9" ht="15" thickBot="1">
      <c r="A19" s="167" t="str">
        <f>_xlfn.IFS(D19="15,000","AA2FM80/61",D19="20,000","AA2FM80/61",D19="25,000","AA2FM80/61",D19="30,000","BG0195",D19="35,000","BG0280")</f>
        <v>AA2FM80/61</v>
      </c>
      <c r="B19" s="213" t="s">
        <v>136</v>
      </c>
      <c r="C19" s="213"/>
      <c r="D19" s="214" t="str">
        <f>IF(H7="15X3","15,000",IF(H7="20X3","20,000",IF(H7="25X4","25,000",IF(H7="30X4","30,000",IF(H7="35X4","35,000","")))))</f>
        <v>20,000</v>
      </c>
      <c r="E19" s="215"/>
      <c r="F19" s="81" t="s">
        <v>137</v>
      </c>
      <c r="G19" s="82" t="str">
        <f>IF(F19="YES","1 &amp; 2","")</f>
        <v>1 &amp; 2</v>
      </c>
      <c r="H19" s="83" t="str">
        <f>IF(AND(F19="YES",D12="PROPORTIONAL HYDRAULIC"),"H644",IF(F19="YES","H744",""))</f>
        <v>H644</v>
      </c>
      <c r="I19" s="84"/>
    </row>
    <row r="20" spans="1:9">
      <c r="A20" s="167" t="str">
        <f>IF(AND(F20="YES"),_xlfn.IFS(D20="2500 POUND","BG0335",D20="3500 POUND","BG0475",D20="5000 POUND","A A10F M 63 ",D20="8000 POUND","A A10F M 63 "),"N/A")</f>
        <v>N/A</v>
      </c>
      <c r="B20" s="207" t="str">
        <f>'BUILD SHEET LG. Unit'!B13</f>
        <v>Sand Line-</v>
      </c>
      <c r="C20" s="207"/>
      <c r="D20" s="194" t="str">
        <f>'BUILD SHEET LG. Unit'!C13</f>
        <v>2500 Pound</v>
      </c>
      <c r="E20" s="195"/>
      <c r="F20" s="121" t="str">
        <f>IF('BUILD SHEET LG. Unit'!F13=TRUE,"YES","NO")</f>
        <v>NO</v>
      </c>
      <c r="G20" s="40" t="str">
        <f>IF(AND(F20="YES",D19="15,000"),"3",IF(F20="NO","","3 &amp; 4"))</f>
        <v/>
      </c>
      <c r="H20" s="50" t="str">
        <f>IF(AND(F20="YES",D12="PROPORTIONAL HYDRAULIC"),"H544",IF(F20="YES","H744",""))</f>
        <v/>
      </c>
      <c r="I20" s="86"/>
    </row>
    <row r="21" spans="1:9">
      <c r="A21" s="116" t="str">
        <f>IF(F21="YES","DALE","N/A")</f>
        <v>DALE</v>
      </c>
      <c r="B21" s="135"/>
      <c r="C21" s="133" t="s">
        <v>138</v>
      </c>
      <c r="D21" s="194" t="s">
        <v>139</v>
      </c>
      <c r="E21" s="195"/>
      <c r="F21" s="121" t="s">
        <v>137</v>
      </c>
      <c r="G21" s="40" t="str">
        <f>IF(AND(F20="YES",D19="15,000"),G20+1,IF(AND(F20="NO",D19="15,000"),"3","1"))</f>
        <v>1</v>
      </c>
      <c r="H21" s="50" t="str">
        <f>IF(F21="YES","C524","")</f>
        <v>C524</v>
      </c>
      <c r="I21" s="86"/>
    </row>
    <row r="22" spans="1:9">
      <c r="A22" s="116" t="str">
        <f>"DALE"</f>
        <v>DALE</v>
      </c>
      <c r="B22" s="135" t="str">
        <f>'BUILD SHEET LG. Unit'!H15</f>
        <v>48'</v>
      </c>
      <c r="C22" s="133" t="s">
        <v>138</v>
      </c>
      <c r="D22" s="194" t="s">
        <v>140</v>
      </c>
      <c r="E22" s="195"/>
      <c r="F22" s="121" t="s">
        <v>137</v>
      </c>
      <c r="G22" s="40">
        <f>IF(F22="YES",G21+1)</f>
        <v>2</v>
      </c>
      <c r="H22" s="50" t="str">
        <f>IF(F22="YES","C424","")</f>
        <v>C424</v>
      </c>
      <c r="I22" s="86"/>
    </row>
    <row r="23" spans="1:9">
      <c r="A23" s="117"/>
      <c r="B23" s="207" t="s">
        <v>64</v>
      </c>
      <c r="C23" s="207"/>
      <c r="D23" s="194" t="s">
        <v>141</v>
      </c>
      <c r="E23" s="195"/>
      <c r="F23" s="121" t="s">
        <v>137</v>
      </c>
      <c r="G23" s="40">
        <f>IF(F23="YES",G22+1)</f>
        <v>3</v>
      </c>
      <c r="H23" s="50" t="str">
        <f>IF(F23="YES","C224","")</f>
        <v>C224</v>
      </c>
      <c r="I23" s="86"/>
    </row>
    <row r="24" spans="1:9">
      <c r="A24" s="117"/>
      <c r="B24" s="206" t="str">
        <f>'BUILD SHEET UB Series'!B17</f>
        <v>Outrigger-</v>
      </c>
      <c r="C24" s="207"/>
      <c r="D24" s="194" t="str">
        <f>'BUILD SHEET LG. Unit'!C15</f>
        <v>Dual Behind Cab</v>
      </c>
      <c r="E24" s="195"/>
      <c r="F24" s="121" t="str">
        <f>IF('BUILD SHEET LG. Unit'!F15=TRUE,"YES","NO")</f>
        <v>NO</v>
      </c>
      <c r="G24" s="40" t="str">
        <f>IF(AND(F24="YES"),_xlfn.IFS(F23="YES",G23+1),"")</f>
        <v/>
      </c>
      <c r="H24" s="50" t="str">
        <f>IF(F24="YES","C224","")</f>
        <v/>
      </c>
      <c r="I24" s="86"/>
    </row>
    <row r="25" spans="1:9">
      <c r="A25" s="117"/>
      <c r="B25" s="189" t="s">
        <v>142</v>
      </c>
      <c r="C25" s="190"/>
      <c r="D25" s="190"/>
      <c r="E25" s="196"/>
      <c r="F25" s="121" t="str">
        <f>IF(AND(D24="DUAL BEHIND CAB",F24="YES"),"YES","NO")</f>
        <v>NO</v>
      </c>
      <c r="G25" s="40" t="str">
        <f>IF(AND(F25="YES"),_xlfn.IFS(F24="YES",G24+1),"")</f>
        <v/>
      </c>
      <c r="H25" s="50" t="str">
        <f>IF(F25="YES","C224","")</f>
        <v/>
      </c>
      <c r="I25" s="86"/>
    </row>
    <row r="26" spans="1:9">
      <c r="A26" s="117"/>
      <c r="B26" s="206" t="s">
        <v>64</v>
      </c>
      <c r="C26" s="207"/>
      <c r="D26" s="194" t="s">
        <v>143</v>
      </c>
      <c r="E26" s="195"/>
      <c r="F26" s="121" t="s">
        <v>137</v>
      </c>
      <c r="G26" s="40">
        <f>IF(AND(F26="YES"),_xlfn.IFS(F25="YES",G25+1,F24="YES",G24+1,F23="YES",G23+1),"")</f>
        <v>4</v>
      </c>
      <c r="H26" s="50" t="str">
        <f>IF(F26="YES","C224","")</f>
        <v>C224</v>
      </c>
      <c r="I26" s="86"/>
    </row>
    <row r="27" spans="1:9">
      <c r="A27" s="117" t="str">
        <f>IF(F27="YES","BG0335","N/A")</f>
        <v>N/A</v>
      </c>
      <c r="B27" s="133" t="str">
        <f>'BUILD SHEET LG. Unit'!B19</f>
        <v>Drive Side-</v>
      </c>
      <c r="C27" s="190" t="str">
        <f>'BUILD SHEET LG. Unit'!C19</f>
        <v>Layout Line/Swing Arm</v>
      </c>
      <c r="D27" s="190"/>
      <c r="E27" s="196"/>
      <c r="F27" s="121" t="str">
        <f>IF('BUILD SHEET LG. Unit'!F19=TRUE,"YES","NO")</f>
        <v>NO</v>
      </c>
      <c r="G27" s="40" t="str">
        <f>IF(AND(F27="YES"),_xlfn.IFS(F26="YES","7 &amp; 8"),"")</f>
        <v/>
      </c>
      <c r="H27" s="50" t="str">
        <f>IF(F27="YES","C524","")</f>
        <v/>
      </c>
      <c r="I27" s="86"/>
    </row>
    <row r="28" spans="1:9">
      <c r="A28" s="117" t="str">
        <f>IF(F28="YES","BG0335","N/A")</f>
        <v>N/A</v>
      </c>
      <c r="B28" s="120" t="str">
        <f>'BUILD SHEET LG. Unit'!B20</f>
        <v>Pass Side-</v>
      </c>
      <c r="C28" s="190" t="str">
        <f>'BUILD SHEET LG. Unit'!C20</f>
        <v>Layout Line/Swing Arm</v>
      </c>
      <c r="D28" s="190">
        <f>'BUILD SHEET LG. Unit'!D20</f>
        <v>0</v>
      </c>
      <c r="E28" s="196">
        <f>'BUILD SHEET LG. Unit'!E20</f>
        <v>0</v>
      </c>
      <c r="F28" s="121" t="str">
        <f>IF('BUILD SHEET LG. Unit'!F20=TRUE,"YES","NO")</f>
        <v>NO</v>
      </c>
      <c r="G28" s="40" t="str">
        <f>IF(AND(F28="YES"),_xlfn.IFS(F27="YES","9 &amp; 10",F26="YES",G26+1),"")</f>
        <v/>
      </c>
      <c r="H28" s="50" t="str">
        <f>IF(F28="YES","C124","")</f>
        <v/>
      </c>
      <c r="I28" s="86"/>
    </row>
    <row r="29" spans="1:9">
      <c r="A29" s="117" t="str">
        <f>IF(AND(F29="YES",B29="WIRE WINDER"),"TE0100","N/A")</f>
        <v>N/A</v>
      </c>
      <c r="B29" s="189" t="str">
        <f>'BUILD SHEET LG. Unit'!B25</f>
        <v>Wire Winder</v>
      </c>
      <c r="C29" s="190"/>
      <c r="D29" s="190"/>
      <c r="E29" s="196"/>
      <c r="F29" s="121" t="str">
        <f>IF('BUILD SHEET LG. Unit'!F25=TRUE,"YES","NO")</f>
        <v>NO</v>
      </c>
      <c r="G29" s="40" t="str">
        <f>IF(AND(F29="YES"),_xlfn.IFS(F28="YES",G28+1,F27="YES",G27+1,F26="YES",G26+1),"")</f>
        <v/>
      </c>
      <c r="H29" s="50" t="str">
        <f>IF(F29="YES","C524","")</f>
        <v/>
      </c>
      <c r="I29" s="86"/>
    </row>
    <row r="30" spans="1:9">
      <c r="A30" s="117" t="str">
        <f>IF(AND(F30="YES",B30="AIR COMPRESSOR- 17 cfm"),"M315","N/A")</f>
        <v>N/A</v>
      </c>
      <c r="B30" s="189" t="str">
        <f>'BUILD SHEET LG. Unit'!B28</f>
        <v>Air Compressor- 17 cfm</v>
      </c>
      <c r="C30" s="190"/>
      <c r="D30" s="190"/>
      <c r="E30" s="196"/>
      <c r="F30" s="121" t="str">
        <f>IF('BUILD SHEET LG. Unit'!F28=TRUE,"YES","NO")</f>
        <v>NO</v>
      </c>
      <c r="G30" s="40" t="str">
        <f>IF(AND(F30="YES"),_xlfn.IFS(F29="YES",G29+1,F28="YES",G28+1,F27="YES",G27+1,F26="YES",G26+1),"")</f>
        <v/>
      </c>
      <c r="H30" s="50" t="str">
        <f>IF(F30="YES","H544","")</f>
        <v/>
      </c>
      <c r="I30" s="86"/>
    </row>
    <row r="31" spans="1:9">
      <c r="A31" s="117"/>
      <c r="B31" s="189" t="str">
        <f>'BUILD SHEET LG. Unit'!B29</f>
        <v>Getec HM1400 Generator</v>
      </c>
      <c r="C31" s="190"/>
      <c r="D31" s="190"/>
      <c r="E31" s="196"/>
      <c r="F31" s="121" t="str">
        <f>IF('BUILD SHEET LG. Unit'!F29=TRUE,"YES","NO")</f>
        <v>NO</v>
      </c>
      <c r="G31" s="40" t="str">
        <f>IF(AND(F31="YES"),_xlfn.IFS(F30="YES",G30+1,F28="YES",G28+1,F27="YES",G27+1,#REF!="YES",#REF!+1),"")</f>
        <v/>
      </c>
      <c r="H31" s="50" t="str">
        <f>IF(F31="YES","H544","")</f>
        <v/>
      </c>
      <c r="I31" s="86"/>
    </row>
    <row r="32" spans="1:9">
      <c r="A32" s="117" t="str">
        <f>IF(AND(F32="YES"),IF(D32="BREAKOUT CYLINDER","MIDGET VLV","N/A"),"N/A")</f>
        <v>N/A</v>
      </c>
      <c r="B32" s="206" t="s">
        <v>247</v>
      </c>
      <c r="C32" s="207"/>
      <c r="D32" s="194" t="str">
        <f>'BUILD SHEET LG. Unit'!B21</f>
        <v>AUX Hydraulics</v>
      </c>
      <c r="E32" s="195"/>
      <c r="F32" s="121" t="str">
        <f>IF('BUILD SHEET LG. Unit'!F21=TRUE,"YES","NO")</f>
        <v>NO</v>
      </c>
      <c r="G32" s="50" t="str">
        <f>IF(F32="YES","PUMP 2","")</f>
        <v/>
      </c>
      <c r="H32" s="50"/>
      <c r="I32" s="86"/>
    </row>
    <row r="33" spans="1:9">
      <c r="A33" s="117"/>
      <c r="B33" s="206" t="str">
        <f>'BUILD SHEET LG. Unit'!B17</f>
        <v>Hook-</v>
      </c>
      <c r="C33" s="207"/>
      <c r="D33" s="208" t="str">
        <f>'BUILD SHEET LG. Unit'!C17</f>
        <v>15-S-6</v>
      </c>
      <c r="E33" s="209"/>
      <c r="F33" s="110" t="str">
        <f>IF('BUILD SHEET UB Series'!F19=TRUE,"YES","NO")</f>
        <v>YES</v>
      </c>
      <c r="G33" s="53" t="s">
        <v>144</v>
      </c>
      <c r="H33" s="51"/>
      <c r="I33" s="87"/>
    </row>
    <row r="34" spans="1:9">
      <c r="A34" s="117"/>
      <c r="B34" s="207" t="str">
        <f>'BUILD SHEET LG. Unit'!B11</f>
        <v>Drive Side-</v>
      </c>
      <c r="C34" s="207"/>
      <c r="D34" s="194" t="str">
        <f>'BUILD SHEET LG. Unit'!C11</f>
        <v>Half Utility</v>
      </c>
      <c r="E34" s="195"/>
      <c r="F34" s="121" t="str">
        <f>IF('BUILD SHEET LG. Unit'!F11=TRUE,"YES","NO")</f>
        <v>NO</v>
      </c>
      <c r="G34" s="40" t="str">
        <f>IF(F34="YES",'BUILD SHEET UB Series'!H31,"")</f>
        <v/>
      </c>
      <c r="H34" s="50"/>
      <c r="I34" s="86"/>
    </row>
    <row r="35" spans="1:9">
      <c r="A35" s="117"/>
      <c r="B35" s="207" t="str">
        <f>'BUILD SHEET LG. Unit'!B12</f>
        <v>Pass Side-</v>
      </c>
      <c r="C35" s="207"/>
      <c r="D35" s="210" t="str">
        <f>'BUILD SHEET LG. Unit'!C12</f>
        <v>Half Utility</v>
      </c>
      <c r="E35" s="211"/>
      <c r="F35" s="121" t="str">
        <f>IF('BUILD SHEET LG. Unit'!F12=TRUE,"YES","NO")</f>
        <v>NO</v>
      </c>
      <c r="G35" s="40" t="str">
        <f>IF(F35="YES",'BUILD SHEET UB Series'!H31,"")</f>
        <v/>
      </c>
      <c r="H35" s="50"/>
      <c r="I35" s="86"/>
    </row>
    <row r="36" spans="1:9">
      <c r="A36" s="136" t="str">
        <f>IF(F36="YES","Mar-48-2-4A-60","N/A")</f>
        <v>N/A</v>
      </c>
      <c r="B36" s="189" t="str">
        <f>'BUILD SHEET LG. Unit'!B14</f>
        <v>Auto Oil Cooler</v>
      </c>
      <c r="C36" s="190"/>
      <c r="D36" s="190"/>
      <c r="E36" s="196"/>
      <c r="F36" s="121" t="str">
        <f>IF('BUILD SHEET LG. Unit'!F14=TRUE,"YES","NO")</f>
        <v>NO</v>
      </c>
      <c r="G36" s="40"/>
      <c r="H36" s="50"/>
      <c r="I36" s="86"/>
    </row>
    <row r="37" spans="1:9">
      <c r="A37" s="85"/>
      <c r="B37" s="190" t="str">
        <f>'BUILD SHEET LG. Unit'!B22</f>
        <v>Wire Spool Holder</v>
      </c>
      <c r="C37" s="190"/>
      <c r="D37" s="190"/>
      <c r="E37" s="196"/>
      <c r="F37" s="121" t="str">
        <f>IF('BUILD SHEET LG. Unit'!F22=TRUE,"YES","NO")</f>
        <v>NO</v>
      </c>
      <c r="G37" s="40" t="str">
        <f>IF(F37="YES","BLK","")</f>
        <v/>
      </c>
      <c r="H37" s="50"/>
      <c r="I37" s="86"/>
    </row>
    <row r="38" spans="1:9">
      <c r="A38" s="85"/>
      <c r="B38" s="190" t="str">
        <f>'BUILD SHEET LG. Unit'!B23</f>
        <v>Sand Line Counter</v>
      </c>
      <c r="C38" s="190"/>
      <c r="D38" s="190"/>
      <c r="E38" s="196"/>
      <c r="F38" s="121" t="str">
        <f>IF('BUILD SHEET LG. Unit'!F23=TRUE,"YES","NO")</f>
        <v>NO</v>
      </c>
      <c r="G38" s="40" t="str">
        <f>IF(F38="YES",D16,"")</f>
        <v/>
      </c>
      <c r="H38" s="50"/>
      <c r="I38" s="86"/>
    </row>
    <row r="39" spans="1:9">
      <c r="A39" s="85"/>
      <c r="B39" s="190" t="str">
        <f>'BUILD SHEET LG. Unit'!B24</f>
        <v>Vise Holder</v>
      </c>
      <c r="C39" s="190"/>
      <c r="D39" s="190"/>
      <c r="E39" s="196"/>
      <c r="F39" s="121" t="str">
        <f>IF('BUILD SHEET LG. Unit'!F26=TRUE,"YES","NO")</f>
        <v>NO</v>
      </c>
      <c r="G39" s="40" t="str">
        <f>IF(F39="YES",D16,"")</f>
        <v/>
      </c>
      <c r="H39" s="50"/>
      <c r="I39" s="86"/>
    </row>
    <row r="40" spans="1:9">
      <c r="A40" s="85"/>
      <c r="B40" s="190" t="str">
        <f>'BUILD SHEET LG. Unit'!B26</f>
        <v>Additional Layback to 18'</v>
      </c>
      <c r="C40" s="190"/>
      <c r="D40" s="190"/>
      <c r="E40" s="196"/>
      <c r="F40" s="121" t="str">
        <f>IF('BUILD SHEET LG. Unit'!F26=TRUE,"YES","NO")</f>
        <v>NO</v>
      </c>
      <c r="G40" s="40"/>
      <c r="H40" s="50"/>
      <c r="I40" s="86"/>
    </row>
    <row r="41" spans="1:9">
      <c r="A41" s="85"/>
      <c r="B41" s="190" t="str">
        <f>'BUILD SHEET LG. Unit'!B27</f>
        <v>Line-X Bed</v>
      </c>
      <c r="C41" s="190"/>
      <c r="D41" s="190"/>
      <c r="E41" s="196"/>
      <c r="F41" s="121" t="str">
        <f>IF('BUILD SHEET LG. Unit'!F27=TRUE,"YES","NO")</f>
        <v>NO</v>
      </c>
      <c r="G41" s="40"/>
      <c r="H41" s="50"/>
      <c r="I41" s="86"/>
    </row>
    <row r="42" spans="1:9">
      <c r="A42" s="85"/>
      <c r="B42" s="197" t="str">
        <f>'BUILD SHEET LG. Unit'!B30</f>
        <v>25 TON 2-part Block</v>
      </c>
      <c r="C42" s="197"/>
      <c r="D42" s="190"/>
      <c r="E42" s="196"/>
      <c r="F42" s="121" t="str">
        <f>IF('BUILD SHEET LG. Unit'!F30=TRUE,"YES","NO")</f>
        <v>NO</v>
      </c>
      <c r="G42" s="40"/>
      <c r="H42" s="11"/>
      <c r="I42" s="86"/>
    </row>
    <row r="43" spans="1:9" ht="14.45" customHeight="1">
      <c r="A43" s="156"/>
      <c r="B43" s="206" t="str">
        <f>'BUILD SHEET LG. Unit'!B31</f>
        <v>Drive Side-</v>
      </c>
      <c r="C43" s="207"/>
      <c r="D43" s="194" t="str">
        <f>'BUILD SHEET LG. Unit'!C31</f>
        <v>Tool Cage</v>
      </c>
      <c r="E43" s="195"/>
      <c r="F43" s="121" t="str">
        <f>IF('BUILD SHEET LG. Unit'!F31=TRUE,"YES","NO")</f>
        <v>NO</v>
      </c>
      <c r="G43" s="157" t="str">
        <f>'BUILD SHEET LG. Unit'!H31</f>
        <v/>
      </c>
      <c r="H43" s="158"/>
      <c r="I43" s="159"/>
    </row>
    <row r="44" spans="1:9" ht="15" customHeight="1">
      <c r="A44" s="156"/>
      <c r="B44" s="206" t="str">
        <f>'BUILD SHEET LG. Unit'!B32</f>
        <v>Pass Side-</v>
      </c>
      <c r="C44" s="207"/>
      <c r="D44" s="194" t="str">
        <f>'BUILD SHEET LG. Unit'!C32</f>
        <v>4.5' Locking Tool Box</v>
      </c>
      <c r="E44" s="195"/>
      <c r="F44" s="121" t="str">
        <f>IF('BUILD SHEET LG. Unit'!F32=TRUE,"YES","NO")</f>
        <v>NO</v>
      </c>
      <c r="G44" s="157" t="str">
        <f>'BUILD SHEET LG. Unit'!H32</f>
        <v/>
      </c>
      <c r="H44" s="158"/>
      <c r="I44" s="159"/>
    </row>
    <row r="45" spans="1:9" ht="15" customHeight="1" thickBot="1">
      <c r="A45" s="132"/>
      <c r="B45" s="242" t="str">
        <f>'BUILD SHEET LG. Unit'!B33</f>
        <v>Pass Side-</v>
      </c>
      <c r="C45" s="243"/>
      <c r="D45" s="200" t="str">
        <f>'BUILD SHEET LG. Unit'!C33</f>
        <v>Tool Cage</v>
      </c>
      <c r="E45" s="201"/>
      <c r="F45" s="73" t="str">
        <f>IF('BUILD SHEET LG. Unit'!F33=TRUE,"YES","NO")</f>
        <v>NO</v>
      </c>
      <c r="G45" s="74" t="str">
        <f>'BUILD SHEET LG. Unit'!H33</f>
        <v/>
      </c>
      <c r="H45" s="75"/>
      <c r="I45" s="88"/>
    </row>
    <row r="46" spans="1:9" ht="10.15" customHeight="1" thickBot="1">
      <c r="A46" s="131"/>
      <c r="B46" s="122"/>
      <c r="C46" s="122"/>
      <c r="D46" s="122"/>
      <c r="E46" s="122"/>
      <c r="F46" s="71"/>
      <c r="G46" s="72"/>
      <c r="H46" s="15"/>
      <c r="I46" s="15"/>
    </row>
    <row r="47" spans="1:9" ht="15" thickBot="1">
      <c r="A47" s="113"/>
      <c r="B47" s="202" t="s">
        <v>104</v>
      </c>
      <c r="C47" s="203"/>
      <c r="D47" s="102" t="str">
        <f>'BUILD SHEET LG. Unit'!C36</f>
        <v>TBD</v>
      </c>
      <c r="E47" s="122"/>
      <c r="F47" s="202" t="s">
        <v>248</v>
      </c>
      <c r="G47" s="203"/>
      <c r="H47" s="99" t="str">
        <f>'BUILD SHEET LG. Unit'!H36</f>
        <v>TBD</v>
      </c>
      <c r="I47" s="15"/>
    </row>
    <row r="48" spans="1:9">
      <c r="A48" s="106"/>
    </row>
  </sheetData>
  <mergeCells count="54">
    <mergeCell ref="B41:E41"/>
    <mergeCell ref="B35:C35"/>
    <mergeCell ref="F47:G47"/>
    <mergeCell ref="B44:C44"/>
    <mergeCell ref="B45:C45"/>
    <mergeCell ref="D45:E45"/>
    <mergeCell ref="B47:C47"/>
    <mergeCell ref="D44:E44"/>
    <mergeCell ref="B43:C43"/>
    <mergeCell ref="D43:E43"/>
    <mergeCell ref="B40:E40"/>
    <mergeCell ref="B42:E42"/>
    <mergeCell ref="D35:E35"/>
    <mergeCell ref="B36:E36"/>
    <mergeCell ref="B38:E38"/>
    <mergeCell ref="B39:E39"/>
    <mergeCell ref="B37:E37"/>
    <mergeCell ref="D24:E24"/>
    <mergeCell ref="B33:C33"/>
    <mergeCell ref="D33:E33"/>
    <mergeCell ref="B31:E31"/>
    <mergeCell ref="B30:E30"/>
    <mergeCell ref="B34:C34"/>
    <mergeCell ref="D34:E34"/>
    <mergeCell ref="C16:D16"/>
    <mergeCell ref="C17:D17"/>
    <mergeCell ref="B29:E29"/>
    <mergeCell ref="D20:E20"/>
    <mergeCell ref="D21:E21"/>
    <mergeCell ref="B25:E25"/>
    <mergeCell ref="B26:C26"/>
    <mergeCell ref="D26:E26"/>
    <mergeCell ref="B23:C23"/>
    <mergeCell ref="B5:H5"/>
    <mergeCell ref="E7:F7"/>
    <mergeCell ref="C9:D9"/>
    <mergeCell ref="E9:F9"/>
    <mergeCell ref="G9:H9"/>
    <mergeCell ref="C11:D11"/>
    <mergeCell ref="G11:H11"/>
    <mergeCell ref="B32:C32"/>
    <mergeCell ref="D32:E32"/>
    <mergeCell ref="C28:E28"/>
    <mergeCell ref="C27:E27"/>
    <mergeCell ref="D22:E22"/>
    <mergeCell ref="B12:C13"/>
    <mergeCell ref="D12:F13"/>
    <mergeCell ref="G12:H13"/>
    <mergeCell ref="B18:E18"/>
    <mergeCell ref="B19:C19"/>
    <mergeCell ref="D19:E19"/>
    <mergeCell ref="B20:C20"/>
    <mergeCell ref="D23:E23"/>
    <mergeCell ref="B24:C24"/>
  </mergeCells>
  <conditionalFormatting sqref="B20:E20">
    <cfRule type="expression" dxfId="27" priority="32">
      <formula>$F$20="YES"</formula>
    </cfRule>
  </conditionalFormatting>
  <conditionalFormatting sqref="D23">
    <cfRule type="expression" dxfId="26" priority="30">
      <formula>$F$23="YES"</formula>
    </cfRule>
  </conditionalFormatting>
  <conditionalFormatting sqref="B19:E19">
    <cfRule type="expression" dxfId="25" priority="29">
      <formula>$F$19="YES"</formula>
    </cfRule>
  </conditionalFormatting>
  <conditionalFormatting sqref="B27:C27">
    <cfRule type="expression" dxfId="24" priority="28">
      <formula>$F$27="YES"</formula>
    </cfRule>
  </conditionalFormatting>
  <conditionalFormatting sqref="B34 D34">
    <cfRule type="expression" dxfId="23" priority="27">
      <formula>$F$34="YES"</formula>
    </cfRule>
  </conditionalFormatting>
  <conditionalFormatting sqref="B39:E39">
    <cfRule type="expression" dxfId="22" priority="26">
      <formula>$F$39="YES"</formula>
    </cfRule>
  </conditionalFormatting>
  <conditionalFormatting sqref="B40:E41">
    <cfRule type="expression" dxfId="21" priority="25">
      <formula>$F$40="YES"</formula>
    </cfRule>
  </conditionalFormatting>
  <conditionalFormatting sqref="B43:E43">
    <cfRule type="expression" dxfId="20" priority="23">
      <formula>$F$43="YES"</formula>
    </cfRule>
  </conditionalFormatting>
  <conditionalFormatting sqref="B21:E21">
    <cfRule type="expression" dxfId="19" priority="22">
      <formula>$F$21="YES"</formula>
    </cfRule>
  </conditionalFormatting>
  <conditionalFormatting sqref="B22:E22">
    <cfRule type="expression" dxfId="18" priority="21">
      <formula>$F$22="YES"</formula>
    </cfRule>
  </conditionalFormatting>
  <conditionalFormatting sqref="B23">
    <cfRule type="expression" dxfId="17" priority="20">
      <formula>$F$23="YES"</formula>
    </cfRule>
  </conditionalFormatting>
  <conditionalFormatting sqref="B28:E28">
    <cfRule type="expression" dxfId="16" priority="18">
      <formula>$F$28="YES"</formula>
    </cfRule>
  </conditionalFormatting>
  <conditionalFormatting sqref="B38:E38">
    <cfRule type="expression" dxfId="15" priority="16">
      <formula>$F$38="YES"</formula>
    </cfRule>
  </conditionalFormatting>
  <conditionalFormatting sqref="B37:E37">
    <cfRule type="expression" dxfId="14" priority="15">
      <formula>$F$37="YES"</formula>
    </cfRule>
  </conditionalFormatting>
  <conditionalFormatting sqref="B30:E30">
    <cfRule type="expression" dxfId="13" priority="14">
      <formula>$F$30="YES"</formula>
    </cfRule>
  </conditionalFormatting>
  <conditionalFormatting sqref="B32:E32">
    <cfRule type="expression" dxfId="12" priority="13">
      <formula>$F$32="YES"</formula>
    </cfRule>
  </conditionalFormatting>
  <conditionalFormatting sqref="B24">
    <cfRule type="expression" dxfId="11" priority="12">
      <formula>$F$24="YES"</formula>
    </cfRule>
  </conditionalFormatting>
  <conditionalFormatting sqref="D24:E24">
    <cfRule type="expression" dxfId="10" priority="11">
      <formula>$F$24="YES"</formula>
    </cfRule>
  </conditionalFormatting>
  <conditionalFormatting sqref="B25:E25">
    <cfRule type="expression" dxfId="9" priority="10">
      <formula>$F$25="YES"</formula>
    </cfRule>
  </conditionalFormatting>
  <conditionalFormatting sqref="B33:E33">
    <cfRule type="expression" dxfId="8" priority="9">
      <formula>$F$33="YES"</formula>
    </cfRule>
  </conditionalFormatting>
  <conditionalFormatting sqref="B26:E26">
    <cfRule type="expression" dxfId="7" priority="8">
      <formula>$F$26="YES"</formula>
    </cfRule>
  </conditionalFormatting>
  <conditionalFormatting sqref="B36:E36">
    <cfRule type="expression" dxfId="6" priority="7">
      <formula>$F$36="YES"</formula>
    </cfRule>
  </conditionalFormatting>
  <conditionalFormatting sqref="B35:E35">
    <cfRule type="expression" dxfId="5" priority="6">
      <formula>$F$35="YES"</formula>
    </cfRule>
  </conditionalFormatting>
  <conditionalFormatting sqref="B29:E29">
    <cfRule type="expression" dxfId="4" priority="5">
      <formula>$F$29="YES"</formula>
    </cfRule>
  </conditionalFormatting>
  <conditionalFormatting sqref="B42:E42">
    <cfRule type="expression" dxfId="3" priority="4">
      <formula>$F$42="YES"</formula>
    </cfRule>
  </conditionalFormatting>
  <conditionalFormatting sqref="B44:E44">
    <cfRule type="expression" dxfId="2" priority="3">
      <formula>$F$44="YES"</formula>
    </cfRule>
  </conditionalFormatting>
  <conditionalFormatting sqref="B45:E45">
    <cfRule type="expression" dxfId="1" priority="2">
      <formula>$F$45="YES"</formula>
    </cfRule>
  </conditionalFormatting>
  <conditionalFormatting sqref="B31:E31">
    <cfRule type="expression" dxfId="0" priority="1">
      <formula>$F$31="YES"</formula>
    </cfRule>
  </conditionalFormatting>
  <pageMargins left="0.7" right="0.7" top="0.75" bottom="0.75" header="0.3" footer="0.3"/>
  <pageSetup orientation="portrait" r:id="rId1"/>
  <headerFooter>
    <oddHeader>&amp;C&amp;G</oddHeader>
  </headerFooter>
  <ignoredErrors>
    <ignoredError sqref="G26 H28" formula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TDH</cp:lastModifiedBy>
  <cp:revision/>
  <dcterms:created xsi:type="dcterms:W3CDTF">2018-02-16T19:32:35Z</dcterms:created>
  <dcterms:modified xsi:type="dcterms:W3CDTF">2023-11-01T13:58:42Z</dcterms:modified>
  <cp:category/>
  <cp:contentStatus/>
</cp:coreProperties>
</file>