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2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504717-my.sharepoint.com/personal/stephanie_tdhmfg_com/Documents/Horizon Hoist/Production HH/"/>
    </mc:Choice>
  </mc:AlternateContent>
  <xr:revisionPtr revIDLastSave="149" documentId="8_{BBD9DDB1-3516-49A4-B8CF-654DBA6B45DC}" xr6:coauthVersionLast="47" xr6:coauthVersionMax="47" xr10:uidLastSave="{E532072C-BC58-4113-9A36-65839824BE8C}"/>
  <bookViews>
    <workbookView xWindow="3015" yWindow="1020" windowWidth="23010" windowHeight="12210" tabRatio="810" activeTab="1" xr2:uid="{00000000-000D-0000-FFFF-FFFF00000000}"/>
  </bookViews>
  <sheets>
    <sheet name="Horizon Production Sheet" sheetId="11" r:id="rId1"/>
    <sheet name="In-Shop Production Sheet" sheetId="12" r:id="rId2"/>
    <sheet name="Hose Lengths" sheetId="7" r:id="rId3"/>
    <sheet name="BUILD SHEET LG. Unit" sheetId="14" r:id="rId4"/>
    <sheet name="In-Production LG. Units" sheetId="15" r:id="rId5"/>
  </sheets>
  <definedNames>
    <definedName name="_xlnm.Print_Area" localSheetId="3">'BUILD SHEET LG. Unit'!$A$1:$H$39</definedName>
    <definedName name="_xlnm.Print_Area" localSheetId="0">'Horizon Production Sheet'!$A$1:$H$39</definedName>
    <definedName name="_xlnm.Print_Area" localSheetId="4">'In-Production LG. Units'!$A$1:$I$47</definedName>
    <definedName name="_xlnm.Print_Area" localSheetId="1">'In-Shop Production Sheet'!$A$1:$I$46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2" l="1"/>
  <c r="B46" i="12"/>
  <c r="F31" i="12"/>
  <c r="F33" i="12"/>
  <c r="F23" i="12"/>
  <c r="G23" i="12" s="1"/>
  <c r="B31" i="12" a="1"/>
  <c r="B31" i="12"/>
  <c r="F38" i="12"/>
  <c r="B38" i="12" a="1"/>
  <c r="B38" i="12"/>
  <c r="M15" i="12" a="1"/>
  <c r="M15" i="12"/>
  <c r="F30" i="12"/>
  <c r="F29" i="12"/>
  <c r="H29" i="12" s="1"/>
  <c r="B30" i="12"/>
  <c r="B37" i="12"/>
  <c r="B40" i="12"/>
  <c r="I16" i="12"/>
  <c r="G16" i="12"/>
  <c r="E16" i="12"/>
  <c r="F12" i="12"/>
  <c r="H7" i="12"/>
  <c r="F3" i="7" s="1"/>
  <c r="A16" i="12"/>
  <c r="H8" i="11"/>
  <c r="B14" i="12" s="1"/>
  <c r="G3" i="12"/>
  <c r="H27" i="12"/>
  <c r="H24" i="12"/>
  <c r="H22" i="12"/>
  <c r="H21" i="12"/>
  <c r="H19" i="12"/>
  <c r="B33" i="12"/>
  <c r="B17" i="12"/>
  <c r="F41" i="12"/>
  <c r="G41" i="12"/>
  <c r="F40" i="12"/>
  <c r="G40" i="12" s="1"/>
  <c r="F32" i="12"/>
  <c r="H32" i="12" s="1"/>
  <c r="A20" i="15"/>
  <c r="D19" i="15"/>
  <c r="A19" i="15"/>
  <c r="F27" i="15"/>
  <c r="G27" i="15"/>
  <c r="H7" i="15"/>
  <c r="F20" i="15"/>
  <c r="G20" i="15"/>
  <c r="G21" i="15"/>
  <c r="G22" i="15"/>
  <c r="G23" i="15"/>
  <c r="F24" i="15"/>
  <c r="G24" i="15"/>
  <c r="F25" i="15"/>
  <c r="G25" i="15"/>
  <c r="G26" i="15"/>
  <c r="F28" i="15"/>
  <c r="G28" i="15"/>
  <c r="F38" i="15"/>
  <c r="H13" i="14"/>
  <c r="F36" i="15"/>
  <c r="A36" i="15"/>
  <c r="A28" i="15"/>
  <c r="A27" i="15"/>
  <c r="F32" i="15"/>
  <c r="A32" i="15"/>
  <c r="G32" i="15"/>
  <c r="F29" i="15"/>
  <c r="A29" i="15"/>
  <c r="D20" i="15"/>
  <c r="F37" i="15"/>
  <c r="G14" i="14"/>
  <c r="B41" i="15"/>
  <c r="B40" i="15"/>
  <c r="F41" i="15"/>
  <c r="F40" i="15"/>
  <c r="B29" i="15"/>
  <c r="C28" i="15"/>
  <c r="D28" i="15"/>
  <c r="E28" i="15"/>
  <c r="C27" i="15"/>
  <c r="B39" i="15"/>
  <c r="B38" i="15"/>
  <c r="B37" i="15"/>
  <c r="F39" i="15"/>
  <c r="D32" i="15"/>
  <c r="B19" i="14"/>
  <c r="B27" i="15"/>
  <c r="C19" i="14"/>
  <c r="B20" i="14"/>
  <c r="B28" i="15"/>
  <c r="C20" i="14"/>
  <c r="D47" i="15"/>
  <c r="H47" i="15"/>
  <c r="H33" i="14"/>
  <c r="G45" i="15"/>
  <c r="H32" i="14"/>
  <c r="G44" i="15"/>
  <c r="H31" i="14"/>
  <c r="G43" i="15"/>
  <c r="B45" i="15"/>
  <c r="B44" i="15"/>
  <c r="D44" i="15"/>
  <c r="D45" i="15"/>
  <c r="F43" i="15"/>
  <c r="F44" i="15"/>
  <c r="F45" i="15"/>
  <c r="F42" i="15"/>
  <c r="F35" i="15"/>
  <c r="G35" i="15"/>
  <c r="F34" i="15"/>
  <c r="G34" i="15"/>
  <c r="D43" i="15"/>
  <c r="B43" i="15"/>
  <c r="B42" i="15"/>
  <c r="B36" i="15"/>
  <c r="D35" i="15"/>
  <c r="B35" i="15"/>
  <c r="D34" i="15"/>
  <c r="B34" i="15"/>
  <c r="D33" i="15"/>
  <c r="B33" i="15"/>
  <c r="B31" i="15"/>
  <c r="B30" i="15"/>
  <c r="H29" i="15"/>
  <c r="G19" i="15"/>
  <c r="D24" i="15"/>
  <c r="G29" i="15"/>
  <c r="F30" i="15"/>
  <c r="G30" i="15"/>
  <c r="F31" i="15"/>
  <c r="A22" i="15"/>
  <c r="B22" i="15"/>
  <c r="A21" i="15"/>
  <c r="B20" i="15"/>
  <c r="C17" i="15"/>
  <c r="G16" i="15"/>
  <c r="E16" i="15"/>
  <c r="C16" i="15"/>
  <c r="H15" i="15"/>
  <c r="G15" i="15"/>
  <c r="G14" i="15"/>
  <c r="H8" i="14"/>
  <c r="B14" i="15"/>
  <c r="G11" i="15"/>
  <c r="C11" i="15"/>
  <c r="D12" i="15"/>
  <c r="G12" i="15"/>
  <c r="E7" i="15"/>
  <c r="C8" i="15" a="1"/>
  <c r="C8" i="15"/>
  <c r="C7" i="15"/>
  <c r="G39" i="15"/>
  <c r="G38" i="15"/>
  <c r="G37" i="15"/>
  <c r="F33" i="15"/>
  <c r="H31" i="15"/>
  <c r="H30" i="15"/>
  <c r="A30" i="15"/>
  <c r="H28" i="15"/>
  <c r="H27" i="15"/>
  <c r="H26" i="15"/>
  <c r="H25" i="15"/>
  <c r="H24" i="15"/>
  <c r="B24" i="15"/>
  <c r="H23" i="15"/>
  <c r="H22" i="15"/>
  <c r="H21" i="15"/>
  <c r="H20" i="15"/>
  <c r="H19" i="15"/>
  <c r="H12" i="14"/>
  <c r="F20" i="12"/>
  <c r="A20" i="12"/>
  <c r="D20" i="12"/>
  <c r="B22" i="12"/>
  <c r="A22" i="12" a="1"/>
  <c r="A22" i="12"/>
  <c r="G12" i="12"/>
  <c r="D35" i="12"/>
  <c r="F36" i="12"/>
  <c r="G36" i="12" s="1"/>
  <c r="H12" i="11"/>
  <c r="B36" i="12"/>
  <c r="D36" i="12"/>
  <c r="H15" i="11"/>
  <c r="G14" i="12" s="1"/>
  <c r="B44" i="12"/>
  <c r="B20" i="12"/>
  <c r="B35" i="12"/>
  <c r="B34" i="12"/>
  <c r="B28" i="12"/>
  <c r="B23" i="12"/>
  <c r="B25" i="12"/>
  <c r="G11" i="12"/>
  <c r="D2" i="7" s="1"/>
  <c r="F37" i="12"/>
  <c r="A37" i="12" s="1"/>
  <c r="F44" i="12"/>
  <c r="F43" i="12"/>
  <c r="F42" i="12"/>
  <c r="F39" i="12"/>
  <c r="G38" i="12"/>
  <c r="F35" i="12"/>
  <c r="G35" i="12" s="1"/>
  <c r="F34" i="12"/>
  <c r="F28" i="12"/>
  <c r="G28" i="12" s="1"/>
  <c r="F25" i="12"/>
  <c r="H25" i="12" s="1"/>
  <c r="D44" i="12"/>
  <c r="B43" i="12"/>
  <c r="B42" i="12"/>
  <c r="B41" i="12"/>
  <c r="B39" i="12"/>
  <c r="B29" i="12"/>
  <c r="D28" i="12"/>
  <c r="D25" i="12"/>
  <c r="D23" i="12"/>
  <c r="H15" i="12"/>
  <c r="C11" i="12"/>
  <c r="C7" i="12"/>
  <c r="C3" i="7" s="1"/>
  <c r="G19" i="12"/>
  <c r="G16" i="11"/>
  <c r="G15" i="12" s="1"/>
  <c r="H14" i="11"/>
  <c r="G31" i="15"/>
  <c r="G44" i="12"/>
  <c r="A23" i="12"/>
  <c r="A28" i="12"/>
  <c r="H20" i="12"/>
  <c r="C33" i="7"/>
  <c r="G20" i="12"/>
  <c r="G21" i="12"/>
  <c r="G22" i="12"/>
  <c r="G25" i="12"/>
  <c r="C9" i="15"/>
  <c r="G9" i="15"/>
  <c r="H30" i="12" l="1"/>
  <c r="G29" i="12"/>
  <c r="A30" i="12"/>
  <c r="G30" i="12"/>
  <c r="G32" i="12" s="1"/>
  <c r="A29" i="12"/>
  <c r="C6" i="7"/>
  <c r="F27" i="7"/>
  <c r="F28" i="7"/>
  <c r="C10" i="7"/>
  <c r="F26" i="12"/>
  <c r="G24" i="12"/>
  <c r="F7" i="7"/>
  <c r="F8" i="7"/>
  <c r="F5" i="7"/>
  <c r="F6" i="7"/>
  <c r="D19" i="12"/>
  <c r="A19" i="12" s="1"/>
  <c r="G31" i="12" l="1"/>
  <c r="G26" i="12"/>
  <c r="G27" i="12" s="1"/>
  <c r="H2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<sst xmlns="http://schemas.openxmlformats.org/spreadsheetml/2006/main" count="471" uniqueCount="271">
  <si>
    <t>Half Utility</t>
  </si>
  <si>
    <t>Full Utility</t>
  </si>
  <si>
    <t>Truck-</t>
  </si>
  <si>
    <t>Pass Side-</t>
  </si>
  <si>
    <t>Drive Side-</t>
  </si>
  <si>
    <t>Model-</t>
  </si>
  <si>
    <t>Sand Line-</t>
  </si>
  <si>
    <t>Unit:</t>
  </si>
  <si>
    <t>Notes-</t>
  </si>
  <si>
    <t>Hook-</t>
  </si>
  <si>
    <t>Paint-</t>
  </si>
  <si>
    <t>Outrigger-</t>
  </si>
  <si>
    <t>Front</t>
  </si>
  <si>
    <t>3-S-6</t>
  </si>
  <si>
    <t>5-S-6</t>
  </si>
  <si>
    <t>Custom</t>
  </si>
  <si>
    <t>Hyd Pipe Rack</t>
  </si>
  <si>
    <t>Basic Pipe Rack</t>
  </si>
  <si>
    <t>Cathead</t>
  </si>
  <si>
    <t>Wire Winder</t>
  </si>
  <si>
    <t>Date Start</t>
  </si>
  <si>
    <t>Date to Finish</t>
  </si>
  <si>
    <t>Main Winch:</t>
  </si>
  <si>
    <t>Sand Winch:</t>
  </si>
  <si>
    <t>Checked By</t>
  </si>
  <si>
    <t>Color</t>
  </si>
  <si>
    <t>Mast</t>
  </si>
  <si>
    <t>Frame</t>
  </si>
  <si>
    <t>Pipe Racks</t>
  </si>
  <si>
    <t>Dual Behind Cab</t>
  </si>
  <si>
    <t xml:space="preserve">Customer - </t>
  </si>
  <si>
    <t>Customer-</t>
  </si>
  <si>
    <t>Breakout Cylinder</t>
  </si>
  <si>
    <t>AUX Hydraulics</t>
  </si>
  <si>
    <t>Sand Line Counter</t>
  </si>
  <si>
    <t>Vise Holder</t>
  </si>
  <si>
    <t>Basic Black/White</t>
  </si>
  <si>
    <t>Wire Spool Holder</t>
  </si>
  <si>
    <t>Line-X</t>
  </si>
  <si>
    <t>VIN:</t>
  </si>
  <si>
    <t>Extended</t>
  </si>
  <si>
    <t>Crew</t>
  </si>
  <si>
    <t>Regular</t>
  </si>
  <si>
    <t>Truck Cab:</t>
  </si>
  <si>
    <t>Valve Bank</t>
  </si>
  <si>
    <t>Main Line-</t>
  </si>
  <si>
    <t>YES</t>
  </si>
  <si>
    <t>Mast -</t>
  </si>
  <si>
    <t>Extension</t>
  </si>
  <si>
    <t>Raise &amp; Lower</t>
  </si>
  <si>
    <t>Additional Outrigger</t>
  </si>
  <si>
    <t>Right Rear</t>
  </si>
  <si>
    <t>Left Rear</t>
  </si>
  <si>
    <t>Serial # -</t>
  </si>
  <si>
    <t>VIN</t>
  </si>
  <si>
    <t>Winch #</t>
  </si>
  <si>
    <t>Colors</t>
  </si>
  <si>
    <t>RED</t>
  </si>
  <si>
    <t>BLU</t>
  </si>
  <si>
    <t>BLK</t>
  </si>
  <si>
    <t>WHT</t>
  </si>
  <si>
    <t>Color Code</t>
  </si>
  <si>
    <t>GRN</t>
  </si>
  <si>
    <t>ORA</t>
  </si>
  <si>
    <t>Spool</t>
  </si>
  <si>
    <t>Options</t>
  </si>
  <si>
    <t>Paint Color</t>
  </si>
  <si>
    <t>1/2" Bank to Aux</t>
  </si>
  <si>
    <t>3/8" Bank to Front Outrigger</t>
  </si>
  <si>
    <t>1/2" Bank to Extension</t>
  </si>
  <si>
    <t>9x3</t>
  </si>
  <si>
    <t>1/2" Bank to Mast T</t>
  </si>
  <si>
    <t>7x3</t>
  </si>
  <si>
    <t>4x3</t>
  </si>
  <si>
    <t>334" - SX90</t>
  </si>
  <si>
    <t>3/8" Bank to Right Outrigger</t>
  </si>
  <si>
    <t>324" - SX90</t>
  </si>
  <si>
    <t>302" - SX90</t>
  </si>
  <si>
    <t>3/8" Bank to Left Outrigger</t>
  </si>
  <si>
    <t>1" Hose - SXS</t>
  </si>
  <si>
    <t>PTO Pump to Bank</t>
  </si>
  <si>
    <t>214"</t>
  </si>
  <si>
    <t>96"</t>
  </si>
  <si>
    <t>1 1/4" Hose - SXS</t>
  </si>
  <si>
    <t>3/8" Mast T to Mast Cylinder</t>
  </si>
  <si>
    <t>PTO Pump to Hydraulic Tank</t>
  </si>
  <si>
    <t>64"</t>
  </si>
  <si>
    <t>Ford F550 Hydraulic Hose Cut Length</t>
  </si>
  <si>
    <t>3/8" Bank to Drive Pipe Rack</t>
  </si>
  <si>
    <t>3/8" Bank to Pass Pipe Rack</t>
  </si>
  <si>
    <t>3/8" Bank to Dual Behind Cab</t>
  </si>
  <si>
    <t>N/A</t>
  </si>
  <si>
    <t>Tool Cage</t>
  </si>
  <si>
    <t>2-Part Block</t>
  </si>
  <si>
    <t>3-Part Block</t>
  </si>
  <si>
    <t>NOTES</t>
  </si>
  <si>
    <t>Drive Side Box</t>
  </si>
  <si>
    <t>Pass Side Box</t>
  </si>
  <si>
    <t>Drive &amp; Pass Box</t>
  </si>
  <si>
    <t>TBD</t>
  </si>
  <si>
    <t>186" - 90X45 Driver</t>
  </si>
  <si>
    <t>204" - 90X45 Passenger</t>
  </si>
  <si>
    <t>GRY</t>
  </si>
  <si>
    <t>TDH Decal Color</t>
  </si>
  <si>
    <t>Cust. Decal Color</t>
  </si>
  <si>
    <t>Customer Decal Color</t>
  </si>
  <si>
    <t>Code</t>
  </si>
  <si>
    <t>15X3</t>
  </si>
  <si>
    <t>35X4</t>
  </si>
  <si>
    <t>10-S-6</t>
  </si>
  <si>
    <t>4-Part Block</t>
  </si>
  <si>
    <t>1500 Pound</t>
  </si>
  <si>
    <t>2500 Pound</t>
  </si>
  <si>
    <t>5/16" Cable</t>
  </si>
  <si>
    <t>3/8" Cable</t>
  </si>
  <si>
    <t>500'</t>
  </si>
  <si>
    <t>600'</t>
  </si>
  <si>
    <t>NONE</t>
  </si>
  <si>
    <t>700'</t>
  </si>
  <si>
    <t>800'</t>
  </si>
  <si>
    <t>900'</t>
  </si>
  <si>
    <t>1000'</t>
  </si>
  <si>
    <t>1100'</t>
  </si>
  <si>
    <t>1200'</t>
  </si>
  <si>
    <t>1300'</t>
  </si>
  <si>
    <t>1400'</t>
  </si>
  <si>
    <t>1500'</t>
  </si>
  <si>
    <t>ALUM</t>
  </si>
  <si>
    <t>Serial #:</t>
  </si>
  <si>
    <t>Motor/Cyl</t>
  </si>
  <si>
    <t>1000 Pound</t>
  </si>
  <si>
    <t>Truck Body-</t>
  </si>
  <si>
    <t>11' Flatbed</t>
  </si>
  <si>
    <t>Mast Height</t>
  </si>
  <si>
    <t>40'</t>
  </si>
  <si>
    <t>48'</t>
  </si>
  <si>
    <t>Control System-</t>
  </si>
  <si>
    <t>Electric Over Hydraulic Upgrade</t>
  </si>
  <si>
    <t>Auto Oil Cooler</t>
  </si>
  <si>
    <t>3T Basic</t>
  </si>
  <si>
    <t>5T Basic</t>
  </si>
  <si>
    <t>Filter</t>
  </si>
  <si>
    <t>3500 Pound</t>
  </si>
  <si>
    <t>238"</t>
  </si>
  <si>
    <t>1" Filter to Fan - 183" - SXS</t>
  </si>
  <si>
    <t>152" - SXS</t>
  </si>
  <si>
    <t>154" - SX90</t>
  </si>
  <si>
    <t>172" - SX90</t>
  </si>
  <si>
    <t>174" - SX90</t>
  </si>
  <si>
    <t>32" - SXS</t>
  </si>
  <si>
    <t>162" - SX90</t>
  </si>
  <si>
    <t>65" - SX90</t>
  </si>
  <si>
    <t>1/2" Air Compressor</t>
  </si>
  <si>
    <t>1/2" Block to Bank</t>
  </si>
  <si>
    <t>78" - SXS</t>
  </si>
  <si>
    <t>42" - SXS</t>
  </si>
  <si>
    <t>Chevy</t>
  </si>
  <si>
    <t>Ford</t>
  </si>
  <si>
    <t>Ram</t>
  </si>
  <si>
    <t>Getec HM1400 Generator</t>
  </si>
  <si>
    <t>Air Compressor- 17 cfm</t>
  </si>
  <si>
    <t>PTO Driven</t>
  </si>
  <si>
    <t>HYBRID</t>
  </si>
  <si>
    <t>87"</t>
  </si>
  <si>
    <t>220"</t>
  </si>
  <si>
    <t>1" Fan to Tank - 11.25" - SXS</t>
  </si>
  <si>
    <t>1/2" Bank to ML</t>
  </si>
  <si>
    <t>1/2" Bank to SL</t>
  </si>
  <si>
    <t>156 IN - SXS</t>
  </si>
  <si>
    <t>135" SXS</t>
  </si>
  <si>
    <t>1/2" Bank to Generator by Tank</t>
  </si>
  <si>
    <t>3/8" Bank to Wire Winder</t>
  </si>
  <si>
    <t>x2 Bank to block 46" SX90</t>
  </si>
  <si>
    <t>x2 Bank to Motor 140" SXS</t>
  </si>
  <si>
    <t>Case Drain 155" SX90</t>
  </si>
  <si>
    <t>48" - SXS</t>
  </si>
  <si>
    <t>59" - SXS</t>
  </si>
  <si>
    <t>68" - SX45</t>
  </si>
  <si>
    <t>9' Flatbed</t>
  </si>
  <si>
    <t>1600'</t>
  </si>
  <si>
    <t>1800'</t>
  </si>
  <si>
    <t>2000'</t>
  </si>
  <si>
    <t>2200'</t>
  </si>
  <si>
    <t>2400'</t>
  </si>
  <si>
    <t>2600'</t>
  </si>
  <si>
    <t>2800'</t>
  </si>
  <si>
    <t>3000'</t>
  </si>
  <si>
    <t>13' Flatbed</t>
  </si>
  <si>
    <t>15' Flatbed</t>
  </si>
  <si>
    <t>18' Flatbed</t>
  </si>
  <si>
    <t>22' Flatbed</t>
  </si>
  <si>
    <t>5000 Pound</t>
  </si>
  <si>
    <t>4.5' Locking Tool Box</t>
  </si>
  <si>
    <t>2.5' Locking Tool Box</t>
  </si>
  <si>
    <t>15-S-6</t>
  </si>
  <si>
    <t>25-S-6</t>
  </si>
  <si>
    <t>Kenworth</t>
  </si>
  <si>
    <t>Peterbilt</t>
  </si>
  <si>
    <t>1/2" Cable</t>
  </si>
  <si>
    <t>20X3</t>
  </si>
  <si>
    <t>25X4</t>
  </si>
  <si>
    <t>30X4</t>
  </si>
  <si>
    <t>52'</t>
  </si>
  <si>
    <t>55'</t>
  </si>
  <si>
    <t>58'</t>
  </si>
  <si>
    <r>
      <t xml:space="preserve">Production Sheet </t>
    </r>
    <r>
      <rPr>
        <b/>
        <u/>
        <sz val="16"/>
        <color rgb="FF92D050"/>
        <rFont val="Brush Script MT"/>
        <family val="4"/>
      </rPr>
      <t>LG. Units</t>
    </r>
  </si>
  <si>
    <r>
      <t xml:space="preserve">Production Sheet </t>
    </r>
    <r>
      <rPr>
        <b/>
        <u/>
        <sz val="22"/>
        <color rgb="FF00FF00"/>
        <rFont val="Brush Script MT"/>
        <family val="4"/>
      </rPr>
      <t>LG. Units</t>
    </r>
  </si>
  <si>
    <t>Truck Make:</t>
  </si>
  <si>
    <t>Model:</t>
  </si>
  <si>
    <t>Freightliner</t>
  </si>
  <si>
    <t>Separate Circuit-</t>
  </si>
  <si>
    <t>Layout Line/Swing Arm</t>
  </si>
  <si>
    <t xml:space="preserve">Spinner </t>
  </si>
  <si>
    <t>Motor SN:</t>
  </si>
  <si>
    <t>PTO SN:</t>
  </si>
  <si>
    <t>T800</t>
  </si>
  <si>
    <t>8000 Pound</t>
  </si>
  <si>
    <t>25 TON 2-part Block</t>
  </si>
  <si>
    <t>Additional Layback to 18'</t>
  </si>
  <si>
    <t>Line-X Bed</t>
  </si>
  <si>
    <t>11' ALU TT SB</t>
  </si>
  <si>
    <t>11' ALU SB</t>
  </si>
  <si>
    <t>9' ALU SB</t>
  </si>
  <si>
    <t>9' ALU TT SB</t>
  </si>
  <si>
    <t>Model YR:</t>
  </si>
  <si>
    <t>Production Sheet</t>
  </si>
  <si>
    <t>6K</t>
  </si>
  <si>
    <t>10K</t>
  </si>
  <si>
    <t>12K</t>
  </si>
  <si>
    <t>15K</t>
  </si>
  <si>
    <t>Horizon Decal Color</t>
  </si>
  <si>
    <t>Shovel Holders</t>
  </si>
  <si>
    <t>Wireless Remote</t>
  </si>
  <si>
    <t>Frame Color</t>
  </si>
  <si>
    <t>Mast Color</t>
  </si>
  <si>
    <t>Bed Color</t>
  </si>
  <si>
    <t>Remote Throttle Control</t>
  </si>
  <si>
    <t>Horizon Production Sheet</t>
  </si>
  <si>
    <t>LED Light Package</t>
  </si>
  <si>
    <t>9' STL SB</t>
  </si>
  <si>
    <t>9' STL TT SB</t>
  </si>
  <si>
    <t>11' STL SB</t>
  </si>
  <si>
    <t>11' STL TT SB</t>
  </si>
  <si>
    <t>Chrome Package</t>
  </si>
  <si>
    <t>Air Compressor-17 cfm</t>
  </si>
  <si>
    <t>20K</t>
  </si>
  <si>
    <t>36'</t>
  </si>
  <si>
    <t>10' Cylinder</t>
  </si>
  <si>
    <t>MANUAL HYDRAULIC</t>
  </si>
  <si>
    <t>H2</t>
  </si>
  <si>
    <t>Manual Tilt Pipe Rack</t>
  </si>
  <si>
    <t>Rotating Wire Spool Holder</t>
  </si>
  <si>
    <t>Side Gate</t>
  </si>
  <si>
    <t xml:space="preserve">Ace Drilling </t>
  </si>
  <si>
    <t>HH10K122024-30</t>
  </si>
  <si>
    <t>11' ALU DL SB</t>
  </si>
  <si>
    <t xml:space="preserve">Chrome Simulators </t>
  </si>
  <si>
    <t>Secondary Aux Section - capped</t>
  </si>
  <si>
    <t xml:space="preserve">Leaf Spring Pkg with Guessett Kit </t>
  </si>
  <si>
    <t>Reg</t>
  </si>
  <si>
    <t>Ram 5500</t>
  </si>
  <si>
    <t>Dodge</t>
  </si>
  <si>
    <t>4000M-41</t>
  </si>
  <si>
    <t>1000S-118</t>
  </si>
  <si>
    <t>3CWRNFL3HG71770</t>
  </si>
  <si>
    <r>
      <t>Service Body: 30" opening,Horizon Fram e to not block 30" opening"NEW DESIGN" //</t>
    </r>
    <r>
      <rPr>
        <b/>
        <sz val="12"/>
        <color theme="1"/>
        <rFont val="Calibri"/>
        <family val="2"/>
        <scheme val="minor"/>
      </rPr>
      <t xml:space="preserve"> Paint: Bare Aluminum with Clear Coat.</t>
    </r>
  </si>
  <si>
    <t>Step Off Bumber-Pass Side</t>
  </si>
  <si>
    <t>Step On Bumper-Drive Side</t>
  </si>
  <si>
    <t xml:space="preserve">Secondary Aux Section - capped </t>
  </si>
  <si>
    <t>Ford Blue 135FB</t>
  </si>
  <si>
    <t>3C7WRNFL3HG671770-CP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</si>
</sst>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6"/>
      <color rgb="FF92D050"/>
      <name val="Calibri"/>
      <family val="2"/>
      <scheme val="minor"/>
    </font>
    <font>
      <sz val="11"/>
      <color rgb="FF00FF0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  <font>
      <b/>
      <u/>
      <sz val="36"/>
      <color rgb="FF00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22"/>
      <color rgb="FF00FF00"/>
      <name val="Brush Script MT"/>
      <family val="4"/>
    </font>
    <font>
      <b/>
      <u/>
      <sz val="22"/>
      <color rgb="FF92D050"/>
      <name val="Calibri"/>
      <family val="2"/>
      <scheme val="minor"/>
    </font>
    <font>
      <b/>
      <u/>
      <sz val="16"/>
      <color rgb="FF92D050"/>
      <name val="Brush Script MT"/>
      <family val="4"/>
    </font>
    <font>
      <b/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36"/>
      <color rgb="FF00B0F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22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3" tint="0.59996337778862885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5">
    <xf numFmtId="0" fontId="0" fillId="0" borderId="0" xfId="0"/>
    <xf numFmtId="44" fontId="0" fillId="0" borderId="0" xfId="1" applyFont="1"/>
    <xf numFmtId="0" fontId="3" fillId="0" borderId="0" xfId="0" applyFont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6" fillId="0" borderId="0" xfId="0" applyFont="1" applyAlignment="1" applyProtection="1">
      <alignment vertical="top"/>
      <protection locked="0"/>
    </xf>
    <xf numFmtId="0" fontId="10" fillId="0" borderId="1" xfId="0" applyFont="1" applyBorder="1"/>
    <xf numFmtId="0" fontId="10" fillId="0" borderId="7" xfId="0" applyFont="1" applyBorder="1" applyAlignment="1">
      <alignment horizontal="right"/>
    </xf>
    <xf numFmtId="0" fontId="0" fillId="0" borderId="7" xfId="1" applyNumberFormat="1" applyFont="1" applyBorder="1"/>
    <xf numFmtId="0" fontId="10" fillId="0" borderId="0" xfId="0" applyFont="1"/>
    <xf numFmtId="0" fontId="10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1" applyNumberFormat="1" applyFont="1"/>
    <xf numFmtId="0" fontId="12" fillId="0" borderId="0" xfId="0" applyFont="1"/>
    <xf numFmtId="0" fontId="3" fillId="0" borderId="0" xfId="0" applyFont="1" applyProtection="1">
      <protection locked="0"/>
    </xf>
    <xf numFmtId="44" fontId="3" fillId="0" borderId="0" xfId="1" applyFont="1" applyProtection="1">
      <protection locked="0"/>
    </xf>
    <xf numFmtId="0" fontId="5" fillId="0" borderId="0" xfId="0" applyFont="1" applyProtection="1">
      <protection locked="0"/>
    </xf>
    <xf numFmtId="44" fontId="5" fillId="0" borderId="0" xfId="1" applyFont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0" fontId="6" fillId="0" borderId="0" xfId="0" applyFont="1" applyAlignment="1" applyProtection="1">
      <alignment horizontal="right" vertical="top"/>
      <protection locked="0"/>
    </xf>
    <xf numFmtId="0" fontId="13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0" fillId="0" borderId="2" xfId="0" applyBorder="1" applyAlignment="1" applyProtection="1">
      <alignment horizontal="left"/>
      <protection hidden="1"/>
    </xf>
    <xf numFmtId="0" fontId="5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2" fillId="0" borderId="2" xfId="0" applyFont="1" applyBorder="1" applyProtection="1">
      <protection locked="0" hidden="1"/>
    </xf>
    <xf numFmtId="0" fontId="2" fillId="0" borderId="5" xfId="0" applyFont="1" applyBorder="1" applyProtection="1">
      <protection locked="0" hidden="1"/>
    </xf>
    <xf numFmtId="0" fontId="2" fillId="0" borderId="10" xfId="0" applyFont="1" applyBorder="1" applyProtection="1">
      <protection locked="0" hidden="1"/>
    </xf>
    <xf numFmtId="8" fontId="0" fillId="0" borderId="0" xfId="0" applyNumberFormat="1"/>
    <xf numFmtId="0" fontId="10" fillId="0" borderId="3" xfId="0" applyFont="1" applyBorder="1"/>
    <xf numFmtId="0" fontId="13" fillId="0" borderId="1" xfId="0" applyFont="1" applyBorder="1" applyAlignment="1">
      <alignment horizontal="right"/>
    </xf>
    <xf numFmtId="0" fontId="0" fillId="0" borderId="7" xfId="1" applyNumberFormat="1" applyFont="1" applyBorder="1" applyAlignment="1">
      <alignment horizontal="center"/>
    </xf>
    <xf numFmtId="0" fontId="12" fillId="0" borderId="7" xfId="0" applyFont="1" applyBorder="1" applyAlignment="1" applyProtection="1">
      <alignment horizontal="right"/>
      <protection locked="0" hidden="1"/>
    </xf>
    <xf numFmtId="0" fontId="12" fillId="0" borderId="7" xfId="0" applyFont="1" applyBorder="1" applyProtection="1">
      <protection locked="0" hidden="1"/>
    </xf>
    <xf numFmtId="0" fontId="12" fillId="0" borderId="11" xfId="0" applyFont="1" applyBorder="1" applyProtection="1">
      <protection locked="0" hidden="1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4" fontId="8" fillId="0" borderId="0" xfId="1" applyFont="1"/>
    <xf numFmtId="0" fontId="10" fillId="0" borderId="12" xfId="0" applyFont="1" applyBorder="1" applyAlignment="1">
      <alignment horizontal="left"/>
    </xf>
    <xf numFmtId="0" fontId="12" fillId="0" borderId="12" xfId="1" applyNumberFormat="1" applyFont="1" applyBorder="1" applyProtection="1">
      <protection hidden="1"/>
    </xf>
    <xf numFmtId="0" fontId="19" fillId="2" borderId="13" xfId="0" applyFont="1" applyFill="1" applyBorder="1" applyAlignment="1">
      <alignment horizontal="left"/>
    </xf>
    <xf numFmtId="0" fontId="10" fillId="0" borderId="7" xfId="1" applyNumberFormat="1" applyFont="1" applyBorder="1" applyAlignment="1">
      <alignment horizontal="center"/>
    </xf>
    <xf numFmtId="0" fontId="10" fillId="3" borderId="7" xfId="1" applyNumberFormat="1" applyFont="1" applyFill="1" applyBorder="1" applyAlignment="1">
      <alignment horizontal="center"/>
    </xf>
    <xf numFmtId="0" fontId="2" fillId="3" borderId="0" xfId="0" applyFont="1" applyFill="1"/>
    <xf numFmtId="0" fontId="2" fillId="3" borderId="7" xfId="1" applyNumberFormat="1" applyFont="1" applyFill="1" applyBorder="1" applyAlignment="1">
      <alignment horizontal="center"/>
    </xf>
    <xf numFmtId="0" fontId="10" fillId="0" borderId="7" xfId="0" applyFont="1" applyBorder="1"/>
    <xf numFmtId="0" fontId="0" fillId="0" borderId="7" xfId="0" applyBorder="1"/>
    <xf numFmtId="0" fontId="17" fillId="0" borderId="7" xfId="0" applyFont="1" applyBorder="1"/>
    <xf numFmtId="0" fontId="11" fillId="0" borderId="0" xfId="0" applyFont="1"/>
    <xf numFmtId="0" fontId="21" fillId="0" borderId="0" xfId="0" applyFont="1"/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24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0" fillId="0" borderId="10" xfId="0" applyBorder="1" applyAlignment="1" applyProtection="1">
      <alignment horizontal="center"/>
      <protection locked="0"/>
    </xf>
    <xf numFmtId="0" fontId="26" fillId="0" borderId="12" xfId="1" applyNumberFormat="1" applyFont="1" applyBorder="1" applyProtection="1">
      <protection hidden="1"/>
    </xf>
    <xf numFmtId="0" fontId="0" fillId="0" borderId="5" xfId="0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right"/>
      <protection locked="0"/>
    </xf>
    <xf numFmtId="14" fontId="7" fillId="0" borderId="14" xfId="0" applyNumberFormat="1" applyFont="1" applyBorder="1"/>
    <xf numFmtId="0" fontId="16" fillId="0" borderId="16" xfId="0" applyFont="1" applyBorder="1" applyAlignment="1" applyProtection="1">
      <alignment horizontal="right"/>
      <protection locked="0"/>
    </xf>
    <xf numFmtId="0" fontId="12" fillId="0" borderId="21" xfId="1" applyNumberFormat="1" applyFont="1" applyBorder="1" applyProtection="1">
      <protection hidden="1"/>
    </xf>
    <xf numFmtId="0" fontId="10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0" borderId="20" xfId="1" applyNumberFormat="1" applyFont="1" applyBorder="1" applyAlignment="1">
      <alignment horizontal="center"/>
    </xf>
    <xf numFmtId="0" fontId="0" fillId="0" borderId="20" xfId="1" applyNumberFormat="1" applyFont="1" applyBorder="1"/>
    <xf numFmtId="0" fontId="0" fillId="0" borderId="10" xfId="0" applyBorder="1" applyProtection="1">
      <protection locked="0"/>
    </xf>
    <xf numFmtId="0" fontId="0" fillId="0" borderId="9" xfId="0" applyBorder="1" applyAlignment="1" applyProtection="1">
      <alignment horizontal="right"/>
      <protection locked="0"/>
    </xf>
    <xf numFmtId="0" fontId="12" fillId="0" borderId="20" xfId="0" applyFont="1" applyBorder="1" applyAlignment="1" applyProtection="1">
      <alignment horizontal="right"/>
      <protection locked="0" hidden="1"/>
    </xf>
    <xf numFmtId="0" fontId="2" fillId="3" borderId="0" xfId="1" applyNumberFormat="1" applyFont="1" applyFill="1"/>
    <xf numFmtId="0" fontId="2" fillId="3" borderId="0" xfId="1" applyNumberFormat="1" applyFont="1" applyFill="1" applyAlignment="1">
      <alignment horizontal="center"/>
    </xf>
    <xf numFmtId="0" fontId="10" fillId="0" borderId="26" xfId="0" applyFont="1" applyBorder="1" applyAlignment="1">
      <alignment horizontal="center"/>
    </xf>
    <xf numFmtId="0" fontId="0" fillId="0" borderId="27" xfId="1" applyNumberFormat="1" applyFont="1" applyBorder="1" applyAlignment="1">
      <alignment horizontal="center"/>
    </xf>
    <xf numFmtId="0" fontId="10" fillId="0" borderId="27" xfId="1" applyNumberFormat="1" applyFont="1" applyBorder="1" applyAlignment="1">
      <alignment horizontal="center"/>
    </xf>
    <xf numFmtId="0" fontId="0" fillId="0" borderId="28" xfId="1" applyNumberFormat="1" applyFont="1" applyBorder="1"/>
    <xf numFmtId="0" fontId="13" fillId="2" borderId="29" xfId="0" applyFont="1" applyFill="1" applyBorder="1" applyAlignment="1">
      <alignment vertical="center"/>
    </xf>
    <xf numFmtId="0" fontId="0" fillId="0" borderId="30" xfId="1" applyNumberFormat="1" applyFont="1" applyBorder="1"/>
    <xf numFmtId="0" fontId="0" fillId="3" borderId="30" xfId="1" applyNumberFormat="1" applyFont="1" applyFill="1" applyBorder="1"/>
    <xf numFmtId="0" fontId="0" fillId="0" borderId="31" xfId="1" applyNumberFormat="1" applyFont="1" applyBorder="1"/>
    <xf numFmtId="0" fontId="10" fillId="0" borderId="0" xfId="0" applyFont="1" applyAlignment="1">
      <alignment horizontal="right"/>
    </xf>
    <xf numFmtId="44" fontId="6" fillId="0" borderId="0" xfId="1" applyFont="1" applyAlignment="1">
      <alignment horizontal="center"/>
    </xf>
    <xf numFmtId="0" fontId="10" fillId="0" borderId="15" xfId="0" applyFont="1" applyBorder="1" applyAlignment="1" applyProtection="1">
      <alignment horizontal="right"/>
      <protection locked="0"/>
    </xf>
    <xf numFmtId="0" fontId="12" fillId="0" borderId="0" xfId="0" applyFont="1" applyProtection="1">
      <protection locked="0"/>
    </xf>
    <xf numFmtId="44" fontId="10" fillId="0" borderId="15" xfId="1" applyFont="1" applyBorder="1" applyProtection="1">
      <protection locked="0"/>
    </xf>
    <xf numFmtId="0" fontId="12" fillId="0" borderId="35" xfId="0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2" fillId="0" borderId="0" xfId="0" applyFont="1" applyAlignment="1" applyProtection="1">
      <alignment vertical="center"/>
      <protection locked="0"/>
    </xf>
    <xf numFmtId="44" fontId="12" fillId="0" borderId="0" xfId="1" applyFont="1" applyAlignment="1" applyProtection="1">
      <alignment horizontal="center"/>
      <protection locked="0"/>
    </xf>
    <xf numFmtId="0" fontId="3" fillId="0" borderId="7" xfId="0" applyFont="1" applyBorder="1" applyAlignment="1">
      <alignment horizontal="center"/>
    </xf>
    <xf numFmtId="0" fontId="0" fillId="0" borderId="15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26" fillId="0" borderId="7" xfId="0" applyFont="1" applyBorder="1" applyAlignment="1" applyProtection="1">
      <alignment horizontal="right"/>
      <protection locked="0" hidden="1"/>
    </xf>
    <xf numFmtId="0" fontId="26" fillId="0" borderId="7" xfId="0" applyFont="1" applyBorder="1" applyAlignment="1" applyProtection="1">
      <alignment horizontal="right"/>
      <protection hidden="1"/>
    </xf>
    <xf numFmtId="0" fontId="26" fillId="2" borderId="3" xfId="0" applyFont="1" applyFill="1" applyBorder="1" applyAlignment="1">
      <alignment horizontal="center"/>
    </xf>
    <xf numFmtId="0" fontId="10" fillId="0" borderId="7" xfId="1" applyNumberFormat="1" applyFont="1" applyBorder="1" applyAlignment="1"/>
    <xf numFmtId="0" fontId="10" fillId="0" borderId="1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27" fillId="3" borderId="0" xfId="0" applyFont="1" applyFill="1" applyAlignment="1">
      <alignment horizont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1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0" fontId="10" fillId="0" borderId="7" xfId="0" applyFont="1" applyBorder="1" applyAlignment="1" applyProtection="1">
      <alignment vertical="center"/>
      <protection locked="0"/>
    </xf>
    <xf numFmtId="0" fontId="12" fillId="2" borderId="38" xfId="0" applyFont="1" applyFill="1" applyBorder="1" applyAlignment="1">
      <alignment horizontal="left"/>
    </xf>
    <xf numFmtId="0" fontId="10" fillId="0" borderId="37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8" xfId="0" applyFont="1" applyBorder="1"/>
    <xf numFmtId="0" fontId="10" fillId="0" borderId="16" xfId="0" applyFont="1" applyBorder="1"/>
    <xf numFmtId="0" fontId="10" fillId="0" borderId="17" xfId="1" applyNumberFormat="1" applyFont="1" applyBorder="1" applyAlignment="1"/>
    <xf numFmtId="0" fontId="13" fillId="2" borderId="0" xfId="0" applyFont="1" applyFill="1" applyAlignment="1">
      <alignment vertical="center"/>
    </xf>
    <xf numFmtId="0" fontId="13" fillId="2" borderId="22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1" xfId="0" applyBorder="1"/>
    <xf numFmtId="0" fontId="10" fillId="0" borderId="2" xfId="0" applyFont="1" applyBorder="1" applyAlignment="1">
      <alignment horizontal="center"/>
    </xf>
    <xf numFmtId="0" fontId="31" fillId="0" borderId="29" xfId="0" applyFont="1" applyBorder="1" applyAlignment="1">
      <alignment horizontal="center" vertical="center"/>
    </xf>
    <xf numFmtId="0" fontId="10" fillId="0" borderId="0" xfId="1" quotePrefix="1" applyNumberFormat="1" applyFont="1" applyBorder="1" applyAlignment="1">
      <alignment horizontal="center" vertical="center"/>
    </xf>
    <xf numFmtId="44" fontId="18" fillId="0" borderId="0" xfId="1" applyFont="1" applyBorder="1" applyAlignment="1">
      <alignment horizontal="center" vertical="center"/>
    </xf>
    <xf numFmtId="44" fontId="18" fillId="0" borderId="0" xfId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2" fillId="0" borderId="0" xfId="0" applyFont="1"/>
    <xf numFmtId="0" fontId="10" fillId="0" borderId="6" xfId="0" applyFont="1" applyBorder="1"/>
    <xf numFmtId="0" fontId="10" fillId="0" borderId="8" xfId="1" applyNumberFormat="1" applyFont="1" applyBorder="1" applyAlignment="1">
      <alignment horizontal="right"/>
    </xf>
    <xf numFmtId="0" fontId="15" fillId="0" borderId="0" xfId="0" applyFont="1" applyAlignment="1" applyProtection="1">
      <alignment horizontal="right" vertical="top"/>
      <protection locked="0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0" fillId="0" borderId="37" xfId="0" applyBorder="1" applyAlignment="1" applyProtection="1">
      <alignment horizontal="right"/>
      <protection locked="0"/>
    </xf>
    <xf numFmtId="0" fontId="0" fillId="0" borderId="5" xfId="0" applyBorder="1" applyProtection="1">
      <protection locked="0"/>
    </xf>
    <xf numFmtId="0" fontId="12" fillId="0" borderId="11" xfId="0" applyFont="1" applyBorder="1" applyAlignment="1" applyProtection="1">
      <alignment horizontal="right"/>
      <protection locked="0" hidden="1"/>
    </xf>
    <xf numFmtId="0" fontId="12" fillId="0" borderId="42" xfId="1" applyNumberFormat="1" applyFont="1" applyBorder="1" applyProtection="1">
      <protection hidden="1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3" xfId="0" applyFont="1" applyBorder="1" applyAlignment="1" applyProtection="1">
      <alignment horizontal="left" vertical="top"/>
      <protection locked="0"/>
    </xf>
    <xf numFmtId="44" fontId="10" fillId="0" borderId="15" xfId="1" applyFont="1" applyBorder="1" applyAlignment="1" applyProtection="1">
      <alignment horizontal="center"/>
      <protection locked="0"/>
    </xf>
    <xf numFmtId="0" fontId="13" fillId="2" borderId="43" xfId="0" applyFont="1" applyFill="1" applyBorder="1" applyAlignment="1">
      <alignment vertical="center"/>
    </xf>
    <xf numFmtId="0" fontId="0" fillId="0" borderId="11" xfId="1" applyNumberFormat="1" applyFont="1" applyBorder="1" applyAlignment="1">
      <alignment horizontal="center"/>
    </xf>
    <xf numFmtId="0" fontId="0" fillId="0" borderId="11" xfId="1" applyNumberFormat="1" applyFont="1" applyBorder="1"/>
    <xf numFmtId="0" fontId="0" fillId="0" borderId="44" xfId="1" applyNumberFormat="1" applyFont="1" applyBorder="1"/>
    <xf numFmtId="0" fontId="10" fillId="0" borderId="3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6" xfId="0" applyFont="1" applyBorder="1" applyAlignment="1">
      <alignment horizontal="right"/>
    </xf>
    <xf numFmtId="0" fontId="10" fillId="0" borderId="8" xfId="1" applyNumberFormat="1" applyFont="1" applyBorder="1" applyAlignment="1"/>
    <xf numFmtId="0" fontId="10" fillId="0" borderId="46" xfId="0" applyFont="1" applyBorder="1"/>
    <xf numFmtId="0" fontId="32" fillId="0" borderId="45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4" fillId="0" borderId="18" xfId="0" applyFont="1" applyBorder="1"/>
    <xf numFmtId="0" fontId="0" fillId="0" borderId="19" xfId="0" applyBorder="1" applyAlignment="1">
      <alignment horizontal="left"/>
    </xf>
    <xf numFmtId="0" fontId="10" fillId="0" borderId="37" xfId="0" applyFont="1" applyBorder="1"/>
    <xf numFmtId="0" fontId="10" fillId="0" borderId="16" xfId="0" applyFont="1" applyBorder="1" applyAlignment="1">
      <alignment horizontal="left"/>
    </xf>
    <xf numFmtId="0" fontId="10" fillId="0" borderId="17" xfId="0" applyFont="1" applyBorder="1"/>
    <xf numFmtId="0" fontId="10" fillId="0" borderId="7" xfId="0" applyFont="1" applyBorder="1" applyAlignment="1">
      <alignment horizontal="center"/>
    </xf>
    <xf numFmtId="14" fontId="0" fillId="0" borderId="0" xfId="0" applyNumberFormat="1"/>
    <xf numFmtId="0" fontId="10" fillId="6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33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23" fillId="0" borderId="6" xfId="0" applyFont="1" applyBorder="1" applyAlignment="1" applyProtection="1">
      <alignment horizontal="center"/>
      <protection locked="0"/>
    </xf>
    <xf numFmtId="0" fontId="23" fillId="0" borderId="17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0" applyFont="1" applyBorder="1" applyAlignment="1" applyProtection="1">
      <alignment horizontal="center"/>
      <protection locked="0" hidden="1"/>
    </xf>
    <xf numFmtId="0" fontId="12" fillId="0" borderId="3" xfId="0" applyFont="1" applyBorder="1" applyAlignment="1" applyProtection="1">
      <alignment horizontal="center"/>
      <protection locked="0" hidden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0" fillId="0" borderId="7" xfId="0" applyFont="1" applyBorder="1" applyAlignment="1" applyProtection="1">
      <alignment horizontal="left" vertical="top" wrapText="1"/>
      <protection locked="0"/>
    </xf>
    <xf numFmtId="0" fontId="10" fillId="0" borderId="0" xfId="1" quotePrefix="1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12" fillId="0" borderId="33" xfId="0" applyFont="1" applyBorder="1" applyAlignment="1" applyProtection="1">
      <alignment horizontal="center"/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top"/>
      <protection locked="0"/>
    </xf>
    <xf numFmtId="0" fontId="10" fillId="0" borderId="1" xfId="0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5" borderId="32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34" fillId="0" borderId="18" xfId="0" applyFont="1" applyBorder="1" applyAlignment="1">
      <alignment horizontal="center"/>
    </xf>
    <xf numFmtId="0" fontId="34" fillId="0" borderId="47" xfId="0" applyFont="1" applyBorder="1" applyAlignment="1">
      <alignment horizont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26" fillId="5" borderId="32" xfId="0" applyFont="1" applyFill="1" applyBorder="1" applyAlignment="1">
      <alignment horizontal="center" vertical="center"/>
    </xf>
    <xf numFmtId="0" fontId="26" fillId="5" borderId="33" xfId="0" applyFont="1" applyFill="1" applyBorder="1" applyAlignment="1">
      <alignment horizontal="center" vertical="center"/>
    </xf>
    <xf numFmtId="0" fontId="26" fillId="5" borderId="34" xfId="0" applyFont="1" applyFill="1" applyBorder="1" applyAlignment="1">
      <alignment horizontal="center" vertical="center"/>
    </xf>
    <xf numFmtId="0" fontId="26" fillId="5" borderId="39" xfId="0" applyFont="1" applyFill="1" applyBorder="1" applyAlignment="1">
      <alignment horizontal="center" vertical="center"/>
    </xf>
    <xf numFmtId="0" fontId="26" fillId="5" borderId="40" xfId="0" applyFont="1" applyFill="1" applyBorder="1" applyAlignment="1">
      <alignment horizontal="center" vertical="center"/>
    </xf>
    <xf numFmtId="0" fontId="26" fillId="5" borderId="41" xfId="0" applyFont="1" applyFill="1" applyBorder="1" applyAlignment="1">
      <alignment horizontal="center" vertical="center"/>
    </xf>
    <xf numFmtId="0" fontId="34" fillId="0" borderId="35" xfId="0" applyFont="1" applyBorder="1" applyAlignment="1">
      <alignment horizontal="center" vertical="center" wrapText="1"/>
    </xf>
    <xf numFmtId="0" fontId="34" fillId="0" borderId="48" xfId="0" applyFont="1" applyBorder="1" applyAlignment="1">
      <alignment horizontal="center" vertical="center" wrapText="1"/>
    </xf>
    <xf numFmtId="0" fontId="0" fillId="0" borderId="33" xfId="0" applyBorder="1" applyAlignment="1">
      <alignment horizontal="right"/>
    </xf>
    <xf numFmtId="0" fontId="0" fillId="0" borderId="2" xfId="0" applyBorder="1" applyAlignment="1">
      <alignment horizontal="right"/>
    </xf>
    <xf numFmtId="0" fontId="35" fillId="0" borderId="1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14" fontId="14" fillId="6" borderId="2" xfId="0" applyNumberFormat="1" applyFont="1" applyFill="1" applyBorder="1" applyAlignment="1">
      <alignment horizontal="center"/>
    </xf>
    <xf numFmtId="14" fontId="14" fillId="6" borderId="3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14" fontId="14" fillId="6" borderId="1" xfId="0" applyNumberFormat="1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0" fillId="3" borderId="0" xfId="0" applyFont="1" applyFill="1" applyAlignment="1">
      <alignment horizontal="center" vertical="center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7" xfId="0" applyBorder="1" applyAlignment="1">
      <alignment horizontal="left"/>
    </xf>
    <xf numFmtId="0" fontId="22" fillId="0" borderId="0" xfId="0" applyFont="1" applyAlignment="1">
      <alignment horizontal="center"/>
    </xf>
    <xf numFmtId="0" fontId="21" fillId="0" borderId="0" xfId="0" applyFont="1"/>
    <xf numFmtId="0" fontId="25" fillId="0" borderId="0" xfId="0" applyFont="1" applyAlignment="1">
      <alignment horizontal="center"/>
    </xf>
    <xf numFmtId="0" fontId="12" fillId="0" borderId="3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36" xfId="0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14" fontId="14" fillId="0" borderId="3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4" borderId="32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76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checked="Checked" fmlaLink="F15" noThreeD="1"/>
</file>

<file path=xl/ctrlProps/ctrlProp2.xml><?xml version="1.0" encoding="utf-8"?>
<formControlPr xmlns="http://schemas.microsoft.com/office/spreadsheetml/2009/9/main" objectType="CheckBox" checked="Checked" fmlaLink="F13" noThreeD="1"/>
</file>

<file path=xl/ctrlProps/ctrlProp3.xml><?xml version="1.0" encoding="utf-8"?>
<formControlPr xmlns="http://schemas.microsoft.com/office/spreadsheetml/2009/9/main" objectType="CheckBox" checked="Checked" fmlaLink="F14" noThreeD="1"/>
</file>

<file path=xl/ctrlProps/ctrlProp4.xml><?xml version="1.0" encoding="utf-8"?>
<formControlPr xmlns="http://schemas.microsoft.com/office/spreadsheetml/2009/9/main" objectType="CheckBox" checked="Checked" fmlaLink="F11" noThreeD="1"/>
</file>

<file path=xl/ctrlProps/ctrlProp5.xml><?xml version="1.0" encoding="utf-8"?>
<formControlPr xmlns="http://schemas.microsoft.com/office/spreadsheetml/2009/9/main" objectType="CheckBox" checked="Checked" fmlaLink="F12" noThreeD="1"/>
</file>

<file path=xl/ctrlProps/ctrlProp6.xml><?xml version="1.0" encoding="utf-8"?>
<formControlPr xmlns="http://schemas.microsoft.com/office/spreadsheetml/2009/9/main" objectType="CheckBox" checked="Checked" fmlaLink="F16" noThreeD="1"/>
</file>

<file path=xl/ctrlProps/ctrlProp7.xml><?xml version="1.0" encoding="utf-8"?>
<formControlPr xmlns="http://schemas.microsoft.com/office/spreadsheetml/2009/9/main" objectType="CheckBox" checked="Checked" fmlaLink="F25" noThreeD="1"/>
</file>

<file path=xl/ctrlProps/ctrlProp8.xml><?xml version="1.0" encoding="utf-8"?>
<formControlPr xmlns="http://schemas.microsoft.com/office/spreadsheetml/2009/9/main" objectType="CheckBox" checked="Checked" fmlaLink="F20" noThreeD="1"/>
</file>

<file path=xl/ctrlProps/ctrlProp9.xml><?xml version="1.0" encoding="utf-8"?>
<formControlPr xmlns="http://schemas.microsoft.com/office/spreadsheetml/2009/9/main" objectType="CheckBox" checked="Checked" fmlaLink="F17" noThreeD="1"/>
</file>

<file path=xl/ctrlProps/ctrlProp10.xml><?xml version="1.0" encoding="utf-8"?>
<formControlPr xmlns="http://schemas.microsoft.com/office/spreadsheetml/2009/9/main" objectType="CheckBox" checked="Checked" fmlaLink="F19" noThreeD="1"/>
</file>

<file path=xl/ctrlProps/ctrlProp11.xml><?xml version="1.0" encoding="utf-8"?>
<formControlPr xmlns="http://schemas.microsoft.com/office/spreadsheetml/2009/9/main" objectType="CheckBox" checked="Checked" fmlaLink="$F$21" noThreeD="1"/>
</file>

<file path=xl/ctrlProps/ctrlProp12.xml><?xml version="1.0" encoding="utf-8"?>
<formControlPr xmlns="http://schemas.microsoft.com/office/spreadsheetml/2009/9/main" objectType="CheckBox" checked="Checked" fmlaLink="$F$22" noThreeD="1"/>
</file>

<file path=xl/ctrlProps/ctrlProp13.xml><?xml version="1.0" encoding="utf-8"?>
<formControlPr xmlns="http://schemas.microsoft.com/office/spreadsheetml/2009/9/main" objectType="CheckBox" checked="Checked" fmlaLink="$F$23" noThreeD="1"/>
</file>

<file path=xl/ctrlProps/ctrlProp14.xml><?xml version="1.0" encoding="utf-8"?>
<formControlPr xmlns="http://schemas.microsoft.com/office/spreadsheetml/2009/9/main" objectType="CheckBox" checked="Checked" fmlaLink="$F$24" noThreeD="1"/>
</file>

<file path=xl/ctrlProps/ctrlProp15.xml><?xml version="1.0" encoding="utf-8"?>
<formControlPr xmlns="http://schemas.microsoft.com/office/spreadsheetml/2009/9/main" objectType="CheckBox" checked="Checked" fmlaLink="$F$30" noThreeD="1"/>
</file>

<file path=xl/ctrlProps/ctrlProp16.xml><?xml version="1.0" encoding="utf-8"?>
<formControlPr xmlns="http://schemas.microsoft.com/office/spreadsheetml/2009/9/main" objectType="CheckBox" checked="Checked" fmlaLink="$F$26" noThreeD="1"/>
</file>

<file path=xl/ctrlProps/ctrlProp17.xml><?xml version="1.0" encoding="utf-8"?>
<formControlPr xmlns="http://schemas.microsoft.com/office/spreadsheetml/2009/9/main" objectType="CheckBox" checked="Checked" fmlaLink="$F$18" noThreeD="1"/>
</file>

<file path=xl/ctrlProps/ctrlProp18.xml><?xml version="1.0" encoding="utf-8"?>
<formControlPr xmlns="http://schemas.microsoft.com/office/spreadsheetml/2009/9/main" objectType="CheckBox" checked="Checked" fmlaLink="$F$29" noThreeD="1"/>
</file>

<file path=xl/ctrlProps/ctrlProp19.xml><?xml version="1.0" encoding="utf-8"?>
<formControlPr xmlns="http://schemas.microsoft.com/office/spreadsheetml/2009/9/main" objectType="CheckBox" checked="Checked" fmlaLink="$F$27" noThreeD="1"/>
</file>

<file path=xl/ctrlProps/ctrlProp20.xml><?xml version="1.0" encoding="utf-8"?>
<formControlPr xmlns="http://schemas.microsoft.com/office/spreadsheetml/2009/9/main" objectType="CheckBox" fmlaLink="$F$28" noThreeD="1"/>
</file>

<file path=xl/ctrlProps/ctrlProp21.xml><?xml version="1.0" encoding="utf-8"?>
<formControlPr xmlns="http://schemas.microsoft.com/office/spreadsheetml/2009/9/main" objectType="CheckBox" checked="Checked" fmlaLink="$F$10" noThreeD="1"/>
</file>

<file path=xl/ctrlProps/ctrlProp22.xml><?xml version="1.0" encoding="utf-8"?>
<formControlPr xmlns="http://schemas.microsoft.com/office/spreadsheetml/2009/9/main" objectType="CheckBox" fmlaLink="F13" noThreeD="1"/>
</file>

<file path=xl/ctrlProps/ctrlProp23.xml><?xml version="1.0" encoding="utf-8"?>
<formControlPr xmlns="http://schemas.microsoft.com/office/spreadsheetml/2009/9/main" objectType="CheckBox" fmlaLink="F11" noThreeD="1"/>
</file>

<file path=xl/ctrlProps/ctrlProp24.xml><?xml version="1.0" encoding="utf-8"?>
<formControlPr xmlns="http://schemas.microsoft.com/office/spreadsheetml/2009/9/main" objectType="CheckBox" fmlaLink="F12" noThreeD="1"/>
</file>

<file path=xl/ctrlProps/ctrlProp25.xml><?xml version="1.0" encoding="utf-8"?>
<formControlPr xmlns="http://schemas.microsoft.com/office/spreadsheetml/2009/9/main" objectType="CheckBox" fmlaLink="F14" noThreeD="1"/>
</file>

<file path=xl/ctrlProps/ctrlProp26.xml><?xml version="1.0" encoding="utf-8"?>
<formControlPr xmlns="http://schemas.microsoft.com/office/spreadsheetml/2009/9/main" objectType="CheckBox" fmlaLink="F24" noThreeD="1"/>
</file>

<file path=xl/ctrlProps/ctrlProp27.xml><?xml version="1.0" encoding="utf-8"?>
<formControlPr xmlns="http://schemas.microsoft.com/office/spreadsheetml/2009/9/main" objectType="CheckBox" fmlaLink="F18" noThreeD="1"/>
</file>

<file path=xl/ctrlProps/ctrlProp28.xml><?xml version="1.0" encoding="utf-8"?>
<formControlPr xmlns="http://schemas.microsoft.com/office/spreadsheetml/2009/9/main" objectType="CheckBox" fmlaLink="F15" noThreeD="1"/>
</file>

<file path=xl/ctrlProps/ctrlProp29.xml><?xml version="1.0" encoding="utf-8"?>
<formControlPr xmlns="http://schemas.microsoft.com/office/spreadsheetml/2009/9/main" objectType="CheckBox" checked="Checked" fmlaLink="F17" noThreeD="1"/>
</file>

<file path=xl/ctrlProps/ctrlProp30.xml><?xml version="1.0" encoding="utf-8"?>
<formControlPr xmlns="http://schemas.microsoft.com/office/spreadsheetml/2009/9/main" objectType="CheckBox" fmlaLink="$F$19" noThreeD="1"/>
</file>

<file path=xl/ctrlProps/ctrlProp31.xml><?xml version="1.0" encoding="utf-8"?>
<formControlPr xmlns="http://schemas.microsoft.com/office/spreadsheetml/2009/9/main" objectType="CheckBox" fmlaLink="$F$21" noThreeD="1"/>
</file>

<file path=xl/ctrlProps/ctrlProp32.xml><?xml version="1.0" encoding="utf-8"?>
<formControlPr xmlns="http://schemas.microsoft.com/office/spreadsheetml/2009/9/main" objectType="CheckBox" fmlaLink="$F$22" noThreeD="1"/>
</file>

<file path=xl/ctrlProps/ctrlProp33.xml><?xml version="1.0" encoding="utf-8"?>
<formControlPr xmlns="http://schemas.microsoft.com/office/spreadsheetml/2009/9/main" objectType="CheckBox" fmlaLink="$F$23" noThreeD="1"/>
</file>

<file path=xl/ctrlProps/ctrlProp34.xml><?xml version="1.0" encoding="utf-8"?>
<formControlPr xmlns="http://schemas.microsoft.com/office/spreadsheetml/2009/9/main" objectType="CheckBox" fmlaLink="$F$31" noThreeD="1"/>
</file>

<file path=xl/ctrlProps/ctrlProp35.xml><?xml version="1.0" encoding="utf-8"?>
<formControlPr xmlns="http://schemas.microsoft.com/office/spreadsheetml/2009/9/main" objectType="CheckBox" fmlaLink="$F$25" noThreeD="1"/>
</file>

<file path=xl/ctrlProps/ctrlProp36.xml><?xml version="1.0" encoding="utf-8"?>
<formControlPr xmlns="http://schemas.microsoft.com/office/spreadsheetml/2009/9/main" objectType="CheckBox" fmlaLink="$F$16" noThreeD="1"/>
</file>

<file path=xl/ctrlProps/ctrlProp37.xml><?xml version="1.0" encoding="utf-8"?>
<formControlPr xmlns="http://schemas.microsoft.com/office/spreadsheetml/2009/9/main" objectType="CheckBox" fmlaLink="$F$26" noThreeD="1"/>
</file>

<file path=xl/ctrlProps/ctrlProp38.xml><?xml version="1.0" encoding="utf-8"?>
<formControlPr xmlns="http://schemas.microsoft.com/office/spreadsheetml/2009/9/main" objectType="CheckBox" fmlaLink="$F$30" noThreeD="1"/>
</file>

<file path=xl/ctrlProps/ctrlProp39.xml><?xml version="1.0" encoding="utf-8"?>
<formControlPr xmlns="http://schemas.microsoft.com/office/spreadsheetml/2009/9/main" objectType="CheckBox" fmlaLink="$F$28" noThreeD="1"/>
</file>

<file path=xl/ctrlProps/ctrlProp40.xml><?xml version="1.0" encoding="utf-8"?>
<formControlPr xmlns="http://schemas.microsoft.com/office/spreadsheetml/2009/9/main" objectType="CheckBox" fmlaLink="$F$29" noThreeD="1"/>
</file>

<file path=xl/ctrlProps/ctrlProp41.xml><?xml version="1.0" encoding="utf-8"?>
<formControlPr xmlns="http://schemas.microsoft.com/office/spreadsheetml/2009/9/main" objectType="CheckBox" checked="Checked" fmlaLink="$F$10" noThreeD="1"/>
</file>

<file path=xl/ctrlProps/ctrlProp42.xml><?xml version="1.0" encoding="utf-8"?>
<formControlPr xmlns="http://schemas.microsoft.com/office/spreadsheetml/2009/9/main" objectType="CheckBox" fmlaLink="$F$32" noThreeD="1"/>
</file>

<file path=xl/ctrlProps/ctrlProp43.xml><?xml version="1.0" encoding="utf-8"?>
<formControlPr xmlns="http://schemas.microsoft.com/office/spreadsheetml/2009/9/main" objectType="CheckBox" fmlaLink="$F$33" noThreeD="1"/>
</file>

<file path=xl/ctrlProps/ctrlProp44.xml><?xml version="1.0" encoding="utf-8"?>
<formControlPr xmlns="http://schemas.microsoft.com/office/spreadsheetml/2009/9/main" objectType="CheckBox" fmlaLink="$F$21" noThreeD="1"/>
</file>

<file path=xl/ctrlProps/ctrlProp45.xml><?xml version="1.0" encoding="utf-8"?>
<formControlPr xmlns="http://schemas.microsoft.com/office/spreadsheetml/2009/9/main" objectType="CheckBox" fmlaLink="$F$20" noThreeD="1"/>
</file>

<file path=xl/ctrlProps/ctrlProp46.xml><?xml version="1.0" encoding="utf-8"?>
<formControlPr xmlns="http://schemas.microsoft.com/office/spreadsheetml/2009/9/main" objectType="CheckBox" fmlaLink="$F$27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6</xdr:col>
          <xdr:colOff>390525</xdr:colOff>
          <xdr:row>14</xdr:row>
          <xdr:rowOff>219075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6</xdr:col>
          <xdr:colOff>390525</xdr:colOff>
          <xdr:row>13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0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6</xdr:col>
          <xdr:colOff>390525</xdr:colOff>
          <xdr:row>13</xdr:row>
          <xdr:rowOff>219075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0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19050</xdr:rowOff>
        </xdr:from>
        <xdr:to>
          <xdr:col>6</xdr:col>
          <xdr:colOff>390525</xdr:colOff>
          <xdr:row>11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0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28575</xdr:rowOff>
        </xdr:from>
        <xdr:to>
          <xdr:col>6</xdr:col>
          <xdr:colOff>390525</xdr:colOff>
          <xdr:row>12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0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9525</xdr:rowOff>
        </xdr:from>
        <xdr:to>
          <xdr:col>6</xdr:col>
          <xdr:colOff>371475</xdr:colOff>
          <xdr:row>15</xdr:row>
          <xdr:rowOff>219075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0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19050</xdr:rowOff>
        </xdr:from>
        <xdr:to>
          <xdr:col>6</xdr:col>
          <xdr:colOff>371475</xdr:colOff>
          <xdr:row>25</xdr:row>
          <xdr:rowOff>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0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6</xdr:col>
          <xdr:colOff>371475</xdr:colOff>
          <xdr:row>19</xdr:row>
          <xdr:rowOff>219075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0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6</xdr:col>
          <xdr:colOff>381000</xdr:colOff>
          <xdr:row>17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0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19050</xdr:rowOff>
        </xdr:from>
        <xdr:to>
          <xdr:col>6</xdr:col>
          <xdr:colOff>352425</xdr:colOff>
          <xdr:row>19</xdr:row>
          <xdr:rowOff>9525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0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9525</xdr:rowOff>
        </xdr:from>
        <xdr:to>
          <xdr:col>6</xdr:col>
          <xdr:colOff>371475</xdr:colOff>
          <xdr:row>21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0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9525</xdr:rowOff>
        </xdr:from>
        <xdr:to>
          <xdr:col>6</xdr:col>
          <xdr:colOff>371475</xdr:colOff>
          <xdr:row>22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0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9525</xdr:rowOff>
        </xdr:from>
        <xdr:to>
          <xdr:col>6</xdr:col>
          <xdr:colOff>371475</xdr:colOff>
          <xdr:row>23</xdr:row>
          <xdr:rowOff>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0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9525</xdr:rowOff>
        </xdr:from>
        <xdr:to>
          <xdr:col>6</xdr:col>
          <xdr:colOff>371475</xdr:colOff>
          <xdr:row>24</xdr:row>
          <xdr:rowOff>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0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9525</xdr:rowOff>
        </xdr:from>
        <xdr:to>
          <xdr:col>6</xdr:col>
          <xdr:colOff>371475</xdr:colOff>
          <xdr:row>30</xdr:row>
          <xdr:rowOff>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0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19050</xdr:rowOff>
        </xdr:from>
        <xdr:to>
          <xdr:col>6</xdr:col>
          <xdr:colOff>371475</xdr:colOff>
          <xdr:row>26</xdr:row>
          <xdr:rowOff>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0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6</xdr:col>
          <xdr:colOff>371475</xdr:colOff>
          <xdr:row>18</xdr:row>
          <xdr:rowOff>9525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0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19050</xdr:rowOff>
        </xdr:from>
        <xdr:to>
          <xdr:col>6</xdr:col>
          <xdr:colOff>371475</xdr:colOff>
          <xdr:row>29</xdr:row>
          <xdr:rowOff>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0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9525</xdr:rowOff>
        </xdr:from>
        <xdr:to>
          <xdr:col>6</xdr:col>
          <xdr:colOff>371475</xdr:colOff>
          <xdr:row>26</xdr:row>
          <xdr:rowOff>209550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0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19050</xdr:rowOff>
        </xdr:from>
        <xdr:to>
          <xdr:col>6</xdr:col>
          <xdr:colOff>371475</xdr:colOff>
          <xdr:row>28</xdr:row>
          <xdr:rowOff>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0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19050</xdr:rowOff>
        </xdr:from>
        <xdr:to>
          <xdr:col>6</xdr:col>
          <xdr:colOff>390525</xdr:colOff>
          <xdr:row>10</xdr:row>
          <xdr:rowOff>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0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6</xdr:col>
          <xdr:colOff>390525</xdr:colOff>
          <xdr:row>12</xdr:row>
          <xdr:rowOff>219075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19050</xdr:rowOff>
        </xdr:from>
        <xdr:to>
          <xdr:col>6</xdr:col>
          <xdr:colOff>390525</xdr:colOff>
          <xdr:row>11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28575</xdr:rowOff>
        </xdr:from>
        <xdr:to>
          <xdr:col>6</xdr:col>
          <xdr:colOff>390525</xdr:colOff>
          <xdr:row>12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9525</xdr:rowOff>
        </xdr:from>
        <xdr:to>
          <xdr:col>6</xdr:col>
          <xdr:colOff>371475</xdr:colOff>
          <xdr:row>13</xdr:row>
          <xdr:rowOff>219075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19050</xdr:rowOff>
        </xdr:from>
        <xdr:to>
          <xdr:col>6</xdr:col>
          <xdr:colOff>371475</xdr:colOff>
          <xdr:row>24</xdr:row>
          <xdr:rowOff>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6</xdr:col>
          <xdr:colOff>371475</xdr:colOff>
          <xdr:row>17</xdr:row>
          <xdr:rowOff>219075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6</xdr:col>
          <xdr:colOff>381000</xdr:colOff>
          <xdr:row>15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19050</xdr:rowOff>
        </xdr:from>
        <xdr:to>
          <xdr:col>6</xdr:col>
          <xdr:colOff>352425</xdr:colOff>
          <xdr:row>17</xdr:row>
          <xdr:rowOff>9525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9525</xdr:rowOff>
        </xdr:from>
        <xdr:to>
          <xdr:col>6</xdr:col>
          <xdr:colOff>371475</xdr:colOff>
          <xdr:row>19</xdr:row>
          <xdr:rowOff>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9525</xdr:rowOff>
        </xdr:from>
        <xdr:to>
          <xdr:col>6</xdr:col>
          <xdr:colOff>371475</xdr:colOff>
          <xdr:row>21</xdr:row>
          <xdr:rowOff>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9525</xdr:rowOff>
        </xdr:from>
        <xdr:to>
          <xdr:col>6</xdr:col>
          <xdr:colOff>371475</xdr:colOff>
          <xdr:row>22</xdr:row>
          <xdr:rowOff>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9525</xdr:rowOff>
        </xdr:from>
        <xdr:to>
          <xdr:col>6</xdr:col>
          <xdr:colOff>371475</xdr:colOff>
          <xdr:row>23</xdr:row>
          <xdr:rowOff>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9525</xdr:rowOff>
        </xdr:from>
        <xdr:to>
          <xdr:col>6</xdr:col>
          <xdr:colOff>371475</xdr:colOff>
          <xdr:row>31</xdr:row>
          <xdr:rowOff>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19050</xdr:rowOff>
        </xdr:from>
        <xdr:to>
          <xdr:col>6</xdr:col>
          <xdr:colOff>371475</xdr:colOff>
          <xdr:row>25</xdr:row>
          <xdr:rowOff>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6</xdr:col>
          <xdr:colOff>371475</xdr:colOff>
          <xdr:row>16</xdr:row>
          <xdr:rowOff>9525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19050</xdr:rowOff>
        </xdr:from>
        <xdr:to>
          <xdr:col>6</xdr:col>
          <xdr:colOff>371475</xdr:colOff>
          <xdr:row>26</xdr:row>
          <xdr:rowOff>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19050</xdr:rowOff>
        </xdr:from>
        <xdr:to>
          <xdr:col>6</xdr:col>
          <xdr:colOff>371475</xdr:colOff>
          <xdr:row>30</xdr:row>
          <xdr:rowOff>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19050</xdr:rowOff>
        </xdr:from>
        <xdr:to>
          <xdr:col>6</xdr:col>
          <xdr:colOff>371475</xdr:colOff>
          <xdr:row>28</xdr:row>
          <xdr:rowOff>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19050</xdr:rowOff>
        </xdr:from>
        <xdr:to>
          <xdr:col>6</xdr:col>
          <xdr:colOff>371475</xdr:colOff>
          <xdr:row>29</xdr:row>
          <xdr:rowOff>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19050</xdr:rowOff>
        </xdr:from>
        <xdr:to>
          <xdr:col>6</xdr:col>
          <xdr:colOff>390525</xdr:colOff>
          <xdr:row>10</xdr:row>
          <xdr:rowOff>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92D05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9525</xdr:rowOff>
        </xdr:from>
        <xdr:to>
          <xdr:col>6</xdr:col>
          <xdr:colOff>371475</xdr:colOff>
          <xdr:row>32</xdr:row>
          <xdr:rowOff>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9525</xdr:rowOff>
        </xdr:from>
        <xdr:to>
          <xdr:col>6</xdr:col>
          <xdr:colOff>371475</xdr:colOff>
          <xdr:row>33</xdr:row>
          <xdr:rowOff>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9525</xdr:rowOff>
        </xdr:from>
        <xdr:to>
          <xdr:col>6</xdr:col>
          <xdr:colOff>371475</xdr:colOff>
          <xdr:row>20</xdr:row>
          <xdr:rowOff>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9525</xdr:rowOff>
        </xdr:from>
        <xdr:to>
          <xdr:col>6</xdr:col>
          <xdr:colOff>371475</xdr:colOff>
          <xdr:row>20</xdr:row>
          <xdr:rowOff>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19050</xdr:rowOff>
        </xdr:from>
        <xdr:to>
          <xdr:col>6</xdr:col>
          <xdr:colOff>371475</xdr:colOff>
          <xdr:row>27</xdr:row>
          <xdr:rowOff>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13" Type="http://schemas.openxmlformats.org/officeDocument/2006/relationships/ctrlProp" Target="../ctrlProps/ctrlProp30.xml"/><Relationship Id="rId18" Type="http://schemas.openxmlformats.org/officeDocument/2006/relationships/ctrlProp" Target="../ctrlProps/ctrlProp35.xml"/><Relationship Id="rId26" Type="http://schemas.openxmlformats.org/officeDocument/2006/relationships/ctrlProp" Target="../ctrlProps/ctrlProp43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38.xml"/><Relationship Id="rId7" Type="http://schemas.openxmlformats.org/officeDocument/2006/relationships/ctrlProp" Target="../ctrlProps/ctrlProp24.xml"/><Relationship Id="rId12" Type="http://schemas.openxmlformats.org/officeDocument/2006/relationships/ctrlProp" Target="../ctrlProps/ctrlProp29.xml"/><Relationship Id="rId17" Type="http://schemas.openxmlformats.org/officeDocument/2006/relationships/ctrlProp" Target="../ctrlProps/ctrlProp34.xml"/><Relationship Id="rId25" Type="http://schemas.openxmlformats.org/officeDocument/2006/relationships/ctrlProp" Target="../ctrlProps/ctrlProp4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3.xml"/><Relationship Id="rId20" Type="http://schemas.openxmlformats.org/officeDocument/2006/relationships/ctrlProp" Target="../ctrlProps/ctrlProp37.xml"/><Relationship Id="rId29" Type="http://schemas.openxmlformats.org/officeDocument/2006/relationships/ctrlProp" Target="../ctrlProps/ctrlProp4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3.xml"/><Relationship Id="rId11" Type="http://schemas.openxmlformats.org/officeDocument/2006/relationships/ctrlProp" Target="../ctrlProps/ctrlProp28.xml"/><Relationship Id="rId24" Type="http://schemas.openxmlformats.org/officeDocument/2006/relationships/ctrlProp" Target="../ctrlProps/ctrlProp41.xml"/><Relationship Id="rId5" Type="http://schemas.openxmlformats.org/officeDocument/2006/relationships/ctrlProp" Target="../ctrlProps/ctrlProp22.xml"/><Relationship Id="rId15" Type="http://schemas.openxmlformats.org/officeDocument/2006/relationships/ctrlProp" Target="../ctrlProps/ctrlProp32.xml"/><Relationship Id="rId23" Type="http://schemas.openxmlformats.org/officeDocument/2006/relationships/ctrlProp" Target="../ctrlProps/ctrlProp40.xml"/><Relationship Id="rId28" Type="http://schemas.openxmlformats.org/officeDocument/2006/relationships/ctrlProp" Target="../ctrlProps/ctrlProp45.xml"/><Relationship Id="rId10" Type="http://schemas.openxmlformats.org/officeDocument/2006/relationships/ctrlProp" Target="../ctrlProps/ctrlProp27.xml"/><Relationship Id="rId19" Type="http://schemas.openxmlformats.org/officeDocument/2006/relationships/ctrlProp" Target="../ctrlProps/ctrlProp3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26.xml"/><Relationship Id="rId14" Type="http://schemas.openxmlformats.org/officeDocument/2006/relationships/ctrlProp" Target="../ctrlProps/ctrlProp31.xml"/><Relationship Id="rId22" Type="http://schemas.openxmlformats.org/officeDocument/2006/relationships/ctrlProp" Target="../ctrlProps/ctrlProp39.xml"/><Relationship Id="rId27" Type="http://schemas.openxmlformats.org/officeDocument/2006/relationships/ctrlProp" Target="../ctrlProps/ctrlProp4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CF55-41A9-49BD-86F9-37C164103FFB}">
  <dimension ref="A1:P86"/>
  <sheetViews>
    <sheetView showGridLines="0" showZeros="0" showRuler="0" view="pageLayout" topLeftCell="A9" zoomScale="90" zoomScaleNormal="100" zoomScalePageLayoutView="90" workbookViewId="0">
      <selection activeCell="H10" sqref="H10"/>
    </sheetView>
  </sheetViews>
  <sheetFormatPr defaultRowHeight="15" x14ac:dyDescent="0.25"/>
  <cols>
    <col min="1" max="1" width="7.42578125" customWidth="1"/>
    <col min="2" max="2" width="14.5703125" style="24" bestFit="1" customWidth="1"/>
    <col min="3" max="3" width="16.7109375" style="24" customWidth="1"/>
    <col min="4" max="4" width="2.28515625" style="24" customWidth="1"/>
    <col min="5" max="5" width="2.5703125" style="24" customWidth="1"/>
    <col min="6" max="6" width="4.28515625" style="22" customWidth="1"/>
    <col min="7" max="7" width="14.85546875" style="25" customWidth="1"/>
    <col min="8" max="8" width="20.28515625" customWidth="1"/>
    <col min="9" max="9" width="17.28515625" customWidth="1"/>
    <col min="10" max="10" width="10.42578125" hidden="1" customWidth="1"/>
    <col min="11" max="11" width="5.7109375" hidden="1" customWidth="1"/>
    <col min="12" max="12" width="17.28515625" hidden="1" customWidth="1"/>
    <col min="13" max="13" width="13.28515625" style="1" hidden="1" customWidth="1"/>
    <col min="14" max="14" width="11.140625" hidden="1" customWidth="1"/>
    <col min="15" max="15" width="10.28515625" style="1" hidden="1" customWidth="1"/>
    <col min="16" max="16" width="8.85546875" customWidth="1"/>
  </cols>
  <sheetData>
    <row r="1" spans="1:16" x14ac:dyDescent="0.25">
      <c r="A1" s="2"/>
      <c r="B1" s="17"/>
      <c r="C1" s="17"/>
      <c r="D1" s="17"/>
      <c r="E1" s="17"/>
      <c r="F1" s="17"/>
      <c r="G1" s="18"/>
      <c r="H1" s="2"/>
      <c r="I1" s="2"/>
    </row>
    <row r="2" spans="1:16" ht="17.25" customHeight="1" x14ac:dyDescent="0.25">
      <c r="A2" s="2"/>
      <c r="B2" s="17"/>
      <c r="C2" s="17"/>
      <c r="D2" s="17"/>
      <c r="E2" s="17"/>
      <c r="F2" s="17"/>
      <c r="G2" s="18"/>
      <c r="H2" s="2"/>
      <c r="I2" s="2"/>
      <c r="M2" s="1" t="s">
        <v>249</v>
      </c>
    </row>
    <row r="3" spans="1:16" ht="17.45" customHeight="1" x14ac:dyDescent="0.25">
      <c r="A3" s="2"/>
      <c r="B3" s="180" t="s">
        <v>225</v>
      </c>
      <c r="C3" s="180"/>
      <c r="D3" s="180"/>
      <c r="E3" s="180"/>
      <c r="F3" s="180"/>
      <c r="G3" s="180"/>
      <c r="H3" s="180"/>
      <c r="I3" s="2"/>
      <c r="J3" t="s">
        <v>17</v>
      </c>
      <c r="M3" t="s">
        <v>226</v>
      </c>
    </row>
    <row r="4" spans="1:16" ht="10.9" customHeight="1" x14ac:dyDescent="0.25">
      <c r="A4" s="2"/>
      <c r="B4" s="180"/>
      <c r="C4" s="180"/>
      <c r="D4" s="180"/>
      <c r="E4" s="180"/>
      <c r="F4" s="180"/>
      <c r="G4" s="180"/>
      <c r="H4" s="180"/>
      <c r="I4" s="2"/>
      <c r="J4" t="s">
        <v>250</v>
      </c>
      <c r="M4" t="s">
        <v>227</v>
      </c>
      <c r="O4" s="1" t="s">
        <v>117</v>
      </c>
    </row>
    <row r="5" spans="1:16" ht="15" customHeight="1" x14ac:dyDescent="0.25">
      <c r="A5" s="2"/>
      <c r="B5" s="180"/>
      <c r="C5" s="180"/>
      <c r="D5" s="180"/>
      <c r="E5" s="180"/>
      <c r="F5" s="180"/>
      <c r="G5" s="180"/>
      <c r="H5" s="180"/>
      <c r="I5" s="2"/>
      <c r="M5" t="s">
        <v>228</v>
      </c>
      <c r="N5" s="1" t="s">
        <v>113</v>
      </c>
      <c r="O5" s="1" t="s">
        <v>115</v>
      </c>
    </row>
    <row r="6" spans="1:16" ht="19.5" customHeight="1" x14ac:dyDescent="0.25">
      <c r="A6" s="2"/>
      <c r="B6" s="67" t="s">
        <v>30</v>
      </c>
      <c r="C6" s="181" t="s">
        <v>253</v>
      </c>
      <c r="D6" s="182"/>
      <c r="E6" s="182"/>
      <c r="F6" s="182"/>
      <c r="G6" s="183"/>
      <c r="H6" s="68"/>
      <c r="J6" t="s">
        <v>32</v>
      </c>
      <c r="M6" t="s">
        <v>229</v>
      </c>
      <c r="N6" s="1" t="s">
        <v>114</v>
      </c>
      <c r="O6" s="1" t="s">
        <v>116</v>
      </c>
    </row>
    <row r="7" spans="1:16" ht="18.600000000000001" customHeight="1" x14ac:dyDescent="0.35">
      <c r="A7" s="2"/>
      <c r="B7" s="19"/>
      <c r="C7" s="69" t="s">
        <v>53</v>
      </c>
      <c r="D7" s="184" t="s">
        <v>254</v>
      </c>
      <c r="E7" s="184"/>
      <c r="F7" s="184"/>
      <c r="G7" s="185"/>
      <c r="H7" s="4"/>
      <c r="J7" t="s">
        <v>33</v>
      </c>
      <c r="M7" s="1" t="s">
        <v>245</v>
      </c>
      <c r="O7" s="121" t="s">
        <v>118</v>
      </c>
    </row>
    <row r="8" spans="1:16" ht="18" customHeight="1" x14ac:dyDescent="0.25">
      <c r="A8" s="3"/>
      <c r="B8" s="118" t="s">
        <v>5</v>
      </c>
      <c r="C8" s="5" t="s">
        <v>227</v>
      </c>
      <c r="D8" s="190" t="s">
        <v>161</v>
      </c>
      <c r="E8" s="190"/>
      <c r="F8" s="191"/>
      <c r="G8" s="107" t="s">
        <v>55</v>
      </c>
      <c r="H8" s="47" t="str">
        <f>IF(C8="H2","2500TDH",IF(C8="6K","3000TDH",IF(C8="10K","4000TDH",IF(C8="12K","6000TDH",IF(C8="15K","4000TDH",IF(C8="15K","4000TDH",IF(C8="20K","7000TDH","0")))))))</f>
        <v>4000TDH</v>
      </c>
      <c r="I8" s="12"/>
      <c r="J8" t="s">
        <v>19</v>
      </c>
      <c r="K8" s="37"/>
      <c r="N8" s="1"/>
      <c r="O8" s="1" t="s">
        <v>119</v>
      </c>
      <c r="P8" s="1"/>
    </row>
    <row r="9" spans="1:16" ht="18" customHeight="1" x14ac:dyDescent="0.25">
      <c r="A9" s="3"/>
      <c r="B9" s="118" t="s">
        <v>2</v>
      </c>
      <c r="C9" s="5" t="s">
        <v>40</v>
      </c>
      <c r="D9" s="190" t="s">
        <v>158</v>
      </c>
      <c r="E9" s="190"/>
      <c r="F9" s="191"/>
      <c r="G9" s="41" t="s">
        <v>54</v>
      </c>
      <c r="H9" s="47" t="s">
        <v>264</v>
      </c>
      <c r="I9" s="2"/>
      <c r="J9" t="s">
        <v>18</v>
      </c>
      <c r="K9" s="37"/>
      <c r="N9" s="1"/>
      <c r="O9" s="1" t="s">
        <v>120</v>
      </c>
      <c r="P9" s="1"/>
    </row>
    <row r="10" spans="1:16" ht="18" customHeight="1" x14ac:dyDescent="0.25">
      <c r="A10" s="3"/>
      <c r="B10" s="118" t="s">
        <v>131</v>
      </c>
      <c r="C10" s="5" t="s">
        <v>255</v>
      </c>
      <c r="D10" s="5"/>
      <c r="E10" s="30"/>
      <c r="F10" s="34" t="b">
        <v>1</v>
      </c>
      <c r="G10" s="41" t="s">
        <v>235</v>
      </c>
      <c r="H10" s="123" t="s">
        <v>127</v>
      </c>
      <c r="I10" s="2"/>
      <c r="J10" t="s">
        <v>244</v>
      </c>
      <c r="K10" s="37"/>
      <c r="M10"/>
      <c r="N10" s="1"/>
      <c r="O10" s="1" t="s">
        <v>121</v>
      </c>
      <c r="P10" s="1"/>
    </row>
    <row r="11" spans="1:16" ht="18" customHeight="1" x14ac:dyDescent="0.25">
      <c r="A11" s="3"/>
      <c r="B11" s="188" t="s">
        <v>266</v>
      </c>
      <c r="C11" s="189"/>
      <c r="D11" s="7"/>
      <c r="E11" s="30"/>
      <c r="F11" s="34" t="b">
        <v>1</v>
      </c>
      <c r="G11" s="41" t="s">
        <v>25</v>
      </c>
      <c r="H11" s="48" t="s">
        <v>91</v>
      </c>
      <c r="I11" s="2"/>
      <c r="J11" t="s">
        <v>238</v>
      </c>
      <c r="K11" s="37"/>
      <c r="M11" t="s">
        <v>42</v>
      </c>
      <c r="N11" s="1" t="s">
        <v>156</v>
      </c>
      <c r="O11" s="1" t="s">
        <v>122</v>
      </c>
      <c r="P11" s="1"/>
    </row>
    <row r="12" spans="1:16" ht="18" customHeight="1" x14ac:dyDescent="0.25">
      <c r="A12" s="3"/>
      <c r="B12" s="192" t="s">
        <v>267</v>
      </c>
      <c r="C12" s="193"/>
      <c r="D12" s="5"/>
      <c r="E12" s="30"/>
      <c r="F12" s="34" t="b">
        <v>1</v>
      </c>
      <c r="G12" s="41" t="s">
        <v>25</v>
      </c>
      <c r="H12" s="48" t="str">
        <f>H11</f>
        <v>N/A</v>
      </c>
      <c r="I12" s="2"/>
      <c r="J12" t="s">
        <v>37</v>
      </c>
      <c r="K12" s="37"/>
      <c r="M12" t="s">
        <v>40</v>
      </c>
      <c r="N12" s="1" t="s">
        <v>157</v>
      </c>
      <c r="O12" s="1" t="s">
        <v>123</v>
      </c>
      <c r="P12" s="1"/>
    </row>
    <row r="13" spans="1:16" ht="18" customHeight="1" x14ac:dyDescent="0.25">
      <c r="A13" s="2"/>
      <c r="B13" s="118" t="s">
        <v>4</v>
      </c>
      <c r="C13" s="5" t="s">
        <v>250</v>
      </c>
      <c r="D13" s="5"/>
      <c r="E13" s="30"/>
      <c r="F13" s="34" t="b">
        <v>1</v>
      </c>
      <c r="G13" s="41" t="s">
        <v>25</v>
      </c>
      <c r="H13" s="48" t="s">
        <v>127</v>
      </c>
      <c r="I13" s="2"/>
      <c r="J13" s="16" t="s">
        <v>38</v>
      </c>
      <c r="K13" s="37"/>
      <c r="M13" t="s">
        <v>41</v>
      </c>
      <c r="N13" s="1" t="s">
        <v>158</v>
      </c>
      <c r="O13" s="1" t="s">
        <v>124</v>
      </c>
      <c r="P13" s="1"/>
    </row>
    <row r="14" spans="1:16" ht="18" customHeight="1" x14ac:dyDescent="0.25">
      <c r="A14" s="2"/>
      <c r="B14" s="118" t="s">
        <v>3</v>
      </c>
      <c r="C14" s="5" t="s">
        <v>250</v>
      </c>
      <c r="D14" s="5"/>
      <c r="E14" s="30"/>
      <c r="F14" s="34" t="b">
        <v>1</v>
      </c>
      <c r="G14" s="41" t="s">
        <v>25</v>
      </c>
      <c r="H14" s="48" t="str">
        <f>H13</f>
        <v>ALUM</v>
      </c>
      <c r="I14" s="2"/>
      <c r="J14" s="16" t="s">
        <v>231</v>
      </c>
      <c r="K14" s="37"/>
      <c r="M14"/>
      <c r="N14" s="1"/>
      <c r="O14" s="1" t="s">
        <v>125</v>
      </c>
      <c r="P14" s="1"/>
    </row>
    <row r="15" spans="1:16" ht="18" customHeight="1" x14ac:dyDescent="0.25">
      <c r="A15" s="2"/>
      <c r="B15" s="118" t="s">
        <v>6</v>
      </c>
      <c r="C15" s="5" t="s">
        <v>130</v>
      </c>
      <c r="D15" s="5"/>
      <c r="E15" s="30"/>
      <c r="F15" s="34" t="b">
        <v>1</v>
      </c>
      <c r="G15" s="107" t="s">
        <v>55</v>
      </c>
      <c r="H15" s="65" t="str">
        <f>IF(AND(F15=TRUE),IF(C15="1000 POUND","1000TDH",IF(C15="1500 POUND","1500TDH",IF(C15="2500 POUND","2500TDH",IF(C15="3500 POUND","3500TDH","")))),"")</f>
        <v>1000TDH</v>
      </c>
      <c r="I15" s="2"/>
      <c r="J15" t="s">
        <v>35</v>
      </c>
      <c r="K15" s="37"/>
      <c r="M15" t="s">
        <v>36</v>
      </c>
      <c r="N15" s="1"/>
      <c r="O15" s="1" t="s">
        <v>126</v>
      </c>
      <c r="P15" s="1"/>
    </row>
    <row r="16" spans="1:16" ht="18" customHeight="1" x14ac:dyDescent="0.25">
      <c r="A16" s="2"/>
      <c r="B16" s="188" t="s">
        <v>138</v>
      </c>
      <c r="C16" s="189"/>
      <c r="D16" s="5"/>
      <c r="E16" s="31"/>
      <c r="F16" s="34" t="b">
        <v>1</v>
      </c>
      <c r="G16" s="108" t="str">
        <f>IF(C15="1500 POUND",N5,IF(C15="1000 POUND",N5,N6))</f>
        <v>5/16" Cable</v>
      </c>
      <c r="H16" s="48" t="s">
        <v>118</v>
      </c>
      <c r="I16" s="2"/>
      <c r="J16" s="16" t="s">
        <v>243</v>
      </c>
      <c r="L16" s="37"/>
      <c r="M16" t="s">
        <v>15</v>
      </c>
      <c r="N16" s="1"/>
      <c r="O16" s="1" t="s">
        <v>246</v>
      </c>
      <c r="P16" s="1"/>
    </row>
    <row r="17" spans="1:16" ht="18" customHeight="1" x14ac:dyDescent="0.25">
      <c r="A17" s="2"/>
      <c r="B17" s="6" t="s">
        <v>11</v>
      </c>
      <c r="C17" s="5" t="s">
        <v>12</v>
      </c>
      <c r="D17" s="5"/>
      <c r="E17" s="31"/>
      <c r="F17" s="34" t="b">
        <v>1</v>
      </c>
      <c r="G17" s="108" t="s">
        <v>133</v>
      </c>
      <c r="H17" s="48" t="s">
        <v>246</v>
      </c>
      <c r="I17" s="2"/>
      <c r="J17" s="16" t="s">
        <v>252</v>
      </c>
      <c r="L17" s="37"/>
      <c r="M17"/>
      <c r="N17" s="1"/>
      <c r="O17" s="102" t="s">
        <v>134</v>
      </c>
      <c r="P17" s="1"/>
    </row>
    <row r="18" spans="1:16" ht="18" customHeight="1" x14ac:dyDescent="0.25">
      <c r="A18" s="2"/>
      <c r="B18" s="186" t="s">
        <v>232</v>
      </c>
      <c r="C18" s="187"/>
      <c r="D18" s="5"/>
      <c r="E18" s="31"/>
      <c r="F18" s="34" t="b">
        <v>1</v>
      </c>
      <c r="G18" s="41" t="s">
        <v>234</v>
      </c>
      <c r="H18" s="123" t="s">
        <v>58</v>
      </c>
      <c r="I18" s="2"/>
      <c r="J18" s="16" t="s">
        <v>251</v>
      </c>
      <c r="L18" s="37"/>
      <c r="M18" t="s">
        <v>178</v>
      </c>
      <c r="N18" s="1"/>
      <c r="O18" s="102" t="s">
        <v>135</v>
      </c>
      <c r="P18" s="1"/>
    </row>
    <row r="19" spans="1:16" ht="18" customHeight="1" x14ac:dyDescent="0.25">
      <c r="A19" s="2"/>
      <c r="B19" s="186" t="s">
        <v>236</v>
      </c>
      <c r="C19" s="187"/>
      <c r="D19" s="29"/>
      <c r="E19" s="31"/>
      <c r="F19" s="34" t="b">
        <v>1</v>
      </c>
      <c r="G19" s="41" t="s">
        <v>233</v>
      </c>
      <c r="H19" s="123" t="s">
        <v>58</v>
      </c>
      <c r="I19" s="2"/>
      <c r="J19" s="16" t="s">
        <v>93</v>
      </c>
      <c r="L19" s="37"/>
      <c r="M19" t="s">
        <v>239</v>
      </c>
      <c r="N19" s="1"/>
      <c r="P19" s="1"/>
    </row>
    <row r="20" spans="1:16" ht="18" customHeight="1" x14ac:dyDescent="0.25">
      <c r="A20" s="2"/>
      <c r="B20" s="6" t="s">
        <v>9</v>
      </c>
      <c r="C20" s="29" t="s">
        <v>140</v>
      </c>
      <c r="D20" s="5"/>
      <c r="E20" s="31"/>
      <c r="F20" s="34" t="b">
        <v>1</v>
      </c>
      <c r="G20" s="42"/>
      <c r="H20" s="48"/>
      <c r="I20" s="2"/>
      <c r="J20" s="16" t="s">
        <v>94</v>
      </c>
      <c r="L20" s="37"/>
      <c r="M20" t="s">
        <v>240</v>
      </c>
      <c r="N20" s="1"/>
      <c r="O20" s="1" t="s">
        <v>139</v>
      </c>
      <c r="P20" s="1"/>
    </row>
    <row r="21" spans="1:16" ht="18" customHeight="1" x14ac:dyDescent="0.25">
      <c r="A21" s="2"/>
      <c r="B21" s="186" t="s">
        <v>32</v>
      </c>
      <c r="C21" s="187"/>
      <c r="D21" s="117"/>
      <c r="E21" s="31"/>
      <c r="F21" s="34" t="b">
        <v>1</v>
      </c>
      <c r="G21" s="42"/>
      <c r="H21" s="48"/>
      <c r="I21" s="2"/>
      <c r="J21" s="2"/>
      <c r="L21" s="37"/>
      <c r="M21" t="s">
        <v>222</v>
      </c>
      <c r="N21" s="1"/>
      <c r="O21" s="1" t="s">
        <v>13</v>
      </c>
      <c r="P21" s="1"/>
    </row>
    <row r="22" spans="1:16" ht="18" customHeight="1" x14ac:dyDescent="0.25">
      <c r="A22" s="2"/>
      <c r="B22" s="186" t="s">
        <v>19</v>
      </c>
      <c r="C22" s="187"/>
      <c r="D22" s="117"/>
      <c r="E22" s="31"/>
      <c r="F22" s="34" t="b">
        <v>1</v>
      </c>
      <c r="G22" s="42"/>
      <c r="H22" s="48"/>
      <c r="I22" s="2"/>
      <c r="J22" s="45" t="s">
        <v>56</v>
      </c>
      <c r="L22" s="37"/>
      <c r="M22" t="s">
        <v>223</v>
      </c>
      <c r="N22" s="1"/>
      <c r="O22" s="1" t="s">
        <v>140</v>
      </c>
      <c r="P22" s="1"/>
    </row>
    <row r="23" spans="1:16" ht="18" customHeight="1" x14ac:dyDescent="0.25">
      <c r="A23" s="2"/>
      <c r="B23" s="186" t="s">
        <v>38</v>
      </c>
      <c r="C23" s="187"/>
      <c r="D23" s="117"/>
      <c r="E23" s="31"/>
      <c r="F23" s="34" t="b">
        <v>1</v>
      </c>
      <c r="G23" s="42"/>
      <c r="H23" s="48"/>
      <c r="I23" s="2"/>
      <c r="J23" s="45" t="s">
        <v>91</v>
      </c>
      <c r="L23" s="37"/>
      <c r="M23" t="s">
        <v>132</v>
      </c>
      <c r="N23" s="1"/>
      <c r="O23" s="1" t="s">
        <v>14</v>
      </c>
      <c r="P23" s="1"/>
    </row>
    <row r="24" spans="1:16" ht="18" customHeight="1" x14ac:dyDescent="0.25">
      <c r="A24" s="2"/>
      <c r="B24" s="186" t="s">
        <v>238</v>
      </c>
      <c r="C24" s="187"/>
      <c r="D24" s="117"/>
      <c r="E24" s="31"/>
      <c r="F24" s="34" t="b">
        <v>1</v>
      </c>
      <c r="G24" s="42"/>
      <c r="H24" s="48"/>
      <c r="I24" s="2"/>
      <c r="J24" s="45" t="s">
        <v>99</v>
      </c>
      <c r="M24" t="s">
        <v>241</v>
      </c>
      <c r="N24" s="1"/>
      <c r="O24"/>
      <c r="P24" s="1"/>
    </row>
    <row r="25" spans="1:16" ht="18" customHeight="1" x14ac:dyDescent="0.25">
      <c r="A25" s="2"/>
      <c r="B25" s="186" t="s">
        <v>35</v>
      </c>
      <c r="C25" s="187"/>
      <c r="D25" s="117"/>
      <c r="E25" s="31"/>
      <c r="F25" s="34" t="b">
        <v>1</v>
      </c>
      <c r="G25" s="42"/>
      <c r="H25" s="48"/>
      <c r="I25" s="2"/>
      <c r="J25" s="44" t="s">
        <v>60</v>
      </c>
      <c r="M25" t="s">
        <v>242</v>
      </c>
      <c r="O25"/>
      <c r="P25" s="1"/>
    </row>
    <row r="26" spans="1:16" ht="18" customHeight="1" x14ac:dyDescent="0.25">
      <c r="A26" s="2"/>
      <c r="B26" s="186" t="s">
        <v>37</v>
      </c>
      <c r="C26" s="187"/>
      <c r="D26" s="66"/>
      <c r="E26" s="32"/>
      <c r="F26" s="35" t="b">
        <v>1</v>
      </c>
      <c r="G26" s="43"/>
      <c r="H26" s="48"/>
      <c r="I26" s="2"/>
      <c r="J26" s="44" t="s">
        <v>59</v>
      </c>
      <c r="M26" t="s">
        <v>221</v>
      </c>
      <c r="O26"/>
      <c r="P26" s="1"/>
    </row>
    <row r="27" spans="1:16" ht="18" customHeight="1" x14ac:dyDescent="0.25">
      <c r="A27" s="2"/>
      <c r="B27" s="186" t="s">
        <v>268</v>
      </c>
      <c r="C27" s="187"/>
      <c r="D27" s="66"/>
      <c r="E27" s="32"/>
      <c r="F27" s="35" t="b">
        <v>1</v>
      </c>
      <c r="G27" s="43"/>
      <c r="H27" s="48"/>
      <c r="I27" s="2"/>
      <c r="J27" s="44" t="s">
        <v>57</v>
      </c>
      <c r="M27" t="s">
        <v>220</v>
      </c>
      <c r="O27" t="s">
        <v>161</v>
      </c>
      <c r="P27" s="1"/>
    </row>
    <row r="28" spans="1:16" ht="18" customHeight="1" x14ac:dyDescent="0.25">
      <c r="A28" s="2"/>
      <c r="B28" s="186" t="s">
        <v>257</v>
      </c>
      <c r="C28" s="187"/>
      <c r="D28" s="66"/>
      <c r="E28" s="32"/>
      <c r="F28" s="35" t="b">
        <v>0</v>
      </c>
      <c r="G28" s="43"/>
      <c r="H28" s="48"/>
      <c r="I28" s="2"/>
      <c r="J28" s="44" t="s">
        <v>58</v>
      </c>
      <c r="M28" s="1" t="s">
        <v>1</v>
      </c>
      <c r="O28" s="1" t="s">
        <v>162</v>
      </c>
      <c r="P28" s="1"/>
    </row>
    <row r="29" spans="1:16" ht="18" customHeight="1" x14ac:dyDescent="0.25">
      <c r="A29" s="2"/>
      <c r="B29" s="186" t="s">
        <v>258</v>
      </c>
      <c r="C29" s="187"/>
      <c r="D29" s="66"/>
      <c r="E29" s="32"/>
      <c r="F29" s="35" t="b">
        <v>1</v>
      </c>
      <c r="G29" s="43"/>
      <c r="H29" s="48"/>
      <c r="I29" s="2"/>
      <c r="J29" s="44" t="s">
        <v>62</v>
      </c>
      <c r="M29" s="1" t="s">
        <v>0</v>
      </c>
      <c r="O29"/>
    </row>
    <row r="30" spans="1:16" ht="18" customHeight="1" thickBot="1" x14ac:dyDescent="0.3">
      <c r="A30" s="2"/>
      <c r="B30" s="205" t="s">
        <v>256</v>
      </c>
      <c r="C30" s="206"/>
      <c r="D30" s="64"/>
      <c r="E30" s="33"/>
      <c r="F30" s="36" t="b">
        <v>1</v>
      </c>
      <c r="G30" s="78" t="s">
        <v>25</v>
      </c>
      <c r="H30" s="70"/>
      <c r="I30" s="2"/>
      <c r="J30" s="44" t="s">
        <v>63</v>
      </c>
      <c r="L30" s="15"/>
      <c r="P30" s="1"/>
    </row>
    <row r="31" spans="1:16" ht="18" customHeight="1" x14ac:dyDescent="0.25">
      <c r="A31" s="2"/>
      <c r="B31" s="19"/>
      <c r="C31" s="21"/>
      <c r="D31" s="20"/>
      <c r="E31" s="19"/>
      <c r="G31" s="20"/>
      <c r="H31" s="2"/>
      <c r="I31" s="2"/>
      <c r="J31" s="44" t="s">
        <v>102</v>
      </c>
      <c r="M31" t="s">
        <v>16</v>
      </c>
    </row>
    <row r="32" spans="1:16" ht="12.6" customHeight="1" x14ac:dyDescent="0.25">
      <c r="A32" s="2"/>
      <c r="B32" s="137"/>
      <c r="C32" s="195"/>
      <c r="D32" s="195"/>
      <c r="E32" s="195"/>
      <c r="G32" s="136"/>
      <c r="H32" s="135"/>
      <c r="I32" s="2"/>
      <c r="J32" s="44" t="s">
        <v>127</v>
      </c>
      <c r="M32" t="s">
        <v>17</v>
      </c>
    </row>
    <row r="33" spans="1:15" ht="18.600000000000001" customHeight="1" x14ac:dyDescent="0.3">
      <c r="A33" s="2"/>
      <c r="B33" s="138"/>
      <c r="C33" s="196"/>
      <c r="D33" s="196"/>
      <c r="E33" s="196"/>
      <c r="F33" s="46"/>
      <c r="G33" s="90"/>
      <c r="H33" s="44"/>
      <c r="I33" s="2"/>
      <c r="J33" s="44" t="s">
        <v>96</v>
      </c>
      <c r="M33"/>
    </row>
    <row r="34" spans="1:15" ht="16.149999999999999" customHeight="1" thickBot="1" x14ac:dyDescent="0.3">
      <c r="A34" s="2"/>
      <c r="B34" s="17"/>
      <c r="C34" s="23"/>
      <c r="D34" s="18"/>
      <c r="E34" s="17"/>
      <c r="F34" s="17"/>
      <c r="G34" s="18"/>
      <c r="H34" s="2"/>
      <c r="I34" s="2"/>
      <c r="J34" s="44" t="s">
        <v>97</v>
      </c>
      <c r="M34" s="15" t="s">
        <v>130</v>
      </c>
    </row>
    <row r="35" spans="1:15" ht="13.15" customHeight="1" thickBot="1" x14ac:dyDescent="0.3">
      <c r="A35" s="203" t="s">
        <v>230</v>
      </c>
      <c r="B35" s="204"/>
      <c r="C35" s="197" t="s">
        <v>99</v>
      </c>
      <c r="D35" s="197"/>
      <c r="E35" s="198"/>
      <c r="F35" s="92"/>
      <c r="G35" s="93" t="s">
        <v>104</v>
      </c>
      <c r="H35" s="94" t="s">
        <v>99</v>
      </c>
      <c r="I35" s="2"/>
      <c r="J35" s="44" t="s">
        <v>98</v>
      </c>
      <c r="M35" s="15" t="s">
        <v>111</v>
      </c>
    </row>
    <row r="36" spans="1:15" ht="17.45" customHeight="1" x14ac:dyDescent="0.25">
      <c r="B36" s="95" t="s">
        <v>61</v>
      </c>
      <c r="C36" s="199"/>
      <c r="D36" s="200"/>
      <c r="E36" s="201"/>
      <c r="F36" s="96"/>
      <c r="G36" s="97" t="s">
        <v>61</v>
      </c>
      <c r="H36" s="98"/>
      <c r="I36" s="2"/>
      <c r="J36" s="44" t="s">
        <v>92</v>
      </c>
      <c r="M36" s="15" t="s">
        <v>112</v>
      </c>
    </row>
    <row r="37" spans="1:15" ht="16.149999999999999" customHeight="1" x14ac:dyDescent="0.25">
      <c r="A37" s="2"/>
      <c r="B37" s="26"/>
      <c r="C37" s="8"/>
      <c r="D37" s="8"/>
      <c r="E37" s="8"/>
      <c r="F37" s="202"/>
      <c r="G37" s="202"/>
      <c r="H37" s="2"/>
      <c r="I37" s="2"/>
      <c r="M37" s="1" t="s">
        <v>142</v>
      </c>
    </row>
    <row r="38" spans="1:15" ht="40.5" customHeight="1" x14ac:dyDescent="0.25">
      <c r="A38" s="2"/>
      <c r="B38" s="122" t="s">
        <v>8</v>
      </c>
      <c r="C38" s="194" t="s">
        <v>265</v>
      </c>
      <c r="D38" s="194"/>
      <c r="E38" s="194"/>
      <c r="F38" s="194"/>
      <c r="G38" s="194"/>
      <c r="H38" s="194"/>
      <c r="I38" s="2"/>
      <c r="M38" s="16" t="s">
        <v>12</v>
      </c>
    </row>
    <row r="39" spans="1:15" ht="14.45" customHeight="1" x14ac:dyDescent="0.25">
      <c r="A39" s="2"/>
      <c r="B39"/>
      <c r="C39"/>
      <c r="D39"/>
      <c r="E39"/>
      <c r="F39"/>
      <c r="G39"/>
      <c r="H39" s="2"/>
      <c r="I39" s="2"/>
      <c r="M39" t="s">
        <v>29</v>
      </c>
      <c r="O39"/>
    </row>
    <row r="40" spans="1:15" x14ac:dyDescent="0.25">
      <c r="A40" s="2"/>
      <c r="B40"/>
      <c r="C40"/>
      <c r="D40"/>
      <c r="E40"/>
      <c r="F40"/>
      <c r="G40"/>
      <c r="H40" s="2"/>
      <c r="I40" s="2"/>
      <c r="O40"/>
    </row>
    <row r="41" spans="1:15" x14ac:dyDescent="0.25">
      <c r="B41"/>
      <c r="C41"/>
      <c r="D41"/>
      <c r="E41"/>
      <c r="F41"/>
      <c r="G41"/>
      <c r="H41" s="1"/>
      <c r="I41" s="2"/>
      <c r="O41"/>
    </row>
    <row r="42" spans="1:15" x14ac:dyDescent="0.25">
      <c r="B42"/>
      <c r="C42"/>
      <c r="D42"/>
      <c r="E42"/>
      <c r="F42"/>
      <c r="G42"/>
      <c r="O42"/>
    </row>
    <row r="43" spans="1:15" x14ac:dyDescent="0.25">
      <c r="B43"/>
      <c r="C43"/>
      <c r="D43"/>
      <c r="E43"/>
      <c r="F43"/>
      <c r="G43"/>
      <c r="O43"/>
    </row>
    <row r="44" spans="1:15" x14ac:dyDescent="0.25">
      <c r="B44"/>
      <c r="C44"/>
      <c r="D44"/>
      <c r="E44"/>
      <c r="F44"/>
      <c r="G44"/>
      <c r="M44"/>
      <c r="O44"/>
    </row>
    <row r="45" spans="1:15" x14ac:dyDescent="0.25">
      <c r="B45"/>
      <c r="C45"/>
      <c r="D45"/>
      <c r="E45"/>
      <c r="F45"/>
      <c r="G45"/>
      <c r="M45"/>
      <c r="O45"/>
    </row>
    <row r="46" spans="1:15" x14ac:dyDescent="0.25">
      <c r="B46"/>
      <c r="C46"/>
      <c r="D46"/>
      <c r="E46"/>
      <c r="F46"/>
      <c r="G46"/>
      <c r="M46"/>
      <c r="O46"/>
    </row>
    <row r="47" spans="1:15" ht="15.75" customHeight="1" x14ac:dyDescent="0.25">
      <c r="B47"/>
      <c r="C47"/>
      <c r="D47"/>
      <c r="E47"/>
      <c r="F47"/>
      <c r="G47"/>
      <c r="M47"/>
      <c r="O47"/>
    </row>
    <row r="48" spans="1:15" ht="15.75" customHeight="1" x14ac:dyDescent="0.25">
      <c r="B48"/>
      <c r="C48"/>
      <c r="D48"/>
      <c r="E48"/>
      <c r="F48"/>
      <c r="G48"/>
      <c r="M48"/>
      <c r="O48"/>
    </row>
    <row r="49" customFormat="1" x14ac:dyDescent="0.25"/>
    <row r="50" customFormat="1" x14ac:dyDescent="0.25"/>
    <row r="51" customFormat="1" x14ac:dyDescent="0.25"/>
    <row r="52" customFormat="1" ht="15.75" customHeight="1" x14ac:dyDescent="0.25"/>
    <row r="53" customFormat="1" ht="15.75" customHeigh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2:15" x14ac:dyDescent="0.25">
      <c r="B65"/>
      <c r="C65"/>
      <c r="D65"/>
      <c r="E65"/>
      <c r="F65"/>
      <c r="G65"/>
      <c r="M65"/>
      <c r="O65"/>
    </row>
    <row r="66" spans="2:15" x14ac:dyDescent="0.25">
      <c r="B66"/>
      <c r="C66"/>
      <c r="D66"/>
      <c r="E66"/>
      <c r="F66"/>
      <c r="G66"/>
      <c r="M66"/>
      <c r="O66"/>
    </row>
    <row r="67" spans="2:15" x14ac:dyDescent="0.25">
      <c r="B67"/>
      <c r="C67"/>
      <c r="D67"/>
      <c r="E67"/>
      <c r="F67"/>
      <c r="G67"/>
      <c r="M67"/>
      <c r="O67"/>
    </row>
    <row r="68" spans="2:15" x14ac:dyDescent="0.25">
      <c r="B68"/>
      <c r="C68"/>
      <c r="D68"/>
      <c r="E68"/>
      <c r="F68"/>
      <c r="G68"/>
      <c r="M68"/>
      <c r="O68"/>
    </row>
    <row r="69" spans="2:15" x14ac:dyDescent="0.25">
      <c r="B69"/>
      <c r="C69"/>
      <c r="D69"/>
      <c r="E69"/>
      <c r="F69"/>
      <c r="G69"/>
      <c r="M69"/>
      <c r="O69"/>
    </row>
    <row r="70" spans="2:15" x14ac:dyDescent="0.25">
      <c r="B70"/>
      <c r="C70"/>
      <c r="D70"/>
      <c r="E70"/>
      <c r="F70"/>
      <c r="G70"/>
      <c r="M70"/>
      <c r="O70"/>
    </row>
    <row r="71" spans="2:15" x14ac:dyDescent="0.25">
      <c r="B71"/>
      <c r="C71"/>
      <c r="D71"/>
      <c r="E71"/>
      <c r="F71"/>
      <c r="G71"/>
      <c r="M71"/>
      <c r="O71"/>
    </row>
    <row r="72" spans="2:15" x14ac:dyDescent="0.25">
      <c r="B72"/>
      <c r="C72"/>
      <c r="D72"/>
      <c r="E72"/>
      <c r="F72"/>
      <c r="G72"/>
      <c r="M72"/>
      <c r="O72"/>
    </row>
    <row r="73" spans="2:15" x14ac:dyDescent="0.25">
      <c r="B73"/>
      <c r="C73"/>
      <c r="D73"/>
      <c r="E73"/>
      <c r="F73"/>
      <c r="G73"/>
      <c r="M73"/>
      <c r="O73"/>
    </row>
    <row r="74" spans="2:15" x14ac:dyDescent="0.25">
      <c r="B74"/>
      <c r="C74"/>
      <c r="D74"/>
      <c r="E74"/>
      <c r="F74"/>
      <c r="G74"/>
      <c r="M74"/>
      <c r="O74"/>
    </row>
    <row r="75" spans="2:15" x14ac:dyDescent="0.25">
      <c r="B75"/>
      <c r="C75"/>
      <c r="D75"/>
      <c r="E75"/>
      <c r="F75"/>
      <c r="G75"/>
      <c r="M75"/>
      <c r="O75"/>
    </row>
    <row r="76" spans="2:15" x14ac:dyDescent="0.25">
      <c r="B76"/>
      <c r="C76"/>
      <c r="D76"/>
      <c r="E76"/>
      <c r="F76"/>
      <c r="G76"/>
      <c r="M76"/>
      <c r="O76"/>
    </row>
    <row r="77" spans="2:15" x14ac:dyDescent="0.25">
      <c r="B77"/>
      <c r="C77"/>
      <c r="D77"/>
      <c r="E77"/>
      <c r="F77"/>
      <c r="G77"/>
      <c r="M77"/>
      <c r="O77"/>
    </row>
    <row r="78" spans="2:15" x14ac:dyDescent="0.25">
      <c r="B78"/>
      <c r="C78"/>
      <c r="D78"/>
      <c r="E78"/>
      <c r="F78"/>
      <c r="G78"/>
      <c r="M78"/>
      <c r="O78"/>
    </row>
    <row r="79" spans="2:15" ht="21.75" customHeight="1" x14ac:dyDescent="0.25">
      <c r="B79"/>
      <c r="C79"/>
      <c r="D79"/>
      <c r="E79"/>
      <c r="F79"/>
      <c r="G79"/>
      <c r="M79"/>
      <c r="O79"/>
    </row>
    <row r="80" spans="2:15" ht="21.75" customHeight="1" x14ac:dyDescent="0.25">
      <c r="F80" s="24"/>
      <c r="M80"/>
      <c r="O80"/>
    </row>
    <row r="81" spans="2:13" ht="21.75" customHeight="1" x14ac:dyDescent="0.25">
      <c r="D81" s="28"/>
      <c r="E81" s="28"/>
      <c r="F81" s="28"/>
      <c r="M81"/>
    </row>
    <row r="82" spans="2:13" ht="21.75" customHeight="1" x14ac:dyDescent="0.25">
      <c r="F82" s="24"/>
      <c r="M82"/>
    </row>
    <row r="83" spans="2:13" x14ac:dyDescent="0.25">
      <c r="M83"/>
    </row>
    <row r="84" spans="2:13" x14ac:dyDescent="0.25">
      <c r="M84"/>
    </row>
    <row r="86" spans="2:13" x14ac:dyDescent="0.25">
      <c r="B86" s="27"/>
      <c r="C86" s="27"/>
    </row>
  </sheetData>
  <dataConsolidate link="1"/>
  <mergeCells count="27">
    <mergeCell ref="C38:H38"/>
    <mergeCell ref="B18:C18"/>
    <mergeCell ref="B29:C29"/>
    <mergeCell ref="C32:E32"/>
    <mergeCell ref="C33:E33"/>
    <mergeCell ref="C35:E35"/>
    <mergeCell ref="C36:E36"/>
    <mergeCell ref="F37:G37"/>
    <mergeCell ref="B24:C24"/>
    <mergeCell ref="B25:C25"/>
    <mergeCell ref="B26:C26"/>
    <mergeCell ref="B27:C27"/>
    <mergeCell ref="B28:C28"/>
    <mergeCell ref="B23:C23"/>
    <mergeCell ref="A35:B35"/>
    <mergeCell ref="B30:C30"/>
    <mergeCell ref="B3:H5"/>
    <mergeCell ref="C6:G6"/>
    <mergeCell ref="D7:G7"/>
    <mergeCell ref="B21:C21"/>
    <mergeCell ref="B22:C22"/>
    <mergeCell ref="B16:C16"/>
    <mergeCell ref="D9:F9"/>
    <mergeCell ref="D8:F8"/>
    <mergeCell ref="B19:C19"/>
    <mergeCell ref="B11:C11"/>
    <mergeCell ref="B12:C12"/>
  </mergeCells>
  <conditionalFormatting sqref="H10">
    <cfRule type="expression" dxfId="75" priority="3">
      <formula>$B10=1</formula>
    </cfRule>
    <cfRule type="expression" dxfId="74" priority="4">
      <formula>$K10="yes"</formula>
    </cfRule>
  </conditionalFormatting>
  <conditionalFormatting sqref="H18:H19">
    <cfRule type="expression" dxfId="73" priority="81">
      <formula>$B18=1</formula>
    </cfRule>
    <cfRule type="expression" dxfId="72" priority="82">
      <formula>$K19="yes"</formula>
    </cfRule>
  </conditionalFormatting>
  <dataValidations count="18">
    <dataValidation type="list" allowBlank="1" showInputMessage="1" showErrorMessage="1" sqref="H16" xr:uid="{6897D395-7984-4A79-8886-04F0CB570578}">
      <formula1>$O$4:$O$15</formula1>
    </dataValidation>
    <dataValidation type="list" allowBlank="1" showInputMessage="1" showErrorMessage="1" sqref="H13 H18:H19 H10" xr:uid="{1EC86337-5E69-441F-B67B-1A40403948AF}">
      <formula1>$J$23:$J$32</formula1>
    </dataValidation>
    <dataValidation type="list" allowBlank="1" showInputMessage="1" showErrorMessage="1" sqref="C35:E35 H35" xr:uid="{4DC774AA-8934-4946-9D69-36ABD233D704}">
      <formula1>$J$24:$J$31</formula1>
    </dataValidation>
    <dataValidation type="list" allowBlank="1" showInputMessage="1" showErrorMessage="1" sqref="B23:C26" xr:uid="{501F24F1-B607-4891-9B87-F59453EE624B}">
      <formula1>$J$11:$J$18</formula1>
    </dataValidation>
    <dataValidation type="list" allowBlank="1" showInputMessage="1" showErrorMessage="1" sqref="C17" xr:uid="{FF995E2D-6A44-4550-BF83-5F0F2B57E3DE}">
      <formula1>$M$38:$M$39</formula1>
    </dataValidation>
    <dataValidation type="list" allowBlank="1" showInputMessage="1" showErrorMessage="1" sqref="B21:C21" xr:uid="{1F07C5B4-6F64-428D-B5D1-BDBF5F9166C9}">
      <formula1>$J$6:$J$10</formula1>
    </dataValidation>
    <dataValidation type="list" allowBlank="1" showInputMessage="1" showErrorMessage="1" sqref="C32 H11" xr:uid="{E0C803D0-A53D-49E4-A3A0-46AE7A67E319}">
      <formula1>$J$23:$J$31</formula1>
    </dataValidation>
    <dataValidation allowBlank="1" showInputMessage="1" showErrorMessage="1" promptTitle="Service Body" prompt="Only applies if 11' Flatbed is selected" sqref="B12" xr:uid="{DD5662C5-885E-411D-8E23-2A62263A194E}"/>
    <dataValidation type="list" allowBlank="1" showInputMessage="1" showErrorMessage="1" sqref="C9" xr:uid="{1F8A7137-5433-456A-A12F-31E87F0C43FE}">
      <formula1>$M$11:$M$13</formula1>
    </dataValidation>
    <dataValidation type="list" allowBlank="1" showErrorMessage="1" sqref="C15" xr:uid="{D3F1B139-CD67-4713-A2A3-584EA60CF161}">
      <formula1>$M$34:$M$37</formula1>
    </dataValidation>
    <dataValidation type="list" allowBlank="1" showInputMessage="1" showErrorMessage="1" prompt="Hyd Pipe Rack does not work with 11' Tip Top SB" sqref="C13:C14" xr:uid="{84FE6149-716D-4DF0-A047-197B6F47A88E}">
      <formula1>$J$3:$J$4</formula1>
    </dataValidation>
    <dataValidation type="list" allowBlank="1" showInputMessage="1" showErrorMessage="1" sqref="H17" xr:uid="{FA165DCB-37EF-4F9C-BEF4-A474F7909480}">
      <formula1>$O$16:$O$18</formula1>
    </dataValidation>
    <dataValidation type="list" allowBlank="1" showInputMessage="1" showErrorMessage="1" sqref="C8" xr:uid="{6147D912-3E7B-4E79-9F80-998D8721F295}">
      <formula1>$M$2:$M$7</formula1>
    </dataValidation>
    <dataValidation type="list" allowBlank="1" showInputMessage="1" showErrorMessage="1" sqref="C20" xr:uid="{3632220B-08C6-41B1-A7D1-02C269B7F3BC}">
      <formula1>$O$20:$O$24</formula1>
    </dataValidation>
    <dataValidation type="list" allowBlank="1" showInputMessage="1" showErrorMessage="1" sqref="D9:F9" xr:uid="{87791195-E023-405A-B7FC-16E187DC89A5}">
      <formula1>$N$11:$N$13</formula1>
    </dataValidation>
    <dataValidation type="list" allowBlank="1" showInputMessage="1" showErrorMessage="1" sqref="D8:F8" xr:uid="{A8FEE178-E393-4EAF-881A-12A66C467CBB}">
      <formula1>$O$27:$O$28</formula1>
    </dataValidation>
    <dataValidation type="list" allowBlank="1" showInputMessage="1" showErrorMessage="1" sqref="B22:C22" xr:uid="{09E4777E-9CA6-4391-9A34-12A3F585717E}">
      <formula1>$J$6:$J$18</formula1>
    </dataValidation>
    <dataValidation allowBlank="1" showInputMessage="1" showErrorMessage="1" prompt="Does not apply if SB is selected" sqref="B30" xr:uid="{FDDE2983-49D8-48F2-9FE0-6995C477E50B}"/>
  </dataValidations>
  <pageMargins left="0.7" right="0.7" top="0.75" bottom="0.75" header="0.3" footer="0.3"/>
  <pageSetup orientation="portrait" r:id="rId1"/>
  <headerFooter>
    <oddHeader>&amp;C&amp;G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5" name="Check Box 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6</xdr:col>
                    <xdr:colOff>390525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6" name="Check Box 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6</xdr:col>
                    <xdr:colOff>390525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7" name="Check Box 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6</xdr:col>
                    <xdr:colOff>390525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8" name="Check Box 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19050</xdr:rowOff>
                  </from>
                  <to>
                    <xdr:col>6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9" name="Check Box 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28575</xdr:rowOff>
                  </from>
                  <to>
                    <xdr:col>6</xdr:col>
                    <xdr:colOff>390525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10" name="Check Box 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9525</xdr:rowOff>
                  </from>
                  <to>
                    <xdr:col>6</xdr:col>
                    <xdr:colOff>371475</xdr:colOff>
                    <xdr:row>15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1" name="Check Box 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19050</xdr:rowOff>
                  </from>
                  <to>
                    <xdr:col>6</xdr:col>
                    <xdr:colOff>371475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2" name="Check Box 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6</xdr:col>
                    <xdr:colOff>371475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3" name="Check Box 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6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4" name="Check Box 1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19050</xdr:rowOff>
                  </from>
                  <to>
                    <xdr:col>6</xdr:col>
                    <xdr:colOff>352425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5" name="Check Box 1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9525</xdr:rowOff>
                  </from>
                  <to>
                    <xdr:col>6</xdr:col>
                    <xdr:colOff>371475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6" name="Check Box 1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9525</xdr:rowOff>
                  </from>
                  <to>
                    <xdr:col>6</xdr:col>
                    <xdr:colOff>371475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7" name="Check Box 1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9525</xdr:rowOff>
                  </from>
                  <to>
                    <xdr:col>6</xdr:col>
                    <xdr:colOff>371475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8" name="Check Box 1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9525</xdr:rowOff>
                  </from>
                  <to>
                    <xdr:col>6</xdr:col>
                    <xdr:colOff>371475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9" name="Check Box 1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9525</xdr:rowOff>
                  </from>
                  <to>
                    <xdr:col>6</xdr:col>
                    <xdr:colOff>371475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20" name="Check Box 1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19050</xdr:rowOff>
                  </from>
                  <to>
                    <xdr:col>6</xdr:col>
                    <xdr:colOff>371475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1" name="Check Box 1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6</xdr:col>
                    <xdr:colOff>371475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19050</xdr:rowOff>
                  </from>
                  <to>
                    <xdr:col>6</xdr:col>
                    <xdr:colOff>371475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9525</xdr:rowOff>
                  </from>
                  <to>
                    <xdr:col>6</xdr:col>
                    <xdr:colOff>371475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19050</xdr:rowOff>
                  </from>
                  <to>
                    <xdr:col>6</xdr:col>
                    <xdr:colOff>371475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5" name="Check Box 2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19050</xdr:rowOff>
                  </from>
                  <to>
                    <xdr:col>6</xdr:col>
                    <xdr:colOff>390525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6A5E-656D-4FB9-A894-E3DAE0CAF94C}">
  <dimension ref="A3:N47"/>
  <sheetViews>
    <sheetView showGridLines="0" showZeros="0" tabSelected="1" showRuler="0" view="pageBreakPreview" topLeftCell="A10" zoomScale="60" zoomScaleNormal="100" zoomScalePageLayoutView="90" workbookViewId="0">
      <selection activeCell="K45" sqref="K45"/>
    </sheetView>
  </sheetViews>
  <sheetFormatPr defaultRowHeight="15" x14ac:dyDescent="0.25"/>
  <cols>
    <col min="1" max="2" width="10.7109375" customWidth="1"/>
    <col min="3" max="3" width="9.5703125" customWidth="1"/>
    <col min="4" max="4" width="8.7109375" customWidth="1"/>
    <col min="5" max="5" width="8.85546875" customWidth="1"/>
    <col min="6" max="7" width="10.7109375" customWidth="1"/>
    <col min="8" max="8" width="8.42578125" customWidth="1"/>
    <col min="9" max="9" width="10.28515625" bestFit="1" customWidth="1"/>
    <col min="12" max="13" width="0" hidden="1" customWidth="1"/>
  </cols>
  <sheetData>
    <row r="3" spans="1:14" x14ac:dyDescent="0.25">
      <c r="G3" s="175">
        <f ca="1">TODAY()</f>
        <v>45217</v>
      </c>
    </row>
    <row r="4" spans="1:14" ht="1.1499999999999999" customHeight="1" x14ac:dyDescent="0.25"/>
    <row r="5" spans="1:14" ht="31.9" customHeight="1" x14ac:dyDescent="0.45">
      <c r="B5" s="234" t="s">
        <v>237</v>
      </c>
      <c r="C5" s="235"/>
      <c r="D5" s="235"/>
      <c r="E5" s="235"/>
      <c r="F5" s="235"/>
      <c r="G5" s="235"/>
      <c r="H5" s="236"/>
    </row>
    <row r="6" spans="1:14" ht="10.15" customHeight="1" x14ac:dyDescent="0.25"/>
    <row r="7" spans="1:14" x14ac:dyDescent="0.25">
      <c r="B7" s="9" t="s">
        <v>43</v>
      </c>
      <c r="C7" s="38" t="str">
        <f>'Horizon Production Sheet'!C9</f>
        <v>Extended</v>
      </c>
      <c r="D7" s="60" t="s">
        <v>39</v>
      </c>
      <c r="E7" s="237" t="s">
        <v>270</v>
      </c>
      <c r="F7" s="237"/>
      <c r="G7" s="39" t="s">
        <v>7</v>
      </c>
      <c r="H7" s="59" t="str">
        <f>'Horizon Production Sheet'!C8</f>
        <v>10K</v>
      </c>
    </row>
    <row r="8" spans="1:14" ht="13.15" customHeight="1" x14ac:dyDescent="0.25">
      <c r="B8" s="176" t="s">
        <v>259</v>
      </c>
      <c r="C8" s="103" t="s">
        <v>261</v>
      </c>
      <c r="D8" s="71" t="s">
        <v>224</v>
      </c>
      <c r="E8" s="177">
        <v>2017</v>
      </c>
      <c r="F8" s="89" t="s">
        <v>208</v>
      </c>
      <c r="G8" s="177" t="s">
        <v>260</v>
      </c>
    </row>
    <row r="9" spans="1:14" x14ac:dyDescent="0.25">
      <c r="B9" s="10" t="s">
        <v>20</v>
      </c>
      <c r="C9" s="238">
        <v>45190</v>
      </c>
      <c r="D9" s="239"/>
      <c r="E9" s="240" t="s">
        <v>21</v>
      </c>
      <c r="F9" s="241"/>
      <c r="G9" s="242">
        <v>45251</v>
      </c>
      <c r="H9" s="243"/>
    </row>
    <row r="10" spans="1:14" ht="10.15" customHeight="1" x14ac:dyDescent="0.25"/>
    <row r="11" spans="1:14" ht="15.75" thickBot="1" x14ac:dyDescent="0.3">
      <c r="B11" s="171" t="s">
        <v>31</v>
      </c>
      <c r="C11" s="212" t="str">
        <f>'Horizon Production Sheet'!C6:G6</f>
        <v xml:space="preserve">Ace Drilling </v>
      </c>
      <c r="D11" s="213"/>
      <c r="E11" s="89"/>
      <c r="F11" s="124" t="s">
        <v>53</v>
      </c>
      <c r="G11" s="212" t="str">
        <f>'Horizon Production Sheet'!D7</f>
        <v>HH10K122024-30</v>
      </c>
      <c r="H11" s="213"/>
    </row>
    <row r="12" spans="1:14" ht="10.9" customHeight="1" x14ac:dyDescent="0.25">
      <c r="A12" s="220" t="s">
        <v>136</v>
      </c>
      <c r="B12" s="221"/>
      <c r="C12" s="224" t="s">
        <v>248</v>
      </c>
      <c r="D12" s="225"/>
      <c r="E12" s="226"/>
      <c r="F12" s="230" t="str">
        <f>IF('Horizon Production Sheet'!F18=TRUE,'Horizon Production Sheet'!B18,"NO REMOTE")</f>
        <v>Wireless Remote</v>
      </c>
      <c r="G12" s="214" t="str">
        <f>'Horizon Production Sheet'!D8</f>
        <v>PTO Driven</v>
      </c>
      <c r="H12" s="215"/>
      <c r="I12" s="164" t="s">
        <v>214</v>
      </c>
    </row>
    <row r="13" spans="1:14" ht="15.75" thickBot="1" x14ac:dyDescent="0.3">
      <c r="A13" s="222"/>
      <c r="B13" s="223"/>
      <c r="C13" s="227"/>
      <c r="D13" s="228"/>
      <c r="E13" s="229"/>
      <c r="F13" s="231"/>
      <c r="G13" s="216"/>
      <c r="H13" s="217"/>
      <c r="I13" s="163"/>
    </row>
    <row r="14" spans="1:14" x14ac:dyDescent="0.25">
      <c r="A14" s="172" t="s">
        <v>22</v>
      </c>
      <c r="B14" s="173" t="str">
        <f>'Horizon Production Sheet'!H8</f>
        <v>4000TDH</v>
      </c>
      <c r="C14" s="125" t="s">
        <v>128</v>
      </c>
      <c r="D14" s="126" t="s">
        <v>262</v>
      </c>
      <c r="F14" s="127" t="s">
        <v>23</v>
      </c>
      <c r="G14" s="128" t="str">
        <f>'Horizon Production Sheet'!H15</f>
        <v>1000TDH</v>
      </c>
      <c r="H14" s="141" t="s">
        <v>128</v>
      </c>
      <c r="I14" s="162" t="s">
        <v>263</v>
      </c>
    </row>
    <row r="15" spans="1:14" ht="15.75" thickBot="1" x14ac:dyDescent="0.3">
      <c r="B15" s="12"/>
      <c r="C15" s="166" t="s">
        <v>213</v>
      </c>
      <c r="D15" s="167"/>
      <c r="E15" s="14" t="s">
        <v>25</v>
      </c>
      <c r="F15" s="12"/>
      <c r="G15" s="13" t="str">
        <f>'Horizon Production Sheet'!G16</f>
        <v>5/16" Cable</v>
      </c>
      <c r="H15" s="13" t="str">
        <f>'Horizon Production Sheet'!H16</f>
        <v>700'</v>
      </c>
      <c r="M15" t="str" cm="1">
        <f t="array" ref="M15:N15">'Horizon Production Sheet'!B22:C22</f>
        <v>Wire Winder</v>
      </c>
      <c r="N15">
        <v>0</v>
      </c>
    </row>
    <row r="16" spans="1:14" ht="15.75" thickBot="1" x14ac:dyDescent="0.3">
      <c r="A16" s="218" t="str">
        <f>IF('Horizon Production Sheet'!F10=TRUE,'Horizon Production Sheet'!C10,"N/A")</f>
        <v>11' ALU DL SB</v>
      </c>
      <c r="B16" s="219"/>
      <c r="C16" s="170" t="str">
        <f>'Horizon Production Sheet'!H10</f>
        <v>ALUM</v>
      </c>
      <c r="D16" s="168" t="s">
        <v>27</v>
      </c>
      <c r="E16" s="170" t="str">
        <f>'Horizon Production Sheet'!H19</f>
        <v>BLU</v>
      </c>
      <c r="F16" s="168" t="s">
        <v>26</v>
      </c>
      <c r="G16" s="170" t="str">
        <f>'Horizon Production Sheet'!H18</f>
        <v>BLU</v>
      </c>
      <c r="H16" s="169" t="s">
        <v>28</v>
      </c>
      <c r="I16" s="170" t="str">
        <f>'Horizon Production Sheet'!H13</f>
        <v>ALUM</v>
      </c>
    </row>
    <row r="17" spans="1:9" x14ac:dyDescent="0.25">
      <c r="A17" s="89" t="s">
        <v>141</v>
      </c>
      <c r="B17" s="211" t="str">
        <f>"GLF2110QBGIS161"</f>
        <v>GLF2110QBGIS161</v>
      </c>
      <c r="C17" s="211"/>
      <c r="D17" s="232" t="s">
        <v>61</v>
      </c>
      <c r="E17" s="232"/>
      <c r="F17" s="178" t="s">
        <v>269</v>
      </c>
      <c r="G17" s="179"/>
      <c r="H17" s="120"/>
    </row>
    <row r="18" spans="1:9" ht="15.75" thickBot="1" x14ac:dyDescent="0.3">
      <c r="A18" s="113" t="s">
        <v>129</v>
      </c>
      <c r="B18" s="245" t="s">
        <v>65</v>
      </c>
      <c r="C18" s="245"/>
      <c r="D18" s="245"/>
      <c r="E18" s="245"/>
      <c r="F18" s="52"/>
      <c r="G18" s="79" t="s">
        <v>44</v>
      </c>
      <c r="H18" s="80" t="s">
        <v>64</v>
      </c>
      <c r="I18" s="79" t="s">
        <v>24</v>
      </c>
    </row>
    <row r="19" spans="1:9" ht="15.75" thickBot="1" x14ac:dyDescent="0.3">
      <c r="A19" s="114" t="str">
        <f>_xlfn.IFS(D19="3,000","BG0475",D19="5,000","BG0785",D19="6,000","BG0785BE",D19="7,000","A10F M 63")</f>
        <v>BG0785</v>
      </c>
      <c r="B19" s="246" t="s">
        <v>45</v>
      </c>
      <c r="C19" s="246"/>
      <c r="D19" s="247" t="str">
        <f>IF(H7="H2","2500",IF(H7="6K","3,000",IF(H7="10K","5,000",IF(H7="12K","6,000",IF(H7="15K","5,000",IF(H7="20K","7,000"""))))))</f>
        <v>5,000</v>
      </c>
      <c r="E19" s="248"/>
      <c r="F19" s="81" t="s">
        <v>46</v>
      </c>
      <c r="G19" s="82" t="str">
        <f>IF(F19="YES","1","")</f>
        <v>1</v>
      </c>
      <c r="H19" s="83" t="str">
        <f>IF(F19="YES","H80/80","")</f>
        <v>H80/80</v>
      </c>
      <c r="I19" s="84"/>
    </row>
    <row r="20" spans="1:9" x14ac:dyDescent="0.25">
      <c r="A20" s="114" t="str">
        <f>IF(AND(F20="YES"),_xlfn.IFS(D20="1000 POUND","BG0140",D20="1500 POUND","BG0310",D20="2500 POUND","BG0335",D20="3500 POUND","BG00475"),"N/A")</f>
        <v>BG0140</v>
      </c>
      <c r="B20" s="233" t="str">
        <f>'Horizon Production Sheet'!B15</f>
        <v>Sand Line-</v>
      </c>
      <c r="C20" s="233"/>
      <c r="D20" s="208" t="str">
        <f>'Horizon Production Sheet'!C15</f>
        <v>1000 Pound</v>
      </c>
      <c r="E20" s="209"/>
      <c r="F20" s="119" t="str">
        <f>IF('Horizon Production Sheet'!F15=TRUE,"YES","NO")</f>
        <v>YES</v>
      </c>
      <c r="G20" s="40" t="str">
        <f>IF(AND(F20="YES",G19="1"),"2","")</f>
        <v>2</v>
      </c>
      <c r="H20" s="50" t="str">
        <f>IF(F20="YES","H40/40","")</f>
        <v>H40/40</v>
      </c>
      <c r="I20" s="86"/>
    </row>
    <row r="21" spans="1:9" x14ac:dyDescent="0.25">
      <c r="A21" s="115" t="s">
        <v>247</v>
      </c>
      <c r="B21" s="133"/>
      <c r="C21" s="131" t="s">
        <v>47</v>
      </c>
      <c r="D21" s="208" t="s">
        <v>49</v>
      </c>
      <c r="E21" s="209"/>
      <c r="F21" s="119" t="s">
        <v>46</v>
      </c>
      <c r="G21" s="40" t="str">
        <f>IF(AND(F21="YES",G20="2"),"3","2")</f>
        <v>3</v>
      </c>
      <c r="H21" s="50" t="str">
        <f>IF(F21="YES","L40/40","")</f>
        <v>L40/40</v>
      </c>
      <c r="I21" s="86"/>
    </row>
    <row r="22" spans="1:9" x14ac:dyDescent="0.25">
      <c r="A22" s="115" t="str" cm="1">
        <f t="array" ref="A22">_xlfn.IFS(B22="36'","10' Cylinder",B22="40'","10' Cylinder",B22="48'","15' Cylinder")</f>
        <v>10' Cylinder</v>
      </c>
      <c r="B22" s="133" t="str">
        <f>'Horizon Production Sheet'!H17</f>
        <v>36'</v>
      </c>
      <c r="C22" s="131" t="s">
        <v>47</v>
      </c>
      <c r="D22" s="208" t="s">
        <v>48</v>
      </c>
      <c r="E22" s="209"/>
      <c r="F22" s="119" t="s">
        <v>46</v>
      </c>
      <c r="G22" s="40" t="str">
        <f>IF(AND(F22="YES",G21="2"),"3","4")</f>
        <v>4</v>
      </c>
      <c r="H22" s="50" t="str">
        <f>IF(F22="YES","L40/40","")</f>
        <v>L40/40</v>
      </c>
      <c r="I22" s="86"/>
    </row>
    <row r="23" spans="1:9" x14ac:dyDescent="0.25">
      <c r="A23" s="116" t="str">
        <f>IF(AND(F23="YES",D23="TILTING PIPE RACK"),"JACK","N/A")</f>
        <v>N/A</v>
      </c>
      <c r="B23" s="233" t="str">
        <f>'Horizon Production Sheet'!B14</f>
        <v>Pass Side-</v>
      </c>
      <c r="C23" s="233"/>
      <c r="D23" s="208" t="str">
        <f>'Horizon Production Sheet'!C14</f>
        <v>Manual Tilt Pipe Rack</v>
      </c>
      <c r="E23" s="209"/>
      <c r="F23" s="119" t="str">
        <f>IF('Horizon Production Sheet'!F14=TRUE,"YES","NO")</f>
        <v>YES</v>
      </c>
      <c r="G23" s="40" t="str">
        <f>IF(AND(D23="HYD PIPE RACK",F23="YES"),G22+1,"")</f>
        <v/>
      </c>
      <c r="H23" s="50"/>
      <c r="I23" s="86"/>
    </row>
    <row r="24" spans="1:9" x14ac:dyDescent="0.25">
      <c r="A24" s="116"/>
      <c r="B24" s="233" t="s">
        <v>11</v>
      </c>
      <c r="C24" s="233"/>
      <c r="D24" s="208" t="s">
        <v>51</v>
      </c>
      <c r="E24" s="209"/>
      <c r="F24" s="119" t="s">
        <v>46</v>
      </c>
      <c r="G24" s="40">
        <f>IF(AND(F24="YES"),_xlfn.IFS(AND(F23="YES",D23="HYD PIPE RACK"),G23+1,F22="YES",G22+1),"")</f>
        <v>5</v>
      </c>
      <c r="H24" s="50" t="str">
        <f>IF(F24="YES","L16/16","")</f>
        <v>L16/16</v>
      </c>
      <c r="I24" s="86"/>
    </row>
    <row r="25" spans="1:9" x14ac:dyDescent="0.25">
      <c r="A25" s="116"/>
      <c r="B25" s="244" t="str">
        <f>'Horizon Production Sheet'!B17</f>
        <v>Outrigger-</v>
      </c>
      <c r="C25" s="233"/>
      <c r="D25" s="208" t="str">
        <f>'Horizon Production Sheet'!C17</f>
        <v>Front</v>
      </c>
      <c r="E25" s="209"/>
      <c r="F25" s="119" t="str">
        <f>IF('Horizon Production Sheet'!F17=TRUE,"YES","NO")</f>
        <v>YES</v>
      </c>
      <c r="G25" s="40">
        <f>IF(AND(F25="YES"),_xlfn.IFS(F24="YES",G24+1),"")</f>
        <v>6</v>
      </c>
      <c r="H25" s="50" t="str">
        <f>IF(F25="YES","L16/16","")</f>
        <v>L16/16</v>
      </c>
      <c r="I25" s="86"/>
    </row>
    <row r="26" spans="1:9" x14ac:dyDescent="0.25">
      <c r="A26" s="116"/>
      <c r="B26" s="188" t="s">
        <v>50</v>
      </c>
      <c r="C26" s="189"/>
      <c r="D26" s="189"/>
      <c r="E26" s="210"/>
      <c r="F26" s="119" t="str">
        <f>IF(AND(D25="DUAL BEHIND CAB",F25="YES"),"YES","NO")</f>
        <v>NO</v>
      </c>
      <c r="G26" s="40" t="str">
        <f>IF(AND(F26="YES"),_xlfn.IFS(F25="YES",G25+1),"")</f>
        <v/>
      </c>
      <c r="H26" s="50" t="str">
        <f>IF(F26="YES","L16/16","")</f>
        <v/>
      </c>
      <c r="I26" s="86"/>
    </row>
    <row r="27" spans="1:9" x14ac:dyDescent="0.25">
      <c r="A27" s="116"/>
      <c r="B27" s="244" t="s">
        <v>11</v>
      </c>
      <c r="C27" s="233"/>
      <c r="D27" s="208" t="s">
        <v>52</v>
      </c>
      <c r="E27" s="209"/>
      <c r="F27" s="119" t="s">
        <v>46</v>
      </c>
      <c r="G27" s="40">
        <f>IF(AND(F27="YES"),_xlfn.IFS(F26="YES",G26+1,F25="YES",G25+1,F24="YES",G24+1,F23="YES",G23+1),"")</f>
        <v>7</v>
      </c>
      <c r="H27" s="50" t="str">
        <f>IF(F27="YES","L16/16","")</f>
        <v>L16/16</v>
      </c>
      <c r="I27" s="86"/>
    </row>
    <row r="28" spans="1:9" x14ac:dyDescent="0.25">
      <c r="A28" s="116" t="str">
        <f>IF(AND(F28="YES",D28="TILTING PIPE RACK"),"JACK","N/A")</f>
        <v>N/A</v>
      </c>
      <c r="B28" s="244" t="str">
        <f>'Horizon Production Sheet'!B13</f>
        <v>Drive Side-</v>
      </c>
      <c r="C28" s="233"/>
      <c r="D28" s="208" t="str">
        <f>'Horizon Production Sheet'!C13</f>
        <v>Manual Tilt Pipe Rack</v>
      </c>
      <c r="E28" s="209"/>
      <c r="F28" s="119" t="str">
        <f>IF('Horizon Production Sheet'!F13=TRUE,"YES","NO")</f>
        <v>YES</v>
      </c>
      <c r="G28" s="40" t="str">
        <f>IF(AND(D28="HYD PIPE RACK",F28="YES"),_xlfn.IFS(F27="YES",G27+1,F26="YES",G26+1,F25="YES",G25+1),"")</f>
        <v/>
      </c>
      <c r="H28" s="50"/>
      <c r="I28" s="86"/>
    </row>
    <row r="29" spans="1:9" x14ac:dyDescent="0.25">
      <c r="A29" s="116" t="str">
        <f>IF(AND(F29="YES"),IF(B29="BREAKOUT CYLINDER","MIDGET VLV",IF(B29="WIRE WINDER","TE0100FS1","N/A")),"")</f>
        <v>MIDGET VLV</v>
      </c>
      <c r="B29" s="189" t="str">
        <f>'Horizon Production Sheet'!B21:C21</f>
        <v>Breakout Cylinder</v>
      </c>
      <c r="C29" s="189"/>
      <c r="D29" s="189"/>
      <c r="E29" s="210"/>
      <c r="F29" s="119" t="str">
        <f>IF('Horizon Production Sheet'!F21=TRUE,"YES","NO")</f>
        <v>YES</v>
      </c>
      <c r="G29" s="40">
        <f>IF(AND(F29="YES"),IF(AND(F28="YES",D28="HYD PIPE RACK"),G28+1,IF(F27="YES",G27+1,"")),"")</f>
        <v>8</v>
      </c>
      <c r="H29" s="50" t="str">
        <f>IF(AND(F29="YES"),IF(B29="AUX HYDRAULICS","H80/80",IF(B29="WIRE WINDER","H80/80",IF(B29="GETEC HM1400 GENERATOR","H80/80",IF(B29="AIR COMPRESSOR-17 CFM","H80/80",IF(B29="AIR COMPRESSOR-85 CFM","H80/80",IF(B29="AIR COMPRESSOR-125 CFM","H80/80","")))))),"")</f>
        <v/>
      </c>
      <c r="I29" s="86"/>
    </row>
    <row r="30" spans="1:9" x14ac:dyDescent="0.25">
      <c r="A30" s="116" t="str">
        <f>IF(AND(F30="YES",B30="AIR COMPRESSOR- 17 cfm"),"M315",IF(AND(F30="YES",B30="WIRE WINDER"),"MANUAL","N/A"))</f>
        <v>N/A</v>
      </c>
      <c r="B30" s="188" t="str">
        <f>'Horizon Production Sheet'!B27:C27</f>
        <v xml:space="preserve">Secondary Aux Section - capped </v>
      </c>
      <c r="C30" s="189"/>
      <c r="D30" s="189"/>
      <c r="E30" s="210"/>
      <c r="F30" s="119" t="str">
        <f>IF('Horizon Production Sheet'!F27=TRUE,"YES","NO")</f>
        <v>YES</v>
      </c>
      <c r="G30" s="40">
        <f>IF(AND(F30="YES"),IF(F29="YES",G29+1,IF(AND(F28="YES",D28="HYD PIPE RACK"),G28+1,IF(F27="YES",G27+1,""))),"")</f>
        <v>9</v>
      </c>
      <c r="H30" s="50" t="str">
        <f t="shared" ref="H30:H32" si="0">IF(AND(F30="YES"),IF(B30="AUX HYDRAULICS","H80/80",IF(B30="WIRE WINDER","H80/80",IF(B30="GETEC HM1400 GENERATOR","H80/80",IF(B30="AIR COMPRESSOR-17 CFM","H80/80",IF(B30="AIR COMPRESSOR-85 CFM","H80/80",IF(B30="AIR COMPRESSOR-125 CFM","H80/80","")))))),"")</f>
        <v/>
      </c>
      <c r="I30" s="86"/>
    </row>
    <row r="31" spans="1:9" x14ac:dyDescent="0.25">
      <c r="A31" s="116"/>
      <c r="B31" s="188" t="str" cm="1">
        <f t="array" ref="B31">IF(OR('Horizon Production Sheet'!B22:C22="CATHEAD",'Horizon Production Sheet'!B22:C22="AIR COMPRESSOR-17 CFM",'Horizon Production Sheet'!B22:C22="AUX HYDRAULICS",'Horizon Production Sheet'!B22:C22="BREAKOUT CYLINDER",'Horizon Production Sheet'!B22:C22="WIRE WINDER"),M15,"")</f>
        <v>Wire Winder</v>
      </c>
      <c r="C31" s="189"/>
      <c r="D31" s="189"/>
      <c r="E31" s="210"/>
      <c r="F31" s="119" t="str">
        <f>IF(AND('Horizon Production Sheet'!F22=TRUE),IF(B31="CATHEAD","YES",IF(B31="AIR COMPRESSOR-17 CFM","YES",IF(B31="AUX HYDRAULICS","YES",IF(B31="BREAKOUT CYLINDER","YES",IF(B31="WIRE WINDER","YES","NO"))))),"NO")</f>
        <v>YES</v>
      </c>
      <c r="G31" s="40">
        <f>IF(AND(F31="YES"),IF(F30="YES",G30+1,IF(AND(F29="YES",D29="HYD PIPE RACK"),G29+1,IF(F28="YES",G28+1,""))),"")</f>
        <v>10</v>
      </c>
      <c r="H31" s="50"/>
      <c r="I31" s="86"/>
    </row>
    <row r="32" spans="1:9" x14ac:dyDescent="0.25">
      <c r="A32" s="116"/>
      <c r="B32" s="188"/>
      <c r="C32" s="189"/>
      <c r="D32" s="189"/>
      <c r="E32" s="210"/>
      <c r="F32" s="119" t="str">
        <f>IF('Horizon Production Sheet'!F28=TRUE,"YES","NO")</f>
        <v>NO</v>
      </c>
      <c r="G32" s="40" t="str">
        <f>IF(AND(F32="YES"),IF(F30="YES",G30+1,IF(F29="YES",G29+1,IF(AND(F28="YES",D28="HYD PIPE RACK"),G28+1,IF(F27="YES",G27+1,"")))),"")</f>
        <v/>
      </c>
      <c r="H32" s="50" t="str">
        <f t="shared" si="0"/>
        <v/>
      </c>
      <c r="I32" s="86"/>
    </row>
    <row r="33" spans="1:9" x14ac:dyDescent="0.25">
      <c r="A33" s="116"/>
      <c r="B33" s="188" t="str">
        <f>'Horizon Production Sheet'!C20</f>
        <v>5T Basic</v>
      </c>
      <c r="C33" s="189"/>
      <c r="D33" s="189"/>
      <c r="E33" s="189"/>
      <c r="F33" s="174" t="str">
        <f>IF('Horizon Production Sheet'!F20=TRUE,"YES","NO")</f>
        <v>YES</v>
      </c>
      <c r="G33" s="53" t="s">
        <v>66</v>
      </c>
      <c r="H33" s="51"/>
      <c r="I33" s="87"/>
    </row>
    <row r="34" spans="1:9" x14ac:dyDescent="0.25">
      <c r="A34" s="116"/>
      <c r="B34" s="188" t="str">
        <f>'Horizon Production Sheet'!B19</f>
        <v>Remote Throttle Control</v>
      </c>
      <c r="C34" s="189"/>
      <c r="D34" s="189"/>
      <c r="E34" s="210"/>
      <c r="F34" s="109" t="str">
        <f>IF('Horizon Production Sheet'!F19=TRUE,"YES","NO")</f>
        <v>YES</v>
      </c>
      <c r="G34" s="53"/>
      <c r="H34" s="51"/>
      <c r="I34" s="87"/>
    </row>
    <row r="35" spans="1:9" x14ac:dyDescent="0.25">
      <c r="A35" s="116"/>
      <c r="B35" s="233" t="str">
        <f>'Horizon Production Sheet'!B11</f>
        <v>Step Off Bumber-Pass Side</v>
      </c>
      <c r="C35" s="233"/>
      <c r="D35" s="208">
        <f>'Horizon Production Sheet'!C11</f>
        <v>0</v>
      </c>
      <c r="E35" s="209"/>
      <c r="F35" s="119" t="str">
        <f>IF('Horizon Production Sheet'!F11=TRUE,"YES","NO")</f>
        <v>YES</v>
      </c>
      <c r="G35" s="40" t="str">
        <f>IF(F35="YES",'Horizon Production Sheet'!H11,"")</f>
        <v>N/A</v>
      </c>
      <c r="H35" s="50"/>
      <c r="I35" s="86"/>
    </row>
    <row r="36" spans="1:9" x14ac:dyDescent="0.25">
      <c r="A36" s="116"/>
      <c r="B36" s="233" t="str">
        <f>'Horizon Production Sheet'!B12</f>
        <v>Step On Bumper-Drive Side</v>
      </c>
      <c r="C36" s="233"/>
      <c r="D36" s="257">
        <f>'Horizon Production Sheet'!C12</f>
        <v>0</v>
      </c>
      <c r="E36" s="258"/>
      <c r="F36" s="119" t="str">
        <f>IF('Horizon Production Sheet'!F12=TRUE,"YES","NO")</f>
        <v>YES</v>
      </c>
      <c r="G36" s="40" t="str">
        <f>IF(F36="YES",'Horizon Production Sheet'!H12,"")</f>
        <v>N/A</v>
      </c>
      <c r="H36" s="50"/>
      <c r="I36" s="86"/>
    </row>
    <row r="37" spans="1:9" x14ac:dyDescent="0.25">
      <c r="A37" s="134" t="str">
        <f>IF(F37="YES","Mar-18-2-60-4A","N/A")</f>
        <v>Mar-18-2-60-4A</v>
      </c>
      <c r="B37" s="188" t="str">
        <f>'Horizon Production Sheet'!B16:C16</f>
        <v>Auto Oil Cooler</v>
      </c>
      <c r="C37" s="189"/>
      <c r="D37" s="189"/>
      <c r="E37" s="210"/>
      <c r="F37" s="119" t="str">
        <f>IF('Horizon Production Sheet'!F16=TRUE,"YES","NO")</f>
        <v>YES</v>
      </c>
      <c r="G37" s="40"/>
      <c r="H37" s="50"/>
      <c r="I37" s="86"/>
    </row>
    <row r="38" spans="1:9" x14ac:dyDescent="0.25">
      <c r="A38" s="85"/>
      <c r="B38" s="189" t="str" cm="1">
        <f t="array" ref="B38">IF(OR('Horizon Production Sheet'!B22:C22="LED LIGHT PACKAGE",'Horizon Production Sheet'!B22:C22="SIDE GATE",'Horizon Production Sheet'!B22:C22="ROTATING WIRE SPOOL HOLDER",'Horizon Production Sheet'!B22:C22="SHOVEL HOLDERS",'Horizon Production Sheet'!B22:C22="LINE-X",'Horizon Production Sheet'!B22:C22="VISE HOLDER",'Horizon Production Sheet'!B22:C22="WIRE SPOOL HOLDER"),M15,"")</f>
        <v/>
      </c>
      <c r="C38" s="189"/>
      <c r="D38" s="189"/>
      <c r="E38" s="210"/>
      <c r="F38" s="119" t="str">
        <f>IF(AND('Horizon Production Sheet'!G22=TRUE),IF(B38="LED LIGHT PACKAGE","YES",IF(B38="SIDE GATE","YES",IF(B38="ROTATING WIRE SPOOL HOLDER","YES",IF(B38="SHOVEL HOLDERS","YES",IF(B38="LINE-X","YES",IF(B38="VISE HOLDER","YES",IF(B38="WIRE SPOOL HOLDER","YES","NO"))))))),"NO")</f>
        <v>NO</v>
      </c>
      <c r="G38" s="40" t="str">
        <f>IF(F38="YES","BLK","")</f>
        <v/>
      </c>
      <c r="H38" s="50"/>
      <c r="I38" s="86"/>
    </row>
    <row r="39" spans="1:9" x14ac:dyDescent="0.25">
      <c r="A39" s="85"/>
      <c r="B39" s="189" t="str">
        <f>'Horizon Production Sheet'!B24:C24</f>
        <v>LED Light Package</v>
      </c>
      <c r="C39" s="189"/>
      <c r="D39" s="189"/>
      <c r="E39" s="210"/>
      <c r="F39" s="119" t="str">
        <f>IF('Horizon Production Sheet'!F24=TRUE,"YES","NO")</f>
        <v>YES</v>
      </c>
      <c r="G39" s="40"/>
      <c r="H39" s="50"/>
      <c r="I39" s="86"/>
    </row>
    <row r="40" spans="1:9" x14ac:dyDescent="0.25">
      <c r="A40" s="85"/>
      <c r="B40" s="189" t="str">
        <f>'Horizon Production Sheet'!B23:C23</f>
        <v>Line-X</v>
      </c>
      <c r="C40" s="189"/>
      <c r="D40" s="189"/>
      <c r="E40" s="210"/>
      <c r="F40" s="119" t="str">
        <f>IF('Horizon Production Sheet'!F23=TRUE,"YES","NO")</f>
        <v>YES</v>
      </c>
      <c r="G40" s="40" t="str">
        <f>IF(F40="YES","BLK","")</f>
        <v>BLK</v>
      </c>
      <c r="H40" s="50"/>
      <c r="I40" s="86"/>
    </row>
    <row r="41" spans="1:9" x14ac:dyDescent="0.25">
      <c r="A41" s="85"/>
      <c r="B41" s="189" t="str">
        <f>'Horizon Production Sheet'!B25:C25</f>
        <v>Vise Holder</v>
      </c>
      <c r="C41" s="189"/>
      <c r="D41" s="189"/>
      <c r="E41" s="210"/>
      <c r="F41" s="119" t="str">
        <f>IF('Horizon Production Sheet'!F25=TRUE,"YES","NO")</f>
        <v>YES</v>
      </c>
      <c r="G41" s="40" t="str">
        <f>IF(F41="YES","WHT","")</f>
        <v>WHT</v>
      </c>
      <c r="H41" s="50"/>
      <c r="I41" s="86"/>
    </row>
    <row r="42" spans="1:9" x14ac:dyDescent="0.25">
      <c r="A42" s="85"/>
      <c r="B42" s="189" t="str">
        <f>'Horizon Production Sheet'!B26:C26</f>
        <v>Wire Spool Holder</v>
      </c>
      <c r="C42" s="189"/>
      <c r="D42" s="189"/>
      <c r="E42" s="210"/>
      <c r="F42" s="119" t="str">
        <f>IF('Horizon Production Sheet'!F26=TRUE,"YES","NO")</f>
        <v>YES</v>
      </c>
      <c r="G42" s="40"/>
      <c r="H42" s="11"/>
      <c r="I42" s="86"/>
    </row>
    <row r="43" spans="1:9" ht="15" customHeight="1" x14ac:dyDescent="0.25">
      <c r="A43" s="85"/>
      <c r="B43" s="252" t="str">
        <f>'Horizon Production Sheet'!B29:C29</f>
        <v xml:space="preserve">Leaf Spring Pkg with Guessett Kit </v>
      </c>
      <c r="C43" s="252"/>
      <c r="D43" s="189"/>
      <c r="E43" s="210"/>
      <c r="F43" s="119" t="str">
        <f>IF('Horizon Production Sheet'!F29=TRUE,"YES","NO")</f>
        <v>YES</v>
      </c>
      <c r="G43" s="40"/>
      <c r="H43" s="11"/>
      <c r="I43" s="86"/>
    </row>
    <row r="44" spans="1:9" ht="13.15" customHeight="1" thickBot="1" x14ac:dyDescent="0.3">
      <c r="A44" s="130"/>
      <c r="B44" s="253" t="str">
        <f>'Horizon Production Sheet'!B30</f>
        <v xml:space="preserve">Chrome Simulators </v>
      </c>
      <c r="C44" s="254"/>
      <c r="D44" s="255">
        <f>'Horizon Production Sheet'!C30</f>
        <v>0</v>
      </c>
      <c r="E44" s="256"/>
      <c r="F44" s="73" t="str">
        <f>IF('Horizon Production Sheet'!F30=TRUE,"YES","NO")</f>
        <v>YES</v>
      </c>
      <c r="G44" s="74">
        <f>IF(F44="YES",'Horizon Production Sheet'!H30,"")</f>
        <v>0</v>
      </c>
      <c r="H44" s="75"/>
      <c r="I44" s="88"/>
    </row>
    <row r="45" spans="1:9" ht="14.45" customHeight="1" x14ac:dyDescent="0.25">
      <c r="A45" s="129"/>
      <c r="B45" s="120"/>
      <c r="C45" s="120"/>
      <c r="D45" s="120"/>
      <c r="E45" s="120"/>
      <c r="F45" s="71"/>
      <c r="G45" s="72"/>
      <c r="H45" s="15"/>
      <c r="I45" s="15"/>
    </row>
    <row r="46" spans="1:9" ht="28.5" customHeight="1" x14ac:dyDescent="0.25">
      <c r="A46" s="106" t="s">
        <v>95</v>
      </c>
      <c r="B46" s="249" t="str">
        <f>'Horizon Production Sheet'!C38</f>
        <v>Service Body: 30" opening,Horizon Fram e to not block 30" opening"NEW DESIGN" // Paint: Bare Aluminum with Clear Coat.</v>
      </c>
      <c r="C46" s="250"/>
      <c r="D46" s="250"/>
      <c r="E46" s="250"/>
      <c r="F46" s="250"/>
      <c r="G46" s="250"/>
      <c r="H46" s="250"/>
      <c r="I46" s="251"/>
    </row>
    <row r="47" spans="1:9" x14ac:dyDescent="0.25">
      <c r="A47" s="106"/>
      <c r="B47" s="207"/>
      <c r="C47" s="208"/>
      <c r="D47" s="208"/>
      <c r="E47" s="208"/>
      <c r="F47" s="208"/>
      <c r="G47" s="208"/>
      <c r="H47" s="208"/>
      <c r="I47" s="209"/>
    </row>
  </sheetData>
  <mergeCells count="53">
    <mergeCell ref="B33:E33"/>
    <mergeCell ref="B38:E38"/>
    <mergeCell ref="B35:C35"/>
    <mergeCell ref="D35:E35"/>
    <mergeCell ref="B39:E39"/>
    <mergeCell ref="B40:E40"/>
    <mergeCell ref="B41:E41"/>
    <mergeCell ref="B36:C36"/>
    <mergeCell ref="D36:E36"/>
    <mergeCell ref="B37:E37"/>
    <mergeCell ref="B46:I46"/>
    <mergeCell ref="B42:E42"/>
    <mergeCell ref="B43:E43"/>
    <mergeCell ref="B44:C44"/>
    <mergeCell ref="D44:E44"/>
    <mergeCell ref="B18:E18"/>
    <mergeCell ref="B19:C19"/>
    <mergeCell ref="D19:E19"/>
    <mergeCell ref="B20:C20"/>
    <mergeCell ref="D20:E20"/>
    <mergeCell ref="D23:E23"/>
    <mergeCell ref="B32:E32"/>
    <mergeCell ref="B24:C24"/>
    <mergeCell ref="D24:E24"/>
    <mergeCell ref="B25:C25"/>
    <mergeCell ref="D25:E25"/>
    <mergeCell ref="B26:E26"/>
    <mergeCell ref="B27:C27"/>
    <mergeCell ref="D28:E28"/>
    <mergeCell ref="B29:E29"/>
    <mergeCell ref="B30:E30"/>
    <mergeCell ref="B28:C28"/>
    <mergeCell ref="B5:H5"/>
    <mergeCell ref="E7:F7"/>
    <mergeCell ref="C9:D9"/>
    <mergeCell ref="E9:F9"/>
    <mergeCell ref="G9:H9"/>
    <mergeCell ref="B47:I47"/>
    <mergeCell ref="B31:E31"/>
    <mergeCell ref="B17:C17"/>
    <mergeCell ref="C11:D11"/>
    <mergeCell ref="G11:H11"/>
    <mergeCell ref="G12:H13"/>
    <mergeCell ref="A16:B16"/>
    <mergeCell ref="A12:B13"/>
    <mergeCell ref="C12:E13"/>
    <mergeCell ref="F12:F13"/>
    <mergeCell ref="D17:E17"/>
    <mergeCell ref="D21:E21"/>
    <mergeCell ref="D22:E22"/>
    <mergeCell ref="B23:C23"/>
    <mergeCell ref="B34:E34"/>
    <mergeCell ref="D27:E27"/>
  </mergeCells>
  <conditionalFormatting sqref="B24">
    <cfRule type="expression" dxfId="71" priority="19">
      <formula>$F$24="YES"</formula>
    </cfRule>
  </conditionalFormatting>
  <conditionalFormatting sqref="B25">
    <cfRule type="expression" dxfId="70" priority="11">
      <formula>$F$25="YES"</formula>
    </cfRule>
  </conditionalFormatting>
  <conditionalFormatting sqref="B28 D28">
    <cfRule type="expression" dxfId="69" priority="18">
      <formula>$F$28="YES"</formula>
    </cfRule>
  </conditionalFormatting>
  <conditionalFormatting sqref="B29">
    <cfRule type="expression" dxfId="68" priority="29">
      <formula>$F$29="YES"</formula>
    </cfRule>
  </conditionalFormatting>
  <conditionalFormatting sqref="B30">
    <cfRule type="expression" dxfId="67" priority="13">
      <formula>$F$30="YES"</formula>
    </cfRule>
  </conditionalFormatting>
  <conditionalFormatting sqref="B34">
    <cfRule type="expression" dxfId="66" priority="85">
      <formula>$F$34="YES"</formula>
    </cfRule>
  </conditionalFormatting>
  <conditionalFormatting sqref="B35 D35">
    <cfRule type="expression" dxfId="65" priority="28">
      <formula>$F$35="YES"</formula>
    </cfRule>
  </conditionalFormatting>
  <conditionalFormatting sqref="B43">
    <cfRule type="expression" dxfId="64" priority="22">
      <formula>$F$43="YES"</formula>
    </cfRule>
  </conditionalFormatting>
  <conditionalFormatting sqref="B44 D44">
    <cfRule type="expression" dxfId="63" priority="16">
      <formula>$F$44="YES"</formula>
    </cfRule>
  </conditionalFormatting>
  <conditionalFormatting sqref="B19:E19">
    <cfRule type="expression" dxfId="62" priority="30">
      <formula>$F$19="YES"</formula>
    </cfRule>
  </conditionalFormatting>
  <conditionalFormatting sqref="B20:E20">
    <cfRule type="expression" dxfId="61" priority="33">
      <formula>$F$20="YES"</formula>
    </cfRule>
  </conditionalFormatting>
  <conditionalFormatting sqref="B21:E21">
    <cfRule type="expression" dxfId="60" priority="21">
      <formula>$F$21="YES"</formula>
    </cfRule>
  </conditionalFormatting>
  <conditionalFormatting sqref="B22:E22">
    <cfRule type="expression" dxfId="59" priority="20">
      <formula>$F$22="YES"</formula>
    </cfRule>
  </conditionalFormatting>
  <conditionalFormatting sqref="B23:E23">
    <cfRule type="expression" dxfId="58" priority="32">
      <formula>$F$23="YES"</formula>
    </cfRule>
  </conditionalFormatting>
  <conditionalFormatting sqref="B26:E26">
    <cfRule type="expression" dxfId="57" priority="9">
      <formula>$F$26="YES"</formula>
    </cfRule>
  </conditionalFormatting>
  <conditionalFormatting sqref="B27:E27">
    <cfRule type="expression" dxfId="56" priority="7">
      <formula>$F$27="YES"</formula>
    </cfRule>
  </conditionalFormatting>
  <conditionalFormatting sqref="B31:E31">
    <cfRule type="expression" dxfId="55" priority="1">
      <formula>$F$31="YES"</formula>
    </cfRule>
  </conditionalFormatting>
  <conditionalFormatting sqref="B32:E32">
    <cfRule type="expression" dxfId="54" priority="12">
      <formula>$F$32="YES"</formula>
    </cfRule>
  </conditionalFormatting>
  <conditionalFormatting sqref="B33:E33">
    <cfRule type="expression" dxfId="53" priority="2">
      <formula>$F$33="YES"</formula>
    </cfRule>
  </conditionalFormatting>
  <conditionalFormatting sqref="B36:E36">
    <cfRule type="expression" dxfId="52" priority="4">
      <formula>$F$36="YES"</formula>
    </cfRule>
  </conditionalFormatting>
  <conditionalFormatting sqref="B37:E37">
    <cfRule type="expression" dxfId="51" priority="5">
      <formula>$F$37="YES"</formula>
    </cfRule>
  </conditionalFormatting>
  <conditionalFormatting sqref="B38:E38">
    <cfRule type="expression" dxfId="50" priority="14">
      <formula>$F$38="YES"</formula>
    </cfRule>
  </conditionalFormatting>
  <conditionalFormatting sqref="B39:E39">
    <cfRule type="expression" dxfId="49" priority="15">
      <formula>$F$39="YES"</formula>
    </cfRule>
  </conditionalFormatting>
  <conditionalFormatting sqref="B40:E40">
    <cfRule type="expression" dxfId="48" priority="25">
      <formula>$F$40="YES"</formula>
    </cfRule>
  </conditionalFormatting>
  <conditionalFormatting sqref="B41:E41">
    <cfRule type="expression" dxfId="47" priority="24">
      <formula>$F$41="YES"</formula>
    </cfRule>
  </conditionalFormatting>
  <conditionalFormatting sqref="B42:E42">
    <cfRule type="expression" dxfId="46" priority="23">
      <formula>$F$42="YES"</formula>
    </cfRule>
  </conditionalFormatting>
  <conditionalFormatting sqref="D24">
    <cfRule type="expression" dxfId="45" priority="31">
      <formula>$F$24="YES"</formula>
    </cfRule>
  </conditionalFormatting>
  <conditionalFormatting sqref="D25:E25">
    <cfRule type="expression" dxfId="44" priority="10">
      <formula>$F$25="YES"</formula>
    </cfRule>
  </conditionalFormatting>
  <conditionalFormatting sqref="F12:F13">
    <cfRule type="expression" dxfId="43" priority="3">
      <formula>$F$12="WIRELESS REMOTE"</formula>
    </cfRule>
  </conditionalFormatting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54B-3102-4140-9DE7-F95EDE38FED8}">
  <dimension ref="B1:J60"/>
  <sheetViews>
    <sheetView showZeros="0" zoomScale="70" zoomScaleNormal="70" workbookViewId="0">
      <selection activeCell="D2" sqref="D2:F2"/>
    </sheetView>
  </sheetViews>
  <sheetFormatPr defaultRowHeight="15" x14ac:dyDescent="0.25"/>
  <cols>
    <col min="2" max="2" width="3" customWidth="1"/>
    <col min="3" max="3" width="26.7109375" bestFit="1" customWidth="1"/>
    <col min="4" max="4" width="9.140625" customWidth="1"/>
    <col min="5" max="5" width="3" customWidth="1"/>
    <col min="6" max="6" width="26.42578125" bestFit="1" customWidth="1"/>
    <col min="7" max="7" width="11.28515625" customWidth="1"/>
    <col min="8" max="8" width="26.42578125" customWidth="1"/>
    <col min="9" max="9" width="26.42578125" hidden="1" customWidth="1"/>
    <col min="10" max="10" width="21.42578125" bestFit="1" customWidth="1"/>
  </cols>
  <sheetData>
    <row r="1" spans="2:10" ht="23.25" x14ac:dyDescent="0.35">
      <c r="B1" s="259" t="s">
        <v>87</v>
      </c>
      <c r="C1" s="259"/>
      <c r="D1" s="259"/>
      <c r="E1" s="259"/>
      <c r="F1" s="260"/>
      <c r="G1" s="58"/>
      <c r="H1" s="58"/>
    </row>
    <row r="2" spans="2:10" ht="23.25" x14ac:dyDescent="0.35">
      <c r="B2" s="57"/>
      <c r="C2" s="62" t="s">
        <v>53</v>
      </c>
      <c r="D2" s="261" t="str">
        <f>'In-Shop Production Sheet'!G11</f>
        <v>HH10K122024-30</v>
      </c>
      <c r="E2" s="261"/>
      <c r="F2" s="261"/>
      <c r="I2" s="12" t="s">
        <v>85</v>
      </c>
    </row>
    <row r="3" spans="2:10" ht="21" x14ac:dyDescent="0.35">
      <c r="C3" s="63" t="str">
        <f>'In-Shop Production Sheet'!C7</f>
        <v>Extended</v>
      </c>
      <c r="F3" s="63" t="str">
        <f>'In-Shop Production Sheet'!H7</f>
        <v>10K</v>
      </c>
      <c r="I3" t="s">
        <v>86</v>
      </c>
    </row>
    <row r="4" spans="2:10" x14ac:dyDescent="0.25">
      <c r="B4" s="12"/>
      <c r="C4" s="12" t="s">
        <v>85</v>
      </c>
      <c r="F4" s="12" t="s">
        <v>84</v>
      </c>
      <c r="G4" s="12"/>
      <c r="H4" s="12"/>
      <c r="I4" t="s">
        <v>163</v>
      </c>
    </row>
    <row r="5" spans="2:10" x14ac:dyDescent="0.25">
      <c r="C5" t="s">
        <v>83</v>
      </c>
      <c r="E5" s="55"/>
      <c r="F5" t="str">
        <f>IF(F3="3X2","30 IN - SXS",IF(F3="4X3","29 IN - SXS",IF(F3="6X2","30 IN - SXS",IF(F3="7X3","29 IN - SXS",IF(F3="9X3","29 IN - SXS","")))))</f>
        <v/>
      </c>
      <c r="I5" t="s">
        <v>82</v>
      </c>
    </row>
    <row r="6" spans="2:10" x14ac:dyDescent="0.25">
      <c r="B6" s="55"/>
      <c r="C6" t="str">
        <f>IF(C3="REGULAR",I3,IF(C3="EXTENDED",I4,IF(C3="CREW",I5,"")))</f>
        <v>87"</v>
      </c>
      <c r="E6" s="55"/>
      <c r="F6" t="str">
        <f>IF(F3="3X2","34 IN - SXS",IF(F3="4X3","29 IN - SXS",IF(F3="6X2","34 IN - SXS",IF(F3="7X3","29 IN - SXS",IF(F3="9X3","29 IN - SXS","")))))</f>
        <v/>
      </c>
      <c r="I6" s="12" t="s">
        <v>80</v>
      </c>
    </row>
    <row r="7" spans="2:10" x14ac:dyDescent="0.25">
      <c r="E7" s="54"/>
      <c r="F7" t="str">
        <f>IF(F3="3X2","38 IN - SXS",IF(F3="4X3","132 IN - SXS",IF(F3="6X2","38 IN - SXS",IF(F3="7X3","132 IN - SXS",IF(F3="9X3","132 IN - SXS","")))))</f>
        <v/>
      </c>
      <c r="I7" t="s">
        <v>81</v>
      </c>
      <c r="J7" s="12"/>
    </row>
    <row r="8" spans="2:10" x14ac:dyDescent="0.25">
      <c r="B8" s="12"/>
      <c r="C8" s="12" t="s">
        <v>80</v>
      </c>
      <c r="E8" s="55"/>
      <c r="F8" t="str">
        <f>IF(F3="3X2","108 IN - SXS",IF(F3="4X3","132 IN - SXS",IF(F3="6X2","108 IN - SXS",IF(F3="7X3","132 IN - SXS",IF(F3="9X3","132 IN - SXS","")))))</f>
        <v/>
      </c>
      <c r="G8" s="12"/>
      <c r="H8" s="12"/>
      <c r="I8" t="s">
        <v>164</v>
      </c>
    </row>
    <row r="9" spans="2:10" x14ac:dyDescent="0.25">
      <c r="C9" t="s">
        <v>79</v>
      </c>
      <c r="I9" t="s">
        <v>143</v>
      </c>
    </row>
    <row r="10" spans="2:10" x14ac:dyDescent="0.25">
      <c r="B10" s="55"/>
      <c r="C10" t="str">
        <f>IF(C3="REGULAR",I7,IF(C3="EXTENDED",I8,IF(C3="CREW",I9,"")))</f>
        <v>220"</v>
      </c>
      <c r="F10" s="12" t="s">
        <v>78</v>
      </c>
      <c r="I10" s="12" t="s">
        <v>68</v>
      </c>
    </row>
    <row r="11" spans="2:10" x14ac:dyDescent="0.25">
      <c r="E11" s="55"/>
      <c r="F11" t="s">
        <v>151</v>
      </c>
      <c r="I11" t="s">
        <v>77</v>
      </c>
      <c r="J11" s="12"/>
    </row>
    <row r="12" spans="2:10" x14ac:dyDescent="0.25">
      <c r="B12" s="54"/>
      <c r="C12" s="12" t="s">
        <v>144</v>
      </c>
      <c r="E12" s="55"/>
      <c r="F12" t="s">
        <v>151</v>
      </c>
      <c r="G12" s="12"/>
      <c r="H12" s="12"/>
      <c r="I12" t="s">
        <v>77</v>
      </c>
    </row>
    <row r="13" spans="2:10" x14ac:dyDescent="0.25">
      <c r="B13" s="54"/>
      <c r="C13" s="12" t="s">
        <v>165</v>
      </c>
      <c r="I13" t="s">
        <v>76</v>
      </c>
    </row>
    <row r="14" spans="2:10" x14ac:dyDescent="0.25">
      <c r="F14" s="12" t="s">
        <v>75</v>
      </c>
      <c r="I14" t="s">
        <v>76</v>
      </c>
    </row>
    <row r="15" spans="2:10" x14ac:dyDescent="0.25">
      <c r="B15" s="12"/>
      <c r="C15" s="12" t="s">
        <v>166</v>
      </c>
      <c r="E15" s="55"/>
      <c r="F15" t="s">
        <v>151</v>
      </c>
      <c r="I15" t="s">
        <v>74</v>
      </c>
      <c r="J15" s="12"/>
    </row>
    <row r="16" spans="2:10" x14ac:dyDescent="0.25">
      <c r="B16" s="55"/>
      <c r="C16" t="s">
        <v>145</v>
      </c>
      <c r="E16" s="55"/>
      <c r="F16" t="s">
        <v>151</v>
      </c>
      <c r="G16" s="12"/>
      <c r="H16" s="12"/>
      <c r="I16" t="s">
        <v>74</v>
      </c>
    </row>
    <row r="17" spans="2:10" x14ac:dyDescent="0.25">
      <c r="B17" s="55"/>
      <c r="C17" t="s">
        <v>146</v>
      </c>
    </row>
    <row r="18" spans="2:10" x14ac:dyDescent="0.25">
      <c r="F18" s="12" t="s">
        <v>88</v>
      </c>
      <c r="I18" t="s">
        <v>42</v>
      </c>
    </row>
    <row r="19" spans="2:10" x14ac:dyDescent="0.25">
      <c r="B19" s="12"/>
      <c r="C19" s="12" t="s">
        <v>167</v>
      </c>
      <c r="E19" s="55"/>
      <c r="F19" t="s">
        <v>175</v>
      </c>
      <c r="I19" s="12" t="s">
        <v>40</v>
      </c>
      <c r="J19" s="12"/>
    </row>
    <row r="20" spans="2:10" x14ac:dyDescent="0.25">
      <c r="B20" s="56"/>
      <c r="C20" t="s">
        <v>147</v>
      </c>
      <c r="E20" s="55"/>
      <c r="F20" t="s">
        <v>176</v>
      </c>
      <c r="G20" s="12"/>
      <c r="H20" s="12"/>
      <c r="I20" t="s">
        <v>41</v>
      </c>
    </row>
    <row r="21" spans="2:10" x14ac:dyDescent="0.25">
      <c r="B21" s="56"/>
      <c r="C21" t="s">
        <v>148</v>
      </c>
    </row>
    <row r="22" spans="2:10" x14ac:dyDescent="0.25">
      <c r="F22" s="12" t="s">
        <v>89</v>
      </c>
      <c r="I22" t="s">
        <v>73</v>
      </c>
    </row>
    <row r="23" spans="2:10" x14ac:dyDescent="0.25">
      <c r="C23" s="12" t="s">
        <v>153</v>
      </c>
      <c r="E23" s="55"/>
      <c r="F23" t="s">
        <v>175</v>
      </c>
      <c r="I23" s="12" t="s">
        <v>72</v>
      </c>
      <c r="J23" s="12"/>
    </row>
    <row r="24" spans="2:10" x14ac:dyDescent="0.25">
      <c r="B24" s="55"/>
      <c r="C24" t="s">
        <v>149</v>
      </c>
      <c r="E24" s="55"/>
      <c r="F24" t="s">
        <v>176</v>
      </c>
      <c r="G24" s="12"/>
      <c r="H24" s="12"/>
      <c r="I24" t="s">
        <v>70</v>
      </c>
    </row>
    <row r="25" spans="2:10" x14ac:dyDescent="0.25">
      <c r="B25" s="55"/>
      <c r="C25" t="s">
        <v>149</v>
      </c>
    </row>
    <row r="26" spans="2:10" x14ac:dyDescent="0.25">
      <c r="C26" s="12"/>
      <c r="F26" s="12" t="s">
        <v>68</v>
      </c>
      <c r="I26" s="12"/>
    </row>
    <row r="27" spans="2:10" x14ac:dyDescent="0.25">
      <c r="B27" s="12"/>
      <c r="C27" s="12" t="s">
        <v>71</v>
      </c>
      <c r="E27" s="55"/>
      <c r="F27" t="str">
        <f>IF(C3="REGULAR",I11,IF(C3="EXTENDED",I13,IF(C3="CREW",I15,"")))</f>
        <v>324" - SX90</v>
      </c>
      <c r="J27" s="12"/>
    </row>
    <row r="28" spans="2:10" x14ac:dyDescent="0.25">
      <c r="B28" s="55"/>
      <c r="C28" t="s">
        <v>150</v>
      </c>
      <c r="E28" s="55"/>
      <c r="F28" t="str">
        <f>IF(C3="REGULAR",I12,IF(C3="EXTENDED",I14,IF(C3="CREW",I16,"")))</f>
        <v>324" - SX90</v>
      </c>
    </row>
    <row r="29" spans="2:10" x14ac:dyDescent="0.25">
      <c r="B29" s="55"/>
      <c r="C29" t="s">
        <v>150</v>
      </c>
    </row>
    <row r="30" spans="2:10" x14ac:dyDescent="0.25">
      <c r="F30" s="12" t="s">
        <v>90</v>
      </c>
      <c r="J30" s="12"/>
    </row>
    <row r="31" spans="2:10" x14ac:dyDescent="0.25">
      <c r="B31" s="12"/>
      <c r="C31" s="12" t="s">
        <v>69</v>
      </c>
      <c r="E31" s="55"/>
      <c r="F31" t="s">
        <v>100</v>
      </c>
    </row>
    <row r="32" spans="2:10" x14ac:dyDescent="0.25">
      <c r="B32" s="55"/>
      <c r="C32" t="s">
        <v>168</v>
      </c>
      <c r="E32" s="55"/>
      <c r="F32" t="s">
        <v>101</v>
      </c>
      <c r="I32" s="12"/>
    </row>
    <row r="33" spans="2:10" x14ac:dyDescent="0.25">
      <c r="B33" s="55"/>
      <c r="C33" t="str">
        <f>IF('In-Shop Production Sheet'!A22="DALE","158 IN - SXS","263 IN - SXS")</f>
        <v>263 IN - SXS</v>
      </c>
      <c r="F33" s="12"/>
    </row>
    <row r="34" spans="2:10" x14ac:dyDescent="0.25">
      <c r="B34" s="12"/>
      <c r="F34" s="12" t="s">
        <v>67</v>
      </c>
    </row>
    <row r="35" spans="2:10" x14ac:dyDescent="0.25">
      <c r="C35" s="12" t="s">
        <v>152</v>
      </c>
      <c r="E35" s="55"/>
      <c r="F35" t="s">
        <v>177</v>
      </c>
    </row>
    <row r="36" spans="2:10" x14ac:dyDescent="0.25">
      <c r="B36" s="54"/>
      <c r="C36" t="s">
        <v>154</v>
      </c>
      <c r="E36" s="55"/>
      <c r="F36" t="s">
        <v>177</v>
      </c>
      <c r="I36" s="12"/>
      <c r="J36" s="12"/>
    </row>
    <row r="37" spans="2:10" x14ac:dyDescent="0.25">
      <c r="B37" s="54"/>
      <c r="C37" t="s">
        <v>154</v>
      </c>
    </row>
    <row r="38" spans="2:10" x14ac:dyDescent="0.25">
      <c r="B38" s="54"/>
      <c r="C38" t="s">
        <v>155</v>
      </c>
      <c r="E38" s="12"/>
      <c r="F38" s="12" t="s">
        <v>170</v>
      </c>
    </row>
    <row r="39" spans="2:10" x14ac:dyDescent="0.25">
      <c r="E39" s="54"/>
      <c r="F39" t="s">
        <v>169</v>
      </c>
      <c r="I39" s="12"/>
    </row>
    <row r="40" spans="2:10" x14ac:dyDescent="0.25">
      <c r="B40" s="54"/>
      <c r="C40" s="12" t="s">
        <v>171</v>
      </c>
      <c r="E40" s="54"/>
      <c r="F40" t="s">
        <v>169</v>
      </c>
      <c r="I40" s="12"/>
      <c r="J40" s="12"/>
    </row>
    <row r="41" spans="2:10" x14ac:dyDescent="0.25">
      <c r="B41" s="54"/>
      <c r="C41" t="s">
        <v>172</v>
      </c>
      <c r="E41" s="12"/>
      <c r="F41" s="12" t="s">
        <v>170</v>
      </c>
    </row>
    <row r="42" spans="2:10" x14ac:dyDescent="0.25">
      <c r="B42" s="54"/>
      <c r="C42" t="s">
        <v>173</v>
      </c>
      <c r="E42" s="54"/>
    </row>
    <row r="43" spans="2:10" x14ac:dyDescent="0.25">
      <c r="B43" s="54"/>
      <c r="C43" t="s">
        <v>174</v>
      </c>
      <c r="E43" s="54"/>
      <c r="F43" s="12"/>
    </row>
    <row r="44" spans="2:10" x14ac:dyDescent="0.25">
      <c r="C44" s="12"/>
      <c r="J44" s="12"/>
    </row>
    <row r="47" spans="2:10" x14ac:dyDescent="0.25">
      <c r="F47" s="12"/>
    </row>
    <row r="48" spans="2:10" x14ac:dyDescent="0.25">
      <c r="C48" s="12"/>
      <c r="J48" s="12"/>
    </row>
    <row r="52" spans="3:10" x14ac:dyDescent="0.25">
      <c r="C52" s="12"/>
      <c r="J52" s="12"/>
    </row>
    <row r="56" spans="3:10" x14ac:dyDescent="0.25">
      <c r="C56" s="12"/>
      <c r="J56" s="12"/>
    </row>
    <row r="60" spans="3:10" x14ac:dyDescent="0.25">
      <c r="C60" s="12"/>
    </row>
  </sheetData>
  <mergeCells count="2">
    <mergeCell ref="B1:F1"/>
    <mergeCell ref="D2:F2"/>
  </mergeCells>
  <conditionalFormatting sqref="F34:F36">
    <cfRule type="expression" dxfId="33" priority="11">
      <formula>#REF!="NO"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166F2A3E-E3CA-43FF-9823-0AA077D30C00}">
            <xm:f>'In-Shop Production Sheet'!$F$20="NO"</xm:f>
            <x14:dxf>
              <font>
                <strike/>
              </font>
            </x14:dxf>
          </x14:cfRule>
          <xm:sqref>C19:C21</xm:sqref>
        </x14:conditionalFormatting>
        <x14:conditionalFormatting xmlns:xm="http://schemas.microsoft.com/office/excel/2006/main">
          <x14:cfRule type="expression" priority="4" id="{AEC1B61B-69EB-4884-B6A6-A460162513F0}">
            <xm:f>'In-Shop Production Sheet'!$F$20="NO"</xm:f>
            <x14:dxf>
              <font>
                <strike/>
              </font>
            </x14:dxf>
          </x14:cfRule>
          <xm:sqref>C23:C25</xm:sqref>
        </x14:conditionalFormatting>
        <x14:conditionalFormatting xmlns:xm="http://schemas.microsoft.com/office/excel/2006/main">
          <x14:cfRule type="expression" priority="1" id="{BA2D5776-0AF2-4304-B21B-18590D23B89E}">
            <xm:f>'In-Shop Production Sheet'!$F$30="NO"</xm:f>
            <x14:dxf>
              <font>
                <strike/>
              </font>
            </x14:dxf>
          </x14:cfRule>
          <xm:sqref>C35:C38</xm:sqref>
        </x14:conditionalFormatting>
        <x14:conditionalFormatting xmlns:xm="http://schemas.microsoft.com/office/excel/2006/main">
          <x14:cfRule type="expression" priority="80" id="{9648918D-60F5-47DC-9152-2E746EA6E537}">
            <xm:f>'In-Shop Production Sheet'!#REF!="NO"</xm:f>
            <x14:dxf>
              <font>
                <strike/>
              </font>
            </x14:dxf>
          </x14:cfRule>
          <xm:sqref>C40:C43</xm:sqref>
        </x14:conditionalFormatting>
        <x14:conditionalFormatting xmlns:xm="http://schemas.microsoft.com/office/excel/2006/main">
          <x14:cfRule type="expression" priority="9" id="{EFB20299-7FA2-457A-B7DB-C44B3E344269}">
            <xm:f>'In-Shop Production Sheet'!$F$28="NO"</xm:f>
            <x14:dxf>
              <font>
                <strike/>
              </font>
            </x14:dxf>
          </x14:cfRule>
          <xm:sqref>F18:F20</xm:sqref>
        </x14:conditionalFormatting>
        <x14:conditionalFormatting xmlns:xm="http://schemas.microsoft.com/office/excel/2006/main">
          <x14:cfRule type="expression" priority="73" id="{885A3DC4-097F-496E-B3EC-6F86A895C4A9}">
            <xm:f>'In-Shop Production Sheet'!$F$23="NO"</xm:f>
            <x14:dxf>
              <font>
                <strike/>
              </font>
            </x14:dxf>
          </x14:cfRule>
          <xm:sqref>F22:F24</xm:sqref>
        </x14:conditionalFormatting>
        <x14:conditionalFormatting xmlns:xm="http://schemas.microsoft.com/office/excel/2006/main">
          <x14:cfRule type="expression" priority="67" id="{0C14B003-9AFF-4128-944E-10736CB9A9E5}">
            <xm:f>'In-Shop Production Sheet'!$D$25:$E$25="DUAL BEHIND CAB"</xm:f>
            <x14:dxf>
              <font>
                <strike/>
              </font>
            </x14:dxf>
          </x14:cfRule>
          <x14:cfRule type="expression" priority="68" id="{3647BA84-557E-4022-8E8E-F006D20F6A2B}">
            <xm:f>'In-Shop Production Sheet'!$F$25="NO"</xm:f>
            <x14:dxf>
              <font>
                <strike/>
              </font>
            </x14:dxf>
          </x14:cfRule>
          <xm:sqref>F26:F28</xm:sqref>
        </x14:conditionalFormatting>
        <x14:conditionalFormatting xmlns:xm="http://schemas.microsoft.com/office/excel/2006/main">
          <x14:cfRule type="expression" priority="69" id="{8439B8B2-0F0D-49F7-B61C-7B4462DBA48D}">
            <xm:f>'In-Shop Production Sheet'!$F$26="NO"</xm:f>
            <x14:dxf>
              <font>
                <strike/>
              </font>
            </x14:dxf>
          </x14:cfRule>
          <xm:sqref>F30:F32</xm:sqref>
        </x14:conditionalFormatting>
        <x14:conditionalFormatting xmlns:xm="http://schemas.microsoft.com/office/excel/2006/main">
          <x14:cfRule type="expression" priority="3" id="{C2AB599D-68FE-4DA8-80DC-EA0E0ADC9BA2}">
            <xm:f>'In-Shop Production Sheet'!$F$32="NO"</xm:f>
            <x14:dxf>
              <font>
                <strike/>
              </font>
            </x14:dxf>
          </x14:cfRule>
          <xm:sqref>F38:F43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36D9-9629-4F57-9E32-F852ACB5AF0A}">
  <dimension ref="A1:P87"/>
  <sheetViews>
    <sheetView showGridLines="0" showZeros="0" showRuler="0" view="pageLayout" topLeftCell="A6" zoomScale="90" zoomScaleNormal="100" zoomScalePageLayoutView="90" workbookViewId="0">
      <selection activeCell="C6" sqref="C6:G6"/>
    </sheetView>
  </sheetViews>
  <sheetFormatPr defaultRowHeight="15" x14ac:dyDescent="0.25"/>
  <cols>
    <col min="1" max="1" width="7.42578125" customWidth="1"/>
    <col min="2" max="2" width="14.5703125" style="24" bestFit="1" customWidth="1"/>
    <col min="3" max="3" width="16.7109375" style="24" customWidth="1"/>
    <col min="4" max="4" width="2.28515625" style="24" customWidth="1"/>
    <col min="5" max="5" width="2.5703125" style="24" customWidth="1"/>
    <col min="6" max="6" width="4.28515625" style="22" customWidth="1"/>
    <col min="7" max="7" width="16.5703125" style="25" customWidth="1"/>
    <col min="8" max="8" width="18.85546875" customWidth="1"/>
    <col min="9" max="9" width="17.28515625" customWidth="1"/>
    <col min="10" max="10" width="10.42578125" hidden="1" customWidth="1"/>
    <col min="11" max="11" width="5.7109375" hidden="1" customWidth="1"/>
    <col min="12" max="12" width="17.28515625" hidden="1" customWidth="1"/>
    <col min="13" max="13" width="13.28515625" style="1" hidden="1" customWidth="1"/>
    <col min="14" max="14" width="11.140625" hidden="1" customWidth="1"/>
    <col min="15" max="15" width="10.28515625" style="1" hidden="1" customWidth="1"/>
  </cols>
  <sheetData>
    <row r="1" spans="1:16" x14ac:dyDescent="0.25">
      <c r="A1" s="2"/>
      <c r="B1" s="17"/>
      <c r="C1" s="17"/>
      <c r="D1" s="17"/>
      <c r="E1" s="17"/>
      <c r="F1" s="17"/>
      <c r="G1" s="18"/>
      <c r="H1" s="2"/>
      <c r="I1" s="2"/>
    </row>
    <row r="2" spans="1:16" ht="17.25" customHeight="1" x14ac:dyDescent="0.25">
      <c r="A2" s="2"/>
      <c r="B2" s="17"/>
      <c r="C2" s="17"/>
      <c r="D2" s="17"/>
      <c r="E2" s="17"/>
      <c r="F2" s="17"/>
      <c r="G2" s="18"/>
      <c r="H2" s="2"/>
      <c r="I2" s="2"/>
    </row>
    <row r="3" spans="1:16" ht="17.45" customHeight="1" x14ac:dyDescent="0.25">
      <c r="A3" s="2"/>
      <c r="B3" s="263" t="s">
        <v>206</v>
      </c>
      <c r="C3" s="263"/>
      <c r="D3" s="263"/>
      <c r="E3" s="263"/>
      <c r="F3" s="263"/>
      <c r="G3" s="263"/>
      <c r="H3" s="263"/>
      <c r="I3" s="2"/>
      <c r="M3" t="s">
        <v>107</v>
      </c>
    </row>
    <row r="4" spans="1:16" ht="10.9" customHeight="1" x14ac:dyDescent="0.25">
      <c r="A4" s="2"/>
      <c r="B4" s="263"/>
      <c r="C4" s="263"/>
      <c r="D4" s="263"/>
      <c r="E4" s="263"/>
      <c r="F4" s="263"/>
      <c r="G4" s="263"/>
      <c r="H4" s="263"/>
      <c r="I4" s="2"/>
      <c r="M4" t="s">
        <v>199</v>
      </c>
      <c r="O4" s="1" t="s">
        <v>117</v>
      </c>
    </row>
    <row r="5" spans="1:16" ht="15" customHeight="1" x14ac:dyDescent="0.25">
      <c r="A5" s="2"/>
      <c r="B5" s="263"/>
      <c r="C5" s="263"/>
      <c r="D5" s="263"/>
      <c r="E5" s="263"/>
      <c r="F5" s="263"/>
      <c r="G5" s="263"/>
      <c r="H5" s="263"/>
      <c r="I5" s="2"/>
      <c r="M5" t="s">
        <v>200</v>
      </c>
      <c r="N5" s="1" t="s">
        <v>114</v>
      </c>
      <c r="O5" s="1" t="s">
        <v>116</v>
      </c>
    </row>
    <row r="6" spans="1:16" ht="19.5" customHeight="1" x14ac:dyDescent="0.25">
      <c r="A6" s="2"/>
      <c r="B6" s="67" t="s">
        <v>30</v>
      </c>
      <c r="C6" s="181"/>
      <c r="D6" s="182"/>
      <c r="E6" s="182"/>
      <c r="F6" s="182"/>
      <c r="G6" s="183"/>
      <c r="H6" s="68">
        <v>43998</v>
      </c>
      <c r="J6" t="s">
        <v>32</v>
      </c>
      <c r="M6" t="s">
        <v>201</v>
      </c>
      <c r="N6" s="1" t="s">
        <v>198</v>
      </c>
      <c r="O6" s="1" t="s">
        <v>119</v>
      </c>
    </row>
    <row r="7" spans="1:16" ht="18.600000000000001" customHeight="1" x14ac:dyDescent="0.35">
      <c r="A7" s="2"/>
      <c r="B7" s="19"/>
      <c r="C7" s="69" t="s">
        <v>53</v>
      </c>
      <c r="D7" s="184"/>
      <c r="E7" s="184"/>
      <c r="F7" s="184"/>
      <c r="G7" s="185"/>
      <c r="H7" s="4"/>
      <c r="J7" t="s">
        <v>33</v>
      </c>
      <c r="M7" s="1" t="s">
        <v>108</v>
      </c>
      <c r="O7" s="1" t="s">
        <v>121</v>
      </c>
    </row>
    <row r="8" spans="1:16" ht="18" customHeight="1" x14ac:dyDescent="0.25">
      <c r="A8" s="3"/>
      <c r="B8" s="118" t="s">
        <v>5</v>
      </c>
      <c r="C8" s="5" t="s">
        <v>199</v>
      </c>
      <c r="D8" s="190" t="s">
        <v>161</v>
      </c>
      <c r="E8" s="190"/>
      <c r="F8" s="191"/>
      <c r="G8" s="107" t="s">
        <v>55</v>
      </c>
      <c r="H8" s="47" t="str">
        <f>IF(C8="15X3","15000TDH",IF(C8="20X3","20000TDH",IF(C8="25X4","25000TDH",IF(C8="30X4","30000TDH",IF(C8="35X4","35000TDH","")))))</f>
        <v>20000TDH</v>
      </c>
      <c r="I8" s="12"/>
      <c r="J8" t="s">
        <v>212</v>
      </c>
      <c r="K8" s="37"/>
      <c r="M8"/>
      <c r="N8" s="1"/>
      <c r="O8" s="1" t="s">
        <v>123</v>
      </c>
      <c r="P8" s="1"/>
    </row>
    <row r="9" spans="1:16" ht="18" customHeight="1" x14ac:dyDescent="0.25">
      <c r="A9" s="3"/>
      <c r="B9" s="118" t="s">
        <v>2</v>
      </c>
      <c r="C9" s="5" t="s">
        <v>196</v>
      </c>
      <c r="D9" s="190" t="s">
        <v>215</v>
      </c>
      <c r="E9" s="190"/>
      <c r="F9" s="191"/>
      <c r="G9" s="41" t="s">
        <v>54</v>
      </c>
      <c r="H9" s="49"/>
      <c r="I9" s="2"/>
      <c r="J9" t="s">
        <v>19</v>
      </c>
      <c r="K9" s="37"/>
      <c r="M9" t="s">
        <v>157</v>
      </c>
      <c r="N9" s="1"/>
      <c r="O9" s="1" t="s">
        <v>125</v>
      </c>
      <c r="P9" s="1"/>
    </row>
    <row r="10" spans="1:16" ht="18" customHeight="1" x14ac:dyDescent="0.25">
      <c r="A10" s="3"/>
      <c r="B10" s="118" t="s">
        <v>131</v>
      </c>
      <c r="C10" s="5" t="s">
        <v>189</v>
      </c>
      <c r="D10" s="5"/>
      <c r="E10" s="30"/>
      <c r="F10" s="34" t="b">
        <v>1</v>
      </c>
      <c r="G10" s="41" t="s">
        <v>25</v>
      </c>
      <c r="H10" s="123" t="s">
        <v>60</v>
      </c>
      <c r="I10" s="2"/>
      <c r="J10" t="s">
        <v>18</v>
      </c>
      <c r="K10" s="37"/>
      <c r="M10" t="s">
        <v>196</v>
      </c>
      <c r="N10" s="1"/>
      <c r="O10" s="1" t="s">
        <v>179</v>
      </c>
      <c r="P10" s="1"/>
    </row>
    <row r="11" spans="1:16" ht="18" customHeight="1" x14ac:dyDescent="0.25">
      <c r="A11" s="3"/>
      <c r="B11" s="118" t="s">
        <v>4</v>
      </c>
      <c r="C11" s="7" t="s">
        <v>0</v>
      </c>
      <c r="D11" s="7"/>
      <c r="E11" s="30"/>
      <c r="F11" s="34" t="b">
        <v>0</v>
      </c>
      <c r="G11" s="41" t="s">
        <v>25</v>
      </c>
      <c r="H11" s="48" t="s">
        <v>99</v>
      </c>
      <c r="I11" s="2"/>
      <c r="J11" t="s">
        <v>37</v>
      </c>
      <c r="K11" s="37"/>
      <c r="M11" t="s">
        <v>197</v>
      </c>
      <c r="N11" s="1"/>
      <c r="O11" s="1" t="s">
        <v>180</v>
      </c>
      <c r="P11" s="1"/>
    </row>
    <row r="12" spans="1:16" ht="18" customHeight="1" x14ac:dyDescent="0.25">
      <c r="A12" s="3"/>
      <c r="B12" s="118" t="s">
        <v>3</v>
      </c>
      <c r="C12" s="5" t="s">
        <v>0</v>
      </c>
      <c r="D12" s="5"/>
      <c r="E12" s="30"/>
      <c r="F12" s="34" t="b">
        <v>0</v>
      </c>
      <c r="G12" s="41" t="s">
        <v>25</v>
      </c>
      <c r="H12" s="48" t="str">
        <f>H11</f>
        <v>TBD</v>
      </c>
      <c r="I12" s="2"/>
      <c r="J12" s="16" t="s">
        <v>38</v>
      </c>
      <c r="K12" s="37"/>
      <c r="M12" t="s">
        <v>209</v>
      </c>
      <c r="N12" s="1"/>
      <c r="O12" s="1" t="s">
        <v>181</v>
      </c>
      <c r="P12" s="1"/>
    </row>
    <row r="13" spans="1:16" ht="18" customHeight="1" x14ac:dyDescent="0.25">
      <c r="A13" s="2"/>
      <c r="B13" s="118" t="s">
        <v>6</v>
      </c>
      <c r="C13" s="5" t="s">
        <v>112</v>
      </c>
      <c r="D13" s="5"/>
      <c r="E13" s="30"/>
      <c r="F13" s="34" t="b">
        <v>0</v>
      </c>
      <c r="G13" s="107" t="s">
        <v>55</v>
      </c>
      <c r="H13" s="65" t="str">
        <f>IF(AND(F13=TRUE),IF(C13="2500 POUND","2500TDH",IF(C13="3500 POUND","3500TDH",IF(C13="5000 POUND","5000TDH",IF(C13="8000 POUND","8000TDH")))),"")</f>
        <v/>
      </c>
      <c r="I13" s="2"/>
      <c r="J13" s="16" t="s">
        <v>34</v>
      </c>
      <c r="K13" s="37"/>
      <c r="M13"/>
      <c r="N13" s="1"/>
      <c r="O13" s="1" t="s">
        <v>182</v>
      </c>
      <c r="P13" s="1"/>
    </row>
    <row r="14" spans="1:16" ht="18" customHeight="1" x14ac:dyDescent="0.25">
      <c r="A14" s="2"/>
      <c r="B14" s="188" t="s">
        <v>138</v>
      </c>
      <c r="C14" s="189"/>
      <c r="D14" s="5"/>
      <c r="E14" s="31"/>
      <c r="F14" s="34" t="b">
        <v>0</v>
      </c>
      <c r="G14" s="108" t="str">
        <f>IF(C13="2500 POUND",N5,N6)</f>
        <v>3/8" Cable</v>
      </c>
      <c r="H14" s="48" t="s">
        <v>117</v>
      </c>
      <c r="I14" s="2"/>
      <c r="J14" t="s">
        <v>35</v>
      </c>
      <c r="K14" s="37"/>
      <c r="M14" t="s">
        <v>36</v>
      </c>
      <c r="N14" s="1"/>
      <c r="O14" s="1" t="s">
        <v>183</v>
      </c>
      <c r="P14" s="1"/>
    </row>
    <row r="15" spans="1:16" ht="18" customHeight="1" x14ac:dyDescent="0.25">
      <c r="A15" s="2"/>
      <c r="B15" s="6" t="s">
        <v>11</v>
      </c>
      <c r="C15" s="5" t="s">
        <v>29</v>
      </c>
      <c r="D15" s="5"/>
      <c r="E15" s="31"/>
      <c r="F15" s="34" t="b">
        <v>0</v>
      </c>
      <c r="G15" s="108" t="s">
        <v>133</v>
      </c>
      <c r="H15" s="48" t="s">
        <v>135</v>
      </c>
      <c r="I15" s="2"/>
      <c r="J15" s="16"/>
      <c r="L15" s="37"/>
      <c r="M15" t="s">
        <v>15</v>
      </c>
      <c r="N15" s="1"/>
      <c r="O15" s="1" t="s">
        <v>184</v>
      </c>
      <c r="P15" s="1"/>
    </row>
    <row r="16" spans="1:16" ht="18" customHeight="1" x14ac:dyDescent="0.25">
      <c r="A16" s="2"/>
      <c r="B16" s="186" t="s">
        <v>137</v>
      </c>
      <c r="C16" s="187"/>
      <c r="D16" s="5"/>
      <c r="E16" s="31"/>
      <c r="F16" s="34" t="b">
        <v>0</v>
      </c>
      <c r="G16" s="41" t="s">
        <v>25</v>
      </c>
      <c r="H16" s="123" t="s">
        <v>60</v>
      </c>
      <c r="I16" s="2"/>
      <c r="J16" s="16" t="s">
        <v>94</v>
      </c>
      <c r="L16" s="37"/>
      <c r="M16"/>
      <c r="N16" s="1"/>
      <c r="O16" s="1" t="s">
        <v>185</v>
      </c>
      <c r="P16" s="1"/>
    </row>
    <row r="17" spans="1:16" ht="18" customHeight="1" x14ac:dyDescent="0.25">
      <c r="A17" s="2"/>
      <c r="B17" s="6" t="s">
        <v>9</v>
      </c>
      <c r="C17" s="29" t="s">
        <v>194</v>
      </c>
      <c r="D17" s="29"/>
      <c r="E17" s="31"/>
      <c r="F17" s="34" t="b">
        <v>1</v>
      </c>
      <c r="G17" s="42"/>
      <c r="H17" s="48"/>
      <c r="I17" s="2"/>
      <c r="J17" s="16" t="s">
        <v>110</v>
      </c>
      <c r="L17" s="37"/>
      <c r="M17" t="s">
        <v>132</v>
      </c>
      <c r="N17" s="1"/>
      <c r="O17" s="1" t="s">
        <v>186</v>
      </c>
      <c r="P17" s="1"/>
    </row>
    <row r="18" spans="1:16" ht="18" customHeight="1" x14ac:dyDescent="0.25">
      <c r="A18" s="2"/>
      <c r="B18" s="6" t="s">
        <v>10</v>
      </c>
      <c r="C18" s="5" t="s">
        <v>36</v>
      </c>
      <c r="D18" s="5"/>
      <c r="E18" s="31"/>
      <c r="F18" s="34" t="b">
        <v>0</v>
      </c>
      <c r="G18" s="42"/>
      <c r="H18" s="48"/>
      <c r="I18" s="2"/>
      <c r="J18" s="2"/>
      <c r="L18" s="37"/>
      <c r="M18" t="s">
        <v>187</v>
      </c>
      <c r="N18" s="1"/>
      <c r="P18" s="1"/>
    </row>
    <row r="19" spans="1:16" ht="18" customHeight="1" x14ac:dyDescent="0.25">
      <c r="A19" s="2"/>
      <c r="B19" s="118" t="str">
        <f>J34</f>
        <v>Drive Side-</v>
      </c>
      <c r="C19" s="31" t="str">
        <f>K34</f>
        <v>Layout Line/Swing Arm</v>
      </c>
      <c r="D19" s="117"/>
      <c r="E19" s="31"/>
      <c r="F19" s="34" t="b">
        <v>0</v>
      </c>
      <c r="G19" s="42"/>
      <c r="H19" s="48"/>
      <c r="I19" s="2"/>
      <c r="J19" s="45" t="s">
        <v>56</v>
      </c>
      <c r="L19" s="37"/>
      <c r="M19" t="s">
        <v>188</v>
      </c>
      <c r="N19" s="1"/>
      <c r="O19" s="102" t="s">
        <v>135</v>
      </c>
      <c r="P19" s="1"/>
    </row>
    <row r="20" spans="1:16" ht="18" customHeight="1" x14ac:dyDescent="0.25">
      <c r="A20" s="2"/>
      <c r="B20" s="118" t="str">
        <f>J35</f>
        <v>Pass Side-</v>
      </c>
      <c r="C20" s="31" t="str">
        <f>K34</f>
        <v>Layout Line/Swing Arm</v>
      </c>
      <c r="D20" s="117"/>
      <c r="E20" s="31"/>
      <c r="F20" s="34" t="b">
        <v>0</v>
      </c>
      <c r="G20" s="42"/>
      <c r="H20" s="48"/>
      <c r="I20" s="2"/>
      <c r="J20" s="45" t="s">
        <v>91</v>
      </c>
      <c r="L20" s="37"/>
      <c r="M20" t="s">
        <v>189</v>
      </c>
      <c r="N20" s="1"/>
      <c r="O20" s="102" t="s">
        <v>202</v>
      </c>
      <c r="P20" s="1"/>
    </row>
    <row r="21" spans="1:16" ht="18" customHeight="1" x14ac:dyDescent="0.25">
      <c r="A21" s="2"/>
      <c r="B21" s="186" t="s">
        <v>33</v>
      </c>
      <c r="C21" s="187"/>
      <c r="D21" s="117"/>
      <c r="E21" s="31"/>
      <c r="F21" s="34" t="b">
        <v>0</v>
      </c>
      <c r="G21" s="42"/>
      <c r="H21" s="48"/>
      <c r="I21" s="2"/>
      <c r="J21" s="45" t="s">
        <v>99</v>
      </c>
      <c r="L21" s="37"/>
      <c r="M21" t="s">
        <v>190</v>
      </c>
      <c r="N21" s="1"/>
      <c r="O21" s="102" t="s">
        <v>203</v>
      </c>
      <c r="P21" s="1"/>
    </row>
    <row r="22" spans="1:16" ht="18" customHeight="1" x14ac:dyDescent="0.25">
      <c r="A22" s="2"/>
      <c r="B22" s="186" t="s">
        <v>37</v>
      </c>
      <c r="C22" s="187"/>
      <c r="D22" s="117"/>
      <c r="E22" s="31"/>
      <c r="F22" s="34" t="b">
        <v>0</v>
      </c>
      <c r="G22" s="42"/>
      <c r="H22" s="48"/>
      <c r="I22" s="2"/>
      <c r="J22" s="44" t="s">
        <v>60</v>
      </c>
      <c r="L22" s="37"/>
      <c r="M22"/>
      <c r="N22" s="1"/>
      <c r="O22" s="102" t="s">
        <v>204</v>
      </c>
      <c r="P22" s="1"/>
    </row>
    <row r="23" spans="1:16" ht="18" customHeight="1" x14ac:dyDescent="0.25">
      <c r="A23" s="2"/>
      <c r="B23" s="186" t="s">
        <v>34</v>
      </c>
      <c r="C23" s="187"/>
      <c r="D23" s="117"/>
      <c r="E23" s="31"/>
      <c r="F23" s="34" t="b">
        <v>0</v>
      </c>
      <c r="G23" s="42"/>
      <c r="H23" s="48"/>
      <c r="I23" s="2"/>
      <c r="J23" s="44" t="s">
        <v>59</v>
      </c>
      <c r="M23" s="1" t="s">
        <v>1</v>
      </c>
      <c r="N23" s="1"/>
      <c r="P23" s="1"/>
    </row>
    <row r="24" spans="1:16" ht="18" customHeight="1" x14ac:dyDescent="0.25">
      <c r="A24" s="2"/>
      <c r="B24" s="186" t="s">
        <v>35</v>
      </c>
      <c r="C24" s="187"/>
      <c r="D24" s="117"/>
      <c r="E24" s="31"/>
      <c r="F24" s="34" t="b">
        <v>0</v>
      </c>
      <c r="G24" s="42"/>
      <c r="H24" s="48"/>
      <c r="I24" s="2"/>
      <c r="J24" s="44" t="s">
        <v>57</v>
      </c>
      <c r="M24" s="1" t="s">
        <v>0</v>
      </c>
      <c r="N24" s="1"/>
      <c r="O24" s="1" t="s">
        <v>109</v>
      </c>
      <c r="P24" s="1"/>
    </row>
    <row r="25" spans="1:16" ht="18" customHeight="1" x14ac:dyDescent="0.25">
      <c r="A25" s="2"/>
      <c r="B25" s="186" t="s">
        <v>19</v>
      </c>
      <c r="C25" s="187"/>
      <c r="D25" s="66"/>
      <c r="E25" s="32"/>
      <c r="F25" s="35" t="b">
        <v>0</v>
      </c>
      <c r="G25" s="43"/>
      <c r="H25" s="48"/>
      <c r="I25" s="2"/>
      <c r="J25" s="44" t="s">
        <v>58</v>
      </c>
      <c r="O25" s="1" t="s">
        <v>194</v>
      </c>
      <c r="P25" s="1"/>
    </row>
    <row r="26" spans="1:16" ht="18" customHeight="1" x14ac:dyDescent="0.25">
      <c r="A26" s="2"/>
      <c r="B26" s="186" t="s">
        <v>218</v>
      </c>
      <c r="C26" s="187"/>
      <c r="D26" s="66"/>
      <c r="E26" s="32"/>
      <c r="F26" s="35" t="b">
        <v>0</v>
      </c>
      <c r="G26" s="43"/>
      <c r="H26" s="48"/>
      <c r="I26" s="2"/>
      <c r="J26" s="44" t="s">
        <v>62</v>
      </c>
      <c r="M26" t="s">
        <v>16</v>
      </c>
      <c r="O26" s="1" t="s">
        <v>195</v>
      </c>
      <c r="P26" s="1"/>
    </row>
    <row r="27" spans="1:16" ht="18" customHeight="1" x14ac:dyDescent="0.25">
      <c r="A27" s="2"/>
      <c r="B27" s="186" t="s">
        <v>219</v>
      </c>
      <c r="C27" s="187"/>
      <c r="D27" s="66"/>
      <c r="E27" s="32"/>
      <c r="F27" s="35" t="b">
        <v>0</v>
      </c>
      <c r="G27" s="43"/>
      <c r="H27" s="48"/>
      <c r="I27" s="2"/>
      <c r="J27" s="44" t="s">
        <v>63</v>
      </c>
      <c r="M27" t="s">
        <v>17</v>
      </c>
      <c r="O27"/>
      <c r="P27" s="1"/>
    </row>
    <row r="28" spans="1:16" ht="18" customHeight="1" x14ac:dyDescent="0.25">
      <c r="A28" s="2"/>
      <c r="B28" s="186" t="s">
        <v>160</v>
      </c>
      <c r="C28" s="187"/>
      <c r="D28" s="66"/>
      <c r="E28" s="32"/>
      <c r="F28" s="35" t="b">
        <v>0</v>
      </c>
      <c r="G28" s="43"/>
      <c r="H28" s="48"/>
      <c r="I28" s="2"/>
      <c r="J28" s="44" t="s">
        <v>102</v>
      </c>
      <c r="M28"/>
      <c r="O28"/>
      <c r="P28" s="1"/>
    </row>
    <row r="29" spans="1:16" ht="18" customHeight="1" x14ac:dyDescent="0.25">
      <c r="A29" s="2"/>
      <c r="B29" s="186" t="s">
        <v>159</v>
      </c>
      <c r="C29" s="187"/>
      <c r="D29" s="66"/>
      <c r="E29" s="32"/>
      <c r="F29" s="35" t="b">
        <v>0</v>
      </c>
      <c r="G29" s="43"/>
      <c r="H29" s="48"/>
      <c r="I29" s="2"/>
      <c r="J29" s="44" t="s">
        <v>127</v>
      </c>
      <c r="L29" s="15"/>
      <c r="M29" t="s">
        <v>112</v>
      </c>
      <c r="O29"/>
    </row>
    <row r="30" spans="1:16" ht="18" customHeight="1" x14ac:dyDescent="0.25">
      <c r="A30" s="2"/>
      <c r="B30" s="186" t="s">
        <v>217</v>
      </c>
      <c r="C30" s="187"/>
      <c r="D30" s="66"/>
      <c r="E30" s="32"/>
      <c r="F30" s="35" t="b">
        <v>0</v>
      </c>
      <c r="G30" s="43"/>
      <c r="H30" s="48"/>
      <c r="I30" s="2"/>
      <c r="J30" s="44"/>
      <c r="M30" s="15" t="s">
        <v>142</v>
      </c>
      <c r="O30" t="s">
        <v>161</v>
      </c>
      <c r="P30" s="1"/>
    </row>
    <row r="31" spans="1:16" ht="18" customHeight="1" x14ac:dyDescent="0.25">
      <c r="A31" s="2"/>
      <c r="B31" s="145" t="s">
        <v>4</v>
      </c>
      <c r="C31" s="146" t="s">
        <v>92</v>
      </c>
      <c r="D31" s="66"/>
      <c r="E31" s="66"/>
      <c r="F31" s="149" t="b">
        <v>0</v>
      </c>
      <c r="G31" s="147" t="s">
        <v>25</v>
      </c>
      <c r="H31" s="148" t="str">
        <f>IF(F31=TRUE,H10,"")</f>
        <v/>
      </c>
      <c r="I31" s="2"/>
      <c r="J31" s="44" t="s">
        <v>192</v>
      </c>
      <c r="M31" s="15" t="s">
        <v>191</v>
      </c>
      <c r="O31" s="1" t="s">
        <v>162</v>
      </c>
    </row>
    <row r="32" spans="1:16" ht="18" customHeight="1" x14ac:dyDescent="0.25">
      <c r="A32" s="2"/>
      <c r="B32" s="145" t="s">
        <v>3</v>
      </c>
      <c r="C32" s="146" t="s">
        <v>192</v>
      </c>
      <c r="D32" s="66"/>
      <c r="E32" s="66"/>
      <c r="F32" s="149" t="b">
        <v>0</v>
      </c>
      <c r="G32" s="147" t="s">
        <v>25</v>
      </c>
      <c r="H32" s="148" t="str">
        <f>IF(F32=TRUE,H10,"")</f>
        <v/>
      </c>
      <c r="I32" s="2"/>
      <c r="J32" s="44" t="s">
        <v>193</v>
      </c>
      <c r="M32" s="15" t="s">
        <v>216</v>
      </c>
      <c r="O32"/>
    </row>
    <row r="33" spans="1:15" ht="18" customHeight="1" thickBot="1" x14ac:dyDescent="0.3">
      <c r="A33" s="2"/>
      <c r="B33" s="77" t="s">
        <v>3</v>
      </c>
      <c r="C33" s="76" t="s">
        <v>92</v>
      </c>
      <c r="D33" s="64"/>
      <c r="E33" s="64"/>
      <c r="F33" s="150" t="b">
        <v>0</v>
      </c>
      <c r="G33" s="78" t="s">
        <v>25</v>
      </c>
      <c r="H33" s="70" t="str">
        <f>IF(F33=TRUE,H10,"")</f>
        <v/>
      </c>
      <c r="I33" s="2"/>
      <c r="J33" s="44" t="s">
        <v>92</v>
      </c>
    </row>
    <row r="34" spans="1:15" ht="18" customHeight="1" x14ac:dyDescent="0.3">
      <c r="A34" s="2"/>
      <c r="B34" s="138"/>
      <c r="F34" s="46"/>
      <c r="G34" s="90"/>
      <c r="H34" s="44"/>
      <c r="I34" s="2"/>
      <c r="J34" s="44" t="s">
        <v>4</v>
      </c>
      <c r="K34" t="s">
        <v>211</v>
      </c>
      <c r="M34" s="16" t="s">
        <v>12</v>
      </c>
    </row>
    <row r="35" spans="1:15" ht="13.15" customHeight="1" thickBot="1" x14ac:dyDescent="0.3">
      <c r="A35" s="2"/>
      <c r="B35" s="17"/>
      <c r="C35" s="23"/>
      <c r="D35" s="18"/>
      <c r="E35" s="17"/>
      <c r="F35" s="17"/>
      <c r="G35" s="18"/>
      <c r="H35" s="2"/>
      <c r="I35" s="2"/>
      <c r="J35" s="44" t="s">
        <v>3</v>
      </c>
      <c r="M35" t="s">
        <v>29</v>
      </c>
    </row>
    <row r="36" spans="1:15" ht="17.45" customHeight="1" thickBot="1" x14ac:dyDescent="0.3">
      <c r="A36" s="2"/>
      <c r="B36" s="91" t="s">
        <v>103</v>
      </c>
      <c r="C36" s="262" t="s">
        <v>99</v>
      </c>
      <c r="D36" s="197"/>
      <c r="E36" s="198"/>
      <c r="F36" s="92"/>
      <c r="G36" s="154" t="s">
        <v>104</v>
      </c>
      <c r="H36" s="94" t="s">
        <v>99</v>
      </c>
      <c r="I36" s="2"/>
    </row>
    <row r="37" spans="1:15" ht="16.149999999999999" customHeight="1" x14ac:dyDescent="0.25">
      <c r="A37" s="2"/>
      <c r="B37" s="95" t="s">
        <v>61</v>
      </c>
      <c r="C37" s="199"/>
      <c r="D37" s="200"/>
      <c r="E37" s="201"/>
      <c r="F37" s="96"/>
      <c r="G37" s="97" t="s">
        <v>61</v>
      </c>
      <c r="H37" s="98"/>
      <c r="I37" s="2"/>
    </row>
    <row r="38" spans="1:15" ht="12.6" customHeight="1" x14ac:dyDescent="0.25">
      <c r="A38" s="2"/>
      <c r="B38" s="26"/>
      <c r="C38" s="8"/>
      <c r="D38" s="8"/>
      <c r="E38" s="8"/>
      <c r="F38" s="142"/>
      <c r="G38" s="142"/>
      <c r="H38" s="2"/>
      <c r="I38" s="2"/>
    </row>
    <row r="39" spans="1:15" ht="14.45" customHeight="1" x14ac:dyDescent="0.25">
      <c r="A39" s="2"/>
      <c r="B39" s="122" t="s">
        <v>8</v>
      </c>
      <c r="C39" s="151"/>
      <c r="D39" s="152"/>
      <c r="E39" s="152"/>
      <c r="F39" s="152"/>
      <c r="G39" s="152"/>
      <c r="H39" s="153"/>
      <c r="I39" s="2"/>
    </row>
    <row r="40" spans="1:15" x14ac:dyDescent="0.25">
      <c r="A40" s="2"/>
      <c r="B40"/>
      <c r="C40"/>
      <c r="D40"/>
      <c r="E40"/>
      <c r="F40"/>
      <c r="G40"/>
      <c r="H40" s="2"/>
      <c r="I40" s="2"/>
      <c r="M40"/>
    </row>
    <row r="41" spans="1:15" x14ac:dyDescent="0.25">
      <c r="B41"/>
      <c r="C41"/>
      <c r="D41"/>
      <c r="E41"/>
      <c r="F41"/>
      <c r="G41"/>
      <c r="H41" s="2"/>
      <c r="I41" s="2"/>
      <c r="M41"/>
    </row>
    <row r="42" spans="1:15" x14ac:dyDescent="0.25">
      <c r="B42"/>
      <c r="C42"/>
      <c r="D42"/>
      <c r="E42"/>
      <c r="F42"/>
      <c r="G42"/>
      <c r="H42" s="1"/>
      <c r="M42"/>
      <c r="O42"/>
    </row>
    <row r="43" spans="1:15" x14ac:dyDescent="0.25">
      <c r="B43"/>
      <c r="C43"/>
      <c r="D43"/>
      <c r="E43"/>
      <c r="F43"/>
      <c r="G43"/>
      <c r="M43"/>
      <c r="O43"/>
    </row>
    <row r="44" spans="1:15" x14ac:dyDescent="0.25">
      <c r="B44"/>
      <c r="C44"/>
      <c r="D44"/>
      <c r="E44"/>
      <c r="F44"/>
      <c r="G44"/>
      <c r="M44"/>
      <c r="O44"/>
    </row>
    <row r="45" spans="1:15" x14ac:dyDescent="0.25">
      <c r="B45"/>
      <c r="C45"/>
      <c r="D45"/>
      <c r="E45"/>
      <c r="F45"/>
      <c r="G45"/>
      <c r="M45"/>
      <c r="O45"/>
    </row>
    <row r="46" spans="1:15" x14ac:dyDescent="0.25">
      <c r="B46"/>
      <c r="C46"/>
      <c r="D46"/>
      <c r="E46"/>
      <c r="F46"/>
      <c r="G46"/>
      <c r="M46"/>
      <c r="O46"/>
    </row>
    <row r="47" spans="1:15" ht="15.75" customHeight="1" x14ac:dyDescent="0.25">
      <c r="B47"/>
      <c r="C47"/>
      <c r="D47"/>
      <c r="E47"/>
      <c r="F47"/>
      <c r="G47"/>
      <c r="M47"/>
      <c r="O47"/>
    </row>
    <row r="48" spans="1:15" ht="15.75" customHeight="1" x14ac:dyDescent="0.25">
      <c r="B48"/>
      <c r="C48"/>
      <c r="D48"/>
      <c r="E48"/>
      <c r="F48"/>
      <c r="G48"/>
      <c r="M48"/>
      <c r="O48"/>
    </row>
    <row r="49" customFormat="1" x14ac:dyDescent="0.25"/>
    <row r="50" customFormat="1" x14ac:dyDescent="0.25"/>
    <row r="51" customFormat="1" x14ac:dyDescent="0.25"/>
    <row r="52" customFormat="1" ht="15.75" customHeight="1" x14ac:dyDescent="0.25"/>
    <row r="53" customFormat="1" ht="15.75" customHeigh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ht="21.75" customHeight="1" x14ac:dyDescent="0.25"/>
    <row r="80" customFormat="1" ht="21.75" customHeight="1" x14ac:dyDescent="0.25"/>
    <row r="81" spans="2:15" ht="21.75" customHeight="1" x14ac:dyDescent="0.25">
      <c r="F81" s="24"/>
      <c r="O81"/>
    </row>
    <row r="82" spans="2:15" ht="21.75" customHeight="1" x14ac:dyDescent="0.25">
      <c r="D82" s="28"/>
      <c r="E82" s="28"/>
      <c r="F82" s="28"/>
      <c r="O82"/>
    </row>
    <row r="83" spans="2:15" x14ac:dyDescent="0.25">
      <c r="F83" s="24"/>
      <c r="O83"/>
    </row>
    <row r="87" spans="2:15" x14ac:dyDescent="0.25">
      <c r="B87" s="27"/>
      <c r="C87" s="27"/>
    </row>
  </sheetData>
  <dataConsolidate link="1"/>
  <mergeCells count="19">
    <mergeCell ref="B24:C24"/>
    <mergeCell ref="B3:H5"/>
    <mergeCell ref="C6:G6"/>
    <mergeCell ref="D7:G7"/>
    <mergeCell ref="D8:F8"/>
    <mergeCell ref="D9:F9"/>
    <mergeCell ref="B14:C14"/>
    <mergeCell ref="B16:C16"/>
    <mergeCell ref="B21:C21"/>
    <mergeCell ref="B22:C22"/>
    <mergeCell ref="B23:C23"/>
    <mergeCell ref="C36:E36"/>
    <mergeCell ref="C37:E37"/>
    <mergeCell ref="B25:C25"/>
    <mergeCell ref="B26:C26"/>
    <mergeCell ref="B28:C28"/>
    <mergeCell ref="B29:C29"/>
    <mergeCell ref="B30:C30"/>
    <mergeCell ref="B27:C27"/>
  </mergeCells>
  <conditionalFormatting sqref="H9:H10">
    <cfRule type="expression" dxfId="31" priority="3">
      <formula>$B9=1</formula>
    </cfRule>
    <cfRule type="expression" dxfId="30" priority="4">
      <formula>$K9="yes"</formula>
    </cfRule>
  </conditionalFormatting>
  <conditionalFormatting sqref="H16">
    <cfRule type="expression" dxfId="29" priority="76">
      <formula>$B16=1</formula>
    </cfRule>
    <cfRule type="expression" dxfId="28" priority="77">
      <formula>$K18="yes"</formula>
    </cfRule>
  </conditionalFormatting>
  <dataValidations count="19">
    <dataValidation type="list" allowBlank="1" showInputMessage="1" showErrorMessage="1" sqref="D8:F8" xr:uid="{A84055D5-6129-4F7A-9E24-796BE6DE1C35}">
      <formula1>$O$30:$O$31</formula1>
    </dataValidation>
    <dataValidation type="list" allowBlank="1" showErrorMessage="1" sqref="C13" xr:uid="{30D3B898-FA23-4E26-8D83-72BB0FF1649B}">
      <formula1>$M$29:$M$32</formula1>
    </dataValidation>
    <dataValidation type="list" allowBlank="1" showInputMessage="1" showErrorMessage="1" sqref="C11:C12" xr:uid="{60AE6F3D-1199-48CA-A932-E64B6502C16F}">
      <formula1>$M$23:$M$24</formula1>
    </dataValidation>
    <dataValidation type="list" allowBlank="1" showInputMessage="1" showErrorMessage="1" sqref="C18" xr:uid="{5989528B-5CB6-48AA-88CD-C848BAA7F13D}">
      <formula1>$M$14:$M$15</formula1>
    </dataValidation>
    <dataValidation type="list" allowBlank="1" showInputMessage="1" showErrorMessage="1" sqref="H11" xr:uid="{6D57BF5E-BDFE-4E8A-B4B0-8EDCE16004B7}">
      <formula1>$J$20:$J$28</formula1>
    </dataValidation>
    <dataValidation type="list" allowBlank="1" showInputMessage="1" showErrorMessage="1" sqref="B21:C21" xr:uid="{034842CD-D4FD-44E1-94F1-D3933A381AB7}">
      <formula1>$J$6:$J$8</formula1>
    </dataValidation>
    <dataValidation type="list" allowBlank="1" showInputMessage="1" showErrorMessage="1" sqref="C15" xr:uid="{58A35296-252C-4258-859C-C79890B76017}">
      <formula1>$M$34:$M$35</formula1>
    </dataValidation>
    <dataValidation type="list" allowBlank="1" showInputMessage="1" showErrorMessage="1" sqref="C36:E36 H36" xr:uid="{820B21A5-409D-485B-A6D3-E3D3884C3211}">
      <formula1>$J$21:$J$28</formula1>
    </dataValidation>
    <dataValidation type="list" allowBlank="1" showInputMessage="1" showErrorMessage="1" sqref="H10 H16" xr:uid="{EDB98330-2591-4A59-91D3-4CDCF327EF2E}">
      <formula1>$J$20:$J$29</formula1>
    </dataValidation>
    <dataValidation type="list" allowBlank="1" showInputMessage="1" showErrorMessage="1" sqref="C10" xr:uid="{E3F06CCF-5185-4E6D-B6BB-D0491EB6AB45}">
      <formula1>$M$17:$M$21</formula1>
    </dataValidation>
    <dataValidation type="list" allowBlank="1" showInputMessage="1" showErrorMessage="1" sqref="C17" xr:uid="{D6F51D1A-B0CB-46B6-8EB7-1AF4F3240EBD}">
      <formula1>$O$24:$O$27</formula1>
    </dataValidation>
    <dataValidation type="list" allowBlank="1" showInputMessage="1" showErrorMessage="1" sqref="C8" xr:uid="{071FEBC9-BFC3-4B92-9CB0-478B7E2A97D6}">
      <formula1>$M$3:$M$7</formula1>
    </dataValidation>
    <dataValidation type="list" allowBlank="1" showInputMessage="1" showErrorMessage="1" sqref="C31:C33" xr:uid="{570A2401-7E77-46A4-9761-B7B92450CA21}">
      <formula1>$J$31:$J$33</formula1>
    </dataValidation>
    <dataValidation type="list" allowBlank="1" showInputMessage="1" showErrorMessage="1" sqref="B31:B33" xr:uid="{F3BB7B71-6DAB-4F0A-8B2F-A7377B6683F1}">
      <formula1>$J$34:$J$36</formula1>
    </dataValidation>
    <dataValidation type="list" allowBlank="1" showInputMessage="1" showErrorMessage="1" sqref="B23:C24 B22:C22" xr:uid="{86670E27-A384-4D49-8B9B-51F17DB876BD}">
      <formula1>$J$11:$J$14</formula1>
    </dataValidation>
    <dataValidation type="list" allowBlank="1" showInputMessage="1" showErrorMessage="1" sqref="H15" xr:uid="{A3E52345-F995-4FE9-B169-BBF55A22D5BD}">
      <formula1>$O$19:$O$22</formula1>
    </dataValidation>
    <dataValidation type="list" allowBlank="1" showInputMessage="1" showErrorMessage="1" sqref="C25 B25" xr:uid="{5E3D58FD-D9EC-40E9-9C4B-6859FC38EF0C}">
      <formula1>$J$9:$J$10</formula1>
    </dataValidation>
    <dataValidation type="list" allowBlank="1" showInputMessage="1" showErrorMessage="1" sqref="C9" xr:uid="{2E0BAE06-6425-465F-90CE-AA10B28AC3A1}">
      <formula1>$M$9:$M$12</formula1>
    </dataValidation>
    <dataValidation type="list" allowBlank="1" showInputMessage="1" showErrorMessage="1" sqref="H14" xr:uid="{7A5AF201-A134-484A-83AD-617DDAEE1D95}">
      <formula1>$O$4:$O$17</formula1>
    </dataValidation>
  </dataValidations>
  <pageMargins left="0.7" right="0.7" top="0.75" bottom="0.75" header="0.3" footer="0.3"/>
  <pageSetup orientation="portrait" horizontalDpi="4294967293" r:id="rId1"/>
  <headerFooter>
    <oddHeader>&amp;C&amp;G</oddHeader>
  </headerFooter>
  <ignoredErrors>
    <ignoredError sqref="H32" formula="1"/>
  </ignoredError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6</xdr:col>
                    <xdr:colOff>390525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19050</xdr:rowOff>
                  </from>
                  <to>
                    <xdr:col>6</xdr:col>
                    <xdr:colOff>390525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28575</xdr:rowOff>
                  </from>
                  <to>
                    <xdr:col>6</xdr:col>
                    <xdr:colOff>390525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9525</xdr:rowOff>
                  </from>
                  <to>
                    <xdr:col>6</xdr:col>
                    <xdr:colOff>371475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19050</xdr:rowOff>
                  </from>
                  <to>
                    <xdr:col>6</xdr:col>
                    <xdr:colOff>371475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6</xdr:col>
                    <xdr:colOff>371475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6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19050</xdr:rowOff>
                  </from>
                  <to>
                    <xdr:col>6</xdr:col>
                    <xdr:colOff>352425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9525</xdr:rowOff>
                  </from>
                  <to>
                    <xdr:col>6</xdr:col>
                    <xdr:colOff>371475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9525</xdr:rowOff>
                  </from>
                  <to>
                    <xdr:col>6</xdr:col>
                    <xdr:colOff>371475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9525</xdr:rowOff>
                  </from>
                  <to>
                    <xdr:col>6</xdr:col>
                    <xdr:colOff>371475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9525</xdr:rowOff>
                  </from>
                  <to>
                    <xdr:col>6</xdr:col>
                    <xdr:colOff>371475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9525</xdr:rowOff>
                  </from>
                  <to>
                    <xdr:col>6</xdr:col>
                    <xdr:colOff>371475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19050</xdr:rowOff>
                  </from>
                  <to>
                    <xdr:col>6</xdr:col>
                    <xdr:colOff>371475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6</xdr:col>
                    <xdr:colOff>371475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19050</xdr:rowOff>
                  </from>
                  <to>
                    <xdr:col>6</xdr:col>
                    <xdr:colOff>371475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19050</xdr:rowOff>
                  </from>
                  <to>
                    <xdr:col>6</xdr:col>
                    <xdr:colOff>371475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19050</xdr:rowOff>
                  </from>
                  <to>
                    <xdr:col>6</xdr:col>
                    <xdr:colOff>371475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19050</xdr:rowOff>
                  </from>
                  <to>
                    <xdr:col>6</xdr:col>
                    <xdr:colOff>371475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19050</xdr:rowOff>
                  </from>
                  <to>
                    <xdr:col>6</xdr:col>
                    <xdr:colOff>390525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5" name="Check Box 25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9525</xdr:rowOff>
                  </from>
                  <to>
                    <xdr:col>6</xdr:col>
                    <xdr:colOff>371475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6" name="Check Box 26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9525</xdr:rowOff>
                  </from>
                  <to>
                    <xdr:col>6</xdr:col>
                    <xdr:colOff>371475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27" name="Check Box 29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9525</xdr:rowOff>
                  </from>
                  <to>
                    <xdr:col>6</xdr:col>
                    <xdr:colOff>371475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28" name="Check Box 30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9525</xdr:rowOff>
                  </from>
                  <to>
                    <xdr:col>6</xdr:col>
                    <xdr:colOff>371475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29" name="Check Box 32">
              <controlPr locked="0"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19050</xdr:rowOff>
                  </from>
                  <to>
                    <xdr:col>6</xdr:col>
                    <xdr:colOff>371475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EE84-CAFE-47D3-82A8-306F6A224522}">
  <dimension ref="A4:I48"/>
  <sheetViews>
    <sheetView showGridLines="0" showZeros="0" showRuler="0" view="pageLayout" topLeftCell="A6" zoomScale="90" zoomScaleNormal="100" zoomScalePageLayoutView="90" workbookViewId="0">
      <selection activeCell="A20" sqref="A20"/>
    </sheetView>
  </sheetViews>
  <sheetFormatPr defaultRowHeight="15" x14ac:dyDescent="0.25"/>
  <cols>
    <col min="1" max="2" width="10.7109375" customWidth="1"/>
    <col min="3" max="3" width="9.5703125" customWidth="1"/>
    <col min="4" max="4" width="8.7109375" customWidth="1"/>
    <col min="5" max="5" width="8.85546875" customWidth="1"/>
    <col min="6" max="6" width="10.7109375" customWidth="1"/>
    <col min="7" max="7" width="9.7109375" customWidth="1"/>
    <col min="8" max="8" width="8.42578125" customWidth="1"/>
    <col min="9" max="9" width="10.28515625" bestFit="1" customWidth="1"/>
  </cols>
  <sheetData>
    <row r="4" spans="1:9" ht="1.1499999999999999" customHeight="1" x14ac:dyDescent="0.25"/>
    <row r="5" spans="1:9" ht="31.9" customHeight="1" x14ac:dyDescent="0.45">
      <c r="B5" s="272" t="s">
        <v>205</v>
      </c>
      <c r="C5" s="273"/>
      <c r="D5" s="273"/>
      <c r="E5" s="273"/>
      <c r="F5" s="273"/>
      <c r="G5" s="273"/>
      <c r="H5" s="274"/>
    </row>
    <row r="6" spans="1:9" ht="10.15" customHeight="1" x14ac:dyDescent="0.25"/>
    <row r="7" spans="1:9" x14ac:dyDescent="0.25">
      <c r="B7" s="144" t="s">
        <v>207</v>
      </c>
      <c r="C7" s="159" t="str">
        <f>'BUILD SHEET LG. Unit'!C9</f>
        <v>Kenworth</v>
      </c>
      <c r="D7" s="60" t="s">
        <v>39</v>
      </c>
      <c r="E7" s="275">
        <f>'BUILD SHEET LG. Unit'!H9</f>
        <v>0</v>
      </c>
      <c r="F7" s="275"/>
      <c r="G7" s="39" t="s">
        <v>7</v>
      </c>
      <c r="H7" s="59" t="str">
        <f>'BUILD SHEET LG. Unit'!C8</f>
        <v>20X3</v>
      </c>
    </row>
    <row r="8" spans="1:9" ht="13.15" customHeight="1" x14ac:dyDescent="0.25">
      <c r="B8" s="161" t="s">
        <v>208</v>
      </c>
      <c r="C8" s="160" t="str" cm="1">
        <f t="array" ref="C8:E8">'BUILD SHEET LG. Unit'!D9:F9</f>
        <v>T800</v>
      </c>
      <c r="D8">
        <v>0</v>
      </c>
      <c r="E8">
        <v>0</v>
      </c>
    </row>
    <row r="9" spans="1:9" x14ac:dyDescent="0.25">
      <c r="B9" s="10" t="s">
        <v>20</v>
      </c>
      <c r="C9" s="276">
        <f>'Horizon Production Sheet'!H6</f>
        <v>0</v>
      </c>
      <c r="D9" s="277"/>
      <c r="E9" s="240" t="s">
        <v>21</v>
      </c>
      <c r="F9" s="241"/>
      <c r="G9" s="276">
        <f>C9+30</f>
        <v>30</v>
      </c>
      <c r="H9" s="278"/>
    </row>
    <row r="10" spans="1:9" ht="10.15" customHeight="1" x14ac:dyDescent="0.25"/>
    <row r="11" spans="1:9" ht="15.75" thickBot="1" x14ac:dyDescent="0.3">
      <c r="B11" s="9" t="s">
        <v>31</v>
      </c>
      <c r="C11" s="212">
        <f>'BUILD SHEET LG. Unit'!C6</f>
        <v>0</v>
      </c>
      <c r="D11" s="213"/>
      <c r="E11" s="89"/>
      <c r="F11" s="124" t="s">
        <v>53</v>
      </c>
      <c r="G11" s="212">
        <f>'BUILD SHEET LG. Unit'!D7</f>
        <v>0</v>
      </c>
      <c r="H11" s="213"/>
    </row>
    <row r="12" spans="1:9" ht="10.9" customHeight="1" x14ac:dyDescent="0.25">
      <c r="A12" s="12"/>
      <c r="B12" s="220" t="s">
        <v>136</v>
      </c>
      <c r="C12" s="221"/>
      <c r="D12" s="279" t="str">
        <f>IF('BUILD SHEET LG. Unit'!B16=TRUE,"PISTOL GRIP CONTROL PANEL","PROPORTIONAL HYDRAULIC")</f>
        <v>PROPORTIONAL HYDRAULIC</v>
      </c>
      <c r="E12" s="280"/>
      <c r="F12" s="281"/>
      <c r="G12" s="279" t="str">
        <f>'BUILD SHEET LG. Unit'!D8</f>
        <v>PTO Driven</v>
      </c>
      <c r="H12" s="281"/>
      <c r="I12" s="139"/>
    </row>
    <row r="13" spans="1:9" ht="15.75" thickBot="1" x14ac:dyDescent="0.3">
      <c r="A13" s="12"/>
      <c r="B13" s="222"/>
      <c r="C13" s="223"/>
      <c r="D13" s="282"/>
      <c r="E13" s="283"/>
      <c r="F13" s="284"/>
      <c r="G13" s="282"/>
      <c r="H13" s="284"/>
      <c r="I13" s="140"/>
    </row>
    <row r="14" spans="1:9" x14ac:dyDescent="0.25">
      <c r="A14" s="111" t="s">
        <v>22</v>
      </c>
      <c r="B14" s="38" t="str">
        <f>'BUILD SHEET LG. Unit'!H8</f>
        <v>20000TDH</v>
      </c>
      <c r="C14" s="125" t="s">
        <v>128</v>
      </c>
      <c r="D14" s="126"/>
      <c r="F14" s="127" t="s">
        <v>23</v>
      </c>
      <c r="G14" s="128" t="str">
        <f>'BUILD SHEET LG. Unit'!H13</f>
        <v/>
      </c>
      <c r="H14" s="141" t="s">
        <v>128</v>
      </c>
      <c r="I14" s="110"/>
    </row>
    <row r="15" spans="1:9" x14ac:dyDescent="0.25">
      <c r="B15" s="12"/>
      <c r="C15" s="120"/>
      <c r="D15" s="120"/>
      <c r="E15" s="14" t="s">
        <v>25</v>
      </c>
      <c r="F15" s="12"/>
      <c r="G15" s="13" t="str">
        <f>'BUILD SHEET LG. Unit'!G14</f>
        <v>3/8" Cable</v>
      </c>
      <c r="H15" s="13" t="str">
        <f>'BUILD SHEET LG. Unit'!H14</f>
        <v>NONE</v>
      </c>
    </row>
    <row r="16" spans="1:9" x14ac:dyDescent="0.25">
      <c r="B16" s="9" t="s">
        <v>27</v>
      </c>
      <c r="C16" s="270" t="str">
        <f>'BUILD SHEET LG. Unit'!C10</f>
        <v>18' Flatbed</v>
      </c>
      <c r="D16" s="271"/>
      <c r="E16" s="132" t="str">
        <f>'BUILD SHEET LG. Unit'!H10</f>
        <v>WHT</v>
      </c>
      <c r="F16" s="9" t="s">
        <v>26</v>
      </c>
      <c r="G16" s="143" t="str">
        <f>'BUILD SHEET LG. Unit'!H16</f>
        <v>WHT</v>
      </c>
      <c r="H16" s="61"/>
    </row>
    <row r="17" spans="1:9" x14ac:dyDescent="0.25">
      <c r="B17" s="89" t="s">
        <v>141</v>
      </c>
      <c r="C17" s="252" t="str">
        <f>"KLT410QBGGS16TP"</f>
        <v>KLT410QBGGS16TP</v>
      </c>
      <c r="D17" s="252"/>
      <c r="E17" s="104" t="s">
        <v>106</v>
      </c>
      <c r="F17" s="100"/>
      <c r="G17" s="104" t="s">
        <v>106</v>
      </c>
      <c r="H17" s="120"/>
    </row>
    <row r="18" spans="1:9" ht="15.75" thickBot="1" x14ac:dyDescent="0.3">
      <c r="A18" s="113" t="s">
        <v>129</v>
      </c>
      <c r="B18" s="245" t="s">
        <v>65</v>
      </c>
      <c r="C18" s="245"/>
      <c r="D18" s="245"/>
      <c r="E18" s="245"/>
      <c r="F18" s="52"/>
      <c r="G18" s="79" t="s">
        <v>44</v>
      </c>
      <c r="H18" s="80" t="s">
        <v>64</v>
      </c>
      <c r="I18" s="79" t="s">
        <v>24</v>
      </c>
    </row>
    <row r="19" spans="1:9" ht="15.75" thickBot="1" x14ac:dyDescent="0.3">
      <c r="A19" s="165" t="str">
        <f>_xlfn.IFS(D19="15,000","AA2FM80/61",D19="20,000","AA2FM80/61",D19="25,000","AA2FM80/61",D19="30,000","BG0195",D19="35,000","BG0280")</f>
        <v>AA2FM80/61</v>
      </c>
      <c r="B19" s="246" t="s">
        <v>45</v>
      </c>
      <c r="C19" s="246"/>
      <c r="D19" s="247" t="str">
        <f>IF(H7="15X3","15,000",IF(H7="20X3","20,000",IF(H7="25X4","25,000",IF(H7="30X4","30,000",IF(H7="35X4","35,000","")))))</f>
        <v>20,000</v>
      </c>
      <c r="E19" s="248"/>
      <c r="F19" s="81" t="s">
        <v>46</v>
      </c>
      <c r="G19" s="82" t="str">
        <f>IF(F19="YES","1 &amp; 2","")</f>
        <v>1 &amp; 2</v>
      </c>
      <c r="H19" s="83" t="str">
        <f>IF(AND(F19="YES",D12="PROPORTIONAL HYDRAULIC"),"H644",IF(F19="YES","H744",""))</f>
        <v>H644</v>
      </c>
      <c r="I19" s="84"/>
    </row>
    <row r="20" spans="1:9" x14ac:dyDescent="0.25">
      <c r="A20" s="165" t="str">
        <f>IF(AND(F20="YES"),_xlfn.IFS(D20="2500 POUND","BG0335",D20="3500 POUND","BG0475",D20="5000 POUND","A A10F M 63 ",D20="8000 POUND","A A10F M 63 "),"N/A")</f>
        <v>N/A</v>
      </c>
      <c r="B20" s="233" t="str">
        <f>'BUILD SHEET LG. Unit'!B13</f>
        <v>Sand Line-</v>
      </c>
      <c r="C20" s="233"/>
      <c r="D20" s="208" t="str">
        <f>'BUILD SHEET LG. Unit'!C13</f>
        <v>2500 Pound</v>
      </c>
      <c r="E20" s="209"/>
      <c r="F20" s="119" t="str">
        <f>IF('BUILD SHEET LG. Unit'!F13=TRUE,"YES","NO")</f>
        <v>NO</v>
      </c>
      <c r="G20" s="40" t="str">
        <f>IF(AND(F20="YES",D19="15,000"),"3",IF(F20="NO","","3 &amp; 4"))</f>
        <v/>
      </c>
      <c r="H20" s="50" t="str">
        <f>IF(AND(F20="YES",D12="PROPORTIONAL HYDRAULIC"),"H544",IF(F20="YES","H744",""))</f>
        <v/>
      </c>
      <c r="I20" s="86"/>
    </row>
    <row r="21" spans="1:9" x14ac:dyDescent="0.25">
      <c r="A21" s="115" t="str">
        <f>IF(F21="YES","DALE","N/A")</f>
        <v>DALE</v>
      </c>
      <c r="B21" s="133"/>
      <c r="C21" s="131" t="s">
        <v>47</v>
      </c>
      <c r="D21" s="208" t="s">
        <v>49</v>
      </c>
      <c r="E21" s="209"/>
      <c r="F21" s="119" t="s">
        <v>46</v>
      </c>
      <c r="G21" s="40" t="str">
        <f>IF(AND(F20="YES",D19="15,000"),G20+1,IF(AND(F20="NO",D19="15,000"),"3","1"))</f>
        <v>1</v>
      </c>
      <c r="H21" s="50" t="str">
        <f>IF(F21="YES","C524","")</f>
        <v>C524</v>
      </c>
      <c r="I21" s="86"/>
    </row>
    <row r="22" spans="1:9" x14ac:dyDescent="0.25">
      <c r="A22" s="115" t="str">
        <f>"DALE"</f>
        <v>DALE</v>
      </c>
      <c r="B22" s="133" t="str">
        <f>'BUILD SHEET LG. Unit'!H15</f>
        <v>48'</v>
      </c>
      <c r="C22" s="131" t="s">
        <v>47</v>
      </c>
      <c r="D22" s="208" t="s">
        <v>48</v>
      </c>
      <c r="E22" s="209"/>
      <c r="F22" s="119" t="s">
        <v>46</v>
      </c>
      <c r="G22" s="40">
        <f>IF(F22="YES",G21+1)</f>
        <v>2</v>
      </c>
      <c r="H22" s="50" t="str">
        <f>IF(F22="YES","C424","")</f>
        <v>C424</v>
      </c>
      <c r="I22" s="86"/>
    </row>
    <row r="23" spans="1:9" x14ac:dyDescent="0.25">
      <c r="A23" s="116"/>
      <c r="B23" s="233" t="s">
        <v>11</v>
      </c>
      <c r="C23" s="233"/>
      <c r="D23" s="208" t="s">
        <v>51</v>
      </c>
      <c r="E23" s="209"/>
      <c r="F23" s="119" t="s">
        <v>46</v>
      </c>
      <c r="G23" s="40">
        <f>IF(F23="YES",G22+1)</f>
        <v>3</v>
      </c>
      <c r="H23" s="50" t="str">
        <f>IF(F23="YES","C224","")</f>
        <v>C224</v>
      </c>
      <c r="I23" s="86"/>
    </row>
    <row r="24" spans="1:9" x14ac:dyDescent="0.25">
      <c r="A24" s="116"/>
      <c r="B24" s="244" t="str">
        <f>'Horizon Production Sheet'!B17</f>
        <v>Outrigger-</v>
      </c>
      <c r="C24" s="233"/>
      <c r="D24" s="208" t="str">
        <f>'BUILD SHEET LG. Unit'!C15</f>
        <v>Dual Behind Cab</v>
      </c>
      <c r="E24" s="209"/>
      <c r="F24" s="119" t="str">
        <f>IF('BUILD SHEET LG. Unit'!F15=TRUE,"YES","NO")</f>
        <v>NO</v>
      </c>
      <c r="G24" s="40" t="str">
        <f>IF(AND(F24="YES"),_xlfn.IFS(F23="YES",G23+1),"")</f>
        <v/>
      </c>
      <c r="H24" s="50" t="str">
        <f>IF(F24="YES","C224","")</f>
        <v/>
      </c>
      <c r="I24" s="86"/>
    </row>
    <row r="25" spans="1:9" x14ac:dyDescent="0.25">
      <c r="A25" s="116"/>
      <c r="B25" s="188" t="s">
        <v>50</v>
      </c>
      <c r="C25" s="189"/>
      <c r="D25" s="189"/>
      <c r="E25" s="210"/>
      <c r="F25" s="119" t="str">
        <f>IF(AND(D24="DUAL BEHIND CAB",F24="YES"),"YES","NO")</f>
        <v>NO</v>
      </c>
      <c r="G25" s="40" t="str">
        <f>IF(AND(F25="YES"),_xlfn.IFS(F24="YES",G24+1),"")</f>
        <v/>
      </c>
      <c r="H25" s="50" t="str">
        <f>IF(F25="YES","C224","")</f>
        <v/>
      </c>
      <c r="I25" s="86"/>
    </row>
    <row r="26" spans="1:9" x14ac:dyDescent="0.25">
      <c r="A26" s="116"/>
      <c r="B26" s="244" t="s">
        <v>11</v>
      </c>
      <c r="C26" s="233"/>
      <c r="D26" s="208" t="s">
        <v>52</v>
      </c>
      <c r="E26" s="209"/>
      <c r="F26" s="119" t="s">
        <v>46</v>
      </c>
      <c r="G26" s="40">
        <f>IF(AND(F26="YES"),_xlfn.IFS(F25="YES",G25+1,F24="YES",G24+1,F23="YES",G23+1),"")</f>
        <v>4</v>
      </c>
      <c r="H26" s="50" t="str">
        <f>IF(F26="YES","C224","")</f>
        <v>C224</v>
      </c>
      <c r="I26" s="86"/>
    </row>
    <row r="27" spans="1:9" x14ac:dyDescent="0.25">
      <c r="A27" s="116" t="str">
        <f>IF(F27="YES","BG0335","N/A")</f>
        <v>N/A</v>
      </c>
      <c r="B27" s="131" t="str">
        <f>'BUILD SHEET LG. Unit'!B19</f>
        <v>Drive Side-</v>
      </c>
      <c r="C27" s="189" t="str">
        <f>'BUILD SHEET LG. Unit'!C19</f>
        <v>Layout Line/Swing Arm</v>
      </c>
      <c r="D27" s="189"/>
      <c r="E27" s="210"/>
      <c r="F27" s="119" t="str">
        <f>IF('BUILD SHEET LG. Unit'!F19=TRUE,"YES","NO")</f>
        <v>NO</v>
      </c>
      <c r="G27" s="40" t="str">
        <f>IF(AND(F27="YES"),_xlfn.IFS(F26="YES","7 &amp; 8"),"")</f>
        <v/>
      </c>
      <c r="H27" s="50" t="str">
        <f>IF(F27="YES","C524","")</f>
        <v/>
      </c>
      <c r="I27" s="86"/>
    </row>
    <row r="28" spans="1:9" x14ac:dyDescent="0.25">
      <c r="A28" s="116" t="str">
        <f>IF(F28="YES","BG0335","N/A")</f>
        <v>N/A</v>
      </c>
      <c r="B28" s="118" t="str">
        <f>'BUILD SHEET LG. Unit'!B20</f>
        <v>Pass Side-</v>
      </c>
      <c r="C28" s="189" t="str">
        <f>'BUILD SHEET LG. Unit'!C20</f>
        <v>Layout Line/Swing Arm</v>
      </c>
      <c r="D28" s="189">
        <f>'BUILD SHEET LG. Unit'!D20</f>
        <v>0</v>
      </c>
      <c r="E28" s="210">
        <f>'BUILD SHEET LG. Unit'!E20</f>
        <v>0</v>
      </c>
      <c r="F28" s="119" t="str">
        <f>IF('BUILD SHEET LG. Unit'!F20=TRUE,"YES","NO")</f>
        <v>NO</v>
      </c>
      <c r="G28" s="40" t="str">
        <f>IF(AND(F28="YES"),_xlfn.IFS(F27="YES","9 &amp; 10",F26="YES",G26+1),"")</f>
        <v/>
      </c>
      <c r="H28" s="50" t="str">
        <f>IF(F28="YES","C124","")</f>
        <v/>
      </c>
      <c r="I28" s="86"/>
    </row>
    <row r="29" spans="1:9" x14ac:dyDescent="0.25">
      <c r="A29" s="116" t="str">
        <f>IF(AND(F29="YES",B29="WIRE WINDER"),"TE0100","N/A")</f>
        <v>N/A</v>
      </c>
      <c r="B29" s="188" t="str">
        <f>'BUILD SHEET LG. Unit'!B25</f>
        <v>Wire Winder</v>
      </c>
      <c r="C29" s="189"/>
      <c r="D29" s="189"/>
      <c r="E29" s="210"/>
      <c r="F29" s="119" t="str">
        <f>IF('BUILD SHEET LG. Unit'!F25=TRUE,"YES","NO")</f>
        <v>NO</v>
      </c>
      <c r="G29" s="40" t="str">
        <f>IF(AND(F29="YES"),_xlfn.IFS(F28="YES",G28+1,F27="YES",G27+1,F26="YES",G26+1),"")</f>
        <v/>
      </c>
      <c r="H29" s="50" t="str">
        <f>IF(F29="YES","C524","")</f>
        <v/>
      </c>
      <c r="I29" s="86"/>
    </row>
    <row r="30" spans="1:9" x14ac:dyDescent="0.25">
      <c r="A30" s="116" t="str">
        <f>IF(AND(F30="YES",B30="AIR COMPRESSOR- 17 cfm"),"M315","N/A")</f>
        <v>N/A</v>
      </c>
      <c r="B30" s="188" t="str">
        <f>'BUILD SHEET LG. Unit'!B28</f>
        <v>Air Compressor- 17 cfm</v>
      </c>
      <c r="C30" s="189"/>
      <c r="D30" s="189"/>
      <c r="E30" s="210"/>
      <c r="F30" s="119" t="str">
        <f>IF('BUILD SHEET LG. Unit'!F28=TRUE,"YES","NO")</f>
        <v>NO</v>
      </c>
      <c r="G30" s="40" t="str">
        <f>IF(AND(F30="YES"),_xlfn.IFS(F29="YES",G29+1,F28="YES",G28+1,F27="YES",G27+1,F26="YES",G26+1),"")</f>
        <v/>
      </c>
      <c r="H30" s="50" t="str">
        <f>IF(F30="YES","H544","")</f>
        <v/>
      </c>
      <c r="I30" s="86"/>
    </row>
    <row r="31" spans="1:9" x14ac:dyDescent="0.25">
      <c r="A31" s="116"/>
      <c r="B31" s="188" t="str">
        <f>'BUILD SHEET LG. Unit'!B29</f>
        <v>Getec HM1400 Generator</v>
      </c>
      <c r="C31" s="189"/>
      <c r="D31" s="189"/>
      <c r="E31" s="210"/>
      <c r="F31" s="119" t="str">
        <f>IF('BUILD SHEET LG. Unit'!F29=TRUE,"YES","NO")</f>
        <v>NO</v>
      </c>
      <c r="G31" s="40" t="str">
        <f>IF(AND(F31="YES"),_xlfn.IFS(F30="YES",G30+1,F28="YES",G28+1,F27="YES",G27+1,#REF!="YES",#REF!+1),"")</f>
        <v/>
      </c>
      <c r="H31" s="50" t="str">
        <f>IF(F31="YES","H544","")</f>
        <v/>
      </c>
      <c r="I31" s="86"/>
    </row>
    <row r="32" spans="1:9" x14ac:dyDescent="0.25">
      <c r="A32" s="116" t="str">
        <f>IF(AND(F32="YES"),IF(D32="BREAKOUT CYLINDER","MIDGET VLV","N/A"),"N/A")</f>
        <v>N/A</v>
      </c>
      <c r="B32" s="244" t="s">
        <v>210</v>
      </c>
      <c r="C32" s="233"/>
      <c r="D32" s="208" t="str">
        <f>'BUILD SHEET LG. Unit'!B21</f>
        <v>AUX Hydraulics</v>
      </c>
      <c r="E32" s="209"/>
      <c r="F32" s="119" t="str">
        <f>IF('BUILD SHEET LG. Unit'!F21=TRUE,"YES","NO")</f>
        <v>NO</v>
      </c>
      <c r="G32" s="50" t="str">
        <f>IF(F32="YES","PUMP 2","")</f>
        <v/>
      </c>
      <c r="H32" s="50"/>
      <c r="I32" s="86"/>
    </row>
    <row r="33" spans="1:9" x14ac:dyDescent="0.25">
      <c r="A33" s="116"/>
      <c r="B33" s="244" t="str">
        <f>'BUILD SHEET LG. Unit'!B17</f>
        <v>Hook-</v>
      </c>
      <c r="C33" s="233"/>
      <c r="D33" s="268" t="str">
        <f>'BUILD SHEET LG. Unit'!C17</f>
        <v>15-S-6</v>
      </c>
      <c r="E33" s="269"/>
      <c r="F33" s="109" t="str">
        <f>IF('Horizon Production Sheet'!F19=TRUE,"YES","NO")</f>
        <v>YES</v>
      </c>
      <c r="G33" s="53" t="s">
        <v>66</v>
      </c>
      <c r="H33" s="51"/>
      <c r="I33" s="87"/>
    </row>
    <row r="34" spans="1:9" x14ac:dyDescent="0.25">
      <c r="A34" s="116"/>
      <c r="B34" s="233" t="str">
        <f>'BUILD SHEET LG. Unit'!B11</f>
        <v>Drive Side-</v>
      </c>
      <c r="C34" s="233"/>
      <c r="D34" s="208" t="str">
        <f>'BUILD SHEET LG. Unit'!C11</f>
        <v>Half Utility</v>
      </c>
      <c r="E34" s="209"/>
      <c r="F34" s="119" t="str">
        <f>IF('BUILD SHEET LG. Unit'!F11=TRUE,"YES","NO")</f>
        <v>NO</v>
      </c>
      <c r="G34" s="40" t="str">
        <f>IF(F34="YES",'Horizon Production Sheet'!H30,"")</f>
        <v/>
      </c>
      <c r="H34" s="50"/>
      <c r="I34" s="86"/>
    </row>
    <row r="35" spans="1:9" x14ac:dyDescent="0.25">
      <c r="A35" s="116"/>
      <c r="B35" s="233" t="str">
        <f>'BUILD SHEET LG. Unit'!B12</f>
        <v>Pass Side-</v>
      </c>
      <c r="C35" s="233"/>
      <c r="D35" s="257" t="str">
        <f>'BUILD SHEET LG. Unit'!C12</f>
        <v>Half Utility</v>
      </c>
      <c r="E35" s="258"/>
      <c r="F35" s="119" t="str">
        <f>IF('BUILD SHEET LG. Unit'!F12=TRUE,"YES","NO")</f>
        <v>NO</v>
      </c>
      <c r="G35" s="40" t="str">
        <f>IF(F35="YES",'Horizon Production Sheet'!H30,"")</f>
        <v/>
      </c>
      <c r="H35" s="50"/>
      <c r="I35" s="86"/>
    </row>
    <row r="36" spans="1:9" x14ac:dyDescent="0.25">
      <c r="A36" s="134" t="str">
        <f>IF(F36="YES","Mar-48-2-4A-60","N/A")</f>
        <v>N/A</v>
      </c>
      <c r="B36" s="188" t="str">
        <f>'BUILD SHEET LG. Unit'!B14</f>
        <v>Auto Oil Cooler</v>
      </c>
      <c r="C36" s="189"/>
      <c r="D36" s="189"/>
      <c r="E36" s="210"/>
      <c r="F36" s="119" t="str">
        <f>IF('BUILD SHEET LG. Unit'!F14=TRUE,"YES","NO")</f>
        <v>NO</v>
      </c>
      <c r="G36" s="40"/>
      <c r="H36" s="50"/>
      <c r="I36" s="86"/>
    </row>
    <row r="37" spans="1:9" x14ac:dyDescent="0.25">
      <c r="A37" s="85"/>
      <c r="B37" s="189" t="str">
        <f>'BUILD SHEET LG. Unit'!B22</f>
        <v>Wire Spool Holder</v>
      </c>
      <c r="C37" s="189"/>
      <c r="D37" s="189"/>
      <c r="E37" s="210"/>
      <c r="F37" s="119" t="str">
        <f>IF('BUILD SHEET LG. Unit'!F22=TRUE,"YES","NO")</f>
        <v>NO</v>
      </c>
      <c r="G37" s="40" t="str">
        <f>IF(F37="YES","BLK","")</f>
        <v/>
      </c>
      <c r="H37" s="50"/>
      <c r="I37" s="86"/>
    </row>
    <row r="38" spans="1:9" x14ac:dyDescent="0.25">
      <c r="A38" s="85"/>
      <c r="B38" s="189" t="str">
        <f>'BUILD SHEET LG. Unit'!B23</f>
        <v>Sand Line Counter</v>
      </c>
      <c r="C38" s="189"/>
      <c r="D38" s="189"/>
      <c r="E38" s="210"/>
      <c r="F38" s="119" t="str">
        <f>IF('BUILD SHEET LG. Unit'!F23=TRUE,"YES","NO")</f>
        <v>NO</v>
      </c>
      <c r="G38" s="40" t="str">
        <f>IF(F38="YES",D16,"")</f>
        <v/>
      </c>
      <c r="H38" s="50"/>
      <c r="I38" s="86"/>
    </row>
    <row r="39" spans="1:9" x14ac:dyDescent="0.25">
      <c r="A39" s="85"/>
      <c r="B39" s="189" t="str">
        <f>'BUILD SHEET LG. Unit'!B24</f>
        <v>Vise Holder</v>
      </c>
      <c r="C39" s="189"/>
      <c r="D39" s="189"/>
      <c r="E39" s="210"/>
      <c r="F39" s="119" t="str">
        <f>IF('BUILD SHEET LG. Unit'!F26=TRUE,"YES","NO")</f>
        <v>NO</v>
      </c>
      <c r="G39" s="40" t="str">
        <f>IF(F39="YES",D16,"")</f>
        <v/>
      </c>
      <c r="H39" s="50"/>
      <c r="I39" s="86"/>
    </row>
    <row r="40" spans="1:9" x14ac:dyDescent="0.25">
      <c r="A40" s="85"/>
      <c r="B40" s="189" t="str">
        <f>'BUILD SHEET LG. Unit'!B26</f>
        <v>Additional Layback to 18'</v>
      </c>
      <c r="C40" s="189"/>
      <c r="D40" s="189"/>
      <c r="E40" s="210"/>
      <c r="F40" s="119" t="str">
        <f>IF('BUILD SHEET LG. Unit'!F26=TRUE,"YES","NO")</f>
        <v>NO</v>
      </c>
      <c r="G40" s="40"/>
      <c r="H40" s="50"/>
      <c r="I40" s="86"/>
    </row>
    <row r="41" spans="1:9" x14ac:dyDescent="0.25">
      <c r="A41" s="85"/>
      <c r="B41" s="189" t="str">
        <f>'BUILD SHEET LG. Unit'!B27</f>
        <v>Line-X Bed</v>
      </c>
      <c r="C41" s="189"/>
      <c r="D41" s="189"/>
      <c r="E41" s="210"/>
      <c r="F41" s="119" t="str">
        <f>IF('BUILD SHEET LG. Unit'!F27=TRUE,"YES","NO")</f>
        <v>NO</v>
      </c>
      <c r="G41" s="40"/>
      <c r="H41" s="50"/>
      <c r="I41" s="86"/>
    </row>
    <row r="42" spans="1:9" x14ac:dyDescent="0.25">
      <c r="A42" s="85"/>
      <c r="B42" s="252" t="str">
        <f>'BUILD SHEET LG. Unit'!B30</f>
        <v>25 TON 2-part Block</v>
      </c>
      <c r="C42" s="252"/>
      <c r="D42" s="189"/>
      <c r="E42" s="210"/>
      <c r="F42" s="119" t="str">
        <f>IF('BUILD SHEET LG. Unit'!F30=TRUE,"YES","NO")</f>
        <v>NO</v>
      </c>
      <c r="G42" s="40"/>
      <c r="H42" s="11"/>
      <c r="I42" s="86"/>
    </row>
    <row r="43" spans="1:9" ht="14.45" customHeight="1" x14ac:dyDescent="0.25">
      <c r="A43" s="155"/>
      <c r="B43" s="244" t="str">
        <f>'BUILD SHEET LG. Unit'!B31</f>
        <v>Drive Side-</v>
      </c>
      <c r="C43" s="233"/>
      <c r="D43" s="208" t="str">
        <f>'BUILD SHEET LG. Unit'!C31</f>
        <v>Tool Cage</v>
      </c>
      <c r="E43" s="209"/>
      <c r="F43" s="119" t="str">
        <f>IF('BUILD SHEET LG. Unit'!F31=TRUE,"YES","NO")</f>
        <v>NO</v>
      </c>
      <c r="G43" s="156" t="str">
        <f>'BUILD SHEET LG. Unit'!H31</f>
        <v/>
      </c>
      <c r="H43" s="157"/>
      <c r="I43" s="158"/>
    </row>
    <row r="44" spans="1:9" ht="15" customHeight="1" x14ac:dyDescent="0.25">
      <c r="A44" s="155"/>
      <c r="B44" s="244" t="str">
        <f>'BUILD SHEET LG. Unit'!B32</f>
        <v>Pass Side-</v>
      </c>
      <c r="C44" s="233"/>
      <c r="D44" s="208" t="str">
        <f>'BUILD SHEET LG. Unit'!C32</f>
        <v>4.5' Locking Tool Box</v>
      </c>
      <c r="E44" s="209"/>
      <c r="F44" s="119" t="str">
        <f>IF('BUILD SHEET LG. Unit'!F32=TRUE,"YES","NO")</f>
        <v>NO</v>
      </c>
      <c r="G44" s="156" t="str">
        <f>'BUILD SHEET LG. Unit'!H32</f>
        <v/>
      </c>
      <c r="H44" s="157"/>
      <c r="I44" s="158"/>
    </row>
    <row r="45" spans="1:9" ht="15" customHeight="1" thickBot="1" x14ac:dyDescent="0.3">
      <c r="A45" s="130"/>
      <c r="B45" s="266" t="str">
        <f>'BUILD SHEET LG. Unit'!B33</f>
        <v>Pass Side-</v>
      </c>
      <c r="C45" s="267"/>
      <c r="D45" s="255" t="str">
        <f>'BUILD SHEET LG. Unit'!C33</f>
        <v>Tool Cage</v>
      </c>
      <c r="E45" s="256"/>
      <c r="F45" s="73" t="str">
        <f>IF('BUILD SHEET LG. Unit'!F33=TRUE,"YES","NO")</f>
        <v>NO</v>
      </c>
      <c r="G45" s="74" t="str">
        <f>'BUILD SHEET LG. Unit'!H33</f>
        <v/>
      </c>
      <c r="H45" s="75"/>
      <c r="I45" s="88"/>
    </row>
    <row r="46" spans="1:9" ht="10.15" customHeight="1" thickBot="1" x14ac:dyDescent="0.3">
      <c r="A46" s="129"/>
      <c r="B46" s="120"/>
      <c r="C46" s="120"/>
      <c r="D46" s="120"/>
      <c r="E46" s="120"/>
      <c r="F46" s="71"/>
      <c r="G46" s="72"/>
      <c r="H46" s="15"/>
      <c r="I46" s="15"/>
    </row>
    <row r="47" spans="1:9" ht="15.75" thickBot="1" x14ac:dyDescent="0.3">
      <c r="A47" s="112"/>
      <c r="B47" s="264" t="s">
        <v>103</v>
      </c>
      <c r="C47" s="265"/>
      <c r="D47" s="101" t="str">
        <f>'BUILD SHEET LG. Unit'!C36</f>
        <v>TBD</v>
      </c>
      <c r="E47" s="120"/>
      <c r="F47" s="264" t="s">
        <v>105</v>
      </c>
      <c r="G47" s="265"/>
      <c r="H47" s="99" t="str">
        <f>'BUILD SHEET LG. Unit'!H36</f>
        <v>TBD</v>
      </c>
      <c r="I47" s="15"/>
    </row>
    <row r="48" spans="1:9" x14ac:dyDescent="0.25">
      <c r="A48" s="105"/>
    </row>
  </sheetData>
  <mergeCells count="54">
    <mergeCell ref="C11:D11"/>
    <mergeCell ref="G11:H11"/>
    <mergeCell ref="B32:C32"/>
    <mergeCell ref="D32:E32"/>
    <mergeCell ref="C28:E28"/>
    <mergeCell ref="C27:E27"/>
    <mergeCell ref="D22:E22"/>
    <mergeCell ref="B12:C13"/>
    <mergeCell ref="D12:F13"/>
    <mergeCell ref="G12:H13"/>
    <mergeCell ref="B18:E18"/>
    <mergeCell ref="B19:C19"/>
    <mergeCell ref="D19:E19"/>
    <mergeCell ref="B20:C20"/>
    <mergeCell ref="D23:E23"/>
    <mergeCell ref="B24:C24"/>
    <mergeCell ref="B5:H5"/>
    <mergeCell ref="E7:F7"/>
    <mergeCell ref="C9:D9"/>
    <mergeCell ref="E9:F9"/>
    <mergeCell ref="G9:H9"/>
    <mergeCell ref="C16:D16"/>
    <mergeCell ref="C17:D17"/>
    <mergeCell ref="B29:E29"/>
    <mergeCell ref="D20:E20"/>
    <mergeCell ref="D21:E21"/>
    <mergeCell ref="B25:E25"/>
    <mergeCell ref="B26:C26"/>
    <mergeCell ref="D26:E26"/>
    <mergeCell ref="B23:C23"/>
    <mergeCell ref="B37:E37"/>
    <mergeCell ref="D24:E24"/>
    <mergeCell ref="B33:C33"/>
    <mergeCell ref="D33:E33"/>
    <mergeCell ref="B31:E31"/>
    <mergeCell ref="B30:E30"/>
    <mergeCell ref="B34:C34"/>
    <mergeCell ref="D34:E34"/>
    <mergeCell ref="B41:E41"/>
    <mergeCell ref="B35:C35"/>
    <mergeCell ref="F47:G47"/>
    <mergeCell ref="B44:C44"/>
    <mergeCell ref="B45:C45"/>
    <mergeCell ref="D45:E45"/>
    <mergeCell ref="B47:C47"/>
    <mergeCell ref="D44:E44"/>
    <mergeCell ref="B43:C43"/>
    <mergeCell ref="D43:E43"/>
    <mergeCell ref="B40:E40"/>
    <mergeCell ref="B42:E42"/>
    <mergeCell ref="D35:E35"/>
    <mergeCell ref="B36:E36"/>
    <mergeCell ref="B38:E38"/>
    <mergeCell ref="B39:E39"/>
  </mergeCells>
  <conditionalFormatting sqref="B23">
    <cfRule type="expression" dxfId="27" priority="20">
      <formula>$F$23="YES"</formula>
    </cfRule>
  </conditionalFormatting>
  <conditionalFormatting sqref="B24">
    <cfRule type="expression" dxfId="26" priority="12">
      <formula>$F$24="YES"</formula>
    </cfRule>
  </conditionalFormatting>
  <conditionalFormatting sqref="B34 D34">
    <cfRule type="expression" dxfId="25" priority="27">
      <formula>$F$34="YES"</formula>
    </cfRule>
  </conditionalFormatting>
  <conditionalFormatting sqref="B27:C27">
    <cfRule type="expression" dxfId="24" priority="28">
      <formula>$F$27="YES"</formula>
    </cfRule>
  </conditionalFormatting>
  <conditionalFormatting sqref="B19:E19">
    <cfRule type="expression" dxfId="23" priority="29">
      <formula>$F$19="YES"</formula>
    </cfRule>
  </conditionalFormatting>
  <conditionalFormatting sqref="B20:E20">
    <cfRule type="expression" dxfId="22" priority="32">
      <formula>$F$20="YES"</formula>
    </cfRule>
  </conditionalFormatting>
  <conditionalFormatting sqref="B21:E21">
    <cfRule type="expression" dxfId="21" priority="22">
      <formula>$F$21="YES"</formula>
    </cfRule>
  </conditionalFormatting>
  <conditionalFormatting sqref="B22:E22">
    <cfRule type="expression" dxfId="20" priority="21">
      <formula>$F$22="YES"</formula>
    </cfRule>
  </conditionalFormatting>
  <conditionalFormatting sqref="B25:E25">
    <cfRule type="expression" dxfId="19" priority="10">
      <formula>$F$25="YES"</formula>
    </cfRule>
  </conditionalFormatting>
  <conditionalFormatting sqref="B26:E26">
    <cfRule type="expression" dxfId="18" priority="8">
      <formula>$F$26="YES"</formula>
    </cfRule>
  </conditionalFormatting>
  <conditionalFormatting sqref="B28:E28">
    <cfRule type="expression" dxfId="17" priority="18">
      <formula>$F$28="YES"</formula>
    </cfRule>
  </conditionalFormatting>
  <conditionalFormatting sqref="B29:E29">
    <cfRule type="expression" dxfId="16" priority="5">
      <formula>$F$29="YES"</formula>
    </cfRule>
  </conditionalFormatting>
  <conditionalFormatting sqref="B30:E30">
    <cfRule type="expression" dxfId="15" priority="14">
      <formula>$F$30="YES"</formula>
    </cfRule>
  </conditionalFormatting>
  <conditionalFormatting sqref="B31:E31">
    <cfRule type="expression" dxfId="14" priority="1">
      <formula>$F$31="YES"</formula>
    </cfRule>
  </conditionalFormatting>
  <conditionalFormatting sqref="B32:E32">
    <cfRule type="expression" dxfId="13" priority="13">
      <formula>$F$32="YES"</formula>
    </cfRule>
  </conditionalFormatting>
  <conditionalFormatting sqref="B33:E33">
    <cfRule type="expression" dxfId="12" priority="9">
      <formula>$F$33="YES"</formula>
    </cfRule>
  </conditionalFormatting>
  <conditionalFormatting sqref="B35:E35">
    <cfRule type="expression" dxfId="11" priority="6">
      <formula>$F$35="YES"</formula>
    </cfRule>
  </conditionalFormatting>
  <conditionalFormatting sqref="B36:E36">
    <cfRule type="expression" dxfId="10" priority="7">
      <formula>$F$36="YES"</formula>
    </cfRule>
  </conditionalFormatting>
  <conditionalFormatting sqref="B37:E37">
    <cfRule type="expression" dxfId="9" priority="15">
      <formula>$F$37="YES"</formula>
    </cfRule>
  </conditionalFormatting>
  <conditionalFormatting sqref="B38:E38">
    <cfRule type="expression" dxfId="8" priority="16">
      <formula>$F$38="YES"</formula>
    </cfRule>
  </conditionalFormatting>
  <conditionalFormatting sqref="B39:E39">
    <cfRule type="expression" dxfId="7" priority="26">
      <formula>$F$39="YES"</formula>
    </cfRule>
  </conditionalFormatting>
  <conditionalFormatting sqref="B40:E41">
    <cfRule type="expression" dxfId="6" priority="25">
      <formula>$F$40="YES"</formula>
    </cfRule>
  </conditionalFormatting>
  <conditionalFormatting sqref="B42:E42">
    <cfRule type="expression" dxfId="5" priority="4">
      <formula>$F$42="YES"</formula>
    </cfRule>
  </conditionalFormatting>
  <conditionalFormatting sqref="B43:E43">
    <cfRule type="expression" dxfId="4" priority="23">
      <formula>$F$43="YES"</formula>
    </cfRule>
  </conditionalFormatting>
  <conditionalFormatting sqref="B44:E44">
    <cfRule type="expression" dxfId="3" priority="3">
      <formula>$F$44="YES"</formula>
    </cfRule>
  </conditionalFormatting>
  <conditionalFormatting sqref="B45:E45">
    <cfRule type="expression" dxfId="2" priority="2">
      <formula>$F$45="YES"</formula>
    </cfRule>
  </conditionalFormatting>
  <conditionalFormatting sqref="D23">
    <cfRule type="expression" dxfId="1" priority="30">
      <formula>$F$23="YES"</formula>
    </cfRule>
  </conditionalFormatting>
  <conditionalFormatting sqref="D24:E24">
    <cfRule type="expression" dxfId="0" priority="11">
      <formula>$F$24="YES"</formula>
    </cfRule>
  </conditionalFormatting>
  <pageMargins left="0.7" right="0.7" top="0.75" bottom="0.75" header="0.3" footer="0.3"/>
  <pageSetup orientation="portrait" r:id="rId1"/>
  <headerFooter>
    <oddHeader>&amp;C&amp;G</oddHeader>
  </headerFooter>
  <ignoredErrors>
    <ignoredError sqref="G26 H28" formula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Horizon Production Sheet</vt:lpstr>
      <vt:lpstr>In-Shop Production Sheet</vt:lpstr>
      <vt:lpstr>Hose Lengths</vt:lpstr>
      <vt:lpstr>BUILD SHEET LG. Unit</vt:lpstr>
      <vt:lpstr>In-Production LG. Units</vt:lpstr>
      <vt:lpstr>'BUILD SHEET LG. Unit'!Print_Area</vt:lpstr>
      <vt:lpstr>'Horizon Production Sheet'!Print_Area</vt:lpstr>
      <vt:lpstr>'In-Production LG. Units'!Print_Area</vt:lpstr>
      <vt:lpstr>'In-Shop Production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TDH</cp:lastModifiedBy>
  <cp:lastPrinted>2023-10-18T13:44:36Z</cp:lastPrinted>
  <dcterms:created xsi:type="dcterms:W3CDTF">2018-02-16T19:32:35Z</dcterms:created>
  <dcterms:modified xsi:type="dcterms:W3CDTF">2023-10-18T13:45:33Z</dcterms:modified>
</cp:coreProperties>
</file>