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s13217_ic_ac_uk/Documents/Project PhD Y2 Fe oxidation/Matlab rate analysis/"/>
    </mc:Choice>
  </mc:AlternateContent>
  <xr:revisionPtr revIDLastSave="10" documentId="8_{F18FB7E0-E992-4E02-A310-CD1A5DC310C5}" xr6:coauthVersionLast="47" xr6:coauthVersionMax="47" xr10:uidLastSave="{241D7C6A-18EC-0543-A707-E7D62BC944B3}"/>
  <bookViews>
    <workbookView xWindow="0" yWindow="500" windowWidth="23260" windowHeight="16720" firstSheet="1" activeTab="7" xr2:uid="{00000000-000D-0000-FFFF-FFFF00000000}"/>
  </bookViews>
  <sheets>
    <sheet name="literature" sheetId="31" r:id="rId1"/>
    <sheet name="Data table" sheetId="29" r:id="rId2"/>
    <sheet name="second order" sheetId="30" r:id="rId3"/>
    <sheet name="Calibration" sheetId="1" r:id="rId4"/>
    <sheet name="GP 1" sheetId="2" r:id="rId5"/>
    <sheet name="GP 2" sheetId="25" r:id="rId6"/>
    <sheet name="GP 3" sheetId="26" r:id="rId7"/>
    <sheet name="Jay+Hanif" sheetId="7" r:id="rId8"/>
    <sheet name="Fe stability" sheetId="23" r:id="rId9"/>
    <sheet name="Fe conc Hanif" sheetId="27" r:id="rId10"/>
    <sheet name="Design Cal Curve" sheetId="3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2" l="1"/>
  <c r="O28" i="1"/>
  <c r="E4" i="32"/>
  <c r="F4" i="32" s="1"/>
  <c r="E13" i="32" s="1"/>
  <c r="F13" i="32" s="1"/>
  <c r="H13" i="32" s="1"/>
  <c r="E16" i="32" l="1"/>
  <c r="F16" i="32" s="1"/>
  <c r="H16" i="32" s="1"/>
  <c r="E12" i="32"/>
  <c r="F12" i="32" s="1"/>
  <c r="H12" i="32" s="1"/>
  <c r="E15" i="32"/>
  <c r="F15" i="32" s="1"/>
  <c r="E14" i="32"/>
  <c r="F14" i="32" s="1"/>
  <c r="K13" i="32"/>
  <c r="M13" i="32" s="1"/>
  <c r="K12" i="32"/>
  <c r="M12" i="32" s="1"/>
  <c r="K16" i="32"/>
  <c r="M16" i="32" s="1"/>
  <c r="E8" i="29"/>
  <c r="F8" i="29"/>
  <c r="I32" i="2"/>
  <c r="E9" i="29" s="1"/>
  <c r="F9" i="29" s="1"/>
  <c r="I33" i="2"/>
  <c r="E10" i="29" s="1"/>
  <c r="F10" i="29" s="1"/>
  <c r="I34" i="2"/>
  <c r="E11" i="29"/>
  <c r="F11" i="29" s="1"/>
  <c r="I35" i="2"/>
  <c r="E12" i="29"/>
  <c r="F12" i="29"/>
  <c r="I36" i="2"/>
  <c r="E13" i="29" s="1"/>
  <c r="F13" i="29" s="1"/>
  <c r="I37" i="2"/>
  <c r="E14" i="29" s="1"/>
  <c r="F14" i="29" s="1"/>
  <c r="M37" i="29"/>
  <c r="M49" i="29" s="1"/>
  <c r="K96" i="29" s="1"/>
  <c r="L31" i="1"/>
  <c r="L30" i="1"/>
  <c r="M30" i="1"/>
  <c r="N30" i="1"/>
  <c r="L28" i="1"/>
  <c r="M28" i="1"/>
  <c r="N28" i="1" s="1"/>
  <c r="L29" i="1"/>
  <c r="M29" i="1"/>
  <c r="N29" i="1" s="1"/>
  <c r="M31" i="1"/>
  <c r="N31" i="1"/>
  <c r="D34" i="1" a="1"/>
  <c r="D34" i="1" s="1"/>
  <c r="D42" i="1" s="1"/>
  <c r="F34" i="1" a="1"/>
  <c r="F34" i="1"/>
  <c r="D43" i="1" s="1"/>
  <c r="H34" i="1" a="1"/>
  <c r="H34" i="1" s="1"/>
  <c r="D44" i="1" s="1"/>
  <c r="J34" i="1" a="1"/>
  <c r="K37" i="1" s="1"/>
  <c r="J34" i="1"/>
  <c r="D45" i="1" s="1"/>
  <c r="K38" i="1"/>
  <c r="I38" i="1"/>
  <c r="G38" i="1"/>
  <c r="J35" i="1"/>
  <c r="E45" i="1" s="1"/>
  <c r="K35" i="1"/>
  <c r="G45" i="1"/>
  <c r="J38" i="1"/>
  <c r="K36" i="1"/>
  <c r="H35" i="1"/>
  <c r="E44" i="1" s="1"/>
  <c r="I35" i="1"/>
  <c r="G44" i="1" s="1"/>
  <c r="H38" i="1"/>
  <c r="I36" i="1"/>
  <c r="F35" i="1"/>
  <c r="E43" i="1" s="1"/>
  <c r="F37" i="1"/>
  <c r="G35" i="1"/>
  <c r="G43" i="1" s="1"/>
  <c r="G37" i="1"/>
  <c r="F36" i="1"/>
  <c r="H43" i="1"/>
  <c r="F38" i="1"/>
  <c r="G34" i="1"/>
  <c r="F43" i="1"/>
  <c r="G36" i="1"/>
  <c r="D37" i="1"/>
  <c r="D35" i="1"/>
  <c r="E42" i="1"/>
  <c r="E35" i="1"/>
  <c r="G42" i="1" s="1"/>
  <c r="E38" i="1"/>
  <c r="E36" i="1"/>
  <c r="E34" i="1"/>
  <c r="F42" i="1" s="1"/>
  <c r="E37" i="1"/>
  <c r="D38" i="1"/>
  <c r="D36" i="1"/>
  <c r="H42" i="1" s="1"/>
  <c r="C152" i="29"/>
  <c r="M152" i="29"/>
  <c r="N152" i="29"/>
  <c r="P152" i="29"/>
  <c r="E152" i="29"/>
  <c r="O152" i="29"/>
  <c r="B152" i="29"/>
  <c r="L152" i="29" s="1"/>
  <c r="S19" i="30"/>
  <c r="C19" i="30"/>
  <c r="G19" i="30"/>
  <c r="K19" i="30"/>
  <c r="O19" i="30"/>
  <c r="O5" i="30"/>
  <c r="K5" i="30"/>
  <c r="G5" i="30"/>
  <c r="C5" i="30"/>
  <c r="E145" i="29"/>
  <c r="E143" i="29"/>
  <c r="E141" i="29"/>
  <c r="S20" i="30"/>
  <c r="O20" i="30"/>
  <c r="K20" i="30"/>
  <c r="G20" i="30"/>
  <c r="C20" i="30"/>
  <c r="O6" i="30"/>
  <c r="K6" i="30"/>
  <c r="G6" i="30"/>
  <c r="C6" i="30"/>
  <c r="C12" i="30"/>
  <c r="V21" i="30"/>
  <c r="D9" i="30"/>
  <c r="D10" i="30"/>
  <c r="D11" i="30"/>
  <c r="D12" i="30"/>
  <c r="D13" i="30"/>
  <c r="D14" i="30"/>
  <c r="C21" i="30"/>
  <c r="D21" i="30"/>
  <c r="E21" i="30"/>
  <c r="F21" i="30"/>
  <c r="G21" i="30"/>
  <c r="H21" i="30"/>
  <c r="I21" i="30"/>
  <c r="J21" i="30"/>
  <c r="K21" i="30"/>
  <c r="L21" i="30"/>
  <c r="M21" i="30"/>
  <c r="N21" i="30"/>
  <c r="O21" i="30"/>
  <c r="P21" i="30"/>
  <c r="Q21" i="30"/>
  <c r="R21" i="30"/>
  <c r="S21" i="30"/>
  <c r="T21" i="30"/>
  <c r="U21" i="30"/>
  <c r="R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D8" i="30"/>
  <c r="C7" i="30"/>
  <c r="O127" i="29"/>
  <c r="K127" i="29"/>
  <c r="G127" i="29"/>
  <c r="C127" i="29"/>
  <c r="O126" i="29"/>
  <c r="K126" i="29"/>
  <c r="G126" i="29"/>
  <c r="C126" i="29"/>
  <c r="D15" i="1" a="1"/>
  <c r="E15" i="1"/>
  <c r="D19" i="1"/>
  <c r="D18" i="1"/>
  <c r="D16" i="1"/>
  <c r="C13" i="30"/>
  <c r="C10" i="30"/>
  <c r="C9" i="30"/>
  <c r="C14" i="30"/>
  <c r="C8" i="30"/>
  <c r="C11" i="30"/>
  <c r="E37" i="29"/>
  <c r="I37" i="29"/>
  <c r="S37" i="29"/>
  <c r="S72" i="29" s="1"/>
  <c r="G37" i="29"/>
  <c r="O37" i="29"/>
  <c r="K37" i="29"/>
  <c r="K72" i="29" s="1"/>
  <c r="K81" i="29" s="1"/>
  <c r="B95" i="29" s="1"/>
  <c r="Q37" i="29"/>
  <c r="Q49" i="29" s="1"/>
  <c r="K98" i="29" s="1"/>
  <c r="C37" i="29"/>
  <c r="C72" i="29" s="1"/>
  <c r="C49" i="29"/>
  <c r="K91" i="29" s="1"/>
  <c r="C81" i="29"/>
  <c r="M72" i="29"/>
  <c r="M81" i="29" s="1"/>
  <c r="Q72" i="29"/>
  <c r="Q81" i="29" s="1"/>
  <c r="G72" i="29"/>
  <c r="G81" i="29"/>
  <c r="G49" i="29"/>
  <c r="K93" i="29" s="1"/>
  <c r="S81" i="29"/>
  <c r="S49" i="29"/>
  <c r="K99" i="29" s="1"/>
  <c r="O72" i="29"/>
  <c r="O81" i="29"/>
  <c r="O49" i="29"/>
  <c r="K97" i="29" s="1"/>
  <c r="D37" i="7"/>
  <c r="C41" i="29"/>
  <c r="C40" i="29"/>
  <c r="C39" i="29"/>
  <c r="C42" i="29"/>
  <c r="C43" i="29"/>
  <c r="C44" i="29"/>
  <c r="C45" i="29"/>
  <c r="D23" i="29"/>
  <c r="D23" i="30"/>
  <c r="G23" i="29"/>
  <c r="H23" i="29"/>
  <c r="H23" i="30"/>
  <c r="D24" i="29"/>
  <c r="D24" i="30" s="1"/>
  <c r="G24" i="29"/>
  <c r="H24" i="29"/>
  <c r="H24" i="30"/>
  <c r="D25" i="29"/>
  <c r="D25" i="30" s="1"/>
  <c r="G25" i="29"/>
  <c r="H25" i="29"/>
  <c r="H25" i="30"/>
  <c r="D26" i="29"/>
  <c r="D26" i="30"/>
  <c r="G26" i="29"/>
  <c r="H26" i="29"/>
  <c r="H26" i="30" s="1"/>
  <c r="D27" i="29"/>
  <c r="D27" i="30"/>
  <c r="G27" i="29"/>
  <c r="H27" i="29"/>
  <c r="H27" i="30"/>
  <c r="D28" i="29"/>
  <c r="D28" i="30" s="1"/>
  <c r="G28" i="29"/>
  <c r="H28" i="29"/>
  <c r="H28" i="30"/>
  <c r="D29" i="29"/>
  <c r="D29" i="30" s="1"/>
  <c r="G29" i="29"/>
  <c r="H29" i="29"/>
  <c r="H29" i="30"/>
  <c r="D30" i="29"/>
  <c r="D30" i="30"/>
  <c r="G30" i="29"/>
  <c r="H30" i="29"/>
  <c r="H30" i="30" s="1"/>
  <c r="D31" i="29"/>
  <c r="D31" i="30"/>
  <c r="G31" i="29"/>
  <c r="H31" i="29"/>
  <c r="H31" i="30"/>
  <c r="H22" i="29"/>
  <c r="H22" i="30" s="1"/>
  <c r="G22" i="29"/>
  <c r="G22" i="30"/>
  <c r="L23" i="29"/>
  <c r="L23" i="30" s="1"/>
  <c r="O23" i="29"/>
  <c r="P23" i="29"/>
  <c r="P23" i="30"/>
  <c r="S23" i="29"/>
  <c r="T23" i="29"/>
  <c r="T23" i="30"/>
  <c r="L24" i="29"/>
  <c r="L24" i="30" s="1"/>
  <c r="O24" i="29"/>
  <c r="P24" i="29"/>
  <c r="P24" i="30"/>
  <c r="S24" i="29"/>
  <c r="T24" i="29"/>
  <c r="T24" i="30"/>
  <c r="L25" i="29"/>
  <c r="L25" i="30" s="1"/>
  <c r="O25" i="29"/>
  <c r="P25" i="29"/>
  <c r="P25" i="30"/>
  <c r="T25" i="29"/>
  <c r="T25" i="30" s="1"/>
  <c r="L26" i="29"/>
  <c r="L26" i="30"/>
  <c r="O26" i="29"/>
  <c r="S43" i="29" s="1"/>
  <c r="P26" i="29"/>
  <c r="P26" i="30"/>
  <c r="T26" i="29"/>
  <c r="T26" i="30"/>
  <c r="L27" i="29"/>
  <c r="L27" i="30"/>
  <c r="O27" i="29"/>
  <c r="P27" i="29"/>
  <c r="P27" i="30" s="1"/>
  <c r="T27" i="29"/>
  <c r="T27" i="30"/>
  <c r="L28" i="29"/>
  <c r="L28" i="30" s="1"/>
  <c r="O28" i="29"/>
  <c r="P28" i="29"/>
  <c r="P28" i="30"/>
  <c r="T28" i="29"/>
  <c r="T28" i="30"/>
  <c r="L29" i="29"/>
  <c r="L29" i="30"/>
  <c r="O29" i="29"/>
  <c r="P29" i="29"/>
  <c r="P29" i="30"/>
  <c r="T29" i="29"/>
  <c r="T29" i="30" s="1"/>
  <c r="L30" i="29"/>
  <c r="L30" i="30"/>
  <c r="O30" i="29"/>
  <c r="P30" i="29"/>
  <c r="P30" i="30"/>
  <c r="T30" i="29"/>
  <c r="T30" i="30" s="1"/>
  <c r="L31" i="29"/>
  <c r="L31" i="30"/>
  <c r="O31" i="29"/>
  <c r="P31" i="29"/>
  <c r="P31" i="30" s="1"/>
  <c r="T31" i="29"/>
  <c r="T31" i="30"/>
  <c r="T22" i="29"/>
  <c r="T22" i="30" s="1"/>
  <c r="S22" i="29"/>
  <c r="S22" i="30"/>
  <c r="P22" i="29"/>
  <c r="P22" i="30" s="1"/>
  <c r="O22" i="29"/>
  <c r="O22" i="30"/>
  <c r="L22" i="29"/>
  <c r="L22" i="30" s="1"/>
  <c r="K23" i="29"/>
  <c r="K24" i="29"/>
  <c r="K26" i="29"/>
  <c r="K27" i="29"/>
  <c r="K28" i="29"/>
  <c r="K29" i="29"/>
  <c r="K22" i="29"/>
  <c r="D22" i="29"/>
  <c r="D22" i="30"/>
  <c r="C23" i="29"/>
  <c r="C23" i="30" s="1"/>
  <c r="C24" i="29"/>
  <c r="C25" i="29"/>
  <c r="C26" i="29"/>
  <c r="C27" i="29"/>
  <c r="M44" i="29" s="1"/>
  <c r="C28" i="29"/>
  <c r="C29" i="29"/>
  <c r="C30" i="29"/>
  <c r="C31" i="29"/>
  <c r="C22" i="29"/>
  <c r="C22" i="30"/>
  <c r="P9" i="29"/>
  <c r="P9" i="30" s="1"/>
  <c r="P10" i="29"/>
  <c r="P10" i="30"/>
  <c r="P11" i="29"/>
  <c r="P11" i="30" s="1"/>
  <c r="P12" i="29"/>
  <c r="P12" i="30"/>
  <c r="P13" i="29"/>
  <c r="P13" i="30" s="1"/>
  <c r="P14" i="29"/>
  <c r="P14" i="30"/>
  <c r="P15" i="29"/>
  <c r="P15" i="30" s="1"/>
  <c r="P16" i="29"/>
  <c r="P16" i="30"/>
  <c r="P17" i="29"/>
  <c r="P17" i="30" s="1"/>
  <c r="P8" i="29"/>
  <c r="P8" i="30"/>
  <c r="O9" i="29"/>
  <c r="O10" i="29"/>
  <c r="O41" i="29" s="1"/>
  <c r="O11" i="29"/>
  <c r="O12" i="29"/>
  <c r="O13" i="29"/>
  <c r="O13" i="30" s="1"/>
  <c r="O14" i="29"/>
  <c r="O15" i="29"/>
  <c r="O16" i="29"/>
  <c r="O17" i="29"/>
  <c r="O8" i="29"/>
  <c r="L9" i="29"/>
  <c r="L9" i="30"/>
  <c r="L10" i="29"/>
  <c r="L10" i="30" s="1"/>
  <c r="L11" i="29"/>
  <c r="L11" i="30"/>
  <c r="L12" i="29"/>
  <c r="L12" i="30" s="1"/>
  <c r="L13" i="29"/>
  <c r="L13" i="30"/>
  <c r="L14" i="29"/>
  <c r="L14" i="30" s="1"/>
  <c r="L15" i="29"/>
  <c r="L15" i="30"/>
  <c r="L16" i="29"/>
  <c r="L16" i="30" s="1"/>
  <c r="L17" i="29"/>
  <c r="L17" i="30"/>
  <c r="L8" i="29"/>
  <c r="L8" i="30" s="1"/>
  <c r="K9" i="29"/>
  <c r="K10" i="29"/>
  <c r="K11" i="29"/>
  <c r="K12" i="29"/>
  <c r="K13" i="29"/>
  <c r="K14" i="29"/>
  <c r="K15" i="29"/>
  <c r="K16" i="29"/>
  <c r="K17" i="29"/>
  <c r="K8" i="29"/>
  <c r="K8" i="30"/>
  <c r="G9" i="29"/>
  <c r="H9" i="29"/>
  <c r="H9" i="30"/>
  <c r="G10" i="29"/>
  <c r="H10" i="29"/>
  <c r="H10" i="30"/>
  <c r="G11" i="29"/>
  <c r="H11" i="29"/>
  <c r="H11" i="30" s="1"/>
  <c r="G12" i="29"/>
  <c r="H12" i="29"/>
  <c r="H12" i="30" s="1"/>
  <c r="G13" i="29"/>
  <c r="H13" i="29"/>
  <c r="H13" i="30"/>
  <c r="G14" i="29"/>
  <c r="H14" i="29"/>
  <c r="H14" i="30"/>
  <c r="G15" i="29"/>
  <c r="Q46" i="29" s="1"/>
  <c r="H15" i="29"/>
  <c r="H15" i="30" s="1"/>
  <c r="G16" i="29"/>
  <c r="H16" i="29"/>
  <c r="H16" i="30"/>
  <c r="G17" i="29"/>
  <c r="H17" i="29"/>
  <c r="H17" i="30"/>
  <c r="H8" i="29"/>
  <c r="H8" i="30" s="1"/>
  <c r="G8" i="29"/>
  <c r="G8" i="30"/>
  <c r="D44" i="7"/>
  <c r="O46" i="29"/>
  <c r="C27" i="30"/>
  <c r="E40" i="29"/>
  <c r="G42" i="29"/>
  <c r="G25" i="30"/>
  <c r="Q47" i="29"/>
  <c r="G16" i="30"/>
  <c r="Q43" i="29"/>
  <c r="G12" i="30"/>
  <c r="K47" i="29"/>
  <c r="K43" i="29"/>
  <c r="K12" i="30"/>
  <c r="O10" i="30"/>
  <c r="G45" i="29"/>
  <c r="G28" i="30"/>
  <c r="G41" i="29"/>
  <c r="G24" i="30"/>
  <c r="K48" i="29"/>
  <c r="K17" i="30"/>
  <c r="K40" i="29"/>
  <c r="O42" i="29"/>
  <c r="O11" i="30"/>
  <c r="E44" i="29"/>
  <c r="G46" i="29"/>
  <c r="G29" i="30"/>
  <c r="Q48" i="29"/>
  <c r="G17" i="30"/>
  <c r="Q44" i="29"/>
  <c r="G13" i="30"/>
  <c r="Q40" i="29"/>
  <c r="G9" i="30"/>
  <c r="K11" i="30"/>
  <c r="M46" i="29"/>
  <c r="C29" i="30"/>
  <c r="M42" i="29"/>
  <c r="C25" i="30"/>
  <c r="E46" i="29"/>
  <c r="K29" i="30"/>
  <c r="S47" i="29"/>
  <c r="O30" i="30"/>
  <c r="S46" i="29"/>
  <c r="S45" i="29"/>
  <c r="O28" i="30"/>
  <c r="O26" i="30"/>
  <c r="S42" i="29"/>
  <c r="S41" i="29"/>
  <c r="O24" i="30"/>
  <c r="S40" i="29"/>
  <c r="G48" i="29"/>
  <c r="G31" i="30"/>
  <c r="G40" i="29"/>
  <c r="G23" i="30"/>
  <c r="K44" i="29"/>
  <c r="M40" i="29"/>
  <c r="Q41" i="29"/>
  <c r="K41" i="29"/>
  <c r="O47" i="29"/>
  <c r="O43" i="29"/>
  <c r="O12" i="30"/>
  <c r="M45" i="29"/>
  <c r="C28" i="30"/>
  <c r="M41" i="29"/>
  <c r="C24" i="30"/>
  <c r="E45" i="29"/>
  <c r="E41" i="29"/>
  <c r="K24" i="30"/>
  <c r="I40" i="29"/>
  <c r="S23" i="30"/>
  <c r="G43" i="29"/>
  <c r="G26" i="30"/>
  <c r="B96" i="29"/>
  <c r="B158" i="29" s="1"/>
  <c r="L157" i="29" s="1"/>
  <c r="M88" i="29"/>
  <c r="B99" i="29"/>
  <c r="S88" i="29"/>
  <c r="I39" i="29"/>
  <c r="K39" i="29"/>
  <c r="M39" i="29"/>
  <c r="S39" i="29"/>
  <c r="Q39" i="29"/>
  <c r="G39" i="29"/>
  <c r="Q24" i="27"/>
  <c r="R24" i="27" s="1"/>
  <c r="Q25" i="27"/>
  <c r="R25" i="27" s="1"/>
  <c r="Q26" i="27"/>
  <c r="R26" i="27"/>
  <c r="Q27" i="27"/>
  <c r="R27" i="27" s="1"/>
  <c r="Q28" i="27"/>
  <c r="Q29" i="27"/>
  <c r="Q30" i="27"/>
  <c r="R30" i="27"/>
  <c r="Q31" i="27"/>
  <c r="R31" i="27" s="1"/>
  <c r="Q23" i="27"/>
  <c r="R23" i="27" s="1"/>
  <c r="I24" i="27"/>
  <c r="J24" i="27" s="1"/>
  <c r="I25" i="27"/>
  <c r="J25" i="27"/>
  <c r="I26" i="27"/>
  <c r="J26" i="27" s="1"/>
  <c r="I27" i="27"/>
  <c r="I28" i="27"/>
  <c r="J28" i="27"/>
  <c r="I29" i="27"/>
  <c r="J29" i="27"/>
  <c r="I30" i="27"/>
  <c r="J30" i="27"/>
  <c r="I31" i="27"/>
  <c r="J31" i="27"/>
  <c r="I23" i="27"/>
  <c r="J23" i="27"/>
  <c r="R28" i="27"/>
  <c r="R29" i="27"/>
  <c r="M31" i="27"/>
  <c r="E31" i="27"/>
  <c r="M30" i="27"/>
  <c r="E30" i="27"/>
  <c r="M29" i="27"/>
  <c r="E29" i="27"/>
  <c r="M28" i="27"/>
  <c r="E28" i="27"/>
  <c r="M27" i="27"/>
  <c r="J27" i="27"/>
  <c r="E27" i="27"/>
  <c r="M26" i="27"/>
  <c r="E26" i="27"/>
  <c r="M25" i="27"/>
  <c r="E25" i="27"/>
  <c r="M24" i="27"/>
  <c r="E24" i="27"/>
  <c r="M23" i="27"/>
  <c r="E23" i="27"/>
  <c r="D39" i="7"/>
  <c r="G42" i="7"/>
  <c r="G39" i="7"/>
  <c r="D42" i="7"/>
  <c r="I43" i="2"/>
  <c r="I44" i="2"/>
  <c r="I45" i="2"/>
  <c r="I46" i="2"/>
  <c r="I47" i="2"/>
  <c r="I13" i="29"/>
  <c r="I48" i="2"/>
  <c r="I14" i="29" s="1"/>
  <c r="J14" i="29" s="1"/>
  <c r="J14" i="30" s="1"/>
  <c r="I49" i="2"/>
  <c r="I15" i="29" s="1"/>
  <c r="J15" i="29" s="1"/>
  <c r="R46" i="29" s="1"/>
  <c r="I50" i="2"/>
  <c r="I51" i="2"/>
  <c r="J51" i="2" s="1"/>
  <c r="I42" i="2"/>
  <c r="J42" i="2" s="1"/>
  <c r="F42" i="2"/>
  <c r="F43" i="2"/>
  <c r="F44" i="2"/>
  <c r="F45" i="2"/>
  <c r="F46" i="2"/>
  <c r="F47" i="2"/>
  <c r="J47" i="2"/>
  <c r="F48" i="2"/>
  <c r="F49" i="2"/>
  <c r="F50" i="2"/>
  <c r="F51" i="2"/>
  <c r="O32" i="26"/>
  <c r="L32" i="26"/>
  <c r="G32" i="26"/>
  <c r="D32" i="26"/>
  <c r="O31" i="26"/>
  <c r="L31" i="26"/>
  <c r="G31" i="26"/>
  <c r="H31" i="26"/>
  <c r="E30" i="29"/>
  <c r="D31" i="26"/>
  <c r="O30" i="26"/>
  <c r="L30" i="26"/>
  <c r="G30" i="26"/>
  <c r="E29" i="29"/>
  <c r="F29" i="29" s="1"/>
  <c r="F29" i="30" s="1"/>
  <c r="D30" i="26"/>
  <c r="O29" i="26"/>
  <c r="L29" i="26"/>
  <c r="G29" i="26"/>
  <c r="H29" i="26" s="1"/>
  <c r="D29" i="26"/>
  <c r="O28" i="26"/>
  <c r="P28" i="26" s="1"/>
  <c r="L28" i="26"/>
  <c r="G28" i="26"/>
  <c r="D28" i="26"/>
  <c r="O27" i="26"/>
  <c r="I26" i="29" s="1"/>
  <c r="J26" i="29" s="1"/>
  <c r="H43" i="29" s="1"/>
  <c r="L27" i="26"/>
  <c r="G27" i="26"/>
  <c r="D27" i="26"/>
  <c r="O26" i="26"/>
  <c r="P26" i="26" s="1"/>
  <c r="L26" i="26"/>
  <c r="G26" i="26"/>
  <c r="H26" i="26"/>
  <c r="E25" i="29"/>
  <c r="F25" i="29" s="1"/>
  <c r="N42" i="29" s="1"/>
  <c r="D26" i="26"/>
  <c r="O25" i="26"/>
  <c r="L25" i="26"/>
  <c r="G25" i="26"/>
  <c r="H25" i="26" s="1"/>
  <c r="D25" i="26"/>
  <c r="O24" i="26"/>
  <c r="I23" i="29" s="1"/>
  <c r="L24" i="26"/>
  <c r="G24" i="26"/>
  <c r="H24" i="26" s="1"/>
  <c r="D24" i="26"/>
  <c r="O23" i="26"/>
  <c r="L23" i="26"/>
  <c r="G23" i="26"/>
  <c r="H23" i="26" s="1"/>
  <c r="E22" i="29"/>
  <c r="D23" i="26"/>
  <c r="D38" i="7"/>
  <c r="D40" i="7"/>
  <c r="D41" i="7"/>
  <c r="D43" i="7"/>
  <c r="D45" i="7"/>
  <c r="G38" i="7"/>
  <c r="G40" i="7"/>
  <c r="G41" i="7"/>
  <c r="P24" i="26"/>
  <c r="J48" i="2"/>
  <c r="I25" i="29"/>
  <c r="I25" i="30" s="1"/>
  <c r="H30" i="26"/>
  <c r="I17" i="29"/>
  <c r="J13" i="29"/>
  <c r="R44" i="29" s="1"/>
  <c r="I13" i="30"/>
  <c r="J43" i="2"/>
  <c r="I9" i="29"/>
  <c r="J9" i="29" s="1"/>
  <c r="C96" i="29"/>
  <c r="J96" i="29" s="1"/>
  <c r="P25" i="26"/>
  <c r="I24" i="29"/>
  <c r="J24" i="29" s="1"/>
  <c r="J44" i="2"/>
  <c r="I10" i="29"/>
  <c r="E23" i="29"/>
  <c r="F23" i="29" s="1"/>
  <c r="F23" i="30" s="1"/>
  <c r="E24" i="29"/>
  <c r="F24" i="29" s="1"/>
  <c r="E25" i="30"/>
  <c r="P27" i="26"/>
  <c r="I27" i="29"/>
  <c r="J27" i="29" s="1"/>
  <c r="H44" i="29" s="1"/>
  <c r="P29" i="26"/>
  <c r="I28" i="29"/>
  <c r="H32" i="26"/>
  <c r="E31" i="29"/>
  <c r="F31" i="29" s="1"/>
  <c r="J50" i="2"/>
  <c r="I16" i="29"/>
  <c r="P23" i="26"/>
  <c r="I22" i="29"/>
  <c r="I8" i="29"/>
  <c r="P30" i="26"/>
  <c r="I29" i="29"/>
  <c r="G43" i="7"/>
  <c r="G44" i="7"/>
  <c r="G45" i="7"/>
  <c r="G37" i="7"/>
  <c r="W16" i="25"/>
  <c r="X16" i="25" s="1"/>
  <c r="T16" i="25"/>
  <c r="W15" i="25"/>
  <c r="T15" i="25"/>
  <c r="W14" i="25"/>
  <c r="X14" i="25" s="1"/>
  <c r="T14" i="25"/>
  <c r="W13" i="25"/>
  <c r="T13" i="25"/>
  <c r="W12" i="25"/>
  <c r="T12" i="25"/>
  <c r="W11" i="25"/>
  <c r="T11" i="25"/>
  <c r="W10" i="25"/>
  <c r="T10" i="25"/>
  <c r="W9" i="25"/>
  <c r="T9" i="25"/>
  <c r="W8" i="25"/>
  <c r="Q9" i="29" s="1"/>
  <c r="R9" i="29" s="1"/>
  <c r="R9" i="30" s="1"/>
  <c r="X8" i="25"/>
  <c r="T8" i="25"/>
  <c r="W7" i="25"/>
  <c r="T7" i="25"/>
  <c r="O16" i="25"/>
  <c r="M17" i="29"/>
  <c r="N17" i="29" s="1"/>
  <c r="N17" i="30" s="1"/>
  <c r="P16" i="25"/>
  <c r="O15" i="25"/>
  <c r="P15" i="25" s="1"/>
  <c r="O14" i="25"/>
  <c r="M15" i="29"/>
  <c r="L16" i="25"/>
  <c r="L15" i="25"/>
  <c r="L14" i="25"/>
  <c r="O8" i="25"/>
  <c r="O9" i="25"/>
  <c r="O10" i="25"/>
  <c r="O11" i="25"/>
  <c r="P11" i="25" s="1"/>
  <c r="O12" i="25"/>
  <c r="M13" i="29" s="1"/>
  <c r="N13" i="29" s="1"/>
  <c r="O13" i="25"/>
  <c r="O7" i="25"/>
  <c r="L13" i="25"/>
  <c r="L12" i="25"/>
  <c r="L11" i="25"/>
  <c r="L10" i="25"/>
  <c r="L9" i="25"/>
  <c r="L8" i="25"/>
  <c r="L7" i="25"/>
  <c r="F7" i="7"/>
  <c r="M22" i="29"/>
  <c r="X13" i="25"/>
  <c r="Q14" i="29"/>
  <c r="I14" i="30"/>
  <c r="P12" i="25"/>
  <c r="P14" i="25"/>
  <c r="M17" i="30"/>
  <c r="Q9" i="30"/>
  <c r="I15" i="30"/>
  <c r="J16" i="29"/>
  <c r="J16" i="30" s="1"/>
  <c r="I16" i="30"/>
  <c r="I26" i="30"/>
  <c r="E24" i="30"/>
  <c r="I24" i="30"/>
  <c r="P13" i="25"/>
  <c r="M14" i="29"/>
  <c r="X9" i="25"/>
  <c r="Q10" i="29"/>
  <c r="R10" i="29" s="1"/>
  <c r="P41" i="29" s="1"/>
  <c r="N46" i="29"/>
  <c r="X12" i="25"/>
  <c r="Q13" i="29"/>
  <c r="R13" i="29" s="1"/>
  <c r="P44" i="29" s="1"/>
  <c r="J13" i="30"/>
  <c r="J23" i="29"/>
  <c r="I23" i="30"/>
  <c r="P9" i="25"/>
  <c r="M10" i="29"/>
  <c r="M10" i="30" s="1"/>
  <c r="X11" i="25"/>
  <c r="Q12" i="29"/>
  <c r="Q12" i="30" s="1"/>
  <c r="X15" i="25"/>
  <c r="Q16" i="29"/>
  <c r="F25" i="30"/>
  <c r="X10" i="25"/>
  <c r="Q11" i="29"/>
  <c r="R11" i="29" s="1"/>
  <c r="P42" i="29" s="1"/>
  <c r="Q15" i="29"/>
  <c r="R15" i="29" s="1"/>
  <c r="Q17" i="29"/>
  <c r="Q17" i="30" s="1"/>
  <c r="P7" i="25"/>
  <c r="M8" i="29"/>
  <c r="M8" i="30" s="1"/>
  <c r="M16" i="29"/>
  <c r="N16" i="29" s="1"/>
  <c r="L47" i="29" s="1"/>
  <c r="X7" i="25"/>
  <c r="Q8" i="29"/>
  <c r="J29" i="29"/>
  <c r="H46" i="29" s="1"/>
  <c r="I29" i="30"/>
  <c r="E31" i="30"/>
  <c r="I27" i="30"/>
  <c r="I9" i="30"/>
  <c r="J17" i="29"/>
  <c r="J17" i="30" s="1"/>
  <c r="I17" i="30"/>
  <c r="R15" i="7"/>
  <c r="S15" i="7" s="1"/>
  <c r="R14" i="7"/>
  <c r="S14" i="7" s="1"/>
  <c r="R11" i="7"/>
  <c r="R10" i="7"/>
  <c r="U25" i="29" s="1"/>
  <c r="U25" i="30" s="1"/>
  <c r="S10" i="7"/>
  <c r="R7" i="7"/>
  <c r="S7" i="7" s="1"/>
  <c r="L16" i="7"/>
  <c r="M16" i="7"/>
  <c r="L13" i="7"/>
  <c r="L12" i="7"/>
  <c r="M12" i="7"/>
  <c r="L9" i="7"/>
  <c r="L8" i="7"/>
  <c r="F9" i="7"/>
  <c r="F10" i="7"/>
  <c r="G10" i="7"/>
  <c r="F13" i="7"/>
  <c r="G13" i="7" s="1"/>
  <c r="F14" i="7"/>
  <c r="M29" i="29" s="1"/>
  <c r="N29" i="29" s="1"/>
  <c r="F46" i="29" s="1"/>
  <c r="G14" i="7"/>
  <c r="G7" i="7"/>
  <c r="R16" i="7"/>
  <c r="U31" i="29"/>
  <c r="R13" i="7"/>
  <c r="U28" i="29"/>
  <c r="U28" i="30" s="1"/>
  <c r="R12" i="7"/>
  <c r="U27" i="29"/>
  <c r="V27" i="29" s="1"/>
  <c r="J44" i="29" s="1"/>
  <c r="R9" i="7"/>
  <c r="U24" i="29"/>
  <c r="V24" i="29" s="1"/>
  <c r="J41" i="29" s="1"/>
  <c r="R8" i="7"/>
  <c r="U23" i="29"/>
  <c r="U22" i="29"/>
  <c r="V22" i="29" s="1"/>
  <c r="J39" i="29" s="1"/>
  <c r="Q31" i="29"/>
  <c r="R31" i="29" s="1"/>
  <c r="L15" i="7"/>
  <c r="Q30" i="29"/>
  <c r="L14" i="7"/>
  <c r="Q29" i="29"/>
  <c r="Q29" i="30" s="1"/>
  <c r="Q27" i="29"/>
  <c r="R27" i="29" s="1"/>
  <c r="T44" i="29" s="1"/>
  <c r="L11" i="7"/>
  <c r="Q26" i="29"/>
  <c r="L10" i="7"/>
  <c r="Q25" i="29"/>
  <c r="R25" i="29" s="1"/>
  <c r="T42" i="29" s="1"/>
  <c r="L7" i="7"/>
  <c r="Q22" i="29"/>
  <c r="Q22" i="30" s="1"/>
  <c r="F8" i="7"/>
  <c r="M23" i="29"/>
  <c r="M25" i="29"/>
  <c r="M25" i="30" s="1"/>
  <c r="F11" i="7"/>
  <c r="M26" i="29" s="1"/>
  <c r="N26" i="29" s="1"/>
  <c r="F43" i="29" s="1"/>
  <c r="F12" i="7"/>
  <c r="M27" i="29"/>
  <c r="M27" i="30" s="1"/>
  <c r="M28" i="29"/>
  <c r="M28" i="30" s="1"/>
  <c r="F15" i="7"/>
  <c r="M30" i="29"/>
  <c r="M30" i="30" s="1"/>
  <c r="F16" i="7"/>
  <c r="P11" i="7"/>
  <c r="S26" i="29"/>
  <c r="I43" i="29" s="1"/>
  <c r="P16" i="7"/>
  <c r="S31" i="29" s="1"/>
  <c r="S31" i="30" s="1"/>
  <c r="P15" i="7"/>
  <c r="S30" i="29"/>
  <c r="I47" i="29" s="1"/>
  <c r="P14" i="7"/>
  <c r="S29" i="29" s="1"/>
  <c r="I46" i="29" s="1"/>
  <c r="P13" i="7"/>
  <c r="S28" i="29"/>
  <c r="S28" i="30" s="1"/>
  <c r="P12" i="7"/>
  <c r="S27" i="29" s="1"/>
  <c r="I44" i="29" s="1"/>
  <c r="P10" i="7"/>
  <c r="S25" i="29"/>
  <c r="S25" i="30" s="1"/>
  <c r="D10" i="7"/>
  <c r="K25" i="29" s="1"/>
  <c r="E42" i="29" s="1"/>
  <c r="D16" i="7"/>
  <c r="K31" i="29"/>
  <c r="E48" i="29" s="1"/>
  <c r="D15" i="7"/>
  <c r="K30" i="29" s="1"/>
  <c r="E47" i="29" s="1"/>
  <c r="J26" i="30"/>
  <c r="I42" i="29"/>
  <c r="M26" i="30"/>
  <c r="R22" i="29"/>
  <c r="R26" i="29"/>
  <c r="T43" i="29" s="1"/>
  <c r="Q26" i="30"/>
  <c r="R30" i="29"/>
  <c r="Q30" i="30"/>
  <c r="V28" i="29"/>
  <c r="M16" i="30"/>
  <c r="N8" i="29"/>
  <c r="N8" i="30" s="1"/>
  <c r="R12" i="29"/>
  <c r="P43" i="29" s="1"/>
  <c r="Q10" i="30"/>
  <c r="R45" i="29"/>
  <c r="K25" i="30"/>
  <c r="N23" i="29"/>
  <c r="M23" i="30"/>
  <c r="V23" i="29"/>
  <c r="U23" i="30"/>
  <c r="V31" i="29"/>
  <c r="V31" i="30" s="1"/>
  <c r="U31" i="30"/>
  <c r="R48" i="29"/>
  <c r="P40" i="29"/>
  <c r="S27" i="30"/>
  <c r="Q27" i="30"/>
  <c r="G12" i="7"/>
  <c r="G8" i="7"/>
  <c r="M10" i="7"/>
  <c r="M14" i="7"/>
  <c r="S8" i="7"/>
  <c r="S12" i="7"/>
  <c r="S16" i="7"/>
  <c r="R40" i="29"/>
  <c r="J9" i="30"/>
  <c r="N48" i="29"/>
  <c r="F31" i="30"/>
  <c r="H40" i="29"/>
  <c r="J23" i="30"/>
  <c r="N41" i="29"/>
  <c r="F24" i="30"/>
  <c r="L48" i="29"/>
  <c r="M13" i="30"/>
  <c r="R14" i="29"/>
  <c r="P45" i="29" s="1"/>
  <c r="Q14" i="30"/>
  <c r="N27" i="29"/>
  <c r="Q25" i="30"/>
  <c r="U27" i="30"/>
  <c r="J29" i="30"/>
  <c r="R47" i="29"/>
  <c r="K30" i="30"/>
  <c r="Q31" i="30"/>
  <c r="I45" i="29"/>
  <c r="S26" i="30"/>
  <c r="U22" i="30"/>
  <c r="G15" i="7"/>
  <c r="M7" i="7"/>
  <c r="M11" i="7"/>
  <c r="M15" i="7"/>
  <c r="S9" i="7"/>
  <c r="S13" i="7"/>
  <c r="R8" i="29"/>
  <c r="R8" i="30" s="1"/>
  <c r="Q8" i="30"/>
  <c r="R17" i="29"/>
  <c r="R17" i="30" s="1"/>
  <c r="Q11" i="30"/>
  <c r="R16" i="29"/>
  <c r="Q16" i="30"/>
  <c r="N10" i="29"/>
  <c r="N10" i="30" s="1"/>
  <c r="Q13" i="30"/>
  <c r="N14" i="29"/>
  <c r="L45" i="29" s="1"/>
  <c r="M14" i="30"/>
  <c r="F32" i="2"/>
  <c r="F33" i="2"/>
  <c r="F34" i="2"/>
  <c r="F35" i="2"/>
  <c r="F36" i="2"/>
  <c r="F37" i="2"/>
  <c r="F31" i="2"/>
  <c r="J31" i="2"/>
  <c r="R25" i="30"/>
  <c r="J33" i="2"/>
  <c r="J35" i="2"/>
  <c r="N14" i="30"/>
  <c r="P48" i="29"/>
  <c r="J45" i="29"/>
  <c r="V28" i="30"/>
  <c r="R27" i="30"/>
  <c r="J48" i="29"/>
  <c r="F40" i="29"/>
  <c r="N23" i="30"/>
  <c r="J34" i="2"/>
  <c r="L44" i="29"/>
  <c r="N13" i="30"/>
  <c r="J37" i="2"/>
  <c r="R13" i="30"/>
  <c r="P39" i="29"/>
  <c r="R10" i="30"/>
  <c r="P46" i="29"/>
  <c r="R15" i="30"/>
  <c r="R26" i="30"/>
  <c r="P47" i="29"/>
  <c r="R16" i="30"/>
  <c r="R11" i="30"/>
  <c r="J36" i="2"/>
  <c r="J32" i="2"/>
  <c r="V22" i="30"/>
  <c r="F44" i="29"/>
  <c r="N27" i="30"/>
  <c r="J40" i="29"/>
  <c r="V23" i="30"/>
  <c r="E12" i="30"/>
  <c r="E8" i="30"/>
  <c r="E9" i="30"/>
  <c r="E14" i="30"/>
  <c r="E11" i="30"/>
  <c r="E10" i="30"/>
  <c r="E13" i="30"/>
  <c r="D41" i="29"/>
  <c r="F10" i="30"/>
  <c r="D42" i="29"/>
  <c r="F11" i="30"/>
  <c r="D40" i="29"/>
  <c r="F9" i="30"/>
  <c r="D43" i="29"/>
  <c r="F12" i="30"/>
  <c r="D44" i="29"/>
  <c r="F13" i="30"/>
  <c r="D45" i="29"/>
  <c r="F14" i="30"/>
  <c r="F8" i="30"/>
  <c r="D39" i="29"/>
  <c r="T48" i="29" l="1"/>
  <c r="R31" i="30"/>
  <c r="B91" i="29"/>
  <c r="C88" i="29"/>
  <c r="B157" i="29"/>
  <c r="L155" i="29" s="1"/>
  <c r="C95" i="29"/>
  <c r="J95" i="29" s="1"/>
  <c r="I72" i="29"/>
  <c r="I81" i="29" s="1"/>
  <c r="I49" i="29"/>
  <c r="K94" i="29" s="1"/>
  <c r="V24" i="30"/>
  <c r="T47" i="29"/>
  <c r="R30" i="30"/>
  <c r="M8" i="7"/>
  <c r="Q23" i="29"/>
  <c r="H27" i="26"/>
  <c r="E26" i="29"/>
  <c r="J46" i="2"/>
  <c r="I12" i="29"/>
  <c r="K88" i="29"/>
  <c r="K42" i="29"/>
  <c r="N26" i="30"/>
  <c r="R22" i="30"/>
  <c r="L39" i="29"/>
  <c r="L41" i="29"/>
  <c r="G11" i="7"/>
  <c r="K31" i="30"/>
  <c r="S29" i="30"/>
  <c r="N30" i="29"/>
  <c r="U29" i="29"/>
  <c r="M9" i="7"/>
  <c r="Q24" i="29"/>
  <c r="I30" i="29"/>
  <c r="P31" i="26"/>
  <c r="J45" i="2"/>
  <c r="I11" i="29"/>
  <c r="B97" i="29"/>
  <c r="O88" i="29"/>
  <c r="K49" i="29"/>
  <c r="K95" i="29" s="1"/>
  <c r="N22" i="29"/>
  <c r="M22" i="30"/>
  <c r="J22" i="29"/>
  <c r="I22" i="30"/>
  <c r="B161" i="29"/>
  <c r="L160" i="29" s="1"/>
  <c r="C99" i="29"/>
  <c r="J99" i="29" s="1"/>
  <c r="O48" i="29"/>
  <c r="O17" i="30"/>
  <c r="O40" i="29"/>
  <c r="O9" i="30"/>
  <c r="O74" i="29" a="1"/>
  <c r="N29" i="30"/>
  <c r="J27" i="30"/>
  <c r="M13" i="7"/>
  <c r="Q28" i="29"/>
  <c r="M12" i="29"/>
  <c r="J10" i="29"/>
  <c r="I10" i="30"/>
  <c r="H28" i="26"/>
  <c r="E27" i="29"/>
  <c r="K46" i="29"/>
  <c r="K15" i="30"/>
  <c r="E49" i="29"/>
  <c r="K92" i="29" s="1"/>
  <c r="E72" i="29"/>
  <c r="E81" i="29" s="1"/>
  <c r="M29" i="30"/>
  <c r="E23" i="30"/>
  <c r="J49" i="2"/>
  <c r="J8" i="29"/>
  <c r="I8" i="30"/>
  <c r="J28" i="29"/>
  <c r="I28" i="30"/>
  <c r="E22" i="30"/>
  <c r="F22" i="29"/>
  <c r="F30" i="29"/>
  <c r="E30" i="30"/>
  <c r="P32" i="26"/>
  <c r="I31" i="29"/>
  <c r="R14" i="30"/>
  <c r="N16" i="30"/>
  <c r="V27" i="30"/>
  <c r="T39" i="29"/>
  <c r="R12" i="30"/>
  <c r="N28" i="29"/>
  <c r="V25" i="29"/>
  <c r="I48" i="29"/>
  <c r="R29" i="29"/>
  <c r="J15" i="30"/>
  <c r="N40" i="29"/>
  <c r="N25" i="29"/>
  <c r="Q15" i="30"/>
  <c r="U24" i="30"/>
  <c r="S30" i="30"/>
  <c r="M31" i="29"/>
  <c r="G16" i="7"/>
  <c r="U30" i="29"/>
  <c r="J25" i="29"/>
  <c r="P8" i="25"/>
  <c r="M9" i="29"/>
  <c r="N15" i="29"/>
  <c r="M15" i="30"/>
  <c r="E29" i="30"/>
  <c r="H41" i="29"/>
  <c r="J24" i="30"/>
  <c r="E28" i="29"/>
  <c r="G10" i="30"/>
  <c r="O44" i="29"/>
  <c r="G15" i="30"/>
  <c r="M47" i="29"/>
  <c r="C30" i="30"/>
  <c r="M43" i="29"/>
  <c r="C26" i="30"/>
  <c r="G9" i="7"/>
  <c r="M24" i="29"/>
  <c r="S11" i="7"/>
  <c r="U26" i="29"/>
  <c r="M11" i="29"/>
  <c r="P10" i="25"/>
  <c r="B98" i="29"/>
  <c r="Q88" i="29"/>
  <c r="O8" i="30"/>
  <c r="O39" i="29"/>
  <c r="O45" i="29"/>
  <c r="O14" i="30"/>
  <c r="M48" i="29"/>
  <c r="C31" i="30"/>
  <c r="S48" i="29"/>
  <c r="O31" i="30"/>
  <c r="S44" i="29"/>
  <c r="O27" i="30"/>
  <c r="G44" i="29"/>
  <c r="G27" i="30"/>
  <c r="E131" i="29"/>
  <c r="E132" i="29"/>
  <c r="E133" i="29"/>
  <c r="K16" i="30"/>
  <c r="K9" i="30"/>
  <c r="K13" i="30"/>
  <c r="K10" i="30"/>
  <c r="K23" i="30"/>
  <c r="K28" i="30"/>
  <c r="K27" i="30"/>
  <c r="Q45" i="29"/>
  <c r="G14" i="30"/>
  <c r="Q42" i="29"/>
  <c r="G11" i="30"/>
  <c r="K45" i="29"/>
  <c r="K14" i="30"/>
  <c r="K22" i="30"/>
  <c r="E39" i="29"/>
  <c r="E43" i="29"/>
  <c r="K26" i="30"/>
  <c r="I41" i="29"/>
  <c r="S24" i="30"/>
  <c r="G47" i="29"/>
  <c r="G30" i="30"/>
  <c r="D15" i="1"/>
  <c r="E19" i="1"/>
  <c r="D17" i="1"/>
  <c r="E18" i="1"/>
  <c r="E17" i="1"/>
  <c r="O15" i="30"/>
  <c r="O16" i="30"/>
  <c r="O29" i="30"/>
  <c r="O25" i="30"/>
  <c r="O23" i="30"/>
  <c r="B93" i="29"/>
  <c r="G88" i="29"/>
  <c r="E16" i="1"/>
  <c r="E130" i="29"/>
  <c r="D46" i="1"/>
  <c r="P28" i="1" s="1"/>
  <c r="D47" i="1"/>
  <c r="D52" i="1" s="1"/>
  <c r="C74" i="29" a="1"/>
  <c r="K15" i="32"/>
  <c r="M15" i="32" s="1"/>
  <c r="H15" i="32"/>
  <c r="H36" i="1"/>
  <c r="H44" i="1" s="1"/>
  <c r="H37" i="1"/>
  <c r="J36" i="1"/>
  <c r="H45" i="1" s="1"/>
  <c r="J37" i="1"/>
  <c r="I34" i="1"/>
  <c r="F44" i="1" s="1"/>
  <c r="I37" i="1"/>
  <c r="K34" i="1"/>
  <c r="F45" i="1" s="1"/>
  <c r="F46" i="1" s="1"/>
  <c r="H14" i="32"/>
  <c r="K14" i="32" s="1"/>
  <c r="M14" i="32" s="1"/>
  <c r="N9" i="29" l="1"/>
  <c r="M9" i="30"/>
  <c r="C74" i="29"/>
  <c r="C75" i="29"/>
  <c r="D74" i="29"/>
  <c r="D75" i="29"/>
  <c r="C76" i="29"/>
  <c r="D76" i="29"/>
  <c r="N11" i="29"/>
  <c r="M11" i="30"/>
  <c r="F42" i="29"/>
  <c r="N25" i="30"/>
  <c r="N39" i="29"/>
  <c r="F22" i="30"/>
  <c r="Q28" i="30"/>
  <c r="R28" i="29"/>
  <c r="N24" i="29"/>
  <c r="M24" i="30"/>
  <c r="T46" i="29"/>
  <c r="R29" i="30"/>
  <c r="N47" i="29"/>
  <c r="F30" i="30"/>
  <c r="H45" i="29"/>
  <c r="J28" i="30"/>
  <c r="E27" i="30"/>
  <c r="F27" i="29"/>
  <c r="M12" i="30"/>
  <c r="N12" i="29"/>
  <c r="F39" i="29"/>
  <c r="N22" i="30"/>
  <c r="J11" i="29"/>
  <c r="I11" i="30"/>
  <c r="R24" i="29"/>
  <c r="Q24" i="30"/>
  <c r="E26" i="30"/>
  <c r="F26" i="29"/>
  <c r="B94" i="29"/>
  <c r="I88" i="29"/>
  <c r="B153" i="29"/>
  <c r="L159" i="29" s="1"/>
  <c r="C91" i="29"/>
  <c r="J91" i="29" s="1"/>
  <c r="M31" i="30"/>
  <c r="N31" i="29"/>
  <c r="I31" i="30"/>
  <c r="J31" i="29"/>
  <c r="V26" i="29"/>
  <c r="U26" i="30"/>
  <c r="F28" i="29"/>
  <c r="E28" i="30"/>
  <c r="J25" i="30"/>
  <c r="H42" i="29"/>
  <c r="J42" i="29"/>
  <c r="V25" i="30"/>
  <c r="J8" i="30"/>
  <c r="R39" i="29"/>
  <c r="P74" i="29"/>
  <c r="P76" i="29"/>
  <c r="O76" i="29"/>
  <c r="O74" i="29"/>
  <c r="O75" i="29"/>
  <c r="P75" i="29"/>
  <c r="G74" i="29" a="1"/>
  <c r="J22" i="30"/>
  <c r="H39" i="29"/>
  <c r="U29" i="30"/>
  <c r="V29" i="29"/>
  <c r="J12" i="29"/>
  <c r="I12" i="30"/>
  <c r="Q23" i="30"/>
  <c r="R23" i="29"/>
  <c r="B155" i="29"/>
  <c r="L158" i="29" s="1"/>
  <c r="C93" i="29"/>
  <c r="J93" i="29" s="1"/>
  <c r="B160" i="29"/>
  <c r="L154" i="29" s="1"/>
  <c r="C98" i="29"/>
  <c r="J98" i="29" s="1"/>
  <c r="L46" i="29"/>
  <c r="N15" i="30"/>
  <c r="V30" i="29"/>
  <c r="U30" i="30"/>
  <c r="F45" i="29"/>
  <c r="N28" i="30"/>
  <c r="B92" i="29"/>
  <c r="E88" i="29"/>
  <c r="R41" i="29"/>
  <c r="J10" i="30"/>
  <c r="B159" i="29"/>
  <c r="L156" i="29" s="1"/>
  <c r="C97" i="29"/>
  <c r="J97" i="29" s="1"/>
  <c r="J30" i="29"/>
  <c r="I30" i="30"/>
  <c r="F47" i="29"/>
  <c r="N30" i="30"/>
  <c r="R23" i="30" l="1"/>
  <c r="T40" i="29"/>
  <c r="S74" i="29" a="1"/>
  <c r="V29" i="30"/>
  <c r="J46" i="29"/>
  <c r="G75" i="29"/>
  <c r="G74" i="29"/>
  <c r="H74" i="29"/>
  <c r="G76" i="29"/>
  <c r="H75" i="29"/>
  <c r="H76" i="29"/>
  <c r="N45" i="29"/>
  <c r="F28" i="30"/>
  <c r="J31" i="30"/>
  <c r="H48" i="29"/>
  <c r="N43" i="29"/>
  <c r="F26" i="30"/>
  <c r="L43" i="29"/>
  <c r="N12" i="30"/>
  <c r="R28" i="30"/>
  <c r="T45" i="29"/>
  <c r="D82" i="29"/>
  <c r="D153" i="29"/>
  <c r="B154" i="29"/>
  <c r="L153" i="29" s="1"/>
  <c r="C92" i="29"/>
  <c r="J92" i="29" s="1"/>
  <c r="J47" i="29"/>
  <c r="V30" i="30"/>
  <c r="M74" i="29" a="1"/>
  <c r="R42" i="29"/>
  <c r="J11" i="30"/>
  <c r="C82" i="29"/>
  <c r="C153" i="29"/>
  <c r="H47" i="29"/>
  <c r="J30" i="30"/>
  <c r="P82" i="29"/>
  <c r="D159" i="29"/>
  <c r="I74" i="29" a="1"/>
  <c r="F48" i="29"/>
  <c r="N31" i="30"/>
  <c r="F27" i="30"/>
  <c r="N44" i="29"/>
  <c r="Q74" i="29" a="1"/>
  <c r="R43" i="29"/>
  <c r="J12" i="30"/>
  <c r="C159" i="29"/>
  <c r="O82" i="29"/>
  <c r="E74" i="29" a="1"/>
  <c r="V26" i="30"/>
  <c r="J43" i="29"/>
  <c r="B156" i="29"/>
  <c r="L161" i="29" s="1"/>
  <c r="C94" i="29"/>
  <c r="J94" i="29" s="1"/>
  <c r="T41" i="29"/>
  <c r="R24" i="30"/>
  <c r="N24" i="30"/>
  <c r="F41" i="29"/>
  <c r="L42" i="29"/>
  <c r="N11" i="30"/>
  <c r="N9" i="30"/>
  <c r="L40" i="29"/>
  <c r="K74" i="29" a="1"/>
  <c r="F76" i="29" l="1"/>
  <c r="F75" i="29"/>
  <c r="E75" i="29"/>
  <c r="F74" i="29"/>
  <c r="E74" i="29"/>
  <c r="E76" i="29"/>
  <c r="P83" i="29"/>
  <c r="P87" i="29"/>
  <c r="E91" i="29"/>
  <c r="C83" i="29"/>
  <c r="N159" i="29"/>
  <c r="F153" i="29"/>
  <c r="P159" i="29" s="1"/>
  <c r="O83" i="29"/>
  <c r="E97" i="29"/>
  <c r="R75" i="29"/>
  <c r="Q74" i="29"/>
  <c r="R74" i="29"/>
  <c r="Q76" i="29"/>
  <c r="Q75" i="29"/>
  <c r="R76" i="29"/>
  <c r="D83" i="29"/>
  <c r="D87" i="29"/>
  <c r="G82" i="29"/>
  <c r="C155" i="29"/>
  <c r="S74" i="29"/>
  <c r="T75" i="29"/>
  <c r="S76" i="29"/>
  <c r="T76" i="29"/>
  <c r="T74" i="29"/>
  <c r="S75" i="29"/>
  <c r="M156" i="29"/>
  <c r="E159" i="29"/>
  <c r="O156" i="29" s="1"/>
  <c r="I75" i="29"/>
  <c r="J76" i="29"/>
  <c r="I76" i="29"/>
  <c r="I74" i="29"/>
  <c r="J75" i="29"/>
  <c r="J74" i="29"/>
  <c r="D155" i="29"/>
  <c r="H82" i="29"/>
  <c r="L76" i="29"/>
  <c r="L75" i="29"/>
  <c r="K76" i="29"/>
  <c r="K74" i="29"/>
  <c r="L74" i="29"/>
  <c r="K75" i="29"/>
  <c r="F159" i="29"/>
  <c r="P156" i="29" s="1"/>
  <c r="N156" i="29"/>
  <c r="E153" i="29"/>
  <c r="O159" i="29" s="1"/>
  <c r="M159" i="29"/>
  <c r="M74" i="29"/>
  <c r="N74" i="29"/>
  <c r="M76" i="29"/>
  <c r="N76" i="29"/>
  <c r="M75" i="29"/>
  <c r="N75" i="29"/>
  <c r="D158" i="29" l="1"/>
  <c r="N82" i="29"/>
  <c r="C158" i="29"/>
  <c r="M82" i="29"/>
  <c r="N158" i="29"/>
  <c r="F155" i="29"/>
  <c r="P158" i="29" s="1"/>
  <c r="G83" i="29"/>
  <c r="E93" i="29"/>
  <c r="D160" i="29"/>
  <c r="R82" i="29"/>
  <c r="F82" i="29"/>
  <c r="D154" i="29"/>
  <c r="D157" i="29"/>
  <c r="L82" i="29"/>
  <c r="T82" i="29"/>
  <c r="D161" i="29"/>
  <c r="C154" i="29"/>
  <c r="E82" i="29"/>
  <c r="G91" i="29"/>
  <c r="L91" i="29"/>
  <c r="J82" i="29"/>
  <c r="D156" i="29"/>
  <c r="S82" i="29"/>
  <c r="C161" i="29"/>
  <c r="L97" i="29"/>
  <c r="G97" i="29"/>
  <c r="K82" i="29"/>
  <c r="C157" i="29"/>
  <c r="H83" i="29"/>
  <c r="H87" i="29"/>
  <c r="I82" i="29"/>
  <c r="C156" i="29"/>
  <c r="E155" i="29"/>
  <c r="O158" i="29" s="1"/>
  <c r="M158" i="29"/>
  <c r="Q82" i="29"/>
  <c r="C160" i="29"/>
  <c r="E94" i="29" l="1"/>
  <c r="I83" i="29"/>
  <c r="S83" i="29"/>
  <c r="E99" i="29"/>
  <c r="F156" i="29"/>
  <c r="P161" i="29" s="1"/>
  <c r="N161" i="29"/>
  <c r="E92" i="29"/>
  <c r="E83" i="29"/>
  <c r="T83" i="29"/>
  <c r="T87" i="29"/>
  <c r="F87" i="29"/>
  <c r="F83" i="29"/>
  <c r="E158" i="29"/>
  <c r="O157" i="29" s="1"/>
  <c r="M157" i="29"/>
  <c r="E98" i="29"/>
  <c r="Q83" i="29"/>
  <c r="K83" i="29"/>
  <c r="E95" i="29"/>
  <c r="F161" i="29"/>
  <c r="P160" i="29" s="1"/>
  <c r="N160" i="29"/>
  <c r="F154" i="29"/>
  <c r="P153" i="29" s="1"/>
  <c r="N153" i="29"/>
  <c r="G93" i="29"/>
  <c r="L93" i="29"/>
  <c r="J87" i="29"/>
  <c r="J83" i="29"/>
  <c r="E154" i="29"/>
  <c r="O153" i="29" s="1"/>
  <c r="M153" i="29"/>
  <c r="L83" i="29"/>
  <c r="L87" i="29"/>
  <c r="R87" i="29"/>
  <c r="R83" i="29"/>
  <c r="N87" i="29"/>
  <c r="N83" i="29"/>
  <c r="M83" i="29"/>
  <c r="E96" i="29"/>
  <c r="E160" i="29"/>
  <c r="O154" i="29" s="1"/>
  <c r="M154" i="29"/>
  <c r="E156" i="29"/>
  <c r="O161" i="29" s="1"/>
  <c r="M161" i="29"/>
  <c r="E157" i="29"/>
  <c r="O155" i="29" s="1"/>
  <c r="M155" i="29"/>
  <c r="M160" i="29"/>
  <c r="E161" i="29"/>
  <c r="O160" i="29" s="1"/>
  <c r="N155" i="29"/>
  <c r="F157" i="29"/>
  <c r="P155" i="29" s="1"/>
  <c r="N154" i="29"/>
  <c r="F160" i="29"/>
  <c r="P154" i="29" s="1"/>
  <c r="F158" i="29"/>
  <c r="P157" i="29" s="1"/>
  <c r="N157" i="29"/>
  <c r="G96" i="29" l="1"/>
  <c r="L96" i="29"/>
  <c r="G99" i="29"/>
  <c r="L99" i="29"/>
  <c r="Q91" i="29" s="1" a="1"/>
  <c r="G98" i="29"/>
  <c r="L98" i="29"/>
  <c r="G92" i="29"/>
  <c r="L92" i="29"/>
  <c r="V87" i="29"/>
  <c r="W87" i="29" s="1"/>
  <c r="L94" i="29"/>
  <c r="G94" i="29"/>
  <c r="G95" i="29"/>
  <c r="L95" i="29"/>
  <c r="Q95" i="29" l="1"/>
  <c r="R92" i="29"/>
  <c r="R93" i="29"/>
  <c r="Q92" i="29"/>
  <c r="Q91" i="29"/>
  <c r="R91" i="29"/>
  <c r="R95" i="29"/>
  <c r="Q93" i="29"/>
  <c r="Q94" i="29"/>
  <c r="R94" i="29"/>
</calcChain>
</file>

<file path=xl/sharedStrings.xml><?xml version="1.0" encoding="utf-8"?>
<sst xmlns="http://schemas.openxmlformats.org/spreadsheetml/2006/main" count="458" uniqueCount="180">
  <si>
    <t>Emmenger</t>
  </si>
  <si>
    <t>pH</t>
  </si>
  <si>
    <t>logk (min-1)</t>
  </si>
  <si>
    <t>R2</t>
  </si>
  <si>
    <t>Raw data</t>
  </si>
  <si>
    <t>sorted by groups</t>
  </si>
  <si>
    <t>group 1</t>
  </si>
  <si>
    <t>group 2</t>
  </si>
  <si>
    <t>pH (init)</t>
  </si>
  <si>
    <t>pH (fin)</t>
  </si>
  <si>
    <t>t (s)</t>
  </si>
  <si>
    <t>Abs</t>
  </si>
  <si>
    <t>[Fe(II)] (µM)</t>
  </si>
  <si>
    <t>ln[Fe(II)]</t>
  </si>
  <si>
    <t>group 3</t>
  </si>
  <si>
    <t>group 4</t>
  </si>
  <si>
    <t>Data for graph</t>
  </si>
  <si>
    <t>in order of ascending pH</t>
  </si>
  <si>
    <t>t (min)</t>
  </si>
  <si>
    <t>uncertainty</t>
  </si>
  <si>
    <t>First graph</t>
  </si>
  <si>
    <t>Rate constants</t>
  </si>
  <si>
    <t>using time in seconds again! As per the Emmenger paper</t>
  </si>
  <si>
    <t>slope</t>
  </si>
  <si>
    <t>intercept</t>
  </si>
  <si>
    <t>m/c</t>
  </si>
  <si>
    <t>error/error</t>
  </si>
  <si>
    <t>R2/std dev (y)</t>
  </si>
  <si>
    <t>Determining the dependence of k' on pH</t>
  </si>
  <si>
    <t>k' (s)</t>
  </si>
  <si>
    <t>log(k')</t>
  </si>
  <si>
    <t>second number is the propagated error in each case (determined from LINEST function)</t>
  </si>
  <si>
    <t>propagated errors in k' as determined from the error in LINEST is too small to see in the final graph</t>
  </si>
  <si>
    <t>pOH</t>
  </si>
  <si>
    <t>final</t>
  </si>
  <si>
    <t>extra</t>
  </si>
  <si>
    <t>pH drop</t>
  </si>
  <si>
    <t>average drop</t>
  </si>
  <si>
    <t>st devmax</t>
  </si>
  <si>
    <t>max</t>
  </si>
  <si>
    <t>min</t>
  </si>
  <si>
    <t>slopes from Emmenger paper</t>
  </si>
  <si>
    <t>log k</t>
  </si>
  <si>
    <t>Davison (1983)</t>
  </si>
  <si>
    <t>King (1996)</t>
  </si>
  <si>
    <t>Emmenger (1998)</t>
  </si>
  <si>
    <t>table for Matt's writeup</t>
  </si>
  <si>
    <t>Group</t>
  </si>
  <si>
    <t>Experiment</t>
  </si>
  <si>
    <t>A</t>
  </si>
  <si>
    <t>B</t>
  </si>
  <si>
    <t>C</t>
  </si>
  <si>
    <t>Graphical abstract for paper</t>
  </si>
  <si>
    <t>factor</t>
  </si>
  <si>
    <t>change t to t.[-OH]^2)</t>
  </si>
  <si>
    <t>[OH-]</t>
  </si>
  <si>
    <t>External calibration</t>
  </si>
  <si>
    <t>Absorbance</t>
  </si>
  <si>
    <t>m</t>
  </si>
  <si>
    <t>c</t>
  </si>
  <si>
    <t>standard error (m)</t>
  </si>
  <si>
    <t>standard error (c)</t>
  </si>
  <si>
    <t>standard error (y)</t>
  </si>
  <si>
    <t>F-statistic</t>
  </si>
  <si>
    <t>degrees of freedom</t>
  </si>
  <si>
    <t>regression sum of squares</t>
  </si>
  <si>
    <t>residual sum of squares</t>
  </si>
  <si>
    <t>Detection limit</t>
  </si>
  <si>
    <t>which group? Group 4 (us)</t>
  </si>
  <si>
    <t>gp1</t>
  </si>
  <si>
    <t>gp 2</t>
  </si>
  <si>
    <t>group3</t>
  </si>
  <si>
    <t>signal (A)</t>
  </si>
  <si>
    <t>stdev</t>
  </si>
  <si>
    <t>3*stdev/m</t>
  </si>
  <si>
    <t>precision for 1 uM standard</t>
  </si>
  <si>
    <t>m (A µM-1)</t>
  </si>
  <si>
    <t>error</t>
  </si>
  <si>
    <t>c (A)</t>
  </si>
  <si>
    <t>Average</t>
  </si>
  <si>
    <t>Stdev</t>
  </si>
  <si>
    <t>relative error</t>
  </si>
  <si>
    <t>Calibration</t>
  </si>
  <si>
    <t>Concentration (uM)</t>
  </si>
  <si>
    <t>Sample</t>
  </si>
  <si>
    <t>Time (s)</t>
  </si>
  <si>
    <t>Time (min)</t>
  </si>
  <si>
    <t>[Fe(II)]</t>
  </si>
  <si>
    <t>ln [Fe (II)]</t>
  </si>
  <si>
    <t>A0</t>
  </si>
  <si>
    <t>A1</t>
  </si>
  <si>
    <t>A2</t>
  </si>
  <si>
    <t>A3</t>
  </si>
  <si>
    <t>A4</t>
  </si>
  <si>
    <t>A5</t>
  </si>
  <si>
    <t>A7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</si>
  <si>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</si>
  <si>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</si>
  <si>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</si>
  <si>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</si>
  <si>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</si>
  <si>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</si>
  <si>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</si>
  <si>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</si>
  <si>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</si>
  <si>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</si>
  <si>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Standard</t>
  </si>
  <si>
    <t>A6</t>
  </si>
  <si>
    <t>A8</t>
  </si>
  <si>
    <t>A9</t>
  </si>
  <si>
    <t>Absorbance(A)</t>
  </si>
  <si>
    <t>experiment A (pH 7.25 -&gt; 7.21)</t>
  </si>
  <si>
    <t>experiment B (pH 7.80 -&gt; 7.74)</t>
  </si>
  <si>
    <t>experiment C (pH 7.47 -&gt; 7.45)</t>
  </si>
  <si>
    <t>calibration (s cal)</t>
  </si>
  <si>
    <t>calibration (ds cal)</t>
  </si>
  <si>
    <t>sample</t>
  </si>
  <si>
    <t>[Fe] (s cal) (uM)</t>
  </si>
  <si>
    <t>ln [Fe]</t>
  </si>
  <si>
    <t>[Fe] (uM)</t>
  </si>
  <si>
    <t>a0</t>
  </si>
  <si>
    <t>b0</t>
  </si>
  <si>
    <t>ds1</t>
  </si>
  <si>
    <t>a1</t>
  </si>
  <si>
    <t>b1</t>
  </si>
  <si>
    <t>s2</t>
  </si>
  <si>
    <t>ds2</t>
  </si>
  <si>
    <t>a2</t>
  </si>
  <si>
    <t>b2</t>
  </si>
  <si>
    <t>s3</t>
  </si>
  <si>
    <t>ds3</t>
  </si>
  <si>
    <t>a3</t>
  </si>
  <si>
    <t>b3</t>
  </si>
  <si>
    <t>s4</t>
  </si>
  <si>
    <t>ds4</t>
  </si>
  <si>
    <t>a4</t>
  </si>
  <si>
    <t>b4</t>
  </si>
  <si>
    <t>s5</t>
  </si>
  <si>
    <t>ds5</t>
  </si>
  <si>
    <t>a5</t>
  </si>
  <si>
    <t>b5</t>
  </si>
  <si>
    <t>s6</t>
  </si>
  <si>
    <t>ds6</t>
  </si>
  <si>
    <t>a6</t>
  </si>
  <si>
    <t>b6</t>
  </si>
  <si>
    <t>a7</t>
  </si>
  <si>
    <t>b7</t>
  </si>
  <si>
    <t>a8</t>
  </si>
  <si>
    <t>b8</t>
  </si>
  <si>
    <t>a9</t>
  </si>
  <si>
    <t>b9</t>
  </si>
  <si>
    <t>k'</t>
  </si>
  <si>
    <t>logk'</t>
  </si>
  <si>
    <t>Check stability of standards created on 10/05/2017</t>
  </si>
  <si>
    <t>s1</t>
  </si>
  <si>
    <t>DF</t>
  </si>
  <si>
    <t>H2O</t>
  </si>
  <si>
    <t>Step 1</t>
  </si>
  <si>
    <r>
      <t>c1V1 = c2</t>
    </r>
    <r>
      <rPr>
        <b/>
        <sz val="11"/>
        <color theme="1"/>
        <rFont val="Calibri"/>
        <family val="2"/>
        <scheme val="minor"/>
      </rPr>
      <t>V2</t>
    </r>
  </si>
  <si>
    <t>Step 2</t>
  </si>
  <si>
    <t>c1</t>
  </si>
  <si>
    <t>Total</t>
  </si>
  <si>
    <t>Control</t>
  </si>
  <si>
    <t>ml</t>
  </si>
  <si>
    <t>S1</t>
  </si>
  <si>
    <t>S2</t>
  </si>
  <si>
    <t>S3</t>
  </si>
  <si>
    <t>S4</t>
  </si>
  <si>
    <t>S5</t>
  </si>
  <si>
    <t>Fe</t>
  </si>
  <si>
    <t>Acetate</t>
  </si>
  <si>
    <t>microM</t>
  </si>
  <si>
    <t>SS 1</t>
  </si>
  <si>
    <t>M</t>
  </si>
  <si>
    <t>mM</t>
  </si>
  <si>
    <t>micro</t>
  </si>
  <si>
    <t>Vdil</t>
  </si>
  <si>
    <t>Vconc</t>
  </si>
  <si>
    <t>Cconc</t>
  </si>
  <si>
    <t>Cdil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</si>
</sst>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1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8" xfId="0" applyNumberFormat="1" applyBorder="1" applyAlignment="1">
      <alignment horizontal="center"/>
    </xf>
    <xf numFmtId="166" fontId="0" fillId="0" borderId="12" xfId="0" applyNumberFormat="1" applyBorder="1"/>
    <xf numFmtId="166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0" fillId="0" borderId="0" xfId="0" applyNumberFormat="1"/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827887139107611"/>
                  <c:y val="-5.3342082239720034E-2"/>
                </c:manualLayout>
              </c:layout>
              <c:numFmt formatCode="General" sourceLinked="0"/>
            </c:trendlineLbl>
          </c:trendline>
          <c:xVal>
            <c:numRef>
              <c:f>literature!$B$6:$B$11</c:f>
              <c:numCache>
                <c:formatCode>General</c:formatCode>
                <c:ptCount val="6"/>
                <c:pt idx="0">
                  <c:v>7.2</c:v>
                </c:pt>
                <c:pt idx="1">
                  <c:v>7.6</c:v>
                </c:pt>
                <c:pt idx="2">
                  <c:v>7.8</c:v>
                </c:pt>
                <c:pt idx="3">
                  <c:v>8</c:v>
                </c:pt>
                <c:pt idx="4">
                  <c:v>8.25</c:v>
                </c:pt>
              </c:numCache>
            </c:numRef>
          </c:xVal>
          <c:yVal>
            <c:numRef>
              <c:f>literature!$C$6:$C$10</c:f>
              <c:numCache>
                <c:formatCode>General</c:formatCode>
                <c:ptCount val="5"/>
                <c:pt idx="0">
                  <c:v>-1</c:v>
                </c:pt>
                <c:pt idx="1">
                  <c:v>-0.8</c:v>
                </c:pt>
                <c:pt idx="2">
                  <c:v>-0.45</c:v>
                </c:pt>
                <c:pt idx="3">
                  <c:v>-0.1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DC-4BC6-8628-E7C536A12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115400"/>
        <c:axId val="258113832"/>
      </c:scatterChart>
      <c:valAx>
        <c:axId val="25811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8113832"/>
        <c:crosses val="autoZero"/>
        <c:crossBetween val="midCat"/>
      </c:valAx>
      <c:valAx>
        <c:axId val="258113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115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827887139107611"/>
                  <c:y val="-5.3342082239720034E-2"/>
                </c:manualLayout>
              </c:layout>
              <c:numFmt formatCode="General" sourceLinked="0"/>
            </c:trendlineLbl>
          </c:trendline>
          <c:xVal>
            <c:numRef>
              <c:f>literature!$B$7:$B$11</c:f>
              <c:numCache>
                <c:formatCode>General</c:formatCode>
                <c:ptCount val="5"/>
                <c:pt idx="0">
                  <c:v>7.6</c:v>
                </c:pt>
                <c:pt idx="1">
                  <c:v>7.8</c:v>
                </c:pt>
                <c:pt idx="2">
                  <c:v>8</c:v>
                </c:pt>
                <c:pt idx="3">
                  <c:v>8.25</c:v>
                </c:pt>
              </c:numCache>
            </c:numRef>
          </c:xVal>
          <c:yVal>
            <c:numRef>
              <c:f>literature!$C$7:$C$10</c:f>
              <c:numCache>
                <c:formatCode>General</c:formatCode>
                <c:ptCount val="4"/>
                <c:pt idx="0">
                  <c:v>-0.8</c:v>
                </c:pt>
                <c:pt idx="1">
                  <c:v>-0.45</c:v>
                </c:pt>
                <c:pt idx="2">
                  <c:v>-0.1</c:v>
                </c:pt>
                <c:pt idx="3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DD-40E6-A929-3F234813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91336"/>
        <c:axId val="211013408"/>
      </c:scatterChart>
      <c:valAx>
        <c:axId val="212891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13408"/>
        <c:crosses val="autoZero"/>
        <c:crossBetween val="midCat"/>
      </c:valAx>
      <c:valAx>
        <c:axId val="21101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91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66528526142213"/>
          <c:y val="0.12962962962962962"/>
          <c:w val="0.6098509092586879"/>
          <c:h val="0.701836541265675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table'!$C$37:$D$37</c:f>
              <c:strCache>
                <c:ptCount val="1"/>
                <c:pt idx="0">
                  <c:v>7.22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table'!$C$39:$C$48</c:f>
              <c:numCache>
                <c:formatCode>0.00</c:formatCode>
                <c:ptCount val="10"/>
                <c:pt idx="0">
                  <c:v>0</c:v>
                </c:pt>
                <c:pt idx="1">
                  <c:v>2.1166666666666667</c:v>
                </c:pt>
                <c:pt idx="2">
                  <c:v>7</c:v>
                </c:pt>
                <c:pt idx="3">
                  <c:v>11.666666666666666</c:v>
                </c:pt>
                <c:pt idx="4">
                  <c:v>15.783333333333333</c:v>
                </c:pt>
                <c:pt idx="5">
                  <c:v>20.733333333333334</c:v>
                </c:pt>
                <c:pt idx="6">
                  <c:v>31.2</c:v>
                </c:pt>
              </c:numCache>
            </c:numRef>
          </c:xVal>
          <c:yVal>
            <c:numRef>
              <c:f>'Data table'!$D$39:$D$48</c:f>
              <c:numCache>
                <c:formatCode>0.00</c:formatCode>
                <c:ptCount val="10"/>
                <c:pt idx="0">
                  <c:v>3.5939068085793862</c:v>
                </c:pt>
                <c:pt idx="1">
                  <c:v>3.464480553134154</c:v>
                </c:pt>
                <c:pt idx="2">
                  <c:v>3.3885878003731054</c:v>
                </c:pt>
                <c:pt idx="3">
                  <c:v>3.2848275804959597</c:v>
                </c:pt>
                <c:pt idx="4">
                  <c:v>3.0925343724083558</c:v>
                </c:pt>
                <c:pt idx="5">
                  <c:v>2.7891030665584857</c:v>
                </c:pt>
                <c:pt idx="6">
                  <c:v>1.9243019301984388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7-4945-99F8-3D9769C7ECD6}"/>
            </c:ext>
          </c:extLst>
        </c:ser>
        <c:ser>
          <c:idx val="6"/>
          <c:order val="1"/>
          <c:tx>
            <c:strRef>
              <c:f>'Data table'!$E$37:$F$37</c:f>
              <c:strCache>
                <c:ptCount val="1"/>
                <c:pt idx="0">
                  <c:v>7.23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'Data table'!$E$39:$E$48</c:f>
              <c:numCache>
                <c:formatCode>0.00</c:formatCode>
                <c:ptCount val="10"/>
                <c:pt idx="0">
                  <c:v>0.21666666666666667</c:v>
                </c:pt>
                <c:pt idx="1">
                  <c:v>2.9666666666666668</c:v>
                </c:pt>
                <c:pt idx="2">
                  <c:v>6</c:v>
                </c:pt>
                <c:pt idx="3">
                  <c:v>9.0333333333333332</c:v>
                </c:pt>
                <c:pt idx="4">
                  <c:v>12</c:v>
                </c:pt>
                <c:pt idx="5">
                  <c:v>15.05</c:v>
                </c:pt>
                <c:pt idx="6">
                  <c:v>18.05</c:v>
                </c:pt>
                <c:pt idx="7">
                  <c:v>20.916666666666668</c:v>
                </c:pt>
                <c:pt idx="8">
                  <c:v>24</c:v>
                </c:pt>
                <c:pt idx="9">
                  <c:v>27.033333333333335</c:v>
                </c:pt>
              </c:numCache>
            </c:numRef>
          </c:xVal>
          <c:yVal>
            <c:numRef>
              <c:f>'Data table'!$F$39:$F$48</c:f>
              <c:numCache>
                <c:formatCode>0.00</c:formatCode>
                <c:ptCount val="10"/>
                <c:pt idx="0">
                  <c:v>3.5165930958589144</c:v>
                </c:pt>
                <c:pt idx="1">
                  <c:v>3.4302483527138938</c:v>
                </c:pt>
                <c:pt idx="2">
                  <c:v>3.3569426966399627</c:v>
                </c:pt>
                <c:pt idx="3">
                  <c:v>3.2358038145460113</c:v>
                </c:pt>
                <c:pt idx="4">
                  <c:v>3.1362752152176196</c:v>
                </c:pt>
                <c:pt idx="5">
                  <c:v>2.967454190840964</c:v>
                </c:pt>
                <c:pt idx="6">
                  <c:v>2.8037600586005209</c:v>
                </c:pt>
                <c:pt idx="7">
                  <c:v>2.5967669957073976</c:v>
                </c:pt>
                <c:pt idx="8">
                  <c:v>2.3955115248364542</c:v>
                </c:pt>
                <c:pt idx="9">
                  <c:v>2.1737064026014234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97-4945-99F8-3D9769C7ECD6}"/>
            </c:ext>
          </c:extLst>
        </c:ser>
        <c:ser>
          <c:idx val="2"/>
          <c:order val="3"/>
          <c:tx>
            <c:strRef>
              <c:f>'Data table'!$K$37:$L$37</c:f>
              <c:strCache>
                <c:ptCount val="1"/>
                <c:pt idx="0">
                  <c:v>7.47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'Data table'!$K$39:$K$48</c:f>
              <c:numCache>
                <c:formatCode>0.00</c:formatCode>
                <c:ptCount val="10"/>
                <c:pt idx="0">
                  <c:v>0.16666666666666666</c:v>
                </c:pt>
                <c:pt idx="1">
                  <c:v>1.5</c:v>
                </c:pt>
                <c:pt idx="2">
                  <c:v>3.1166666666666667</c:v>
                </c:pt>
                <c:pt idx="3">
                  <c:v>5.166666666666667</c:v>
                </c:pt>
                <c:pt idx="4">
                  <c:v>7.166666666666667</c:v>
                </c:pt>
                <c:pt idx="5">
                  <c:v>8.1999999999999993</c:v>
                </c:pt>
                <c:pt idx="6">
                  <c:v>9.4333333333333336</c:v>
                </c:pt>
                <c:pt idx="7">
                  <c:v>10.666666666666666</c:v>
                </c:pt>
                <c:pt idx="8">
                  <c:v>12.25</c:v>
                </c:pt>
                <c:pt idx="9">
                  <c:v>13.25</c:v>
                </c:pt>
              </c:numCache>
            </c:numRef>
          </c:xVal>
          <c:yVal>
            <c:numRef>
              <c:f>'Data table'!$L$39:$L$48</c:f>
              <c:numCache>
                <c:formatCode>0.00</c:formatCode>
                <c:ptCount val="10"/>
                <c:pt idx="0">
                  <c:v>3.4078942749200465</c:v>
                </c:pt>
                <c:pt idx="1">
                  <c:v>3.4000109073287836</c:v>
                </c:pt>
                <c:pt idx="2">
                  <c:v>3.1545586231112064</c:v>
                </c:pt>
                <c:pt idx="3">
                  <c:v>2.876441184360218</c:v>
                </c:pt>
                <c:pt idx="4">
                  <c:v>2.220663150308237</c:v>
                </c:pt>
                <c:pt idx="5">
                  <c:v>1.968244969155893</c:v>
                </c:pt>
                <c:pt idx="6">
                  <c:v>1.5821926374569333</c:v>
                </c:pt>
                <c:pt idx="7">
                  <c:v>1.1399084790401337</c:v>
                </c:pt>
                <c:pt idx="8">
                  <c:v>0.50924334495486112</c:v>
                </c:pt>
                <c:pt idx="9">
                  <c:v>0.55565538671932579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97-4945-99F8-3D9769C7ECD6}"/>
            </c:ext>
          </c:extLst>
        </c:ser>
        <c:ser>
          <c:idx val="8"/>
          <c:order val="4"/>
          <c:tx>
            <c:strRef>
              <c:f>'Data table'!$I$37:$J$37</c:f>
              <c:strCache>
                <c:ptCount val="1"/>
                <c:pt idx="0">
                  <c:v>7.46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'Data table'!$I$39:$I$48</c:f>
              <c:numCache>
                <c:formatCode>0.00</c:formatCode>
                <c:ptCount val="10"/>
                <c:pt idx="0">
                  <c:v>0.11666666666666667</c:v>
                </c:pt>
                <c:pt idx="1">
                  <c:v>0.58333333333333337</c:v>
                </c:pt>
                <c:pt idx="2">
                  <c:v>1.5333333333333334</c:v>
                </c:pt>
                <c:pt idx="3">
                  <c:v>3.4666666666666668</c:v>
                </c:pt>
                <c:pt idx="4">
                  <c:v>5.55</c:v>
                </c:pt>
                <c:pt idx="5">
                  <c:v>7.4</c:v>
                </c:pt>
                <c:pt idx="6">
                  <c:v>9.4</c:v>
                </c:pt>
                <c:pt idx="7">
                  <c:v>11.5</c:v>
                </c:pt>
                <c:pt idx="8">
                  <c:v>13.45</c:v>
                </c:pt>
                <c:pt idx="9">
                  <c:v>15.383333333333333</c:v>
                </c:pt>
              </c:numCache>
            </c:numRef>
          </c:xVal>
          <c:yVal>
            <c:numRef>
              <c:f>'Data table'!$J$39:$J$48</c:f>
              <c:numCache>
                <c:formatCode>0.00</c:formatCode>
                <c:ptCount val="10"/>
                <c:pt idx="0">
                  <c:v>3.5210545906589203</c:v>
                </c:pt>
                <c:pt idx="1">
                  <c:v>3.4893978624986079</c:v>
                </c:pt>
                <c:pt idx="2">
                  <c:v>3.3634781380724155</c:v>
                </c:pt>
                <c:pt idx="3">
                  <c:v>3.0668807134664577</c:v>
                </c:pt>
                <c:pt idx="4">
                  <c:v>2.5995676317173957</c:v>
                </c:pt>
                <c:pt idx="5">
                  <c:v>2.0841860188272552</c:v>
                </c:pt>
                <c:pt idx="6">
                  <c:v>1.478682092911763</c:v>
                </c:pt>
                <c:pt idx="7">
                  <c:v>1.1577437177956382</c:v>
                </c:pt>
                <c:pt idx="8">
                  <c:v>0.37252585189833898</c:v>
                </c:pt>
                <c:pt idx="9">
                  <c:v>-0.83201851963997897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97-4945-99F8-3D9769C7ECD6}"/>
            </c:ext>
          </c:extLst>
        </c:ser>
        <c:ser>
          <c:idx val="4"/>
          <c:order val="5"/>
          <c:tx>
            <c:strRef>
              <c:f>'Data table'!$M$37:$N$37</c:f>
              <c:strCache>
                <c:ptCount val="1"/>
                <c:pt idx="0">
                  <c:v>7.57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'Data table'!$M$39:$M$48</c:f>
              <c:numCache>
                <c:formatCode>0.00</c:formatCode>
                <c:ptCount val="10"/>
                <c:pt idx="0">
                  <c:v>0.16666666666666666</c:v>
                </c:pt>
                <c:pt idx="1">
                  <c:v>0.65</c:v>
                </c:pt>
                <c:pt idx="2">
                  <c:v>1.5833333333333333</c:v>
                </c:pt>
                <c:pt idx="3">
                  <c:v>2.5</c:v>
                </c:pt>
                <c:pt idx="4">
                  <c:v>3.0833333333333335</c:v>
                </c:pt>
                <c:pt idx="5">
                  <c:v>3.5666666666666669</c:v>
                </c:pt>
                <c:pt idx="6">
                  <c:v>4.0333333333333332</c:v>
                </c:pt>
                <c:pt idx="7">
                  <c:v>4.6333333333333337</c:v>
                </c:pt>
                <c:pt idx="8">
                  <c:v>5.5166666666666666</c:v>
                </c:pt>
                <c:pt idx="9">
                  <c:v>6.3166666666666664</c:v>
                </c:pt>
              </c:numCache>
            </c:numRef>
          </c:xVal>
          <c:yVal>
            <c:numRef>
              <c:f>'Data table'!$N$39:$N$48</c:f>
              <c:numCache>
                <c:formatCode>0.00</c:formatCode>
                <c:ptCount val="10"/>
                <c:pt idx="0">
                  <c:v>3.5717014725295648</c:v>
                </c:pt>
                <c:pt idx="1">
                  <c:v>3.4749570906571869</c:v>
                </c:pt>
                <c:pt idx="2">
                  <c:v>3.3189893977844651</c:v>
                </c:pt>
                <c:pt idx="3">
                  <c:v>3.0738272053363058</c:v>
                </c:pt>
                <c:pt idx="4">
                  <c:v>2.9411049481556018</c:v>
                </c:pt>
                <c:pt idx="5">
                  <c:v>2.7533837424037313</c:v>
                </c:pt>
                <c:pt idx="6">
                  <c:v>2.5685912431256726</c:v>
                </c:pt>
                <c:pt idx="7">
                  <c:v>2.3605556495084392</c:v>
                </c:pt>
                <c:pt idx="8">
                  <c:v>1.9459101490553132</c:v>
                </c:pt>
                <c:pt idx="9">
                  <c:v>1.5983090217393907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97-4945-99F8-3D9769C7ECD6}"/>
            </c:ext>
          </c:extLst>
        </c:ser>
        <c:ser>
          <c:idx val="3"/>
          <c:order val="6"/>
          <c:tx>
            <c:strRef>
              <c:f>'Data table'!$O$37:$P$37</c:f>
              <c:strCache>
                <c:ptCount val="1"/>
                <c:pt idx="0">
                  <c:v>7.61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'Data table'!$O$39:$O$48</c:f>
              <c:numCache>
                <c:formatCode>0.00</c:formatCode>
                <c:ptCount val="10"/>
                <c:pt idx="0">
                  <c:v>0.23333333333333334</c:v>
                </c:pt>
                <c:pt idx="1">
                  <c:v>0.7</c:v>
                </c:pt>
                <c:pt idx="2">
                  <c:v>2.3333333333333335</c:v>
                </c:pt>
                <c:pt idx="3">
                  <c:v>3.9166666666666665</c:v>
                </c:pt>
                <c:pt idx="4">
                  <c:v>5.166666666666667</c:v>
                </c:pt>
                <c:pt idx="5">
                  <c:v>5.666666666666667</c:v>
                </c:pt>
                <c:pt idx="6">
                  <c:v>6.7833333333333332</c:v>
                </c:pt>
                <c:pt idx="7">
                  <c:v>7.25</c:v>
                </c:pt>
                <c:pt idx="8">
                  <c:v>8.4166666666666661</c:v>
                </c:pt>
                <c:pt idx="9">
                  <c:v>8.9166666666666661</c:v>
                </c:pt>
              </c:numCache>
            </c:numRef>
          </c:xVal>
          <c:yVal>
            <c:numRef>
              <c:f>'Data table'!$P$39:$P$48</c:f>
              <c:numCache>
                <c:formatCode>0.00</c:formatCode>
                <c:ptCount val="10"/>
                <c:pt idx="0">
                  <c:v>3.5343499146496402</c:v>
                </c:pt>
                <c:pt idx="1">
                  <c:v>3.4298987868827773</c:v>
                </c:pt>
                <c:pt idx="2">
                  <c:v>3.1341184633475851</c:v>
                </c:pt>
                <c:pt idx="3">
                  <c:v>2.647211458866928</c:v>
                </c:pt>
                <c:pt idx="4">
                  <c:v>2.2950468704300646</c:v>
                </c:pt>
                <c:pt idx="5">
                  <c:v>1.923065066448689</c:v>
                </c:pt>
                <c:pt idx="6">
                  <c:v>1.8877880398678735</c:v>
                </c:pt>
                <c:pt idx="7">
                  <c:v>1.4885869343446398</c:v>
                </c:pt>
                <c:pt idx="8">
                  <c:v>1.0047503350401497</c:v>
                </c:pt>
                <c:pt idx="9">
                  <c:v>0.4353180712578455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97-4945-99F8-3D9769C7ECD6}"/>
            </c:ext>
          </c:extLst>
        </c:ser>
        <c:ser>
          <c:idx val="1"/>
          <c:order val="7"/>
          <c:tx>
            <c:strRef>
              <c:f>'Data table'!$Q$37:$R$37</c:f>
              <c:strCache>
                <c:ptCount val="1"/>
                <c:pt idx="0">
                  <c:v>7.74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table'!$Q$39:$Q$48</c:f>
              <c:numCache>
                <c:formatCode>0.00</c:formatCode>
                <c:ptCount val="10"/>
                <c:pt idx="0">
                  <c:v>8.3333333333333329E-2</c:v>
                </c:pt>
                <c:pt idx="1">
                  <c:v>0.5</c:v>
                </c:pt>
                <c:pt idx="2">
                  <c:v>1.1666666666666667</c:v>
                </c:pt>
                <c:pt idx="3">
                  <c:v>1.7</c:v>
                </c:pt>
                <c:pt idx="4">
                  <c:v>2.2666666666666666</c:v>
                </c:pt>
                <c:pt idx="5">
                  <c:v>2.9166666666666665</c:v>
                </c:pt>
                <c:pt idx="6">
                  <c:v>3.5166666666666666</c:v>
                </c:pt>
                <c:pt idx="7">
                  <c:v>4.0999999999999996</c:v>
                </c:pt>
                <c:pt idx="8">
                  <c:v>4.7666666666666666</c:v>
                </c:pt>
                <c:pt idx="9">
                  <c:v>5.4</c:v>
                </c:pt>
              </c:numCache>
            </c:numRef>
          </c:xVal>
          <c:yVal>
            <c:numRef>
              <c:f>'Data table'!$R$39:$R$48</c:f>
              <c:numCache>
                <c:formatCode>0.00</c:formatCode>
                <c:ptCount val="10"/>
                <c:pt idx="0">
                  <c:v>3.4915183610290486</c:v>
                </c:pt>
                <c:pt idx="1">
                  <c:v>3.3263217557761684</c:v>
                </c:pt>
                <c:pt idx="2">
                  <c:v>3.1736341020530214</c:v>
                </c:pt>
                <c:pt idx="3">
                  <c:v>2.9711628285606615</c:v>
                </c:pt>
                <c:pt idx="4">
                  <c:v>2.6548341989506392</c:v>
                </c:pt>
                <c:pt idx="5">
                  <c:v>2.2295433685913868</c:v>
                </c:pt>
                <c:pt idx="6">
                  <c:v>1.7627540418269423</c:v>
                </c:pt>
                <c:pt idx="7">
                  <c:v>1.330959101841457</c:v>
                </c:pt>
                <c:pt idx="8">
                  <c:v>0.90454316652420463</c:v>
                </c:pt>
                <c:pt idx="9">
                  <c:v>0.26460767539156893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97-4945-99F8-3D9769C7ECD6}"/>
            </c:ext>
          </c:extLst>
        </c:ser>
        <c:ser>
          <c:idx val="7"/>
          <c:order val="8"/>
          <c:tx>
            <c:strRef>
              <c:f>'Data table'!$S$37:$T$37</c:f>
              <c:strCache>
                <c:ptCount val="1"/>
                <c:pt idx="0">
                  <c:v>7.77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'Data table'!$S$39:$S$48</c:f>
              <c:numCache>
                <c:formatCode>0.00</c:formatCode>
                <c:ptCount val="10"/>
                <c:pt idx="0">
                  <c:v>0.11666666666666667</c:v>
                </c:pt>
                <c:pt idx="1">
                  <c:v>0.6333333333333333</c:v>
                </c:pt>
                <c:pt idx="2">
                  <c:v>1.0666666666666667</c:v>
                </c:pt>
                <c:pt idx="3">
                  <c:v>1.6166666666666667</c:v>
                </c:pt>
                <c:pt idx="4">
                  <c:v>2.0833333333333335</c:v>
                </c:pt>
                <c:pt idx="5">
                  <c:v>2.7333333333333334</c:v>
                </c:pt>
                <c:pt idx="6">
                  <c:v>3.2</c:v>
                </c:pt>
                <c:pt idx="7">
                  <c:v>3.7</c:v>
                </c:pt>
                <c:pt idx="8">
                  <c:v>4.5</c:v>
                </c:pt>
                <c:pt idx="9">
                  <c:v>5.0166666666666666</c:v>
                </c:pt>
              </c:numCache>
            </c:numRef>
          </c:xVal>
          <c:yVal>
            <c:numRef>
              <c:f>'Data table'!$T$39:$T$48</c:f>
              <c:numCache>
                <c:formatCode>0.00</c:formatCode>
                <c:ptCount val="10"/>
                <c:pt idx="0">
                  <c:v>3.4708479390485363</c:v>
                </c:pt>
                <c:pt idx="1">
                  <c:v>3.3569426966399627</c:v>
                </c:pt>
                <c:pt idx="2">
                  <c:v>3.1841647042006471</c:v>
                </c:pt>
                <c:pt idx="3">
                  <c:v>2.9299790416205593</c:v>
                </c:pt>
                <c:pt idx="4">
                  <c:v>2.5740749766655853</c:v>
                </c:pt>
                <c:pt idx="5">
                  <c:v>2.0841860188272552</c:v>
                </c:pt>
                <c:pt idx="6">
                  <c:v>1.6222838489520695</c:v>
                </c:pt>
                <c:pt idx="7">
                  <c:v>1.1458475938769548</c:v>
                </c:pt>
                <c:pt idx="8">
                  <c:v>0.26301328457759854</c:v>
                </c:pt>
                <c:pt idx="9">
                  <c:v>-0.12010648277035768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97-4945-99F8-3D9769C7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06688"/>
        <c:axId val="25970708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 table'!$G$37:$H$37</c15:sqref>
                        </c15:formulaRef>
                      </c:ext>
                    </c:extLst>
                    <c:strCache>
                      <c:ptCount val="1"/>
                      <c:pt idx="0">
                        <c:v>7.41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 table'!$G$39:$G$48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0.11666666666666667</c:v>
                      </c:pt>
                      <c:pt idx="1">
                        <c:v>1.1000000000000001</c:v>
                      </c:pt>
                      <c:pt idx="2">
                        <c:v>2.1166666666666667</c:v>
                      </c:pt>
                      <c:pt idx="3">
                        <c:v>4.0999999999999996</c:v>
                      </c:pt>
                      <c:pt idx="4">
                        <c:v>5.0999999999999996</c:v>
                      </c:pt>
                      <c:pt idx="5">
                        <c:v>6.1</c:v>
                      </c:pt>
                      <c:pt idx="6">
                        <c:v>7.0666666666666664</c:v>
                      </c:pt>
                      <c:pt idx="7">
                        <c:v>8.0833333333333339</c:v>
                      </c:pt>
                      <c:pt idx="8">
                        <c:v>8.7666666666666675</c:v>
                      </c:pt>
                      <c:pt idx="9">
                        <c:v>10.116666666666667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'Data table'!$H$39:$H$48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3.4000109073287836</c:v>
                      </c:pt>
                      <c:pt idx="1">
                        <c:v>3.4810576464246132</c:v>
                      </c:pt>
                      <c:pt idx="2">
                        <c:v>3.3513592377236612</c:v>
                      </c:pt>
                      <c:pt idx="3">
                        <c:v>3.2071072412042922</c:v>
                      </c:pt>
                      <c:pt idx="4">
                        <c:v>2.8262137821139461</c:v>
                      </c:pt>
                      <c:pt idx="5">
                        <c:v>2.6101279170699603</c:v>
                      </c:pt>
                      <c:pt idx="6">
                        <c:v>2.379033632746185</c:v>
                      </c:pt>
                      <c:pt idx="7">
                        <c:v>2.1167792121174802</c:v>
                      </c:pt>
                      <c:pt idx="8">
                        <c:v>1.89968586017106</c:v>
                      </c:pt>
                      <c:pt idx="9">
                        <c:v>1.7115520576094869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FE97-4945-99F8-3D9769C7ECD6}"/>
                  </c:ext>
                </c:extLst>
              </c15:ser>
            </c15:filteredScatterSeries>
          </c:ext>
        </c:extLst>
      </c:scatterChart>
      <c:valAx>
        <c:axId val="25970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07080"/>
        <c:crosses val="autoZero"/>
        <c:crossBetween val="midCat"/>
      </c:valAx>
      <c:valAx>
        <c:axId val="25970708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[Fe</a:t>
                </a:r>
                <a:r>
                  <a:rPr lang="en-US" baseline="30000"/>
                  <a:t>2+</a:t>
                </a:r>
                <a:r>
                  <a:rPr lang="en-US" baseline="0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0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3598990711158"/>
          <c:y val="0.11342373869932923"/>
          <c:w val="0.19941917128368131"/>
          <c:h val="0.76331510644502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4225721784778"/>
          <c:y val="0.14351851851851852"/>
          <c:w val="0.81418285214348207"/>
          <c:h val="0.735161854768154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02411953524616E-2"/>
                  <c:y val="-0.2354771799358413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('Data table'!$D$83,'Data table'!$F$83,'Data table'!$H$83,'Data table'!$J$83,'Data table'!$L$83,'Data table'!$N$83,'Data table'!$P$83,'Data table'!$R$83,'Data table'!$T$83)</c:f>
                <c:numCache>
                  <c:formatCode>General</c:formatCode>
                  <c:ptCount val="9"/>
                  <c:pt idx="0">
                    <c:v>5.6255305863374259E-2</c:v>
                  </c:pt>
                  <c:pt idx="1">
                    <c:v>2.6347180005948698E-2</c:v>
                  </c:pt>
                  <c:pt idx="2">
                    <c:v>3.5926510222468663E-2</c:v>
                  </c:pt>
                  <c:pt idx="3">
                    <c:v>3.0785049147154495E-2</c:v>
                  </c:pt>
                  <c:pt idx="4">
                    <c:v>2.9799696521800294E-2</c:v>
                  </c:pt>
                  <c:pt idx="5">
                    <c:v>2.7549149718148522E-2</c:v>
                  </c:pt>
                  <c:pt idx="6">
                    <c:v>3.2673563947709247E-2</c:v>
                  </c:pt>
                  <c:pt idx="7">
                    <c:v>2.6083832787269046E-2</c:v>
                  </c:pt>
                  <c:pt idx="8">
                    <c:v>2.6650434852747235E-2</c:v>
                  </c:pt>
                </c:numCache>
              </c:numRef>
            </c:plus>
            <c:minus>
              <c:numRef>
                <c:f>('Data table'!$D$83,'Data table'!$R$83,'Data table'!$L$83,'Data table'!$P$83,'Data table'!$N$83,'Data table'!$H$83,'Data table'!$F$83,'Data table'!$T$83,'Data table'!$J$83)</c:f>
                <c:numCache>
                  <c:formatCode>General</c:formatCode>
                  <c:ptCount val="9"/>
                  <c:pt idx="0">
                    <c:v>5.6255305863374259E-2</c:v>
                  </c:pt>
                  <c:pt idx="1">
                    <c:v>2.6083832787269046E-2</c:v>
                  </c:pt>
                  <c:pt idx="2">
                    <c:v>2.9799696521800294E-2</c:v>
                  </c:pt>
                  <c:pt idx="3">
                    <c:v>3.2673563947709247E-2</c:v>
                  </c:pt>
                  <c:pt idx="4">
                    <c:v>2.7549149718148522E-2</c:v>
                  </c:pt>
                  <c:pt idx="5">
                    <c:v>3.5926510222468663E-2</c:v>
                  </c:pt>
                  <c:pt idx="6">
                    <c:v>2.6347180005948698E-2</c:v>
                  </c:pt>
                  <c:pt idx="7">
                    <c:v>2.6650434852747235E-2</c:v>
                  </c:pt>
                  <c:pt idx="8">
                    <c:v>3.0785049147154495E-2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('Data table'!$C$81,'Data table'!$Q$81,'Data table'!$K$81,'Data table'!$O$81,'Data table'!$M$81,'Data table'!$G$81,'Data table'!$E$81,'Data table'!$S$81,'Data table'!$I$81)</c:f>
              <c:numCache>
                <c:formatCode>0.00</c:formatCode>
                <c:ptCount val="9"/>
                <c:pt idx="0">
                  <c:v>7.2149999999999999</c:v>
                </c:pt>
                <c:pt idx="1">
                  <c:v>7.74</c:v>
                </c:pt>
                <c:pt idx="2">
                  <c:v>7.4649999999999999</c:v>
                </c:pt>
                <c:pt idx="3">
                  <c:v>7.6050000000000004</c:v>
                </c:pt>
                <c:pt idx="4">
                  <c:v>7.5649999999999995</c:v>
                </c:pt>
                <c:pt idx="5">
                  <c:v>7.4050000000000002</c:v>
                </c:pt>
                <c:pt idx="6">
                  <c:v>7.23</c:v>
                </c:pt>
                <c:pt idx="7">
                  <c:v>7.77</c:v>
                </c:pt>
                <c:pt idx="8">
                  <c:v>7.46</c:v>
                </c:pt>
              </c:numCache>
            </c:numRef>
          </c:xVal>
          <c:yVal>
            <c:numRef>
              <c:f>('Data table'!$C$83,'Data table'!$Q$83,'Data table'!$K$83,'Data table'!$O$83,'Data table'!$M$83,'Data table'!$G$83,'Data table'!$E$83,'Data table'!$S$83,'Data table'!$I$83)</c:f>
              <c:numCache>
                <c:formatCode>General</c:formatCode>
                <c:ptCount val="9"/>
                <c:pt idx="0">
                  <c:v>-3.078100873833113</c:v>
                </c:pt>
                <c:pt idx="1">
                  <c:v>-1.9969061508992545</c:v>
                </c:pt>
                <c:pt idx="2">
                  <c:v>-2.3915654224002187</c:v>
                </c:pt>
                <c:pt idx="3">
                  <c:v>-2.2619910343092005</c:v>
                </c:pt>
                <c:pt idx="4">
                  <c:v>-2.2767116409941637</c:v>
                </c:pt>
                <c:pt idx="5">
                  <c:v>-2.5021717210139118</c:v>
                </c:pt>
                <c:pt idx="6">
                  <c:v>-3.0801918077685171</c:v>
                </c:pt>
                <c:pt idx="7">
                  <c:v>-1.8914500559227401</c:v>
                </c:pt>
                <c:pt idx="8">
                  <c:v>-2.3576308325599804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9-4A5F-9B85-2EF6F79D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15208"/>
        <c:axId val="372415600"/>
      </c:scatterChart>
      <c:valAx>
        <c:axId val="37241520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layout>
            <c:manualLayout>
              <c:xMode val="edge"/>
              <c:yMode val="edge"/>
              <c:x val="0.52780453747273892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15600"/>
        <c:crosses val="autoZero"/>
        <c:crossBetween val="midCat"/>
      </c:valAx>
      <c:valAx>
        <c:axId val="3724156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log(k')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1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90048118985128"/>
          <c:y val="5.0925925925925923E-2"/>
          <c:w val="0.67372419072615919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table'!$C$37:$D$37</c:f>
              <c:strCache>
                <c:ptCount val="1"/>
                <c:pt idx="0">
                  <c:v>7.22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table'!$C$8:$C$14</c:f>
              <c:numCache>
                <c:formatCode>General</c:formatCode>
                <c:ptCount val="7"/>
                <c:pt idx="0">
                  <c:v>0</c:v>
                </c:pt>
                <c:pt idx="1">
                  <c:v>127</c:v>
                </c:pt>
                <c:pt idx="2">
                  <c:v>420</c:v>
                </c:pt>
                <c:pt idx="3">
                  <c:v>700</c:v>
                </c:pt>
                <c:pt idx="4">
                  <c:v>947</c:v>
                </c:pt>
                <c:pt idx="5">
                  <c:v>1244</c:v>
                </c:pt>
                <c:pt idx="6">
                  <c:v>1872</c:v>
                </c:pt>
              </c:numCache>
            </c:numRef>
          </c:xVal>
          <c:yVal>
            <c:numRef>
              <c:f>'Data table'!$E$8:$E$14</c:f>
              <c:numCache>
                <c:formatCode>0.0</c:formatCode>
                <c:ptCount val="7"/>
                <c:pt idx="0">
                  <c:v>36.375912408759127</c:v>
                </c:pt>
                <c:pt idx="1">
                  <c:v>31.959854014598541</c:v>
                </c:pt>
                <c:pt idx="2">
                  <c:v>29.624087591240873</c:v>
                </c:pt>
                <c:pt idx="3">
                  <c:v>26.704379562043794</c:v>
                </c:pt>
                <c:pt idx="4">
                  <c:v>22.032846715328468</c:v>
                </c:pt>
                <c:pt idx="5">
                  <c:v>16.266423357664234</c:v>
                </c:pt>
                <c:pt idx="6">
                  <c:v>6.8503649635036501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2-461F-A272-DF31765A20ED}"/>
            </c:ext>
          </c:extLst>
        </c:ser>
        <c:ser>
          <c:idx val="6"/>
          <c:order val="1"/>
          <c:tx>
            <c:strRef>
              <c:f>'Data table'!$E$37:$F$37</c:f>
              <c:strCache>
                <c:ptCount val="1"/>
                <c:pt idx="0">
                  <c:v>7.23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'Data table'!$K$22:$K$31</c:f>
              <c:numCache>
                <c:formatCode>General</c:formatCode>
                <c:ptCount val="10"/>
                <c:pt idx="0">
                  <c:v>13</c:v>
                </c:pt>
                <c:pt idx="1">
                  <c:v>178</c:v>
                </c:pt>
                <c:pt idx="2">
                  <c:v>360</c:v>
                </c:pt>
                <c:pt idx="3">
                  <c:v>542</c:v>
                </c:pt>
                <c:pt idx="4">
                  <c:v>720</c:v>
                </c:pt>
                <c:pt idx="5">
                  <c:v>903</c:v>
                </c:pt>
                <c:pt idx="6">
                  <c:v>1083</c:v>
                </c:pt>
                <c:pt idx="7">
                  <c:v>1255</c:v>
                </c:pt>
                <c:pt idx="8">
                  <c:v>1440</c:v>
                </c:pt>
                <c:pt idx="9">
                  <c:v>1622</c:v>
                </c:pt>
              </c:numCache>
            </c:numRef>
          </c:xVal>
          <c:yVal>
            <c:numRef>
              <c:f>'Data table'!$M$22:$M$31</c:f>
              <c:numCache>
                <c:formatCode>0.0</c:formatCode>
                <c:ptCount val="10"/>
                <c:pt idx="0">
                  <c:v>33.669524000000003</c:v>
                </c:pt>
                <c:pt idx="1">
                  <c:v>30.884311999999998</c:v>
                </c:pt>
                <c:pt idx="2">
                  <c:v>28.701307999999997</c:v>
                </c:pt>
                <c:pt idx="3">
                  <c:v>25.426801999999999</c:v>
                </c:pt>
                <c:pt idx="4">
                  <c:v>23.017969999999998</c:v>
                </c:pt>
                <c:pt idx="5">
                  <c:v>19.442360000000001</c:v>
                </c:pt>
                <c:pt idx="6">
                  <c:v>16.506595999999998</c:v>
                </c:pt>
                <c:pt idx="7">
                  <c:v>13.420279999999998</c:v>
                </c:pt>
                <c:pt idx="8">
                  <c:v>10.973809999999999</c:v>
                </c:pt>
                <c:pt idx="9">
                  <c:v>8.7908059999999981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2-461F-A272-DF31765A20ED}"/>
            </c:ext>
          </c:extLst>
        </c:ser>
        <c:ser>
          <c:idx val="5"/>
          <c:order val="2"/>
          <c:tx>
            <c:strRef>
              <c:f>'Data table'!$G$37:$H$37</c:f>
              <c:strCache>
                <c:ptCount val="1"/>
                <c:pt idx="0">
                  <c:v>7.41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table'!$G$22:$G$31</c:f>
              <c:numCache>
                <c:formatCode>General</c:formatCode>
                <c:ptCount val="10"/>
                <c:pt idx="0">
                  <c:v>7</c:v>
                </c:pt>
                <c:pt idx="1">
                  <c:v>66</c:v>
                </c:pt>
                <c:pt idx="2">
                  <c:v>127</c:v>
                </c:pt>
                <c:pt idx="3">
                  <c:v>246</c:v>
                </c:pt>
                <c:pt idx="4">
                  <c:v>306</c:v>
                </c:pt>
                <c:pt idx="5">
                  <c:v>366</c:v>
                </c:pt>
                <c:pt idx="6">
                  <c:v>424</c:v>
                </c:pt>
                <c:pt idx="7">
                  <c:v>485</c:v>
                </c:pt>
                <c:pt idx="8">
                  <c:v>526</c:v>
                </c:pt>
                <c:pt idx="9">
                  <c:v>607</c:v>
                </c:pt>
              </c:numCache>
            </c:numRef>
          </c:xVal>
          <c:yVal>
            <c:numRef>
              <c:f>'Data table'!$I$22:$I$31</c:f>
              <c:numCache>
                <c:formatCode>0.0</c:formatCode>
                <c:ptCount val="10"/>
                <c:pt idx="0">
                  <c:v>29.964426877470355</c:v>
                </c:pt>
                <c:pt idx="1">
                  <c:v>32.494071146245055</c:v>
                </c:pt>
                <c:pt idx="2">
                  <c:v>28.541501976284582</c:v>
                </c:pt>
                <c:pt idx="3">
                  <c:v>24.707509881422926</c:v>
                </c:pt>
                <c:pt idx="4">
                  <c:v>16.881422924901184</c:v>
                </c:pt>
                <c:pt idx="5">
                  <c:v>13.600790513833992</c:v>
                </c:pt>
                <c:pt idx="6">
                  <c:v>10.794466403162057</c:v>
                </c:pt>
                <c:pt idx="7">
                  <c:v>8.3043478260869552</c:v>
                </c:pt>
                <c:pt idx="8">
                  <c:v>6.6837944664031621</c:v>
                </c:pt>
                <c:pt idx="9">
                  <c:v>5.537549407114625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F2-461F-A272-DF31765A20ED}"/>
            </c:ext>
          </c:extLst>
        </c:ser>
        <c:ser>
          <c:idx val="2"/>
          <c:order val="3"/>
          <c:tx>
            <c:strRef>
              <c:f>'Data table'!$K$37:$L$37</c:f>
              <c:strCache>
                <c:ptCount val="1"/>
                <c:pt idx="0">
                  <c:v>7.47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'Data table'!$K$8:$K$17</c:f>
              <c:numCache>
                <c:formatCode>General</c:formatCode>
                <c:ptCount val="10"/>
                <c:pt idx="0">
                  <c:v>10</c:v>
                </c:pt>
                <c:pt idx="1">
                  <c:v>90</c:v>
                </c:pt>
                <c:pt idx="2">
                  <c:v>187</c:v>
                </c:pt>
                <c:pt idx="3">
                  <c:v>310</c:v>
                </c:pt>
                <c:pt idx="4">
                  <c:v>430</c:v>
                </c:pt>
                <c:pt idx="5">
                  <c:v>492</c:v>
                </c:pt>
                <c:pt idx="6">
                  <c:v>566</c:v>
                </c:pt>
                <c:pt idx="7">
                  <c:v>640</c:v>
                </c:pt>
                <c:pt idx="8">
                  <c:v>735</c:v>
                </c:pt>
                <c:pt idx="9">
                  <c:v>795</c:v>
                </c:pt>
              </c:numCache>
            </c:numRef>
          </c:xVal>
          <c:yVal>
            <c:numRef>
              <c:f>'Data table'!$M$8:$M$17</c:f>
              <c:numCache>
                <c:formatCode>0.0</c:formatCode>
                <c:ptCount val="10"/>
                <c:pt idx="0">
                  <c:v>30.201581027667984</c:v>
                </c:pt>
                <c:pt idx="1">
                  <c:v>29.964426877470355</c:v>
                </c:pt>
                <c:pt idx="2">
                  <c:v>23.442687747035571</c:v>
                </c:pt>
                <c:pt idx="3">
                  <c:v>17.750988142292492</c:v>
                </c:pt>
                <c:pt idx="4">
                  <c:v>9.2134387351778653</c:v>
                </c:pt>
                <c:pt idx="5">
                  <c:v>7.1581027667984181</c:v>
                </c:pt>
                <c:pt idx="6">
                  <c:v>4.8656126482213438</c:v>
                </c:pt>
                <c:pt idx="7">
                  <c:v>3.1264822134387353</c:v>
                </c:pt>
                <c:pt idx="8">
                  <c:v>1.6640316205533596</c:v>
                </c:pt>
                <c:pt idx="9">
                  <c:v>1.7430830039525693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F2-461F-A272-DF31765A20ED}"/>
            </c:ext>
          </c:extLst>
        </c:ser>
        <c:ser>
          <c:idx val="8"/>
          <c:order val="4"/>
          <c:tx>
            <c:strRef>
              <c:f>'Data table'!$I$37:$J$37</c:f>
              <c:strCache>
                <c:ptCount val="1"/>
                <c:pt idx="0">
                  <c:v>7.46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'Data table'!$S$22:$S$31</c:f>
              <c:numCache>
                <c:formatCode>General</c:formatCode>
                <c:ptCount val="10"/>
                <c:pt idx="0">
                  <c:v>7</c:v>
                </c:pt>
                <c:pt idx="1">
                  <c:v>35</c:v>
                </c:pt>
                <c:pt idx="2">
                  <c:v>92</c:v>
                </c:pt>
                <c:pt idx="3">
                  <c:v>208</c:v>
                </c:pt>
                <c:pt idx="4">
                  <c:v>333</c:v>
                </c:pt>
                <c:pt idx="5">
                  <c:v>444</c:v>
                </c:pt>
                <c:pt idx="6">
                  <c:v>564</c:v>
                </c:pt>
                <c:pt idx="7">
                  <c:v>690</c:v>
                </c:pt>
                <c:pt idx="8">
                  <c:v>807</c:v>
                </c:pt>
                <c:pt idx="9">
                  <c:v>923</c:v>
                </c:pt>
              </c:numCache>
            </c:numRef>
          </c:xVal>
          <c:yVal>
            <c:numRef>
              <c:f>'Data table'!$U$22:$U$31</c:f>
              <c:numCache>
                <c:formatCode>0.0</c:formatCode>
                <c:ptCount val="10"/>
                <c:pt idx="0">
                  <c:v>33.820076</c:v>
                </c:pt>
                <c:pt idx="1">
                  <c:v>32.766212000000003</c:v>
                </c:pt>
                <c:pt idx="2">
                  <c:v>28.889498</c:v>
                </c:pt>
                <c:pt idx="3">
                  <c:v>21.474811999999996</c:v>
                </c:pt>
                <c:pt idx="4">
                  <c:v>13.457917999999998</c:v>
                </c:pt>
                <c:pt idx="5">
                  <c:v>8.0380459999999996</c:v>
                </c:pt>
                <c:pt idx="6">
                  <c:v>4.3871599999999988</c:v>
                </c:pt>
                <c:pt idx="7">
                  <c:v>3.1827439999999996</c:v>
                </c:pt>
                <c:pt idx="8">
                  <c:v>1.4513960000000001</c:v>
                </c:pt>
                <c:pt idx="9">
                  <c:v>0.43516999999999995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F2-461F-A272-DF31765A20ED}"/>
            </c:ext>
          </c:extLst>
        </c:ser>
        <c:ser>
          <c:idx val="4"/>
          <c:order val="5"/>
          <c:tx>
            <c:strRef>
              <c:f>'Data table'!$M$37:$N$37</c:f>
              <c:strCache>
                <c:ptCount val="1"/>
                <c:pt idx="0">
                  <c:v>7.57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'Data table'!$C$22:$C$31</c:f>
              <c:numCache>
                <c:formatCode>General</c:formatCode>
                <c:ptCount val="10"/>
                <c:pt idx="0">
                  <c:v>10</c:v>
                </c:pt>
                <c:pt idx="1">
                  <c:v>39</c:v>
                </c:pt>
                <c:pt idx="2">
                  <c:v>95</c:v>
                </c:pt>
                <c:pt idx="3">
                  <c:v>150</c:v>
                </c:pt>
                <c:pt idx="4">
                  <c:v>185</c:v>
                </c:pt>
                <c:pt idx="5">
                  <c:v>214</c:v>
                </c:pt>
                <c:pt idx="6">
                  <c:v>242</c:v>
                </c:pt>
                <c:pt idx="7">
                  <c:v>278</c:v>
                </c:pt>
                <c:pt idx="8">
                  <c:v>331</c:v>
                </c:pt>
                <c:pt idx="9">
                  <c:v>379</c:v>
                </c:pt>
              </c:numCache>
            </c:numRef>
          </c:xVal>
          <c:yVal>
            <c:numRef>
              <c:f>'Data table'!$E$22:$E$31</c:f>
              <c:numCache>
                <c:formatCode>0.0</c:formatCode>
                <c:ptCount val="10"/>
                <c:pt idx="0">
                  <c:v>35.577075098814227</c:v>
                </c:pt>
                <c:pt idx="1">
                  <c:v>32.296442687747032</c:v>
                </c:pt>
                <c:pt idx="2">
                  <c:v>27.632411067193676</c:v>
                </c:pt>
                <c:pt idx="3">
                  <c:v>21.624505928853758</c:v>
                </c:pt>
                <c:pt idx="4">
                  <c:v>18.936758893280633</c:v>
                </c:pt>
                <c:pt idx="5">
                  <c:v>15.695652173913045</c:v>
                </c:pt>
                <c:pt idx="6">
                  <c:v>13.047430830039525</c:v>
                </c:pt>
                <c:pt idx="7">
                  <c:v>10.596837944664031</c:v>
                </c:pt>
                <c:pt idx="8">
                  <c:v>6.9999999999999991</c:v>
                </c:pt>
                <c:pt idx="9">
                  <c:v>4.9446640316205528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F2-461F-A272-DF31765A20ED}"/>
            </c:ext>
          </c:extLst>
        </c:ser>
        <c:ser>
          <c:idx val="3"/>
          <c:order val="6"/>
          <c:tx>
            <c:strRef>
              <c:f>'Data table'!$O$37:$P$37</c:f>
              <c:strCache>
                <c:ptCount val="1"/>
                <c:pt idx="0">
                  <c:v>7.61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'Data table'!$O$8:$O$17</c:f>
              <c:numCache>
                <c:formatCode>General</c:formatCode>
                <c:ptCount val="10"/>
                <c:pt idx="0">
                  <c:v>14</c:v>
                </c:pt>
                <c:pt idx="1">
                  <c:v>42</c:v>
                </c:pt>
                <c:pt idx="2">
                  <c:v>140</c:v>
                </c:pt>
                <c:pt idx="3">
                  <c:v>235</c:v>
                </c:pt>
                <c:pt idx="4">
                  <c:v>310</c:v>
                </c:pt>
                <c:pt idx="5">
                  <c:v>340</c:v>
                </c:pt>
                <c:pt idx="6">
                  <c:v>407</c:v>
                </c:pt>
                <c:pt idx="7">
                  <c:v>435</c:v>
                </c:pt>
                <c:pt idx="8">
                  <c:v>505</c:v>
                </c:pt>
                <c:pt idx="9">
                  <c:v>535</c:v>
                </c:pt>
              </c:numCache>
            </c:numRef>
          </c:xVal>
          <c:yVal>
            <c:numRef>
              <c:f>'Data table'!$Q$8:$Q$17</c:f>
              <c:numCache>
                <c:formatCode>0.0</c:formatCode>
                <c:ptCount val="10"/>
                <c:pt idx="0">
                  <c:v>34.272727272727273</c:v>
                </c:pt>
                <c:pt idx="1">
                  <c:v>30.873517786561266</c:v>
                </c:pt>
                <c:pt idx="2">
                  <c:v>22.968379446640316</c:v>
                </c:pt>
                <c:pt idx="3">
                  <c:v>14.114624505928854</c:v>
                </c:pt>
                <c:pt idx="4">
                  <c:v>9.9249011857707501</c:v>
                </c:pt>
                <c:pt idx="5">
                  <c:v>6.8418972332015811</c:v>
                </c:pt>
                <c:pt idx="6">
                  <c:v>6.6047430830039522</c:v>
                </c:pt>
                <c:pt idx="7">
                  <c:v>4.4308300395256923</c:v>
                </c:pt>
                <c:pt idx="8">
                  <c:v>2.731225296442688</c:v>
                </c:pt>
                <c:pt idx="9">
                  <c:v>1.5454545454545454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F2-461F-A272-DF31765A20ED}"/>
            </c:ext>
          </c:extLst>
        </c:ser>
        <c:ser>
          <c:idx val="1"/>
          <c:order val="7"/>
          <c:tx>
            <c:strRef>
              <c:f>'Data table'!$Q$37:$R$37</c:f>
              <c:strCache>
                <c:ptCount val="1"/>
                <c:pt idx="0">
                  <c:v>7.74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table'!$G$8:$G$17</c:f>
              <c:numCache>
                <c:formatCode>General</c:formatCode>
                <c:ptCount val="10"/>
                <c:pt idx="0">
                  <c:v>5</c:v>
                </c:pt>
                <c:pt idx="1">
                  <c:v>30</c:v>
                </c:pt>
                <c:pt idx="2">
                  <c:v>70</c:v>
                </c:pt>
                <c:pt idx="3">
                  <c:v>102</c:v>
                </c:pt>
                <c:pt idx="4">
                  <c:v>136</c:v>
                </c:pt>
                <c:pt idx="5">
                  <c:v>175</c:v>
                </c:pt>
                <c:pt idx="6">
                  <c:v>211</c:v>
                </c:pt>
                <c:pt idx="7">
                  <c:v>246</c:v>
                </c:pt>
                <c:pt idx="8">
                  <c:v>286</c:v>
                </c:pt>
                <c:pt idx="9">
                  <c:v>324</c:v>
                </c:pt>
              </c:numCache>
            </c:numRef>
          </c:xVal>
          <c:yVal>
            <c:numRef>
              <c:f>'Data table'!$I$8:$I$17</c:f>
              <c:numCache>
                <c:formatCode>0.0</c:formatCode>
                <c:ptCount val="10"/>
                <c:pt idx="0">
                  <c:v>32.835766423357668</c:v>
                </c:pt>
                <c:pt idx="1">
                  <c:v>27.835766423357665</c:v>
                </c:pt>
                <c:pt idx="2">
                  <c:v>23.894160583941609</c:v>
                </c:pt>
                <c:pt idx="3">
                  <c:v>19.514598540145986</c:v>
                </c:pt>
                <c:pt idx="4">
                  <c:v>14.222627737226277</c:v>
                </c:pt>
                <c:pt idx="5">
                  <c:v>9.2956204379562042</c:v>
                </c:pt>
                <c:pt idx="6">
                  <c:v>5.8284671532846719</c:v>
                </c:pt>
                <c:pt idx="7">
                  <c:v>3.7846715328467151</c:v>
                </c:pt>
                <c:pt idx="8">
                  <c:v>2.4708029197080288</c:v>
                </c:pt>
                <c:pt idx="9">
                  <c:v>1.3029197080291972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F2-461F-A272-DF31765A20ED}"/>
            </c:ext>
          </c:extLst>
        </c:ser>
        <c:ser>
          <c:idx val="7"/>
          <c:order val="8"/>
          <c:tx>
            <c:strRef>
              <c:f>'Data table'!$S$37:$T$37</c:f>
              <c:strCache>
                <c:ptCount val="1"/>
                <c:pt idx="0">
                  <c:v>7.77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'Data table'!$O$22:$O$31</c:f>
              <c:numCache>
                <c:formatCode>General</c:formatCode>
                <c:ptCount val="10"/>
                <c:pt idx="0">
                  <c:v>7</c:v>
                </c:pt>
                <c:pt idx="1">
                  <c:v>38</c:v>
                </c:pt>
                <c:pt idx="2">
                  <c:v>64</c:v>
                </c:pt>
                <c:pt idx="3">
                  <c:v>97</c:v>
                </c:pt>
                <c:pt idx="4">
                  <c:v>125</c:v>
                </c:pt>
                <c:pt idx="5">
                  <c:v>164</c:v>
                </c:pt>
                <c:pt idx="6">
                  <c:v>192</c:v>
                </c:pt>
                <c:pt idx="7">
                  <c:v>222</c:v>
                </c:pt>
                <c:pt idx="8">
                  <c:v>270</c:v>
                </c:pt>
                <c:pt idx="9">
                  <c:v>301</c:v>
                </c:pt>
              </c:numCache>
            </c:numRef>
          </c:xVal>
          <c:yVal>
            <c:numRef>
              <c:f>'Data table'!$Q$22:$Q$31</c:f>
              <c:numCache>
                <c:formatCode>0.0</c:formatCode>
                <c:ptCount val="10"/>
                <c:pt idx="0">
                  <c:v>32.164003999999998</c:v>
                </c:pt>
                <c:pt idx="1">
                  <c:v>28.701307999999997</c:v>
                </c:pt>
                <c:pt idx="2">
                  <c:v>24.147109999999998</c:v>
                </c:pt>
                <c:pt idx="3">
                  <c:v>18.727238</c:v>
                </c:pt>
                <c:pt idx="4">
                  <c:v>13.119175999999998</c:v>
                </c:pt>
                <c:pt idx="5">
                  <c:v>8.0380459999999996</c:v>
                </c:pt>
                <c:pt idx="6">
                  <c:v>5.0646439999999995</c:v>
                </c:pt>
                <c:pt idx="7">
                  <c:v>3.1451059999999997</c:v>
                </c:pt>
                <c:pt idx="8">
                  <c:v>1.3008439999999999</c:v>
                </c:pt>
                <c:pt idx="9">
                  <c:v>0.88682599999999989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3F2-461F-A272-DF31765A2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16384"/>
        <c:axId val="372416776"/>
        <c:extLst/>
      </c:scatterChart>
      <c:valAx>
        <c:axId val="37241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16776"/>
        <c:crosses val="autoZero"/>
        <c:crossBetween val="midCat"/>
      </c:valAx>
      <c:valAx>
        <c:axId val="3724167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[Fe(II)]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50737342539428"/>
          <c:y val="0.16434966462525519"/>
          <c:w val="0.13823748004997022"/>
          <c:h val="0.7031299212598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4225721784778"/>
          <c:y val="0.14351851851851852"/>
          <c:w val="0.74471775171917964"/>
          <c:h val="0.6564581510644502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025809082712504"/>
                  <c:y val="0.1203703703703703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('Data table'!$D$83,'Data table'!$F$83,'Data table'!$H$83,'Data table'!$J$83,'Data table'!$L$83,'Data table'!$N$83,'Data table'!$P$83,'Data table'!$R$83,'Data table'!$T$83)</c:f>
                <c:numCache>
                  <c:formatCode>General</c:formatCode>
                  <c:ptCount val="9"/>
                  <c:pt idx="0">
                    <c:v>5.6255305863374259E-2</c:v>
                  </c:pt>
                  <c:pt idx="1">
                    <c:v>2.6347180005948698E-2</c:v>
                  </c:pt>
                  <c:pt idx="2">
                    <c:v>3.5926510222468663E-2</c:v>
                  </c:pt>
                  <c:pt idx="3">
                    <c:v>3.0785049147154495E-2</c:v>
                  </c:pt>
                  <c:pt idx="4">
                    <c:v>2.9799696521800294E-2</c:v>
                  </c:pt>
                  <c:pt idx="5">
                    <c:v>2.7549149718148522E-2</c:v>
                  </c:pt>
                  <c:pt idx="6">
                    <c:v>3.2673563947709247E-2</c:v>
                  </c:pt>
                  <c:pt idx="7">
                    <c:v>2.6083832787269046E-2</c:v>
                  </c:pt>
                  <c:pt idx="8">
                    <c:v>2.6650434852747235E-2</c:v>
                  </c:pt>
                </c:numCache>
              </c:numRef>
            </c:plus>
            <c:minus>
              <c:numRef>
                <c:f>('Data table'!$D$83,'Data table'!$R$83,'Data table'!$L$83,'Data table'!$P$83,'Data table'!$N$83,'Data table'!$H$83,'Data table'!$F$83,'Data table'!$T$83,'Data table'!$J$83)</c:f>
                <c:numCache>
                  <c:formatCode>General</c:formatCode>
                  <c:ptCount val="9"/>
                  <c:pt idx="0">
                    <c:v>5.6255305863374259E-2</c:v>
                  </c:pt>
                  <c:pt idx="1">
                    <c:v>2.6083832787269046E-2</c:v>
                  </c:pt>
                  <c:pt idx="2">
                    <c:v>2.9799696521800294E-2</c:v>
                  </c:pt>
                  <c:pt idx="3">
                    <c:v>3.2673563947709247E-2</c:v>
                  </c:pt>
                  <c:pt idx="4">
                    <c:v>2.7549149718148522E-2</c:v>
                  </c:pt>
                  <c:pt idx="5">
                    <c:v>3.5926510222468663E-2</c:v>
                  </c:pt>
                  <c:pt idx="6">
                    <c:v>2.6347180005948698E-2</c:v>
                  </c:pt>
                  <c:pt idx="7">
                    <c:v>2.6650434852747235E-2</c:v>
                  </c:pt>
                  <c:pt idx="8">
                    <c:v>3.0785049147154495E-2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('Data table'!$C$88,'Data table'!$E$88,'Data table'!$G$88,'Data table'!$I$88,'Data table'!$K$88,'Data table'!$M$88,'Data table'!$O$88,'Data table'!$Q$88,'Data table'!$S$88)</c:f>
              <c:numCache>
                <c:formatCode>0.00</c:formatCode>
                <c:ptCount val="9"/>
                <c:pt idx="0">
                  <c:v>6.7850000000000001</c:v>
                </c:pt>
                <c:pt idx="1">
                  <c:v>6.77</c:v>
                </c:pt>
                <c:pt idx="2">
                  <c:v>6.5949999999999998</c:v>
                </c:pt>
                <c:pt idx="3">
                  <c:v>6.54</c:v>
                </c:pt>
                <c:pt idx="4">
                  <c:v>6.5350000000000001</c:v>
                </c:pt>
                <c:pt idx="5">
                  <c:v>6.4350000000000005</c:v>
                </c:pt>
                <c:pt idx="6">
                  <c:v>6.3949999999999996</c:v>
                </c:pt>
                <c:pt idx="7">
                  <c:v>6.26</c:v>
                </c:pt>
                <c:pt idx="8">
                  <c:v>6.23</c:v>
                </c:pt>
              </c:numCache>
            </c:numRef>
          </c:xVal>
          <c:yVal>
            <c:numRef>
              <c:f>('Data table'!$C$83,'Data table'!$E$83,'Data table'!$G$83,'Data table'!$I$83,'Data table'!$K$83,'Data table'!$M$83,'Data table'!$O$83,'Data table'!$Q$83,'Data table'!$S$83)</c:f>
              <c:numCache>
                <c:formatCode>General</c:formatCode>
                <c:ptCount val="9"/>
                <c:pt idx="0">
                  <c:v>-3.078100873833113</c:v>
                </c:pt>
                <c:pt idx="1">
                  <c:v>-3.0801918077685171</c:v>
                </c:pt>
                <c:pt idx="2">
                  <c:v>-2.5021717210139118</c:v>
                </c:pt>
                <c:pt idx="3">
                  <c:v>-2.3576308325599804</c:v>
                </c:pt>
                <c:pt idx="4">
                  <c:v>-2.3915654224002187</c:v>
                </c:pt>
                <c:pt idx="5">
                  <c:v>-2.2767116409941637</c:v>
                </c:pt>
                <c:pt idx="6">
                  <c:v>-2.2619910343092005</c:v>
                </c:pt>
                <c:pt idx="7">
                  <c:v>-1.9969061508992545</c:v>
                </c:pt>
                <c:pt idx="8">
                  <c:v>-1.8914500559227401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14-475D-9D83-955230C3E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37520"/>
        <c:axId val="372637912"/>
      </c:scatterChart>
      <c:valAx>
        <c:axId val="37263752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pOH</a:t>
                </a:r>
              </a:p>
            </c:rich>
          </c:tx>
          <c:layout>
            <c:manualLayout>
              <c:xMode val="edge"/>
              <c:yMode val="edge"/>
              <c:x val="0.52780453747273892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37912"/>
        <c:crosses val="autoZero"/>
        <c:crossBetween val="midCat"/>
      </c:valAx>
      <c:valAx>
        <c:axId val="3726379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(k')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3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21947899476093"/>
          <c:y val="7.0949256342957137E-2"/>
          <c:w val="0.77647672125885148"/>
          <c:h val="0.79905876348789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table'!$C$37:$D$37</c:f>
              <c:strCache>
                <c:ptCount val="1"/>
                <c:pt idx="0">
                  <c:v>7.22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table'!$C$39:$C$48</c:f>
              <c:numCache>
                <c:formatCode>0.00</c:formatCode>
                <c:ptCount val="10"/>
                <c:pt idx="0">
                  <c:v>0</c:v>
                </c:pt>
                <c:pt idx="1">
                  <c:v>2.1166666666666667</c:v>
                </c:pt>
                <c:pt idx="2">
                  <c:v>7</c:v>
                </c:pt>
                <c:pt idx="3">
                  <c:v>11.666666666666666</c:v>
                </c:pt>
                <c:pt idx="4">
                  <c:v>15.783333333333333</c:v>
                </c:pt>
                <c:pt idx="5">
                  <c:v>20.733333333333334</c:v>
                </c:pt>
                <c:pt idx="6">
                  <c:v>31.2</c:v>
                </c:pt>
              </c:numCache>
            </c:numRef>
          </c:xVal>
          <c:yVal>
            <c:numRef>
              <c:f>'Data table'!$D$39:$D$48</c:f>
              <c:numCache>
                <c:formatCode>0.00</c:formatCode>
                <c:ptCount val="10"/>
                <c:pt idx="0">
                  <c:v>3.5939068085793862</c:v>
                </c:pt>
                <c:pt idx="1">
                  <c:v>3.464480553134154</c:v>
                </c:pt>
                <c:pt idx="2">
                  <c:v>3.3885878003731054</c:v>
                </c:pt>
                <c:pt idx="3">
                  <c:v>3.2848275804959597</c:v>
                </c:pt>
                <c:pt idx="4">
                  <c:v>3.0925343724083558</c:v>
                </c:pt>
                <c:pt idx="5">
                  <c:v>2.7891030665584857</c:v>
                </c:pt>
                <c:pt idx="6">
                  <c:v>1.9243019301984388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1-48DC-9120-9F200FDB2E53}"/>
            </c:ext>
          </c:extLst>
        </c:ser>
        <c:ser>
          <c:idx val="6"/>
          <c:order val="1"/>
          <c:tx>
            <c:strRef>
              <c:f>'Data table'!$E$37:$F$37</c:f>
              <c:strCache>
                <c:ptCount val="1"/>
                <c:pt idx="0">
                  <c:v>7.23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'Data table'!$E$39:$E$48</c:f>
              <c:numCache>
                <c:formatCode>0.00</c:formatCode>
                <c:ptCount val="10"/>
                <c:pt idx="0">
                  <c:v>0.21666666666666667</c:v>
                </c:pt>
                <c:pt idx="1">
                  <c:v>2.9666666666666668</c:v>
                </c:pt>
                <c:pt idx="2">
                  <c:v>6</c:v>
                </c:pt>
                <c:pt idx="3">
                  <c:v>9.0333333333333332</c:v>
                </c:pt>
                <c:pt idx="4">
                  <c:v>12</c:v>
                </c:pt>
                <c:pt idx="5">
                  <c:v>15.05</c:v>
                </c:pt>
                <c:pt idx="6">
                  <c:v>18.05</c:v>
                </c:pt>
                <c:pt idx="7">
                  <c:v>20.916666666666668</c:v>
                </c:pt>
                <c:pt idx="8">
                  <c:v>24</c:v>
                </c:pt>
                <c:pt idx="9">
                  <c:v>27.033333333333335</c:v>
                </c:pt>
              </c:numCache>
            </c:numRef>
          </c:xVal>
          <c:yVal>
            <c:numRef>
              <c:f>'Data table'!$F$39:$F$48</c:f>
              <c:numCache>
                <c:formatCode>0.00</c:formatCode>
                <c:ptCount val="10"/>
                <c:pt idx="0">
                  <c:v>3.5165930958589144</c:v>
                </c:pt>
                <c:pt idx="1">
                  <c:v>3.4302483527138938</c:v>
                </c:pt>
                <c:pt idx="2">
                  <c:v>3.3569426966399627</c:v>
                </c:pt>
                <c:pt idx="3">
                  <c:v>3.2358038145460113</c:v>
                </c:pt>
                <c:pt idx="4">
                  <c:v>3.1362752152176196</c:v>
                </c:pt>
                <c:pt idx="5">
                  <c:v>2.967454190840964</c:v>
                </c:pt>
                <c:pt idx="6">
                  <c:v>2.8037600586005209</c:v>
                </c:pt>
                <c:pt idx="7">
                  <c:v>2.5967669957073976</c:v>
                </c:pt>
                <c:pt idx="8">
                  <c:v>2.3955115248364542</c:v>
                </c:pt>
                <c:pt idx="9">
                  <c:v>2.1737064026014234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C1-48DC-9120-9F200FDB2E53}"/>
            </c:ext>
          </c:extLst>
        </c:ser>
        <c:ser>
          <c:idx val="2"/>
          <c:order val="3"/>
          <c:tx>
            <c:strRef>
              <c:f>'Data table'!$K$37:$L$37</c:f>
              <c:strCache>
                <c:ptCount val="1"/>
                <c:pt idx="0">
                  <c:v>7.47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'Data table'!$K$39:$K$48</c:f>
              <c:numCache>
                <c:formatCode>0.00</c:formatCode>
                <c:ptCount val="10"/>
                <c:pt idx="0">
                  <c:v>0.16666666666666666</c:v>
                </c:pt>
                <c:pt idx="1">
                  <c:v>1.5</c:v>
                </c:pt>
                <c:pt idx="2">
                  <c:v>3.1166666666666667</c:v>
                </c:pt>
                <c:pt idx="3">
                  <c:v>5.166666666666667</c:v>
                </c:pt>
                <c:pt idx="4">
                  <c:v>7.166666666666667</c:v>
                </c:pt>
                <c:pt idx="5">
                  <c:v>8.1999999999999993</c:v>
                </c:pt>
                <c:pt idx="6">
                  <c:v>9.4333333333333336</c:v>
                </c:pt>
                <c:pt idx="7">
                  <c:v>10.666666666666666</c:v>
                </c:pt>
                <c:pt idx="8">
                  <c:v>12.25</c:v>
                </c:pt>
                <c:pt idx="9">
                  <c:v>13.25</c:v>
                </c:pt>
              </c:numCache>
            </c:numRef>
          </c:xVal>
          <c:yVal>
            <c:numRef>
              <c:f>'Data table'!$L$39:$L$48</c:f>
              <c:numCache>
                <c:formatCode>0.00</c:formatCode>
                <c:ptCount val="10"/>
                <c:pt idx="0">
                  <c:v>3.4078942749200465</c:v>
                </c:pt>
                <c:pt idx="1">
                  <c:v>3.4000109073287836</c:v>
                </c:pt>
                <c:pt idx="2">
                  <c:v>3.1545586231112064</c:v>
                </c:pt>
                <c:pt idx="3">
                  <c:v>2.876441184360218</c:v>
                </c:pt>
                <c:pt idx="4">
                  <c:v>2.220663150308237</c:v>
                </c:pt>
                <c:pt idx="5">
                  <c:v>1.968244969155893</c:v>
                </c:pt>
                <c:pt idx="6">
                  <c:v>1.5821926374569333</c:v>
                </c:pt>
                <c:pt idx="7">
                  <c:v>1.1399084790401337</c:v>
                </c:pt>
                <c:pt idx="8">
                  <c:v>0.50924334495486112</c:v>
                </c:pt>
                <c:pt idx="9">
                  <c:v>0.55565538671932579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C1-48DC-9120-9F200FDB2E53}"/>
            </c:ext>
          </c:extLst>
        </c:ser>
        <c:ser>
          <c:idx val="8"/>
          <c:order val="4"/>
          <c:tx>
            <c:strRef>
              <c:f>'Data table'!$I$37:$J$37</c:f>
              <c:strCache>
                <c:ptCount val="1"/>
                <c:pt idx="0">
                  <c:v>7.46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'Data table'!$I$39:$I$48</c:f>
              <c:numCache>
                <c:formatCode>0.00</c:formatCode>
                <c:ptCount val="10"/>
                <c:pt idx="0">
                  <c:v>0.11666666666666667</c:v>
                </c:pt>
                <c:pt idx="1">
                  <c:v>0.58333333333333337</c:v>
                </c:pt>
                <c:pt idx="2">
                  <c:v>1.5333333333333334</c:v>
                </c:pt>
                <c:pt idx="3">
                  <c:v>3.4666666666666668</c:v>
                </c:pt>
                <c:pt idx="4">
                  <c:v>5.55</c:v>
                </c:pt>
                <c:pt idx="5">
                  <c:v>7.4</c:v>
                </c:pt>
                <c:pt idx="6">
                  <c:v>9.4</c:v>
                </c:pt>
                <c:pt idx="7">
                  <c:v>11.5</c:v>
                </c:pt>
                <c:pt idx="8">
                  <c:v>13.45</c:v>
                </c:pt>
                <c:pt idx="9">
                  <c:v>15.383333333333333</c:v>
                </c:pt>
              </c:numCache>
            </c:numRef>
          </c:xVal>
          <c:yVal>
            <c:numRef>
              <c:f>'Data table'!$J$39:$J$48</c:f>
              <c:numCache>
                <c:formatCode>0.00</c:formatCode>
                <c:ptCount val="10"/>
                <c:pt idx="0">
                  <c:v>3.5210545906589203</c:v>
                </c:pt>
                <c:pt idx="1">
                  <c:v>3.4893978624986079</c:v>
                </c:pt>
                <c:pt idx="2">
                  <c:v>3.3634781380724155</c:v>
                </c:pt>
                <c:pt idx="3">
                  <c:v>3.0668807134664577</c:v>
                </c:pt>
                <c:pt idx="4">
                  <c:v>2.5995676317173957</c:v>
                </c:pt>
                <c:pt idx="5">
                  <c:v>2.0841860188272552</c:v>
                </c:pt>
                <c:pt idx="6">
                  <c:v>1.478682092911763</c:v>
                </c:pt>
                <c:pt idx="7">
                  <c:v>1.1577437177956382</c:v>
                </c:pt>
                <c:pt idx="8">
                  <c:v>0.37252585189833898</c:v>
                </c:pt>
                <c:pt idx="9">
                  <c:v>-0.83201851963997897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C1-48DC-9120-9F200FDB2E53}"/>
            </c:ext>
          </c:extLst>
        </c:ser>
        <c:ser>
          <c:idx val="4"/>
          <c:order val="5"/>
          <c:tx>
            <c:strRef>
              <c:f>'Data table'!$M$37:$N$37</c:f>
              <c:strCache>
                <c:ptCount val="1"/>
                <c:pt idx="0">
                  <c:v>7.57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'Data table'!$M$39:$M$48</c:f>
              <c:numCache>
                <c:formatCode>0.00</c:formatCode>
                <c:ptCount val="10"/>
                <c:pt idx="0">
                  <c:v>0.16666666666666666</c:v>
                </c:pt>
                <c:pt idx="1">
                  <c:v>0.65</c:v>
                </c:pt>
                <c:pt idx="2">
                  <c:v>1.5833333333333333</c:v>
                </c:pt>
                <c:pt idx="3">
                  <c:v>2.5</c:v>
                </c:pt>
                <c:pt idx="4">
                  <c:v>3.0833333333333335</c:v>
                </c:pt>
                <c:pt idx="5">
                  <c:v>3.5666666666666669</c:v>
                </c:pt>
                <c:pt idx="6">
                  <c:v>4.0333333333333332</c:v>
                </c:pt>
                <c:pt idx="7">
                  <c:v>4.6333333333333337</c:v>
                </c:pt>
                <c:pt idx="8">
                  <c:v>5.5166666666666666</c:v>
                </c:pt>
                <c:pt idx="9">
                  <c:v>6.3166666666666664</c:v>
                </c:pt>
              </c:numCache>
            </c:numRef>
          </c:xVal>
          <c:yVal>
            <c:numRef>
              <c:f>'Data table'!$N$39:$N$48</c:f>
              <c:numCache>
                <c:formatCode>0.00</c:formatCode>
                <c:ptCount val="10"/>
                <c:pt idx="0">
                  <c:v>3.5717014725295648</c:v>
                </c:pt>
                <c:pt idx="1">
                  <c:v>3.4749570906571869</c:v>
                </c:pt>
                <c:pt idx="2">
                  <c:v>3.3189893977844651</c:v>
                </c:pt>
                <c:pt idx="3">
                  <c:v>3.0738272053363058</c:v>
                </c:pt>
                <c:pt idx="4">
                  <c:v>2.9411049481556018</c:v>
                </c:pt>
                <c:pt idx="5">
                  <c:v>2.7533837424037313</c:v>
                </c:pt>
                <c:pt idx="6">
                  <c:v>2.5685912431256726</c:v>
                </c:pt>
                <c:pt idx="7">
                  <c:v>2.3605556495084392</c:v>
                </c:pt>
                <c:pt idx="8">
                  <c:v>1.9459101490553132</c:v>
                </c:pt>
                <c:pt idx="9">
                  <c:v>1.5983090217393907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C1-48DC-9120-9F200FDB2E53}"/>
            </c:ext>
          </c:extLst>
        </c:ser>
        <c:ser>
          <c:idx val="3"/>
          <c:order val="6"/>
          <c:tx>
            <c:strRef>
              <c:f>'Data table'!$O$37:$P$37</c:f>
              <c:strCache>
                <c:ptCount val="1"/>
                <c:pt idx="0">
                  <c:v>7.61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'Data table'!$O$39:$O$48</c:f>
              <c:numCache>
                <c:formatCode>0.00</c:formatCode>
                <c:ptCount val="10"/>
                <c:pt idx="0">
                  <c:v>0.23333333333333334</c:v>
                </c:pt>
                <c:pt idx="1">
                  <c:v>0.7</c:v>
                </c:pt>
                <c:pt idx="2">
                  <c:v>2.3333333333333335</c:v>
                </c:pt>
                <c:pt idx="3">
                  <c:v>3.9166666666666665</c:v>
                </c:pt>
                <c:pt idx="4">
                  <c:v>5.166666666666667</c:v>
                </c:pt>
                <c:pt idx="5">
                  <c:v>5.666666666666667</c:v>
                </c:pt>
                <c:pt idx="6">
                  <c:v>6.7833333333333332</c:v>
                </c:pt>
                <c:pt idx="7">
                  <c:v>7.25</c:v>
                </c:pt>
                <c:pt idx="8">
                  <c:v>8.4166666666666661</c:v>
                </c:pt>
                <c:pt idx="9">
                  <c:v>8.9166666666666661</c:v>
                </c:pt>
              </c:numCache>
            </c:numRef>
          </c:xVal>
          <c:yVal>
            <c:numRef>
              <c:f>'Data table'!$P$39:$P$48</c:f>
              <c:numCache>
                <c:formatCode>0.00</c:formatCode>
                <c:ptCount val="10"/>
                <c:pt idx="0">
                  <c:v>3.5343499146496402</c:v>
                </c:pt>
                <c:pt idx="1">
                  <c:v>3.4298987868827773</c:v>
                </c:pt>
                <c:pt idx="2">
                  <c:v>3.1341184633475851</c:v>
                </c:pt>
                <c:pt idx="3">
                  <c:v>2.647211458866928</c:v>
                </c:pt>
                <c:pt idx="4">
                  <c:v>2.2950468704300646</c:v>
                </c:pt>
                <c:pt idx="5">
                  <c:v>1.923065066448689</c:v>
                </c:pt>
                <c:pt idx="6">
                  <c:v>1.8877880398678735</c:v>
                </c:pt>
                <c:pt idx="7">
                  <c:v>1.4885869343446398</c:v>
                </c:pt>
                <c:pt idx="8">
                  <c:v>1.0047503350401497</c:v>
                </c:pt>
                <c:pt idx="9">
                  <c:v>0.4353180712578455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C1-48DC-9120-9F200FDB2E53}"/>
            </c:ext>
          </c:extLst>
        </c:ser>
        <c:ser>
          <c:idx val="1"/>
          <c:order val="7"/>
          <c:tx>
            <c:strRef>
              <c:f>'Data table'!$Q$37:$R$37</c:f>
              <c:strCache>
                <c:ptCount val="1"/>
                <c:pt idx="0">
                  <c:v>7.74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table'!$Q$39:$Q$48</c:f>
              <c:numCache>
                <c:formatCode>0.00</c:formatCode>
                <c:ptCount val="10"/>
                <c:pt idx="0">
                  <c:v>8.3333333333333329E-2</c:v>
                </c:pt>
                <c:pt idx="1">
                  <c:v>0.5</c:v>
                </c:pt>
                <c:pt idx="2">
                  <c:v>1.1666666666666667</c:v>
                </c:pt>
                <c:pt idx="3">
                  <c:v>1.7</c:v>
                </c:pt>
                <c:pt idx="4">
                  <c:v>2.2666666666666666</c:v>
                </c:pt>
                <c:pt idx="5">
                  <c:v>2.9166666666666665</c:v>
                </c:pt>
                <c:pt idx="6">
                  <c:v>3.5166666666666666</c:v>
                </c:pt>
                <c:pt idx="7">
                  <c:v>4.0999999999999996</c:v>
                </c:pt>
                <c:pt idx="8">
                  <c:v>4.7666666666666666</c:v>
                </c:pt>
                <c:pt idx="9">
                  <c:v>5.4</c:v>
                </c:pt>
              </c:numCache>
            </c:numRef>
          </c:xVal>
          <c:yVal>
            <c:numRef>
              <c:f>'Data table'!$R$39:$R$48</c:f>
              <c:numCache>
                <c:formatCode>0.00</c:formatCode>
                <c:ptCount val="10"/>
                <c:pt idx="0">
                  <c:v>3.4915183610290486</c:v>
                </c:pt>
                <c:pt idx="1">
                  <c:v>3.3263217557761684</c:v>
                </c:pt>
                <c:pt idx="2">
                  <c:v>3.1736341020530214</c:v>
                </c:pt>
                <c:pt idx="3">
                  <c:v>2.9711628285606615</c:v>
                </c:pt>
                <c:pt idx="4">
                  <c:v>2.6548341989506392</c:v>
                </c:pt>
                <c:pt idx="5">
                  <c:v>2.2295433685913868</c:v>
                </c:pt>
                <c:pt idx="6">
                  <c:v>1.7627540418269423</c:v>
                </c:pt>
                <c:pt idx="7">
                  <c:v>1.330959101841457</c:v>
                </c:pt>
                <c:pt idx="8">
                  <c:v>0.90454316652420463</c:v>
                </c:pt>
                <c:pt idx="9">
                  <c:v>0.26460767539156893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C1-48DC-9120-9F200FDB2E53}"/>
            </c:ext>
          </c:extLst>
        </c:ser>
        <c:ser>
          <c:idx val="7"/>
          <c:order val="8"/>
          <c:tx>
            <c:strRef>
              <c:f>'Data table'!$S$37:$T$37</c:f>
              <c:strCache>
                <c:ptCount val="1"/>
                <c:pt idx="0">
                  <c:v>7.77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'Data table'!$S$39:$S$48</c:f>
              <c:numCache>
                <c:formatCode>0.00</c:formatCode>
                <c:ptCount val="10"/>
                <c:pt idx="0">
                  <c:v>0.11666666666666667</c:v>
                </c:pt>
                <c:pt idx="1">
                  <c:v>0.6333333333333333</c:v>
                </c:pt>
                <c:pt idx="2">
                  <c:v>1.0666666666666667</c:v>
                </c:pt>
                <c:pt idx="3">
                  <c:v>1.6166666666666667</c:v>
                </c:pt>
                <c:pt idx="4">
                  <c:v>2.0833333333333335</c:v>
                </c:pt>
                <c:pt idx="5">
                  <c:v>2.7333333333333334</c:v>
                </c:pt>
                <c:pt idx="6">
                  <c:v>3.2</c:v>
                </c:pt>
                <c:pt idx="7">
                  <c:v>3.7</c:v>
                </c:pt>
                <c:pt idx="8">
                  <c:v>4.5</c:v>
                </c:pt>
                <c:pt idx="9">
                  <c:v>5.0166666666666666</c:v>
                </c:pt>
              </c:numCache>
            </c:numRef>
          </c:xVal>
          <c:yVal>
            <c:numRef>
              <c:f>'Data table'!$T$39:$T$48</c:f>
              <c:numCache>
                <c:formatCode>0.00</c:formatCode>
                <c:ptCount val="10"/>
                <c:pt idx="0">
                  <c:v>3.4708479390485363</c:v>
                </c:pt>
                <c:pt idx="1">
                  <c:v>3.3569426966399627</c:v>
                </c:pt>
                <c:pt idx="2">
                  <c:v>3.1841647042006471</c:v>
                </c:pt>
                <c:pt idx="3">
                  <c:v>2.9299790416205593</c:v>
                </c:pt>
                <c:pt idx="4">
                  <c:v>2.5740749766655853</c:v>
                </c:pt>
                <c:pt idx="5">
                  <c:v>2.0841860188272552</c:v>
                </c:pt>
                <c:pt idx="6">
                  <c:v>1.6222838489520695</c:v>
                </c:pt>
                <c:pt idx="7">
                  <c:v>1.1458475938769548</c:v>
                </c:pt>
                <c:pt idx="8">
                  <c:v>0.26301328457759854</c:v>
                </c:pt>
                <c:pt idx="9">
                  <c:v>-0.12010648277035768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C1-48DC-9120-9F200FDB2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53232"/>
        <c:axId val="260087936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 table'!$G$37:$H$37</c15:sqref>
                        </c15:formulaRef>
                      </c:ext>
                    </c:extLst>
                    <c:strCache>
                      <c:ptCount val="1"/>
                      <c:pt idx="0">
                        <c:v>7.41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 table'!$G$39:$G$48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0.11666666666666667</c:v>
                      </c:pt>
                      <c:pt idx="1">
                        <c:v>1.1000000000000001</c:v>
                      </c:pt>
                      <c:pt idx="2">
                        <c:v>2.1166666666666667</c:v>
                      </c:pt>
                      <c:pt idx="3">
                        <c:v>4.0999999999999996</c:v>
                      </c:pt>
                      <c:pt idx="4">
                        <c:v>5.0999999999999996</c:v>
                      </c:pt>
                      <c:pt idx="5">
                        <c:v>6.1</c:v>
                      </c:pt>
                      <c:pt idx="6">
                        <c:v>7.0666666666666664</c:v>
                      </c:pt>
                      <c:pt idx="7">
                        <c:v>8.0833333333333339</c:v>
                      </c:pt>
                      <c:pt idx="8">
                        <c:v>8.7666666666666675</c:v>
                      </c:pt>
                      <c:pt idx="9">
                        <c:v>10.116666666666667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'Data table'!$H$39:$H$48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3.4000109073287836</c:v>
                      </c:pt>
                      <c:pt idx="1">
                        <c:v>3.4810576464246132</c:v>
                      </c:pt>
                      <c:pt idx="2">
                        <c:v>3.3513592377236612</c:v>
                      </c:pt>
                      <c:pt idx="3">
                        <c:v>3.2071072412042922</c:v>
                      </c:pt>
                      <c:pt idx="4">
                        <c:v>2.8262137821139461</c:v>
                      </c:pt>
                      <c:pt idx="5">
                        <c:v>2.6101279170699603</c:v>
                      </c:pt>
                      <c:pt idx="6">
                        <c:v>2.379033632746185</c:v>
                      </c:pt>
                      <c:pt idx="7">
                        <c:v>2.1167792121174802</c:v>
                      </c:pt>
                      <c:pt idx="8">
                        <c:v>1.89968586017106</c:v>
                      </c:pt>
                      <c:pt idx="9">
                        <c:v>1.7115520576094869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AC1-48DC-9120-9F200FDB2E53}"/>
                  </c:ext>
                </c:extLst>
              </c15:ser>
            </c15:filteredScatterSeries>
          </c:ext>
        </c:extLst>
      </c:scatterChart>
      <c:valAx>
        <c:axId val="384153232"/>
        <c:scaling>
          <c:orientation val="minMax"/>
          <c:max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layout>
            <c:manualLayout>
              <c:xMode val="edge"/>
              <c:yMode val="edge"/>
              <c:x val="0.45106897455807532"/>
              <c:y val="0.885879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87936"/>
        <c:crosses val="autoZero"/>
        <c:crossBetween val="midCat"/>
        <c:majorUnit val="35"/>
      </c:valAx>
      <c:valAx>
        <c:axId val="26008793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 [Fe</a:t>
                </a:r>
                <a:r>
                  <a:rPr lang="en-US" baseline="30000"/>
                  <a:t>2+</a:t>
                </a:r>
                <a:r>
                  <a:rPr lang="en-US" baseline="0"/>
                  <a:t>]</a:t>
                </a:r>
              </a:p>
            </c:rich>
          </c:tx>
          <c:layout>
            <c:manualLayout>
              <c:xMode val="edge"/>
              <c:yMode val="edge"/>
              <c:x val="8.6037740965087095E-2"/>
              <c:y val="0.3851775298920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53232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790048118985128"/>
          <c:y val="5.0925925925925923E-2"/>
          <c:w val="0.67372419072615919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'second order'!$C$5</c:f>
              <c:strCache>
                <c:ptCount val="1"/>
                <c:pt idx="0">
                  <c:v>7.22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'second order'!$C$8:$C$14</c:f>
              <c:numCache>
                <c:formatCode>General</c:formatCode>
                <c:ptCount val="7"/>
                <c:pt idx="0">
                  <c:v>0</c:v>
                </c:pt>
                <c:pt idx="1">
                  <c:v>3.4182492009871644E-12</c:v>
                </c:pt>
                <c:pt idx="2">
                  <c:v>1.1304446176492984E-11</c:v>
                </c:pt>
                <c:pt idx="3">
                  <c:v>1.884074362748831E-11</c:v>
                </c:pt>
                <c:pt idx="4">
                  <c:v>2.5488834593187754E-11</c:v>
                </c:pt>
                <c:pt idx="5">
                  <c:v>3.3482692960850647E-11</c:v>
                </c:pt>
                <c:pt idx="6">
                  <c:v>5.038553152951159E-11</c:v>
                </c:pt>
              </c:numCache>
            </c:numRef>
          </c:xVal>
          <c:yVal>
            <c:numRef>
              <c:f>'second order'!$E$8:$E$14</c:f>
              <c:numCache>
                <c:formatCode>General</c:formatCode>
                <c:ptCount val="7"/>
                <c:pt idx="0">
                  <c:v>36.375912408759127</c:v>
                </c:pt>
                <c:pt idx="1">
                  <c:v>31.959854014598541</c:v>
                </c:pt>
                <c:pt idx="2">
                  <c:v>29.624087591240873</c:v>
                </c:pt>
                <c:pt idx="3">
                  <c:v>26.704379562043794</c:v>
                </c:pt>
                <c:pt idx="4">
                  <c:v>22.032846715328468</c:v>
                </c:pt>
                <c:pt idx="5">
                  <c:v>16.266423357664234</c:v>
                </c:pt>
                <c:pt idx="6">
                  <c:v>6.8503649635036501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4-4472-B104-CFF6E32E2DC4}"/>
            </c:ext>
          </c:extLst>
        </c:ser>
        <c:ser>
          <c:idx val="6"/>
          <c:order val="1"/>
          <c:tx>
            <c:strRef>
              <c:f>'second order'!$K$19</c:f>
              <c:strCache>
                <c:ptCount val="1"/>
                <c:pt idx="0">
                  <c:v>7.23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'second order'!$K$22:$K$31</c:f>
              <c:numCache>
                <c:formatCode>General</c:formatCode>
                <c:ptCount val="10"/>
                <c:pt idx="0">
                  <c:v>3.7492409540645803E-13</c:v>
                </c:pt>
                <c:pt idx="1">
                  <c:v>5.1335760755653486E-12</c:v>
                </c:pt>
                <c:pt idx="2">
                  <c:v>1.0382513411255761E-11</c:v>
                </c:pt>
                <c:pt idx="3">
                  <c:v>1.5631450746946173E-11</c:v>
                </c:pt>
                <c:pt idx="4">
                  <c:v>2.0765026822511521E-11</c:v>
                </c:pt>
                <c:pt idx="5">
                  <c:v>2.6042804473233203E-11</c:v>
                </c:pt>
                <c:pt idx="6">
                  <c:v>3.123406117886108E-11</c:v>
                </c:pt>
                <c:pt idx="7">
                  <c:v>3.6194595364238833E-11</c:v>
                </c:pt>
                <c:pt idx="8">
                  <c:v>4.1530053645023043E-11</c:v>
                </c:pt>
                <c:pt idx="9">
                  <c:v>4.6778990980713455E-11</c:v>
                </c:pt>
              </c:numCache>
            </c:numRef>
          </c:xVal>
          <c:yVal>
            <c:numRef>
              <c:f>'second order'!$M$22:$M$31</c:f>
              <c:numCache>
                <c:formatCode>General</c:formatCode>
                <c:ptCount val="10"/>
                <c:pt idx="0">
                  <c:v>33.669524000000003</c:v>
                </c:pt>
                <c:pt idx="1">
                  <c:v>30.884311999999998</c:v>
                </c:pt>
                <c:pt idx="2">
                  <c:v>28.701307999999997</c:v>
                </c:pt>
                <c:pt idx="3">
                  <c:v>25.426801999999999</c:v>
                </c:pt>
                <c:pt idx="4">
                  <c:v>23.017969999999998</c:v>
                </c:pt>
                <c:pt idx="5">
                  <c:v>19.442360000000001</c:v>
                </c:pt>
                <c:pt idx="6">
                  <c:v>16.506595999999998</c:v>
                </c:pt>
                <c:pt idx="7">
                  <c:v>13.420279999999998</c:v>
                </c:pt>
                <c:pt idx="8">
                  <c:v>10.973809999999999</c:v>
                </c:pt>
                <c:pt idx="9">
                  <c:v>8.7908059999999981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F4-4472-B104-CFF6E32E2DC4}"/>
            </c:ext>
          </c:extLst>
        </c:ser>
        <c:ser>
          <c:idx val="5"/>
          <c:order val="2"/>
          <c:tx>
            <c:strRef>
              <c:f>'second order'!$G$19</c:f>
              <c:strCache>
                <c:ptCount val="1"/>
                <c:pt idx="0">
                  <c:v>7.41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'second order'!$G$22:$G$31</c:f>
              <c:numCache>
                <c:formatCode>General</c:formatCode>
                <c:ptCount val="10"/>
                <c:pt idx="0">
                  <c:v>4.5195796032425802E-13</c:v>
                </c:pt>
                <c:pt idx="1">
                  <c:v>4.2613179116287182E-12</c:v>
                </c:pt>
                <c:pt idx="2">
                  <c:v>8.1998087087401091E-12</c:v>
                </c:pt>
                <c:pt idx="3">
                  <c:v>1.5883094034252496E-11</c:v>
                </c:pt>
                <c:pt idx="4">
                  <c:v>1.9757019408460423E-11</c:v>
                </c:pt>
                <c:pt idx="5">
                  <c:v>2.3630944782668349E-11</c:v>
                </c:pt>
                <c:pt idx="6">
                  <c:v>2.7375739311069343E-11</c:v>
                </c:pt>
                <c:pt idx="7">
                  <c:v>3.1314230108180734E-11</c:v>
                </c:pt>
                <c:pt idx="8">
                  <c:v>3.3961412447222816E-11</c:v>
                </c:pt>
                <c:pt idx="9">
                  <c:v>3.9191211702403516E-11</c:v>
                </c:pt>
              </c:numCache>
            </c:numRef>
          </c:xVal>
          <c:yVal>
            <c:numRef>
              <c:f>'second order'!$I$22:$I$31</c:f>
              <c:numCache>
                <c:formatCode>General</c:formatCode>
                <c:ptCount val="10"/>
                <c:pt idx="0">
                  <c:v>29.964426877470355</c:v>
                </c:pt>
                <c:pt idx="1">
                  <c:v>32.494071146245055</c:v>
                </c:pt>
                <c:pt idx="2">
                  <c:v>28.541501976284582</c:v>
                </c:pt>
                <c:pt idx="3">
                  <c:v>24.707509881422926</c:v>
                </c:pt>
                <c:pt idx="4">
                  <c:v>16.881422924901184</c:v>
                </c:pt>
                <c:pt idx="5">
                  <c:v>13.600790513833992</c:v>
                </c:pt>
                <c:pt idx="6">
                  <c:v>10.794466403162057</c:v>
                </c:pt>
                <c:pt idx="7">
                  <c:v>8.3043478260869552</c:v>
                </c:pt>
                <c:pt idx="8">
                  <c:v>6.6837944664031621</c:v>
                </c:pt>
                <c:pt idx="9">
                  <c:v>5.537549407114625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F4-4472-B104-CFF6E32E2DC4}"/>
            </c:ext>
          </c:extLst>
        </c:ser>
        <c:ser>
          <c:idx val="2"/>
          <c:order val="3"/>
          <c:tx>
            <c:strRef>
              <c:f>'second order'!$S$19</c:f>
              <c:strCache>
                <c:ptCount val="1"/>
                <c:pt idx="0">
                  <c:v>7.46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'second order'!$S$22:$S$31</c:f>
              <c:numCache>
                <c:formatCode>General</c:formatCode>
                <c:ptCount val="10"/>
                <c:pt idx="0">
                  <c:v>5.822346397718679E-13</c:v>
                </c:pt>
                <c:pt idx="1">
                  <c:v>2.9111731988593396E-12</c:v>
                </c:pt>
                <c:pt idx="2">
                  <c:v>7.6522266941445501E-12</c:v>
                </c:pt>
                <c:pt idx="3">
                  <c:v>1.7300686438935504E-11</c:v>
                </c:pt>
                <c:pt idx="4">
                  <c:v>2.7697733577718858E-11</c:v>
                </c:pt>
                <c:pt idx="5">
                  <c:v>3.6930311436958482E-11</c:v>
                </c:pt>
                <c:pt idx="6">
                  <c:v>4.6911476690190503E-11</c:v>
                </c:pt>
                <c:pt idx="7">
                  <c:v>5.7391700206084121E-11</c:v>
                </c:pt>
                <c:pt idx="8">
                  <c:v>6.7123336327985343E-11</c:v>
                </c:pt>
                <c:pt idx="9">
                  <c:v>7.6771796072776294E-11</c:v>
                </c:pt>
              </c:numCache>
            </c:numRef>
          </c:xVal>
          <c:yVal>
            <c:numRef>
              <c:f>'second order'!$U$22:$U$31</c:f>
              <c:numCache>
                <c:formatCode>General</c:formatCode>
                <c:ptCount val="10"/>
                <c:pt idx="0">
                  <c:v>33.820076</c:v>
                </c:pt>
                <c:pt idx="1">
                  <c:v>32.766212000000003</c:v>
                </c:pt>
                <c:pt idx="2">
                  <c:v>28.889498</c:v>
                </c:pt>
                <c:pt idx="3">
                  <c:v>21.474811999999996</c:v>
                </c:pt>
                <c:pt idx="4">
                  <c:v>13.457917999999998</c:v>
                </c:pt>
                <c:pt idx="5">
                  <c:v>8.0380459999999996</c:v>
                </c:pt>
                <c:pt idx="6">
                  <c:v>4.3871599999999988</c:v>
                </c:pt>
                <c:pt idx="7">
                  <c:v>3.1827439999999996</c:v>
                </c:pt>
                <c:pt idx="8">
                  <c:v>1.4513960000000001</c:v>
                </c:pt>
                <c:pt idx="9">
                  <c:v>0.43516999999999995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F4-4472-B104-CFF6E32E2DC4}"/>
            </c:ext>
          </c:extLst>
        </c:ser>
        <c:ser>
          <c:idx val="8"/>
          <c:order val="4"/>
          <c:tx>
            <c:strRef>
              <c:f>'second order'!$K$5</c:f>
              <c:strCache>
                <c:ptCount val="1"/>
                <c:pt idx="0">
                  <c:v>7.47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'second order'!$K$8:$K$17</c:f>
              <c:numCache>
                <c:formatCode>General</c:formatCode>
                <c:ptCount val="10"/>
                <c:pt idx="0">
                  <c:v>8.511380382023738E-13</c:v>
                </c:pt>
                <c:pt idx="1">
                  <c:v>7.6602423438213649E-12</c:v>
                </c:pt>
                <c:pt idx="2">
                  <c:v>1.591628131438439E-11</c:v>
                </c:pt>
                <c:pt idx="3">
                  <c:v>2.6385279184273588E-11</c:v>
                </c:pt>
                <c:pt idx="4">
                  <c:v>3.6598935642702076E-11</c:v>
                </c:pt>
                <c:pt idx="5">
                  <c:v>4.1875991479556791E-11</c:v>
                </c:pt>
                <c:pt idx="6">
                  <c:v>4.8174412962254354E-11</c:v>
                </c:pt>
                <c:pt idx="7">
                  <c:v>5.4472834444951924E-11</c:v>
                </c:pt>
                <c:pt idx="8">
                  <c:v>6.2558645807874477E-11</c:v>
                </c:pt>
                <c:pt idx="9">
                  <c:v>6.7665474037088719E-11</c:v>
                </c:pt>
              </c:numCache>
            </c:numRef>
          </c:xVal>
          <c:yVal>
            <c:numRef>
              <c:f>'second order'!$M$8:$M$17</c:f>
              <c:numCache>
                <c:formatCode>General</c:formatCode>
                <c:ptCount val="10"/>
                <c:pt idx="0">
                  <c:v>30.201581027667984</c:v>
                </c:pt>
                <c:pt idx="1">
                  <c:v>29.964426877470355</c:v>
                </c:pt>
                <c:pt idx="2">
                  <c:v>23.442687747035571</c:v>
                </c:pt>
                <c:pt idx="3">
                  <c:v>17.750988142292492</c:v>
                </c:pt>
                <c:pt idx="4">
                  <c:v>9.2134387351778653</c:v>
                </c:pt>
                <c:pt idx="5">
                  <c:v>7.1581027667984181</c:v>
                </c:pt>
                <c:pt idx="6">
                  <c:v>4.8656126482213438</c:v>
                </c:pt>
                <c:pt idx="7">
                  <c:v>3.1264822134387353</c:v>
                </c:pt>
                <c:pt idx="8">
                  <c:v>1.6640316205533596</c:v>
                </c:pt>
                <c:pt idx="9">
                  <c:v>1.7430830039525693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F4-4472-B104-CFF6E32E2DC4}"/>
            </c:ext>
          </c:extLst>
        </c:ser>
        <c:ser>
          <c:idx val="4"/>
          <c:order val="5"/>
          <c:tx>
            <c:strRef>
              <c:f>'second order'!$C$19</c:f>
              <c:strCache>
                <c:ptCount val="1"/>
                <c:pt idx="0">
                  <c:v>7.57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'second order'!$C$22:$C$31</c:f>
              <c:numCache>
                <c:formatCode>General</c:formatCode>
                <c:ptCount val="10"/>
                <c:pt idx="0">
                  <c:v>1.3489628825916466E-12</c:v>
                </c:pt>
                <c:pt idx="1">
                  <c:v>5.2609552421074218E-12</c:v>
                </c:pt>
                <c:pt idx="2">
                  <c:v>1.2815147384620642E-11</c:v>
                </c:pt>
                <c:pt idx="3">
                  <c:v>2.02344432388747E-11</c:v>
                </c:pt>
                <c:pt idx="4">
                  <c:v>2.4955813327945464E-11</c:v>
                </c:pt>
                <c:pt idx="5">
                  <c:v>2.8867805687461237E-11</c:v>
                </c:pt>
                <c:pt idx="6">
                  <c:v>3.2644901758717848E-11</c:v>
                </c:pt>
                <c:pt idx="7">
                  <c:v>3.7501168136047774E-11</c:v>
                </c:pt>
                <c:pt idx="8">
                  <c:v>4.46506714137835E-11</c:v>
                </c:pt>
                <c:pt idx="9">
                  <c:v>5.1125693250223406E-11</c:v>
                </c:pt>
              </c:numCache>
            </c:numRef>
          </c:xVal>
          <c:yVal>
            <c:numRef>
              <c:f>'second order'!$E$22:$E$31</c:f>
              <c:numCache>
                <c:formatCode>General</c:formatCode>
                <c:ptCount val="10"/>
                <c:pt idx="0">
                  <c:v>35.577075098814227</c:v>
                </c:pt>
                <c:pt idx="1">
                  <c:v>32.296442687747032</c:v>
                </c:pt>
                <c:pt idx="2">
                  <c:v>27.632411067193676</c:v>
                </c:pt>
                <c:pt idx="3">
                  <c:v>21.624505928853758</c:v>
                </c:pt>
                <c:pt idx="4">
                  <c:v>18.936758893280633</c:v>
                </c:pt>
                <c:pt idx="5">
                  <c:v>15.695652173913045</c:v>
                </c:pt>
                <c:pt idx="6">
                  <c:v>13.047430830039525</c:v>
                </c:pt>
                <c:pt idx="7">
                  <c:v>10.596837944664031</c:v>
                </c:pt>
                <c:pt idx="8">
                  <c:v>6.9999999999999991</c:v>
                </c:pt>
                <c:pt idx="9">
                  <c:v>4.9446640316205528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F4-4472-B104-CFF6E32E2DC4}"/>
            </c:ext>
          </c:extLst>
        </c:ser>
        <c:ser>
          <c:idx val="3"/>
          <c:order val="6"/>
          <c:tx>
            <c:strRef>
              <c:f>'second order'!$O$5</c:f>
              <c:strCache>
                <c:ptCount val="1"/>
                <c:pt idx="0">
                  <c:v>7.61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'second order'!$O$8:$O$17</c:f>
              <c:numCache>
                <c:formatCode>General</c:formatCode>
                <c:ptCount val="10"/>
                <c:pt idx="0">
                  <c:v>2.2705341363024973E-12</c:v>
                </c:pt>
                <c:pt idx="1">
                  <c:v>6.8116024089074915E-12</c:v>
                </c:pt>
                <c:pt idx="2">
                  <c:v>2.2705341363024972E-11</c:v>
                </c:pt>
                <c:pt idx="3">
                  <c:v>3.8112537287934775E-11</c:v>
                </c:pt>
                <c:pt idx="4">
                  <c:v>5.0276113018126725E-11</c:v>
                </c:pt>
                <c:pt idx="5">
                  <c:v>5.5141543310203504E-11</c:v>
                </c:pt>
                <c:pt idx="6">
                  <c:v>6.6007670962508316E-11</c:v>
                </c:pt>
                <c:pt idx="7">
                  <c:v>7.0548739235113301E-11</c:v>
                </c:pt>
                <c:pt idx="8">
                  <c:v>8.1901409916625787E-11</c:v>
                </c:pt>
                <c:pt idx="9">
                  <c:v>8.6766840208702566E-11</c:v>
                </c:pt>
              </c:numCache>
            </c:numRef>
          </c:xVal>
          <c:yVal>
            <c:numRef>
              <c:f>'second order'!$Q$8:$Q$17</c:f>
              <c:numCache>
                <c:formatCode>General</c:formatCode>
                <c:ptCount val="10"/>
                <c:pt idx="0">
                  <c:v>34.272727272727273</c:v>
                </c:pt>
                <c:pt idx="1">
                  <c:v>30.873517786561266</c:v>
                </c:pt>
                <c:pt idx="2">
                  <c:v>22.968379446640316</c:v>
                </c:pt>
                <c:pt idx="3">
                  <c:v>14.114624505928854</c:v>
                </c:pt>
                <c:pt idx="4">
                  <c:v>9.9249011857707501</c:v>
                </c:pt>
                <c:pt idx="5">
                  <c:v>6.8418972332015811</c:v>
                </c:pt>
                <c:pt idx="6">
                  <c:v>6.6047430830039522</c:v>
                </c:pt>
                <c:pt idx="7">
                  <c:v>4.4308300395256923</c:v>
                </c:pt>
                <c:pt idx="8">
                  <c:v>2.731225296442688</c:v>
                </c:pt>
                <c:pt idx="9">
                  <c:v>1.5454545454545454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FF4-4472-B104-CFF6E32E2DC4}"/>
            </c:ext>
          </c:extLst>
        </c:ser>
        <c:ser>
          <c:idx val="1"/>
          <c:order val="7"/>
          <c:tx>
            <c:strRef>
              <c:f>'second order'!$G$5</c:f>
              <c:strCache>
                <c:ptCount val="1"/>
                <c:pt idx="0">
                  <c:v>7.74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'second order'!$G$8:$G$17</c:f>
              <c:numCache>
                <c:formatCode>General</c:formatCode>
                <c:ptCount val="10"/>
                <c:pt idx="0">
                  <c:v>1.5099758602010062E-12</c:v>
                </c:pt>
                <c:pt idx="1">
                  <c:v>9.0598551612060364E-12</c:v>
                </c:pt>
                <c:pt idx="2">
                  <c:v>2.1139662042814086E-11</c:v>
                </c:pt>
                <c:pt idx="3">
                  <c:v>3.0803507548100525E-11</c:v>
                </c:pt>
                <c:pt idx="4">
                  <c:v>4.1071343397467367E-11</c:v>
                </c:pt>
                <c:pt idx="5">
                  <c:v>5.2849155107035214E-11</c:v>
                </c:pt>
                <c:pt idx="6">
                  <c:v>6.3720981300482461E-11</c:v>
                </c:pt>
                <c:pt idx="7">
                  <c:v>7.4290812321889503E-11</c:v>
                </c:pt>
                <c:pt idx="8">
                  <c:v>8.6370619203497556E-11</c:v>
                </c:pt>
                <c:pt idx="9">
                  <c:v>9.7846435741025196E-11</c:v>
                </c:pt>
              </c:numCache>
            </c:numRef>
          </c:xVal>
          <c:yVal>
            <c:numRef>
              <c:f>'second order'!$I$8:$I$17</c:f>
              <c:numCache>
                <c:formatCode>General</c:formatCode>
                <c:ptCount val="10"/>
                <c:pt idx="0">
                  <c:v>32.835766423357668</c:v>
                </c:pt>
                <c:pt idx="1">
                  <c:v>27.835766423357665</c:v>
                </c:pt>
                <c:pt idx="2">
                  <c:v>23.894160583941609</c:v>
                </c:pt>
                <c:pt idx="3">
                  <c:v>19.514598540145986</c:v>
                </c:pt>
                <c:pt idx="4">
                  <c:v>14.222627737226277</c:v>
                </c:pt>
                <c:pt idx="5">
                  <c:v>9.2956204379562042</c:v>
                </c:pt>
                <c:pt idx="6">
                  <c:v>5.8284671532846719</c:v>
                </c:pt>
                <c:pt idx="7">
                  <c:v>3.7846715328467151</c:v>
                </c:pt>
                <c:pt idx="8">
                  <c:v>2.4708029197080288</c:v>
                </c:pt>
                <c:pt idx="9">
                  <c:v>1.3029197080291972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F4-4472-B104-CFF6E32E2DC4}"/>
            </c:ext>
          </c:extLst>
        </c:ser>
        <c:ser>
          <c:idx val="7"/>
          <c:order val="8"/>
          <c:tx>
            <c:strRef>
              <c:f>'second order'!$O$19</c:f>
              <c:strCache>
                <c:ptCount val="1"/>
                <c:pt idx="0">
                  <c:v>7.77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'second order'!$O$22:$O$31</c:f>
              <c:numCache>
                <c:formatCode>General</c:formatCode>
                <c:ptCount val="10"/>
                <c:pt idx="0">
                  <c:v>2.4271579531677087E-12</c:v>
                </c:pt>
                <c:pt idx="1">
                  <c:v>1.3176000317196133E-11</c:v>
                </c:pt>
                <c:pt idx="2">
                  <c:v>2.219115842896191E-11</c:v>
                </c:pt>
                <c:pt idx="3">
                  <c:v>3.3633474493895391E-11</c:v>
                </c:pt>
                <c:pt idx="4">
                  <c:v>4.3342106306566231E-11</c:v>
                </c:pt>
                <c:pt idx="5">
                  <c:v>5.6864843474214892E-11</c:v>
                </c:pt>
                <c:pt idx="6">
                  <c:v>6.6573475286885732E-11</c:v>
                </c:pt>
                <c:pt idx="7">
                  <c:v>7.6975580800461628E-11</c:v>
                </c:pt>
                <c:pt idx="8">
                  <c:v>9.3618949622183055E-11</c:v>
                </c:pt>
                <c:pt idx="9">
                  <c:v>1.0436779198621148E-10</c:v>
                </c:pt>
              </c:numCache>
            </c:numRef>
          </c:xVal>
          <c:yVal>
            <c:numRef>
              <c:f>'second order'!$Q$22:$Q$31</c:f>
              <c:numCache>
                <c:formatCode>General</c:formatCode>
                <c:ptCount val="10"/>
                <c:pt idx="0">
                  <c:v>32.164003999999998</c:v>
                </c:pt>
                <c:pt idx="1">
                  <c:v>28.701307999999997</c:v>
                </c:pt>
                <c:pt idx="2">
                  <c:v>24.147109999999998</c:v>
                </c:pt>
                <c:pt idx="3">
                  <c:v>18.727238</c:v>
                </c:pt>
                <c:pt idx="4">
                  <c:v>13.119175999999998</c:v>
                </c:pt>
                <c:pt idx="5">
                  <c:v>8.0380459999999996</c:v>
                </c:pt>
                <c:pt idx="6">
                  <c:v>5.0646439999999995</c:v>
                </c:pt>
                <c:pt idx="7">
                  <c:v>3.1451059999999997</c:v>
                </c:pt>
                <c:pt idx="8">
                  <c:v>1.3008439999999999</c:v>
                </c:pt>
                <c:pt idx="9">
                  <c:v>0.88682599999999989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FF4-4472-B104-CFF6E32E2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38696"/>
        <c:axId val="372639088"/>
        <c:extLst/>
      </c:scatterChart>
      <c:valAx>
        <c:axId val="372638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t.[-OH]^2 (min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39088"/>
        <c:crosses val="autoZero"/>
        <c:crossBetween val="midCat"/>
      </c:valAx>
      <c:valAx>
        <c:axId val="37263908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[Fe(II)]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38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50737342539428"/>
          <c:y val="0.16434966462525519"/>
          <c:w val="0.13823748004997022"/>
          <c:h val="0.7031299212598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180686789151356"/>
                  <c:y val="9.3565179352580921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Calibration!$D$6:$D$11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4</c:v>
                </c:pt>
                <c:pt idx="4">
                  <c:v>20</c:v>
                </c:pt>
                <c:pt idx="5">
                  <c:v>40</c:v>
                </c:pt>
              </c:numCache>
            </c:numRef>
          </c:xVal>
          <c:yVal>
            <c:numRef>
              <c:f>Calibration!$E$6:$E$11</c:f>
              <c:numCache>
                <c:formatCode>General</c:formatCode>
                <c:ptCount val="6"/>
                <c:pt idx="0">
                  <c:v>0</c:v>
                </c:pt>
                <c:pt idx="1">
                  <c:v>1.4999999999999999E-2</c:v>
                </c:pt>
                <c:pt idx="2">
                  <c:v>2.4E-2</c:v>
                </c:pt>
                <c:pt idx="3">
                  <c:v>8.5000000000000006E-2</c:v>
                </c:pt>
                <c:pt idx="4">
                  <c:v>0.49099999999999999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35-43BB-80C4-835AE83B2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39872"/>
        <c:axId val="372640264"/>
      </c:scatterChart>
      <c:valAx>
        <c:axId val="37263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[Fe(II)]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40264"/>
        <c:crosses val="autoZero"/>
        <c:crossBetween val="midCat"/>
      </c:valAx>
      <c:valAx>
        <c:axId val="37264026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3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Calibration!$D$27:$D$32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4</c:v>
                </c:pt>
                <c:pt idx="4">
                  <c:v>20</c:v>
                </c:pt>
                <c:pt idx="5">
                  <c:v>40</c:v>
                </c:pt>
              </c:numCache>
            </c:numRef>
          </c:xVal>
          <c:yVal>
            <c:numRef>
              <c:f>Calibration!$E$27:$E$32</c:f>
              <c:numCache>
                <c:formatCode>General</c:formatCode>
                <c:ptCount val="6"/>
                <c:pt idx="0">
                  <c:v>0</c:v>
                </c:pt>
                <c:pt idx="1">
                  <c:v>1.4999999999999999E-2</c:v>
                </c:pt>
                <c:pt idx="2">
                  <c:v>2.4E-2</c:v>
                </c:pt>
                <c:pt idx="3">
                  <c:v>8.5000000000000006E-2</c:v>
                </c:pt>
                <c:pt idx="4">
                  <c:v>0.49099999999999999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F-497E-8483-00D6792B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560496"/>
        <c:axId val="515562136"/>
      </c:scatterChart>
      <c:valAx>
        <c:axId val="5155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62136"/>
        <c:crosses val="autoZero"/>
        <c:crossBetween val="midCat"/>
      </c:valAx>
      <c:valAx>
        <c:axId val="51556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6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08705161854754E-2"/>
          <c:y val="7.407407407407407E-2"/>
          <c:w val="0.7990024059492562"/>
          <c:h val="0.70278579760863213"/>
        </c:manualLayout>
      </c:layout>
      <c:scatterChart>
        <c:scatterStyle val="lineMarker"/>
        <c:varyColors val="0"/>
        <c:ser>
          <c:idx val="0"/>
          <c:order val="0"/>
          <c:tx>
            <c:v>pH 7.24 student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'GP 1'!$E$31:$E$37</c:f>
              <c:numCache>
                <c:formatCode>General</c:formatCode>
                <c:ptCount val="7"/>
                <c:pt idx="0">
                  <c:v>0</c:v>
                </c:pt>
                <c:pt idx="1">
                  <c:v>127</c:v>
                </c:pt>
                <c:pt idx="2">
                  <c:v>420</c:v>
                </c:pt>
                <c:pt idx="3">
                  <c:v>700</c:v>
                </c:pt>
                <c:pt idx="4">
                  <c:v>947</c:v>
                </c:pt>
                <c:pt idx="5">
                  <c:v>1244</c:v>
                </c:pt>
                <c:pt idx="6">
                  <c:v>1872</c:v>
                </c:pt>
              </c:numCache>
            </c:numRef>
          </c:xVal>
          <c:yVal>
            <c:numRef>
              <c:f>'GP 1'!$J$31:$J$37</c:f>
              <c:numCache>
                <c:formatCode>General</c:formatCode>
                <c:ptCount val="7"/>
                <c:pt idx="0">
                  <c:v>3.5939068085793862</c:v>
                </c:pt>
                <c:pt idx="1">
                  <c:v>3.464480553134154</c:v>
                </c:pt>
                <c:pt idx="2">
                  <c:v>3.3885878003731054</c:v>
                </c:pt>
                <c:pt idx="3">
                  <c:v>3.2848275804959597</c:v>
                </c:pt>
                <c:pt idx="4">
                  <c:v>3.0925343724083558</c:v>
                </c:pt>
                <c:pt idx="5">
                  <c:v>2.7891030665584857</c:v>
                </c:pt>
                <c:pt idx="6">
                  <c:v>1.9243019301984388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9-4267-B830-00928A52B181}"/>
            </c:ext>
          </c:extLst>
        </c:ser>
        <c:ser>
          <c:idx val="1"/>
          <c:order val="1"/>
          <c:tx>
            <c:v>pH 7.7 student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6111111111111113"/>
                  <c:y val="-3.56882473024205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'GP 1'!$E$42:$E$51</c:f>
              <c:numCache>
                <c:formatCode>General</c:formatCode>
                <c:ptCount val="10"/>
                <c:pt idx="0">
                  <c:v>5</c:v>
                </c:pt>
                <c:pt idx="1">
                  <c:v>30</c:v>
                </c:pt>
                <c:pt idx="2">
                  <c:v>70</c:v>
                </c:pt>
                <c:pt idx="3">
                  <c:v>102</c:v>
                </c:pt>
                <c:pt idx="4">
                  <c:v>136</c:v>
                </c:pt>
                <c:pt idx="5">
                  <c:v>175</c:v>
                </c:pt>
                <c:pt idx="6">
                  <c:v>211</c:v>
                </c:pt>
                <c:pt idx="7">
                  <c:v>246</c:v>
                </c:pt>
                <c:pt idx="8">
                  <c:v>286</c:v>
                </c:pt>
                <c:pt idx="9">
                  <c:v>324</c:v>
                </c:pt>
              </c:numCache>
            </c:numRef>
          </c:xVal>
          <c:yVal>
            <c:numRef>
              <c:f>'GP 1'!$J$42:$J$51</c:f>
              <c:numCache>
                <c:formatCode>General</c:formatCode>
                <c:ptCount val="10"/>
                <c:pt idx="0">
                  <c:v>3.4915183610290486</c:v>
                </c:pt>
                <c:pt idx="1">
                  <c:v>3.3263217557761684</c:v>
                </c:pt>
                <c:pt idx="2">
                  <c:v>3.1736341020530214</c:v>
                </c:pt>
                <c:pt idx="3">
                  <c:v>2.9711628285606615</c:v>
                </c:pt>
                <c:pt idx="4">
                  <c:v>2.6548341989506392</c:v>
                </c:pt>
                <c:pt idx="5">
                  <c:v>2.2295433685913868</c:v>
                </c:pt>
                <c:pt idx="6">
                  <c:v>1.7627540418269423</c:v>
                </c:pt>
                <c:pt idx="7">
                  <c:v>1.330959101841457</c:v>
                </c:pt>
                <c:pt idx="8">
                  <c:v>0.90454316652420463</c:v>
                </c:pt>
                <c:pt idx="9">
                  <c:v>0.26460767539156893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19-4267-B830-00928A52B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41048"/>
        <c:axId val="261365760"/>
      </c:scatterChart>
      <c:valAx>
        <c:axId val="372641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65760"/>
        <c:crosses val="autoZero"/>
        <c:crossBetween val="midCat"/>
      </c:valAx>
      <c:valAx>
        <c:axId val="261365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 [Fe(II)]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Calibration Gp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'GP 1'!$D$16:$D$21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xVal>
          <c:yVal>
            <c:numRef>
              <c:f>'GP 1'!$E$16:$E$21</c:f>
              <c:numCache>
                <c:formatCode>General</c:formatCode>
                <c:ptCount val="6"/>
                <c:pt idx="0">
                  <c:v>0</c:v>
                </c:pt>
                <c:pt idx="1">
                  <c:v>2.1000000000000001E-2</c:v>
                </c:pt>
                <c:pt idx="2">
                  <c:v>2.8000000000000001E-2</c:v>
                </c:pt>
                <c:pt idx="3">
                  <c:v>0.13900000000000001</c:v>
                </c:pt>
                <c:pt idx="4">
                  <c:v>0.69599999999999995</c:v>
                </c:pt>
                <c:pt idx="5">
                  <c:v>1.3720000000000001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24-4C8B-B8BD-688BBEB46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66544"/>
        <c:axId val="261366936"/>
      </c:scatterChart>
      <c:valAx>
        <c:axId val="2613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[Fe(II)]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66936"/>
        <c:crosses val="autoZero"/>
        <c:crossBetween val="midCat"/>
      </c:valAx>
      <c:valAx>
        <c:axId val="261366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6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'GP 2'!$C$4:$C$9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xVal>
          <c:yVal>
            <c:numRef>
              <c:f>'GP 2'!$D$4:$D$9</c:f>
              <c:numCache>
                <c:formatCode>General</c:formatCode>
                <c:ptCount val="6"/>
                <c:pt idx="0">
                  <c:v>0</c:v>
                </c:pt>
                <c:pt idx="1">
                  <c:v>6.0000000000000001E-3</c:v>
                </c:pt>
                <c:pt idx="2">
                  <c:v>2.3E-2</c:v>
                </c:pt>
                <c:pt idx="3">
                  <c:v>0.124</c:v>
                </c:pt>
                <c:pt idx="4">
                  <c:v>0.63500000000000001</c:v>
                </c:pt>
                <c:pt idx="5">
                  <c:v>1.2589999999999999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7-4C46-87E7-DEE69F59F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14816"/>
        <c:axId val="372414424"/>
      </c:scatterChart>
      <c:valAx>
        <c:axId val="37241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[Fe(II)]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14424"/>
        <c:crosses val="autoZero"/>
        <c:crossBetween val="midCat"/>
      </c:valAx>
      <c:valAx>
        <c:axId val="372414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1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pH 7.48 student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'GP 2'!$K$7:$K$16</c:f>
              <c:numCache>
                <c:formatCode>General</c:formatCode>
                <c:ptCount val="10"/>
                <c:pt idx="0">
                  <c:v>10</c:v>
                </c:pt>
                <c:pt idx="1">
                  <c:v>90</c:v>
                </c:pt>
                <c:pt idx="2">
                  <c:v>187</c:v>
                </c:pt>
                <c:pt idx="3">
                  <c:v>310</c:v>
                </c:pt>
                <c:pt idx="4">
                  <c:v>430</c:v>
                </c:pt>
                <c:pt idx="5">
                  <c:v>492</c:v>
                </c:pt>
                <c:pt idx="6">
                  <c:v>566</c:v>
                </c:pt>
                <c:pt idx="7">
                  <c:v>640</c:v>
                </c:pt>
                <c:pt idx="8">
                  <c:v>735</c:v>
                </c:pt>
                <c:pt idx="9">
                  <c:v>795</c:v>
                </c:pt>
              </c:numCache>
            </c:numRef>
          </c:xVal>
          <c:yVal>
            <c:numRef>
              <c:f>'GP 2'!$P$7:$P$16</c:f>
              <c:numCache>
                <c:formatCode>General</c:formatCode>
                <c:ptCount val="10"/>
                <c:pt idx="0">
                  <c:v>3.4078942749200465</c:v>
                </c:pt>
                <c:pt idx="1">
                  <c:v>3.4000109073287836</c:v>
                </c:pt>
                <c:pt idx="2">
                  <c:v>3.1545586231112064</c:v>
                </c:pt>
                <c:pt idx="3">
                  <c:v>2.876441184360218</c:v>
                </c:pt>
                <c:pt idx="4">
                  <c:v>2.220663150308237</c:v>
                </c:pt>
                <c:pt idx="5">
                  <c:v>1.968244969155893</c:v>
                </c:pt>
                <c:pt idx="6">
                  <c:v>1.5821926374569333</c:v>
                </c:pt>
                <c:pt idx="7">
                  <c:v>1.1399084790401337</c:v>
                </c:pt>
                <c:pt idx="8">
                  <c:v>0.50924334495486112</c:v>
                </c:pt>
                <c:pt idx="9">
                  <c:v>0.55565538671932579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8-4EC0-A590-01755990E2AE}"/>
            </c:ext>
          </c:extLst>
        </c:ser>
        <c:ser>
          <c:idx val="1"/>
          <c:order val="1"/>
          <c:tx>
            <c:v>pH 7.61 student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'GP 2'!$S$7:$S$16</c:f>
              <c:numCache>
                <c:formatCode>General</c:formatCode>
                <c:ptCount val="10"/>
                <c:pt idx="0">
                  <c:v>14</c:v>
                </c:pt>
                <c:pt idx="1">
                  <c:v>42</c:v>
                </c:pt>
                <c:pt idx="2">
                  <c:v>140</c:v>
                </c:pt>
                <c:pt idx="3">
                  <c:v>235</c:v>
                </c:pt>
                <c:pt idx="4">
                  <c:v>310</c:v>
                </c:pt>
                <c:pt idx="5">
                  <c:v>340</c:v>
                </c:pt>
                <c:pt idx="6">
                  <c:v>407</c:v>
                </c:pt>
                <c:pt idx="7">
                  <c:v>435</c:v>
                </c:pt>
                <c:pt idx="8">
                  <c:v>505</c:v>
                </c:pt>
                <c:pt idx="9">
                  <c:v>535</c:v>
                </c:pt>
              </c:numCache>
            </c:numRef>
          </c:xVal>
          <c:yVal>
            <c:numRef>
              <c:f>'GP 2'!$X$7:$X$16</c:f>
              <c:numCache>
                <c:formatCode>General</c:formatCode>
                <c:ptCount val="10"/>
                <c:pt idx="0">
                  <c:v>3.5343499146496402</c:v>
                </c:pt>
                <c:pt idx="1">
                  <c:v>3.4298987868827773</c:v>
                </c:pt>
                <c:pt idx="2">
                  <c:v>3.1341184633475851</c:v>
                </c:pt>
                <c:pt idx="3">
                  <c:v>2.647211458866928</c:v>
                </c:pt>
                <c:pt idx="4">
                  <c:v>2.2950468704300646</c:v>
                </c:pt>
                <c:pt idx="5">
                  <c:v>1.923065066448689</c:v>
                </c:pt>
                <c:pt idx="6">
                  <c:v>1.8877880398678735</c:v>
                </c:pt>
                <c:pt idx="7">
                  <c:v>1.4885869343446398</c:v>
                </c:pt>
                <c:pt idx="8">
                  <c:v>1.0047503350401497</c:v>
                </c:pt>
                <c:pt idx="9">
                  <c:v>0.4353180712578455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8-4EC0-A590-01755990E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67720"/>
        <c:axId val="261368112"/>
      </c:scatterChart>
      <c:valAx>
        <c:axId val="26136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68112"/>
        <c:crosses val="autoZero"/>
        <c:crossBetween val="midCat"/>
      </c:valAx>
      <c:valAx>
        <c:axId val="26136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6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'GP 3'!$B$1</c:f>
              <c:strCache>
                <c:ptCount val="1"/>
                <c:pt idx="0">
                  <c:v>Absorbance(A)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544619422572185E-2"/>
                  <c:y val="0.27627296587926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'GP 3'!$A$2:$A$7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xVal>
          <c:yVal>
            <c:numRef>
              <c:f>'GP 3'!$B$2:$B$7</c:f>
              <c:numCache>
                <c:formatCode>General</c:formatCode>
                <c:ptCount val="6"/>
                <c:pt idx="0">
                  <c:v>0</c:v>
                </c:pt>
                <c:pt idx="1">
                  <c:v>1.4E-2</c:v>
                </c:pt>
                <c:pt idx="2">
                  <c:v>3.9E-2</c:v>
                </c:pt>
                <c:pt idx="3">
                  <c:v>0.13200000000000001</c:v>
                </c:pt>
                <c:pt idx="4">
                  <c:v>0.69</c:v>
                </c:pt>
                <c:pt idx="5">
                  <c:v>1.391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D-4F9E-8239-8B9A49DF8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17560"/>
        <c:axId val="261368896"/>
      </c:scatterChart>
      <c:valAx>
        <c:axId val="372417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</a:t>
                </a:r>
                <a:r>
                  <a:rPr lang="en-GB" baseline="30000"/>
                  <a:t>2+</a:t>
                </a:r>
                <a:r>
                  <a:rPr lang="en-GB" baseline="0"/>
                  <a:t>]</a:t>
                </a:r>
                <a:r>
                  <a:rPr lang="en-GB" baseline="30000"/>
                  <a:t> </a:t>
                </a:r>
                <a:r>
                  <a:rPr lang="en-GB"/>
                  <a:t>(</a:t>
                </a:r>
                <a:r>
                  <a:rPr lang="en-GB">
                    <a:latin typeface="Arial" panose="020B0604020202020204" pitchFamily="34" charset="0"/>
                    <a:cs typeface="Arial" panose="020B0604020202020204" pitchFamily="34" charset="0"/>
                  </a:rPr>
                  <a:t>µ</a:t>
                </a:r>
                <a:r>
                  <a:rPr lang="en-GB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68896"/>
        <c:crosses val="autoZero"/>
        <c:crossBetween val="midCat"/>
      </c:valAx>
      <c:valAx>
        <c:axId val="261368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1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pH 7.55 student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'GP 3'!$C$23:$C$32</c:f>
              <c:numCache>
                <c:formatCode>General</c:formatCode>
                <c:ptCount val="10"/>
                <c:pt idx="0">
                  <c:v>10</c:v>
                </c:pt>
                <c:pt idx="1">
                  <c:v>39</c:v>
                </c:pt>
                <c:pt idx="2">
                  <c:v>95</c:v>
                </c:pt>
                <c:pt idx="3">
                  <c:v>150</c:v>
                </c:pt>
                <c:pt idx="4">
                  <c:v>185</c:v>
                </c:pt>
                <c:pt idx="5">
                  <c:v>214</c:v>
                </c:pt>
                <c:pt idx="6">
                  <c:v>242</c:v>
                </c:pt>
                <c:pt idx="7">
                  <c:v>278</c:v>
                </c:pt>
                <c:pt idx="8">
                  <c:v>331</c:v>
                </c:pt>
                <c:pt idx="9">
                  <c:v>379</c:v>
                </c:pt>
              </c:numCache>
            </c:numRef>
          </c:xVal>
          <c:yVal>
            <c:numRef>
              <c:f>'GP 3'!$H$23:$H$32</c:f>
              <c:numCache>
                <c:formatCode>General</c:formatCode>
                <c:ptCount val="10"/>
                <c:pt idx="0">
                  <c:v>3.5717014725295648</c:v>
                </c:pt>
                <c:pt idx="1">
                  <c:v>3.4749570906571869</c:v>
                </c:pt>
                <c:pt idx="2">
                  <c:v>3.3189893977844651</c:v>
                </c:pt>
                <c:pt idx="3">
                  <c:v>3.0738272053363058</c:v>
                </c:pt>
                <c:pt idx="4">
                  <c:v>2.9411049481556018</c:v>
                </c:pt>
                <c:pt idx="5">
                  <c:v>2.7533837424037313</c:v>
                </c:pt>
                <c:pt idx="6">
                  <c:v>2.5685912431256726</c:v>
                </c:pt>
                <c:pt idx="7">
                  <c:v>2.3605556495084392</c:v>
                </c:pt>
                <c:pt idx="8">
                  <c:v>1.9459101490553132</c:v>
                </c:pt>
                <c:pt idx="9">
                  <c:v>1.5983090217393907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BF-4CC1-AAE9-F5228E27D2F1}"/>
            </c:ext>
          </c:extLst>
        </c:ser>
        <c:ser>
          <c:idx val="1"/>
          <c:order val="1"/>
          <c:tx>
            <c:v>pH 7.41 student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268088363954505"/>
                  <c:y val="-0.136338582677165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'GP 3'!$K$24:$K$32</c:f>
              <c:numCache>
                <c:formatCode>General</c:formatCode>
                <c:ptCount val="9"/>
                <c:pt idx="0">
                  <c:v>66</c:v>
                </c:pt>
                <c:pt idx="1">
                  <c:v>127</c:v>
                </c:pt>
                <c:pt idx="2">
                  <c:v>246</c:v>
                </c:pt>
                <c:pt idx="3">
                  <c:v>306</c:v>
                </c:pt>
                <c:pt idx="4">
                  <c:v>366</c:v>
                </c:pt>
                <c:pt idx="5">
                  <c:v>424</c:v>
                </c:pt>
                <c:pt idx="6">
                  <c:v>485</c:v>
                </c:pt>
                <c:pt idx="7">
                  <c:v>526</c:v>
                </c:pt>
                <c:pt idx="8">
                  <c:v>607</c:v>
                </c:pt>
              </c:numCache>
            </c:numRef>
          </c:xVal>
          <c:yVal>
            <c:numRef>
              <c:f>'GP 3'!$P$24:$P$32</c:f>
              <c:numCache>
                <c:formatCode>General</c:formatCode>
                <c:ptCount val="9"/>
                <c:pt idx="0">
                  <c:v>3.4810576464246132</c:v>
                </c:pt>
                <c:pt idx="1">
                  <c:v>3.3513592377236612</c:v>
                </c:pt>
                <c:pt idx="2">
                  <c:v>3.2071072412042922</c:v>
                </c:pt>
                <c:pt idx="3">
                  <c:v>2.8262137821139461</c:v>
                </c:pt>
                <c:pt idx="4">
                  <c:v>2.6101279170699603</c:v>
                </c:pt>
                <c:pt idx="5">
                  <c:v>2.379033632746185</c:v>
                </c:pt>
                <c:pt idx="6">
                  <c:v>2.1167792121174802</c:v>
                </c:pt>
                <c:pt idx="7">
                  <c:v>1.89968586017106</c:v>
                </c:pt>
                <c:pt idx="8">
                  <c:v>1.7115520576094869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BF-4CC1-AAE9-F5228E27D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07864"/>
        <c:axId val="373111904"/>
      </c:scatterChart>
      <c:valAx>
        <c:axId val="25970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11904"/>
        <c:crosses val="autoZero"/>
        <c:crossBetween val="midCat"/>
      </c:valAx>
      <c:valAx>
        <c:axId val="373111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ln[Fe(II)]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0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'Jay+Hanif'!$U$4</c:f>
              <c:strCache>
                <c:ptCount val="1"/>
                <c:pt idx="0">
                  <c:v>calibration (s cal)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'Jay+Hanif'!$W$7:$W$12</c:f>
              <c:numCache>
                <c:formatCode>General</c:formatCode>
                <c:ptCount val="6"/>
                <c:pt idx="1">
                  <c:v>1.7999999999999999E-2</c:v>
                </c:pt>
                <c:pt idx="2">
                  <c:v>2.5000000000000001E-2</c:v>
                </c:pt>
                <c:pt idx="3">
                  <c:v>0.127</c:v>
                </c:pt>
                <c:pt idx="4">
                  <c:v>0.66500000000000004</c:v>
                </c:pt>
                <c:pt idx="5">
                  <c:v>1.3340000000000001</c:v>
                </c:pt>
              </c:numCache>
            </c:numRef>
          </c:xVal>
          <c:yVal>
            <c:numRef>
              <c:f>'Jay+Hanif'!$V$7:$V$12</c:f>
              <c:numCache>
                <c:formatCode>General</c:formatCode>
                <c:ptCount val="6"/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AB-4D72-8E89-319D359811DD}"/>
            </c:ext>
          </c:extLst>
        </c:ser>
        <c:ser>
          <c:idx val="1"/>
          <c:order val="1"/>
          <c:tx>
            <c:strRef>
              <c:f>'Jay+Hanif'!$Z$4</c:f>
              <c:strCache>
                <c:ptCount val="1"/>
                <c:pt idx="0">
                  <c:v>calibration (ds cal)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08858267716536"/>
                  <c:y val="0.162597696121318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'Jay+Hanif'!$AB$7:$AB$12</c:f>
              <c:numCache>
                <c:formatCode>General</c:formatCode>
                <c:ptCount val="6"/>
                <c:pt idx="0">
                  <c:v>1.7000000000000001E-2</c:v>
                </c:pt>
                <c:pt idx="1">
                  <c:v>1.2999999999999999E-2</c:v>
                </c:pt>
                <c:pt idx="2">
                  <c:v>0.03</c:v>
                </c:pt>
                <c:pt idx="3">
                  <c:v>0.127</c:v>
                </c:pt>
                <c:pt idx="4">
                  <c:v>0.66700000000000004</c:v>
                </c:pt>
                <c:pt idx="5">
                  <c:v>1.3360000000000001</c:v>
                </c:pt>
              </c:numCache>
            </c:numRef>
          </c:xVal>
          <c:yVal>
            <c:numRef>
              <c:f>'Jay+Hanif'!$AA$7:$AA$12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AB-4D72-8E89-319D35981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112688"/>
        <c:axId val="373113080"/>
      </c:scatterChart>
      <c:valAx>
        <c:axId val="37311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13080"/>
        <c:crosses val="autoZero"/>
        <c:crossBetween val="midCat"/>
      </c:valAx>
      <c:valAx>
        <c:axId val="3731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1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'Jay+Hanif'!$I$4</c:f>
              <c:strCache>
                <c:ptCount val="1"/>
                <c:pt idx="0">
                  <c:v>experiment B (pH 7.80 -&gt; 7.74)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'Jay+Hanif'!$J$7:$J$16</c:f>
              <c:numCache>
                <c:formatCode>General</c:formatCode>
                <c:ptCount val="10"/>
                <c:pt idx="0">
                  <c:v>7</c:v>
                </c:pt>
                <c:pt idx="1">
                  <c:v>38</c:v>
                </c:pt>
                <c:pt idx="2">
                  <c:v>64</c:v>
                </c:pt>
                <c:pt idx="3">
                  <c:v>97</c:v>
                </c:pt>
                <c:pt idx="4">
                  <c:v>125</c:v>
                </c:pt>
                <c:pt idx="5">
                  <c:v>164</c:v>
                </c:pt>
                <c:pt idx="6">
                  <c:v>192</c:v>
                </c:pt>
                <c:pt idx="7">
                  <c:v>222</c:v>
                </c:pt>
                <c:pt idx="8">
                  <c:v>270</c:v>
                </c:pt>
                <c:pt idx="9">
                  <c:v>301</c:v>
                </c:pt>
              </c:numCache>
            </c:numRef>
          </c:xVal>
          <c:yVal>
            <c:numRef>
              <c:f>'Jay+Hanif'!$L$7:$L$16</c:f>
              <c:numCache>
                <c:formatCode>General</c:formatCode>
                <c:ptCount val="10"/>
                <c:pt idx="0">
                  <c:v>32.164003999999998</c:v>
                </c:pt>
                <c:pt idx="1">
                  <c:v>28.701307999999997</c:v>
                </c:pt>
                <c:pt idx="2">
                  <c:v>24.147109999999998</c:v>
                </c:pt>
                <c:pt idx="3">
                  <c:v>18.727238</c:v>
                </c:pt>
                <c:pt idx="4">
                  <c:v>13.119175999999998</c:v>
                </c:pt>
                <c:pt idx="5">
                  <c:v>8.0380459999999996</c:v>
                </c:pt>
                <c:pt idx="6">
                  <c:v>5.0646439999999995</c:v>
                </c:pt>
                <c:pt idx="7">
                  <c:v>3.1451059999999997</c:v>
                </c:pt>
                <c:pt idx="8">
                  <c:v>1.3008439999999999</c:v>
                </c:pt>
                <c:pt idx="9">
                  <c:v>0.88682599999999989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6-4E63-820E-AF3DEDE6834A}"/>
            </c:ext>
          </c:extLst>
        </c:ser>
        <c:ser>
          <c:idx val="1"/>
          <c:order val="1"/>
          <c:tx>
            <c:strRef>
              <c:f>'Jay+Hanif'!$C$4</c:f>
              <c:strCache>
                <c:ptCount val="1"/>
                <c:pt idx="0">
                  <c:v>experiment A (pH 7.25 -&gt; 7.21)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'Jay+Hanif'!$D$7:$D$16</c:f>
              <c:numCache>
                <c:formatCode>General</c:formatCode>
                <c:ptCount val="10"/>
                <c:pt idx="0">
                  <c:v>13</c:v>
                </c:pt>
                <c:pt idx="1">
                  <c:v>178</c:v>
                </c:pt>
                <c:pt idx="2">
                  <c:v>360</c:v>
                </c:pt>
                <c:pt idx="3">
                  <c:v>542</c:v>
                </c:pt>
                <c:pt idx="4">
                  <c:v>720</c:v>
                </c:pt>
                <c:pt idx="5">
                  <c:v>903</c:v>
                </c:pt>
                <c:pt idx="6">
                  <c:v>1083</c:v>
                </c:pt>
                <c:pt idx="7">
                  <c:v>1255</c:v>
                </c:pt>
                <c:pt idx="8">
                  <c:v>1440</c:v>
                </c:pt>
                <c:pt idx="9">
                  <c:v>1622</c:v>
                </c:pt>
              </c:numCache>
            </c:numRef>
          </c:xVal>
          <c:yVal>
            <c:numRef>
              <c:f>'Jay+Hanif'!$F$7:$F$16</c:f>
              <c:numCache>
                <c:formatCode>General</c:formatCode>
                <c:ptCount val="10"/>
                <c:pt idx="0">
                  <c:v>33.669524000000003</c:v>
                </c:pt>
                <c:pt idx="1">
                  <c:v>30.884311999999998</c:v>
                </c:pt>
                <c:pt idx="2">
                  <c:v>28.701307999999997</c:v>
                </c:pt>
                <c:pt idx="3">
                  <c:v>25.426801999999999</c:v>
                </c:pt>
                <c:pt idx="4">
                  <c:v>23.017969999999998</c:v>
                </c:pt>
                <c:pt idx="5">
                  <c:v>19.442360000000001</c:v>
                </c:pt>
                <c:pt idx="6">
                  <c:v>16.506595999999998</c:v>
                </c:pt>
                <c:pt idx="7">
                  <c:v>13.420279999999998</c:v>
                </c:pt>
                <c:pt idx="8">
                  <c:v>10.973809999999999</c:v>
                </c:pt>
                <c:pt idx="9">
                  <c:v>8.7908059999999981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6-4E63-820E-AF3DEDE6834A}"/>
            </c:ext>
          </c:extLst>
        </c:ser>
        <c:ser>
          <c:idx val="2"/>
          <c:order val="2"/>
          <c:tx>
            <c:strRef>
              <c:f>'Jay+Hanif'!$O$4</c:f>
              <c:strCache>
                <c:ptCount val="1"/>
                <c:pt idx="0">
                  <c:v>experiment C (pH 7.47 -&gt; 7.45)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'Jay+Hanif'!$P$7:$P$16</c:f>
              <c:numCache>
                <c:formatCode>General</c:formatCode>
                <c:ptCount val="10"/>
                <c:pt idx="0">
                  <c:v>7</c:v>
                </c:pt>
                <c:pt idx="1">
                  <c:v>35</c:v>
                </c:pt>
                <c:pt idx="2">
                  <c:v>92</c:v>
                </c:pt>
                <c:pt idx="3">
                  <c:v>208</c:v>
                </c:pt>
                <c:pt idx="4">
                  <c:v>333</c:v>
                </c:pt>
                <c:pt idx="5">
                  <c:v>444</c:v>
                </c:pt>
                <c:pt idx="6">
                  <c:v>564</c:v>
                </c:pt>
                <c:pt idx="7">
                  <c:v>690</c:v>
                </c:pt>
                <c:pt idx="8">
                  <c:v>807</c:v>
                </c:pt>
                <c:pt idx="9">
                  <c:v>923</c:v>
                </c:pt>
              </c:numCache>
            </c:numRef>
          </c:xVal>
          <c:yVal>
            <c:numRef>
              <c:f>'Jay+Hanif'!$R$7:$R$16</c:f>
              <c:numCache>
                <c:formatCode>General</c:formatCode>
                <c:ptCount val="10"/>
                <c:pt idx="0">
                  <c:v>33.820076</c:v>
                </c:pt>
                <c:pt idx="1">
                  <c:v>32.766212000000003</c:v>
                </c:pt>
                <c:pt idx="2">
                  <c:v>28.889498</c:v>
                </c:pt>
                <c:pt idx="3">
                  <c:v>21.474811999999996</c:v>
                </c:pt>
                <c:pt idx="4">
                  <c:v>13.457917999999998</c:v>
                </c:pt>
                <c:pt idx="5">
                  <c:v>8.0380459999999996</c:v>
                </c:pt>
                <c:pt idx="6">
                  <c:v>4.3871599999999988</c:v>
                </c:pt>
                <c:pt idx="7">
                  <c:v>3.1827439999999996</c:v>
                </c:pt>
                <c:pt idx="8">
                  <c:v>1.4513960000000001</c:v>
                </c:pt>
                <c:pt idx="9">
                  <c:v>0.43516999999999995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16-4E63-820E-AF3DEDE68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113864"/>
        <c:axId val="373114256"/>
      </c:scatterChart>
      <c:valAx>
        <c:axId val="37311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14256"/>
        <c:crosses val="autoZero"/>
        <c:crossBetween val="midCat"/>
      </c:valAx>
      <c:valAx>
        <c:axId val="3731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[Fe]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13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pH 7.76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'Jay+Hanif'!$J$7:$J$16</c:f>
              <c:numCache>
                <c:formatCode>General</c:formatCode>
                <c:ptCount val="10"/>
                <c:pt idx="0">
                  <c:v>7</c:v>
                </c:pt>
                <c:pt idx="1">
                  <c:v>38</c:v>
                </c:pt>
                <c:pt idx="2">
                  <c:v>64</c:v>
                </c:pt>
                <c:pt idx="3">
                  <c:v>97</c:v>
                </c:pt>
                <c:pt idx="4">
                  <c:v>125</c:v>
                </c:pt>
                <c:pt idx="5">
                  <c:v>164</c:v>
                </c:pt>
                <c:pt idx="6">
                  <c:v>192</c:v>
                </c:pt>
                <c:pt idx="7">
                  <c:v>222</c:v>
                </c:pt>
                <c:pt idx="8">
                  <c:v>270</c:v>
                </c:pt>
                <c:pt idx="9">
                  <c:v>301</c:v>
                </c:pt>
              </c:numCache>
            </c:numRef>
          </c:xVal>
          <c:yVal>
            <c:numRef>
              <c:f>'Jay+Hanif'!$M$7:$M$16</c:f>
              <c:numCache>
                <c:formatCode>General</c:formatCode>
                <c:ptCount val="10"/>
                <c:pt idx="0">
                  <c:v>3.4708479390485363</c:v>
                </c:pt>
                <c:pt idx="1">
                  <c:v>3.3569426966399627</c:v>
                </c:pt>
                <c:pt idx="2">
                  <c:v>3.1841647042006471</c:v>
                </c:pt>
                <c:pt idx="3">
                  <c:v>2.9299790416205593</c:v>
                </c:pt>
                <c:pt idx="4">
                  <c:v>2.5740749766655853</c:v>
                </c:pt>
                <c:pt idx="5">
                  <c:v>2.0841860188272552</c:v>
                </c:pt>
                <c:pt idx="6">
                  <c:v>1.6222838489520695</c:v>
                </c:pt>
                <c:pt idx="7">
                  <c:v>1.1458475938769548</c:v>
                </c:pt>
                <c:pt idx="8">
                  <c:v>0.26301328457759854</c:v>
                </c:pt>
                <c:pt idx="9">
                  <c:v>-0.12010648277035768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8A-43FD-B14B-B43954E4B546}"/>
            </c:ext>
          </c:extLst>
        </c:ser>
        <c:ser>
          <c:idx val="3"/>
          <c:order val="1"/>
          <c:tx>
            <c:v>pH 7.23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'Jay+Hanif'!$D$7:$D$16</c:f>
              <c:numCache>
                <c:formatCode>General</c:formatCode>
                <c:ptCount val="10"/>
                <c:pt idx="0">
                  <c:v>13</c:v>
                </c:pt>
                <c:pt idx="1">
                  <c:v>178</c:v>
                </c:pt>
                <c:pt idx="2">
                  <c:v>360</c:v>
                </c:pt>
                <c:pt idx="3">
                  <c:v>542</c:v>
                </c:pt>
                <c:pt idx="4">
                  <c:v>720</c:v>
                </c:pt>
                <c:pt idx="5">
                  <c:v>903</c:v>
                </c:pt>
                <c:pt idx="6">
                  <c:v>1083</c:v>
                </c:pt>
                <c:pt idx="7">
                  <c:v>1255</c:v>
                </c:pt>
                <c:pt idx="8">
                  <c:v>1440</c:v>
                </c:pt>
                <c:pt idx="9">
                  <c:v>1622</c:v>
                </c:pt>
              </c:numCache>
            </c:numRef>
          </c:xVal>
          <c:yVal>
            <c:numRef>
              <c:f>'Jay+Hanif'!$G$7:$G$16</c:f>
              <c:numCache>
                <c:formatCode>General</c:formatCode>
                <c:ptCount val="10"/>
                <c:pt idx="0">
                  <c:v>3.5165930958589144</c:v>
                </c:pt>
                <c:pt idx="1">
                  <c:v>3.4302483527138938</c:v>
                </c:pt>
                <c:pt idx="2">
                  <c:v>3.3569426966399627</c:v>
                </c:pt>
                <c:pt idx="3">
                  <c:v>3.2358038145460113</c:v>
                </c:pt>
                <c:pt idx="4">
                  <c:v>3.1362752152176196</c:v>
                </c:pt>
                <c:pt idx="5">
                  <c:v>2.967454190840964</c:v>
                </c:pt>
                <c:pt idx="6">
                  <c:v>2.8037600586005209</c:v>
                </c:pt>
                <c:pt idx="7">
                  <c:v>2.5967669957073976</c:v>
                </c:pt>
                <c:pt idx="8">
                  <c:v>2.3955115248364542</c:v>
                </c:pt>
                <c:pt idx="9">
                  <c:v>2.1737064026014234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8A-43FD-B14B-B43954E4B546}"/>
            </c:ext>
          </c:extLst>
        </c:ser>
        <c:ser>
          <c:idx val="4"/>
          <c:order val="2"/>
          <c:tx>
            <c:v>pH 7.45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565"/>
              </a:solidFill>
              <a:ln w="9525">
                <a:solidFill>
                  <a:srgbClr val="FF6565"/>
                </a:solidFill>
              </a:ln>
              <a:effectLst/>
            </c:spPr>
          </c:marker>
          <c:xVal>
            <c:numRef>
              <c:f>'Jay+Hanif'!$P$7:$P$16</c:f>
              <c:numCache>
                <c:formatCode>General</c:formatCode>
                <c:ptCount val="10"/>
                <c:pt idx="0">
                  <c:v>7</c:v>
                </c:pt>
                <c:pt idx="1">
                  <c:v>35</c:v>
                </c:pt>
                <c:pt idx="2">
                  <c:v>92</c:v>
                </c:pt>
                <c:pt idx="3">
                  <c:v>208</c:v>
                </c:pt>
                <c:pt idx="4">
                  <c:v>333</c:v>
                </c:pt>
                <c:pt idx="5">
                  <c:v>444</c:v>
                </c:pt>
                <c:pt idx="6">
                  <c:v>564</c:v>
                </c:pt>
                <c:pt idx="7">
                  <c:v>690</c:v>
                </c:pt>
                <c:pt idx="8">
                  <c:v>807</c:v>
                </c:pt>
                <c:pt idx="9">
                  <c:v>923</c:v>
                </c:pt>
              </c:numCache>
            </c:numRef>
          </c:xVal>
          <c:yVal>
            <c:numRef>
              <c:f>'Jay+Hanif'!$S$7:$S$16</c:f>
              <c:numCache>
                <c:formatCode>General</c:formatCode>
                <c:ptCount val="10"/>
                <c:pt idx="0">
                  <c:v>3.5210545906589203</c:v>
                </c:pt>
                <c:pt idx="1">
                  <c:v>3.4893978624986079</c:v>
                </c:pt>
                <c:pt idx="2">
                  <c:v>3.3634781380724155</c:v>
                </c:pt>
                <c:pt idx="3">
                  <c:v>3.0668807134664577</c:v>
                </c:pt>
                <c:pt idx="4">
                  <c:v>2.5995676317173957</c:v>
                </c:pt>
                <c:pt idx="5">
                  <c:v>2.0841860188272552</c:v>
                </c:pt>
                <c:pt idx="6">
                  <c:v>1.478682092911763</c:v>
                </c:pt>
                <c:pt idx="7">
                  <c:v>1.1577437177956382</c:v>
                </c:pt>
                <c:pt idx="8">
                  <c:v>0.37252585189833898</c:v>
                </c:pt>
                <c:pt idx="9">
                  <c:v>-0.83201851963997897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8A-43FD-B14B-B43954E4B546}"/>
            </c:ext>
          </c:extLst>
        </c:ser>
        <c:ser>
          <c:idx val="5"/>
          <c:order val="3"/>
          <c:tx>
            <c:v>pH 7.23 (2)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'GP 1'!$E$31:$E$37</c:f>
              <c:numCache>
                <c:formatCode>General</c:formatCode>
                <c:ptCount val="7"/>
                <c:pt idx="0">
                  <c:v>0</c:v>
                </c:pt>
                <c:pt idx="1">
                  <c:v>127</c:v>
                </c:pt>
                <c:pt idx="2">
                  <c:v>420</c:v>
                </c:pt>
                <c:pt idx="3">
                  <c:v>700</c:v>
                </c:pt>
                <c:pt idx="4">
                  <c:v>947</c:v>
                </c:pt>
                <c:pt idx="5">
                  <c:v>1244</c:v>
                </c:pt>
                <c:pt idx="6">
                  <c:v>1872</c:v>
                </c:pt>
              </c:numCache>
            </c:numRef>
          </c:xVal>
          <c:yVal>
            <c:numRef>
              <c:f>'GP 1'!$J$31:$J$37</c:f>
              <c:numCache>
                <c:formatCode>General</c:formatCode>
                <c:ptCount val="7"/>
                <c:pt idx="0">
                  <c:v>3.5939068085793862</c:v>
                </c:pt>
                <c:pt idx="1">
                  <c:v>3.464480553134154</c:v>
                </c:pt>
                <c:pt idx="2">
                  <c:v>3.3885878003731054</c:v>
                </c:pt>
                <c:pt idx="3">
                  <c:v>3.2848275804959597</c:v>
                </c:pt>
                <c:pt idx="4">
                  <c:v>3.0925343724083558</c:v>
                </c:pt>
                <c:pt idx="5">
                  <c:v>2.7891030665584857</c:v>
                </c:pt>
                <c:pt idx="6">
                  <c:v>1.9243019301984388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A-43FD-B14B-B43954E4B546}"/>
            </c:ext>
          </c:extLst>
        </c:ser>
        <c:ser>
          <c:idx val="6"/>
          <c:order val="4"/>
          <c:tx>
            <c:v>pH 7.7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'GP 1'!$E$42:$E$51</c:f>
              <c:numCache>
                <c:formatCode>General</c:formatCode>
                <c:ptCount val="10"/>
                <c:pt idx="0">
                  <c:v>5</c:v>
                </c:pt>
                <c:pt idx="1">
                  <c:v>30</c:v>
                </c:pt>
                <c:pt idx="2">
                  <c:v>70</c:v>
                </c:pt>
                <c:pt idx="3">
                  <c:v>102</c:v>
                </c:pt>
                <c:pt idx="4">
                  <c:v>136</c:v>
                </c:pt>
                <c:pt idx="5">
                  <c:v>175</c:v>
                </c:pt>
                <c:pt idx="6">
                  <c:v>211</c:v>
                </c:pt>
                <c:pt idx="7">
                  <c:v>246</c:v>
                </c:pt>
                <c:pt idx="8">
                  <c:v>286</c:v>
                </c:pt>
                <c:pt idx="9">
                  <c:v>324</c:v>
                </c:pt>
              </c:numCache>
            </c:numRef>
          </c:xVal>
          <c:yVal>
            <c:numRef>
              <c:f>'GP 1'!$J$42:$J$51</c:f>
              <c:numCache>
                <c:formatCode>General</c:formatCode>
                <c:ptCount val="10"/>
                <c:pt idx="0">
                  <c:v>3.4915183610290486</c:v>
                </c:pt>
                <c:pt idx="1">
                  <c:v>3.3263217557761684</c:v>
                </c:pt>
                <c:pt idx="2">
                  <c:v>3.1736341020530214</c:v>
                </c:pt>
                <c:pt idx="3">
                  <c:v>2.9711628285606615</c:v>
                </c:pt>
                <c:pt idx="4">
                  <c:v>2.6548341989506392</c:v>
                </c:pt>
                <c:pt idx="5">
                  <c:v>2.2295433685913868</c:v>
                </c:pt>
                <c:pt idx="6">
                  <c:v>1.7627540418269423</c:v>
                </c:pt>
                <c:pt idx="7">
                  <c:v>1.330959101841457</c:v>
                </c:pt>
                <c:pt idx="8">
                  <c:v>0.90454316652420463</c:v>
                </c:pt>
                <c:pt idx="9">
                  <c:v>0.26460767539156893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8A-43FD-B14B-B43954E4B546}"/>
            </c:ext>
          </c:extLst>
        </c:ser>
        <c:ser>
          <c:idx val="7"/>
          <c:order val="5"/>
          <c:tx>
            <c:v>pH 7.45 (2)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'GP 2'!$K$7:$K$16</c:f>
              <c:numCache>
                <c:formatCode>General</c:formatCode>
                <c:ptCount val="10"/>
                <c:pt idx="0">
                  <c:v>10</c:v>
                </c:pt>
                <c:pt idx="1">
                  <c:v>90</c:v>
                </c:pt>
                <c:pt idx="2">
                  <c:v>187</c:v>
                </c:pt>
                <c:pt idx="3">
                  <c:v>310</c:v>
                </c:pt>
                <c:pt idx="4">
                  <c:v>430</c:v>
                </c:pt>
                <c:pt idx="5">
                  <c:v>492</c:v>
                </c:pt>
                <c:pt idx="6">
                  <c:v>566</c:v>
                </c:pt>
                <c:pt idx="7">
                  <c:v>640</c:v>
                </c:pt>
                <c:pt idx="8">
                  <c:v>735</c:v>
                </c:pt>
                <c:pt idx="9">
                  <c:v>795</c:v>
                </c:pt>
              </c:numCache>
            </c:numRef>
          </c:xVal>
          <c:yVal>
            <c:numRef>
              <c:f>'GP 2'!$P$7:$P$16</c:f>
              <c:numCache>
                <c:formatCode>General</c:formatCode>
                <c:ptCount val="10"/>
                <c:pt idx="0">
                  <c:v>3.4078942749200465</c:v>
                </c:pt>
                <c:pt idx="1">
                  <c:v>3.4000109073287836</c:v>
                </c:pt>
                <c:pt idx="2">
                  <c:v>3.1545586231112064</c:v>
                </c:pt>
                <c:pt idx="3">
                  <c:v>2.876441184360218</c:v>
                </c:pt>
                <c:pt idx="4">
                  <c:v>2.220663150308237</c:v>
                </c:pt>
                <c:pt idx="5">
                  <c:v>1.968244969155893</c:v>
                </c:pt>
                <c:pt idx="6">
                  <c:v>1.5821926374569333</c:v>
                </c:pt>
                <c:pt idx="7">
                  <c:v>1.1399084790401337</c:v>
                </c:pt>
                <c:pt idx="8">
                  <c:v>0.50924334495486112</c:v>
                </c:pt>
                <c:pt idx="9">
                  <c:v>0.55565538671932579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8A-43FD-B14B-B43954E4B546}"/>
            </c:ext>
          </c:extLst>
        </c:ser>
        <c:ser>
          <c:idx val="8"/>
          <c:order val="6"/>
          <c:tx>
            <c:v>pH 7.61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'GP 2'!$S$7:$S$16</c:f>
              <c:numCache>
                <c:formatCode>General</c:formatCode>
                <c:ptCount val="10"/>
                <c:pt idx="0">
                  <c:v>14</c:v>
                </c:pt>
                <c:pt idx="1">
                  <c:v>42</c:v>
                </c:pt>
                <c:pt idx="2">
                  <c:v>140</c:v>
                </c:pt>
                <c:pt idx="3">
                  <c:v>235</c:v>
                </c:pt>
                <c:pt idx="4">
                  <c:v>310</c:v>
                </c:pt>
                <c:pt idx="5">
                  <c:v>340</c:v>
                </c:pt>
                <c:pt idx="6">
                  <c:v>407</c:v>
                </c:pt>
                <c:pt idx="7">
                  <c:v>435</c:v>
                </c:pt>
                <c:pt idx="8">
                  <c:v>505</c:v>
                </c:pt>
                <c:pt idx="9">
                  <c:v>535</c:v>
                </c:pt>
              </c:numCache>
            </c:numRef>
          </c:xVal>
          <c:yVal>
            <c:numRef>
              <c:f>'GP 2'!$X$7:$X$16</c:f>
              <c:numCache>
                <c:formatCode>General</c:formatCode>
                <c:ptCount val="10"/>
                <c:pt idx="0">
                  <c:v>3.5343499146496402</c:v>
                </c:pt>
                <c:pt idx="1">
                  <c:v>3.4298987868827773</c:v>
                </c:pt>
                <c:pt idx="2">
                  <c:v>3.1341184633475851</c:v>
                </c:pt>
                <c:pt idx="3">
                  <c:v>2.647211458866928</c:v>
                </c:pt>
                <c:pt idx="4">
                  <c:v>2.2950468704300646</c:v>
                </c:pt>
                <c:pt idx="5">
                  <c:v>1.923065066448689</c:v>
                </c:pt>
                <c:pt idx="6">
                  <c:v>1.8877880398678735</c:v>
                </c:pt>
                <c:pt idx="7">
                  <c:v>1.4885869343446398</c:v>
                </c:pt>
                <c:pt idx="8">
                  <c:v>1.0047503350401497</c:v>
                </c:pt>
                <c:pt idx="9">
                  <c:v>0.4353180712578455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8A-43FD-B14B-B43954E4B546}"/>
            </c:ext>
          </c:extLst>
        </c:ser>
        <c:ser>
          <c:idx val="0"/>
          <c:order val="7"/>
          <c:tx>
            <c:v>pH 7.55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'GP 3'!$C$23:$C$32</c:f>
              <c:numCache>
                <c:formatCode>General</c:formatCode>
                <c:ptCount val="10"/>
                <c:pt idx="0">
                  <c:v>10</c:v>
                </c:pt>
                <c:pt idx="1">
                  <c:v>39</c:v>
                </c:pt>
                <c:pt idx="2">
                  <c:v>95</c:v>
                </c:pt>
                <c:pt idx="3">
                  <c:v>150</c:v>
                </c:pt>
                <c:pt idx="4">
                  <c:v>185</c:v>
                </c:pt>
                <c:pt idx="5">
                  <c:v>214</c:v>
                </c:pt>
                <c:pt idx="6">
                  <c:v>242</c:v>
                </c:pt>
                <c:pt idx="7">
                  <c:v>278</c:v>
                </c:pt>
                <c:pt idx="8">
                  <c:v>331</c:v>
                </c:pt>
                <c:pt idx="9">
                  <c:v>379</c:v>
                </c:pt>
              </c:numCache>
            </c:numRef>
          </c:xVal>
          <c:yVal>
            <c:numRef>
              <c:f>'GP 3'!$H$23:$H$32</c:f>
              <c:numCache>
                <c:formatCode>General</c:formatCode>
                <c:ptCount val="10"/>
                <c:pt idx="0">
                  <c:v>3.5717014725295648</c:v>
                </c:pt>
                <c:pt idx="1">
                  <c:v>3.4749570906571869</c:v>
                </c:pt>
                <c:pt idx="2">
                  <c:v>3.3189893977844651</c:v>
                </c:pt>
                <c:pt idx="3">
                  <c:v>3.0738272053363058</c:v>
                </c:pt>
                <c:pt idx="4">
                  <c:v>2.9411049481556018</c:v>
                </c:pt>
                <c:pt idx="5">
                  <c:v>2.7533837424037313</c:v>
                </c:pt>
                <c:pt idx="6">
                  <c:v>2.5685912431256726</c:v>
                </c:pt>
                <c:pt idx="7">
                  <c:v>2.3605556495084392</c:v>
                </c:pt>
                <c:pt idx="8">
                  <c:v>1.9459101490553132</c:v>
                </c:pt>
                <c:pt idx="9">
                  <c:v>1.5983090217393907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8A-43FD-B14B-B43954E4B546}"/>
            </c:ext>
          </c:extLst>
        </c:ser>
        <c:ser>
          <c:idx val="1"/>
          <c:order val="8"/>
          <c:tx>
            <c:v>pH 7.41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'GP 3'!$K$24:$K$32</c:f>
              <c:numCache>
                <c:formatCode>General</c:formatCode>
                <c:ptCount val="9"/>
                <c:pt idx="0">
                  <c:v>66</c:v>
                </c:pt>
                <c:pt idx="1">
                  <c:v>127</c:v>
                </c:pt>
                <c:pt idx="2">
                  <c:v>246</c:v>
                </c:pt>
                <c:pt idx="3">
                  <c:v>306</c:v>
                </c:pt>
                <c:pt idx="4">
                  <c:v>366</c:v>
                </c:pt>
                <c:pt idx="5">
                  <c:v>424</c:v>
                </c:pt>
                <c:pt idx="6">
                  <c:v>485</c:v>
                </c:pt>
                <c:pt idx="7">
                  <c:v>526</c:v>
                </c:pt>
                <c:pt idx="8">
                  <c:v>607</c:v>
                </c:pt>
              </c:numCache>
            </c:numRef>
          </c:xVal>
          <c:yVal>
            <c:numRef>
              <c:f>'GP 3'!$P$24:$P$32</c:f>
              <c:numCache>
                <c:formatCode>General</c:formatCode>
                <c:ptCount val="9"/>
                <c:pt idx="0">
                  <c:v>3.4810576464246132</c:v>
                </c:pt>
                <c:pt idx="1">
                  <c:v>3.3513592377236612</c:v>
                </c:pt>
                <c:pt idx="2">
                  <c:v>3.2071072412042922</c:v>
                </c:pt>
                <c:pt idx="3">
                  <c:v>2.8262137821139461</c:v>
                </c:pt>
                <c:pt idx="4">
                  <c:v>2.6101279170699603</c:v>
                </c:pt>
                <c:pt idx="5">
                  <c:v>2.379033632746185</c:v>
                </c:pt>
                <c:pt idx="6">
                  <c:v>2.1167792121174802</c:v>
                </c:pt>
                <c:pt idx="7">
                  <c:v>1.89968586017106</c:v>
                </c:pt>
                <c:pt idx="8">
                  <c:v>1.7115520576094869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68A-43FD-B14B-B43954E4B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115040"/>
        <c:axId val="373115432"/>
      </c:scatterChart>
      <c:valAx>
        <c:axId val="37311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15432"/>
        <c:crosses val="autoZero"/>
        <c:crossBetween val="midCat"/>
      </c:valAx>
      <c:valAx>
        <c:axId val="37311543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ln[Fe(II)]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1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33114610673665"/>
          <c:y val="0.13057888597258677"/>
          <c:w val="0.81418285214348207"/>
          <c:h val="0.771280985710119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8895450568678918E-3"/>
                  <c:y val="0.21758129192184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'Jay+Hanif'!$D$37:$D$45</c:f>
              <c:numCache>
                <c:formatCode>General</c:formatCode>
                <c:ptCount val="9"/>
                <c:pt idx="0">
                  <c:v>6.77</c:v>
                </c:pt>
                <c:pt idx="1">
                  <c:v>6.77</c:v>
                </c:pt>
                <c:pt idx="2">
                  <c:v>6.59</c:v>
                </c:pt>
                <c:pt idx="3">
                  <c:v>6.55</c:v>
                </c:pt>
                <c:pt idx="4">
                  <c:v>6.55</c:v>
                </c:pt>
                <c:pt idx="5">
                  <c:v>6.45</c:v>
                </c:pt>
                <c:pt idx="6">
                  <c:v>6.39</c:v>
                </c:pt>
                <c:pt idx="7">
                  <c:v>6.3</c:v>
                </c:pt>
                <c:pt idx="8">
                  <c:v>6.24</c:v>
                </c:pt>
              </c:numCache>
            </c:numRef>
          </c:xVal>
          <c:yVal>
            <c:numRef>
              <c:f>'Jay+Hanif'!$G$37:$G$45</c:f>
              <c:numCache>
                <c:formatCode>General</c:formatCode>
                <c:ptCount val="9"/>
                <c:pt idx="0">
                  <c:v>-3.0969100130080562</c:v>
                </c:pt>
                <c:pt idx="1">
                  <c:v>-3.0969100130080562</c:v>
                </c:pt>
                <c:pt idx="2">
                  <c:v>-2.4559319556497243</c:v>
                </c:pt>
                <c:pt idx="3">
                  <c:v>-2.3872161432802645</c:v>
                </c:pt>
                <c:pt idx="4">
                  <c:v>-2.3565473235138126</c:v>
                </c:pt>
                <c:pt idx="5">
                  <c:v>-2.2757241303992108</c:v>
                </c:pt>
                <c:pt idx="6">
                  <c:v>-2.2596373105057563</c:v>
                </c:pt>
                <c:pt idx="7">
                  <c:v>-1.9956786262173574</c:v>
                </c:pt>
                <c:pt idx="8">
                  <c:v>-1.8927900303521317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45-42F5-968F-C325FB8B6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91272"/>
        <c:axId val="373891664"/>
      </c:scatterChart>
      <c:valAx>
        <c:axId val="3738912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pOH</a:t>
                </a:r>
              </a:p>
            </c:rich>
          </c:tx>
          <c:layout>
            <c:manualLayout>
              <c:xMode val="edge"/>
              <c:yMode val="edge"/>
              <c:x val="0.59169335083114616"/>
              <c:y val="0.9259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91664"/>
        <c:crosses val="autoZero"/>
        <c:crossBetween val="midCat"/>
      </c:valAx>
      <c:valAx>
        <c:axId val="37389166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91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33114610673665"/>
          <c:y val="0.14446777486147566"/>
          <c:w val="0.81418285214348207"/>
          <c:h val="0.771280985710119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9540682414698156E-2"/>
                  <c:y val="8.12150043744531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'Jay+Hanif'!$E$37:$E$45</c:f>
              <c:numCache>
                <c:formatCode>General</c:formatCode>
                <c:ptCount val="9"/>
                <c:pt idx="0">
                  <c:v>7.23</c:v>
                </c:pt>
                <c:pt idx="1">
                  <c:v>7.23</c:v>
                </c:pt>
                <c:pt idx="2">
                  <c:v>7.41</c:v>
                </c:pt>
                <c:pt idx="3">
                  <c:v>7.45</c:v>
                </c:pt>
                <c:pt idx="4">
                  <c:v>7.45</c:v>
                </c:pt>
                <c:pt idx="5">
                  <c:v>7.55</c:v>
                </c:pt>
                <c:pt idx="6">
                  <c:v>7.61</c:v>
                </c:pt>
                <c:pt idx="7">
                  <c:v>7.7</c:v>
                </c:pt>
                <c:pt idx="8">
                  <c:v>7.76</c:v>
                </c:pt>
              </c:numCache>
            </c:numRef>
          </c:xVal>
          <c:yVal>
            <c:numRef>
              <c:f>'Jay+Hanif'!$G$37:$G$45</c:f>
              <c:numCache>
                <c:formatCode>General</c:formatCode>
                <c:ptCount val="9"/>
                <c:pt idx="0">
                  <c:v>-3.0969100130080562</c:v>
                </c:pt>
                <c:pt idx="1">
                  <c:v>-3.0969100130080562</c:v>
                </c:pt>
                <c:pt idx="2">
                  <c:v>-2.4559319556497243</c:v>
                </c:pt>
                <c:pt idx="3">
                  <c:v>-2.3872161432802645</c:v>
                </c:pt>
                <c:pt idx="4">
                  <c:v>-2.3565473235138126</c:v>
                </c:pt>
                <c:pt idx="5">
                  <c:v>-2.2757241303992108</c:v>
                </c:pt>
                <c:pt idx="6">
                  <c:v>-2.2596373105057563</c:v>
                </c:pt>
                <c:pt idx="7">
                  <c:v>-1.9956786262173574</c:v>
                </c:pt>
                <c:pt idx="8">
                  <c:v>-1.8927900303521317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1-4657-918D-9DFFE3A86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92448"/>
        <c:axId val="373892840"/>
      </c:scatterChart>
      <c:valAx>
        <c:axId val="3738924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layout>
            <c:manualLayout>
              <c:xMode val="edge"/>
              <c:yMode val="edge"/>
              <c:x val="0.59169335083114616"/>
              <c:y val="0.9259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92840"/>
        <c:crosses val="autoZero"/>
        <c:crossBetween val="midCat"/>
      </c:valAx>
      <c:valAx>
        <c:axId val="37389284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99781277340332"/>
          <c:y val="7.8703703703703706E-2"/>
          <c:w val="0.74233552055992991"/>
          <c:h val="0.721272965879265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'Fe stability'!$E$4</c:f>
              <c:strCache>
                <c:ptCount val="1"/>
                <c:pt idx="0">
                  <c:v>10/05/2017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5582895888014"/>
                  <c:y val="0.129071157771945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'Fe stability'!$D$6:$D$11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xVal>
          <c:yVal>
            <c:numRef>
              <c:f>'Fe stability'!$E$6:$E$11</c:f>
              <c:numCache>
                <c:formatCode>General</c:formatCode>
                <c:ptCount val="6"/>
                <c:pt idx="0">
                  <c:v>0</c:v>
                </c:pt>
                <c:pt idx="1">
                  <c:v>1.7999999999999999E-2</c:v>
                </c:pt>
                <c:pt idx="2">
                  <c:v>2.5000000000000001E-2</c:v>
                </c:pt>
                <c:pt idx="3">
                  <c:v>0.127</c:v>
                </c:pt>
                <c:pt idx="4">
                  <c:v>0.66500000000000004</c:v>
                </c:pt>
                <c:pt idx="5">
                  <c:v>1.3340000000000001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5-4533-A92C-498ABAEBB67B}"/>
            </c:ext>
          </c:extLst>
        </c:ser>
        <c:ser>
          <c:idx val="1"/>
          <c:order val="1"/>
          <c:tx>
            <c:strRef>
              <c:f>'Fe stability'!$F$4</c:f>
              <c:strCache>
                <c:ptCount val="1"/>
                <c:pt idx="0">
                  <c:v>11/05/2017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'Fe stability'!$D$6:$D$11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xVal>
          <c:yVal>
            <c:numRef>
              <c:f>'Fe stability'!$F$6:$F$11</c:f>
              <c:numCache>
                <c:formatCode>General</c:formatCode>
                <c:ptCount val="6"/>
                <c:pt idx="0">
                  <c:v>0</c:v>
                </c:pt>
                <c:pt idx="1">
                  <c:v>2.4E-2</c:v>
                </c:pt>
                <c:pt idx="2">
                  <c:v>4.2000000000000003E-2</c:v>
                </c:pt>
                <c:pt idx="3">
                  <c:v>0.13500000000000001</c:v>
                </c:pt>
                <c:pt idx="4">
                  <c:v>0.65600000000000003</c:v>
                </c:pt>
                <c:pt idx="5">
                  <c:v>1.2689999999999999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95-4533-A92C-498ABAEBB67B}"/>
            </c:ext>
          </c:extLst>
        </c:ser>
        <c:ser>
          <c:idx val="2"/>
          <c:order val="2"/>
          <c:tx>
            <c:strRef>
              <c:f>'Fe stability'!$G$4</c:f>
              <c:strCache>
                <c:ptCount val="1"/>
                <c:pt idx="0">
                  <c:v>12/05/2017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376443569553806"/>
                  <c:y val="0.151603237095363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'Fe stability'!$D$6:$D$11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xVal>
          <c:yVal>
            <c:numRef>
              <c:f>'Fe stability'!$G$6:$G$11</c:f>
              <c:numCache>
                <c:formatCode>General</c:formatCode>
                <c:ptCount val="6"/>
                <c:pt idx="0">
                  <c:v>0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0.159</c:v>
                </c:pt>
                <c:pt idx="4">
                  <c:v>0.66400000000000003</c:v>
                </c:pt>
                <c:pt idx="5">
                  <c:v>1.2809999999999999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95-4533-A92C-498ABAEBB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93624"/>
        <c:axId val="373894016"/>
      </c:scatterChart>
      <c:valAx>
        <c:axId val="373893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[Fe(II)]</a:t>
                </a:r>
                <a:r>
                  <a:rPr lang="en-GB" baseline="0"/>
                  <a:t> uM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94016"/>
        <c:crosses val="autoZero"/>
        <c:crossBetween val="midCat"/>
      </c:valAx>
      <c:valAx>
        <c:axId val="373894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93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'Fe conc Hanif'!$D$5:$D$10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50</c:v>
                </c:pt>
              </c:numCache>
            </c:numRef>
          </c:xVal>
          <c:yVal>
            <c:numRef>
              <c:f>'Fe conc Hanif'!$E$5:$E$10</c:f>
              <c:numCache>
                <c:formatCode>General</c:formatCode>
                <c:ptCount val="6"/>
                <c:pt idx="0">
                  <c:v>0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0.159</c:v>
                </c:pt>
                <c:pt idx="4">
                  <c:v>0.66400000000000003</c:v>
                </c:pt>
                <c:pt idx="5">
                  <c:v>1.2809999999999999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62-4C1F-A3B0-25ECCE936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669696"/>
        <c:axId val="373670088"/>
      </c:scatterChart>
      <c:valAx>
        <c:axId val="37366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[Fe(II)]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70088"/>
        <c:crosses val="autoZero"/>
        <c:crossBetween val="midCat"/>
      </c:valAx>
      <c:valAx>
        <c:axId val="373670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6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176212</xdr:rowOff>
    </xdr:from>
    <xdr:to>
      <xdr:col>12</xdr:col>
      <xdr:colOff>152400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0</xdr:rowOff>
    </xdr:from>
    <xdr:to>
      <xdr:col>12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196383</xdr:colOff>
      <xdr:row>52</xdr:row>
      <xdr:rowOff>169488</xdr:rowOff>
    </xdr:from>
    <xdr:to>
      <xdr:col>16</xdr:col>
      <xdr:colOff>102254</xdr:colOff>
      <xdr:row>67</xdr:row>
      <xdr:rowOff>55188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257615</xdr:colOff>
      <xdr:row>100</xdr:row>
      <xdr:rowOff>12046</xdr:rowOff>
    </xdr:from>
    <xdr:to>
      <xdr:col>7</xdr:col>
      <xdr:colOff>412736</xdr:colOff>
      <xdr:row>114</xdr:row>
      <xdr:rowOff>88246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1176617</xdr:colOff>
      <xdr:row>52</xdr:row>
      <xdr:rowOff>156882</xdr:rowOff>
    </xdr:from>
    <xdr:to>
      <xdr:col>9</xdr:col>
      <xdr:colOff>107576</xdr:colOff>
      <xdr:row>67</xdr:row>
      <xdr:rowOff>42582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100</xdr:row>
      <xdr:rowOff>0</xdr:rowOff>
    </xdr:from>
    <xdr:to>
      <xdr:col>15</xdr:col>
      <xdr:colOff>522514</xdr:colOff>
      <xdr:row>114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166</xdr:row>
      <xdr:rowOff>0</xdr:rowOff>
    </xdr:from>
    <xdr:to>
      <xdr:col>6</xdr:col>
      <xdr:colOff>382121</xdr:colOff>
      <xdr:row>180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342900</xdr:colOff>
      <xdr:row>170</xdr:row>
      <xdr:rowOff>0</xdr:rowOff>
    </xdr:from>
    <xdr:to>
      <xdr:col>5</xdr:col>
      <xdr:colOff>352425</xdr:colOff>
      <xdr:row>171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771900" y="32385000"/>
          <a:ext cx="7715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accent5"/>
              </a:solidFill>
            </a:rPr>
            <a:t>pH 7.22</a:t>
          </a:r>
        </a:p>
      </xdr:txBody>
    </xdr:sp>
    <xdr:clientData/>
  </xdr:twoCellAnchor>
  <xdr:twoCellAnchor>
    <xdr:from>
      <xdr:col>2</xdr:col>
      <xdr:colOff>561975</xdr:colOff>
      <xdr:row>172</xdr:row>
      <xdr:rowOff>57150</xdr:rowOff>
    </xdr:from>
    <xdr:to>
      <xdr:col>3</xdr:col>
      <xdr:colOff>723900</xdr:colOff>
      <xdr:row>173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390775" y="32823150"/>
          <a:ext cx="7715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accent6"/>
              </a:solidFill>
            </a:rPr>
            <a:t>pH 7.47</a:t>
          </a:r>
        </a:p>
      </xdr:txBody>
    </xdr:sp>
    <xdr:clientData/>
  </xdr:twoCellAnchor>
  <xdr:twoCellAnchor>
    <xdr:from>
      <xdr:col>2</xdr:col>
      <xdr:colOff>142875</xdr:colOff>
      <xdr:row>175</xdr:row>
      <xdr:rowOff>142875</xdr:rowOff>
    </xdr:from>
    <xdr:to>
      <xdr:col>3</xdr:col>
      <xdr:colOff>304800</xdr:colOff>
      <xdr:row>177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971675" y="33480375"/>
          <a:ext cx="7715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accent4"/>
              </a:solidFill>
            </a:rPr>
            <a:t>pH 7.61</a:t>
          </a:r>
        </a:p>
      </xdr:txBody>
    </xdr:sp>
    <xdr:clientData/>
  </xdr:twoCellAnchor>
  <xdr:twoCellAnchor>
    <xdr:from>
      <xdr:col>1</xdr:col>
      <xdr:colOff>752475</xdr:colOff>
      <xdr:row>176</xdr:row>
      <xdr:rowOff>28575</xdr:rowOff>
    </xdr:from>
    <xdr:to>
      <xdr:col>2</xdr:col>
      <xdr:colOff>304800</xdr:colOff>
      <xdr:row>177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362075" y="33556575"/>
          <a:ext cx="7715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accent2">
                  <a:lumMod val="50000"/>
                </a:schemeClr>
              </a:solidFill>
            </a:rPr>
            <a:t>pH 7.77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0.04688</cdr:y>
    </cdr:from>
    <cdr:to>
      <cdr:x>0.94481</cdr:x>
      <cdr:y>0.11979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63409" y="128598"/>
          <a:ext cx="457312" cy="2000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pH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0.89063</cdr:x>
      <cdr:y>0.06424</cdr:y>
    </cdr:from>
    <cdr:to>
      <cdr:x>0.99063</cdr:x>
      <cdr:y>0.13715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71945" y="176220"/>
          <a:ext cx="457200" cy="2000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pH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366712</xdr:colOff>
      <xdr:row>2</xdr:row>
      <xdr:rowOff>90487</xdr:rowOff>
    </xdr:from>
    <xdr:to>
      <xdr:col>13</xdr:col>
      <xdr:colOff>61912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0.89063</cdr:x>
      <cdr:y>0.06424</cdr:y>
    </cdr:from>
    <cdr:to>
      <cdr:x>0.99063</cdr:x>
      <cdr:y>0.13715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71945" y="176220"/>
          <a:ext cx="457200" cy="2000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pH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</xdr:row>
      <xdr:rowOff>61912</xdr:rowOff>
    </xdr:from>
    <xdr:to>
      <xdr:col>15</xdr:col>
      <xdr:colOff>504825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21</xdr:row>
      <xdr:rowOff>95250</xdr:rowOff>
    </xdr:from>
    <xdr:to>
      <xdr:col>18</xdr:col>
      <xdr:colOff>190500</xdr:colOff>
      <xdr:row>36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D4885A-EAFF-46EE-9C6F-4CD43F219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33</xdr:row>
      <xdr:rowOff>42862</xdr:rowOff>
    </xdr:from>
    <xdr:to>
      <xdr:col>17</xdr:col>
      <xdr:colOff>552450</xdr:colOff>
      <xdr:row>47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12</xdr:row>
      <xdr:rowOff>85725</xdr:rowOff>
    </xdr:from>
    <xdr:to>
      <xdr:col>11</xdr:col>
      <xdr:colOff>123825</xdr:colOff>
      <xdr:row>24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10</xdr:row>
      <xdr:rowOff>33337</xdr:rowOff>
    </xdr:from>
    <xdr:to>
      <xdr:col>7</xdr:col>
      <xdr:colOff>542925</xdr:colOff>
      <xdr:row>24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519112</xdr:colOff>
      <xdr:row>17</xdr:row>
      <xdr:rowOff>185737</xdr:rowOff>
    </xdr:from>
    <xdr:to>
      <xdr:col>16</xdr:col>
      <xdr:colOff>214312</xdr:colOff>
      <xdr:row>32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261937</xdr:colOff>
      <xdr:row>31</xdr:row>
      <xdr:rowOff>47625</xdr:rowOff>
    </xdr:from>
    <xdr:to>
      <xdr:col>15</xdr:col>
      <xdr:colOff>566737</xdr:colOff>
      <xdr:row>45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18</xdr:row>
      <xdr:rowOff>138112</xdr:rowOff>
    </xdr:from>
    <xdr:to>
      <xdr:col>26</xdr:col>
      <xdr:colOff>219075</xdr:colOff>
      <xdr:row>33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18</xdr:row>
      <xdr:rowOff>66675</xdr:rowOff>
    </xdr:from>
    <xdr:to>
      <xdr:col>8</xdr:col>
      <xdr:colOff>38100</xdr:colOff>
      <xdr:row>32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19</xdr:row>
      <xdr:rowOff>0</xdr:rowOff>
    </xdr:from>
    <xdr:to>
      <xdr:col>16</xdr:col>
      <xdr:colOff>114300</xdr:colOff>
      <xdr:row>33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66675</xdr:colOff>
      <xdr:row>49</xdr:row>
      <xdr:rowOff>185737</xdr:rowOff>
    </xdr:from>
    <xdr:to>
      <xdr:col>15</xdr:col>
      <xdr:colOff>371475</xdr:colOff>
      <xdr:row>64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66675</xdr:colOff>
      <xdr:row>34</xdr:row>
      <xdr:rowOff>152400</xdr:rowOff>
    </xdr:from>
    <xdr:to>
      <xdr:col>15</xdr:col>
      <xdr:colOff>371475</xdr:colOff>
      <xdr:row>49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404812</xdr:colOff>
      <xdr:row>2</xdr:row>
      <xdr:rowOff>80962</xdr:rowOff>
    </xdr:from>
    <xdr:to>
      <xdr:col>16</xdr:col>
      <xdr:colOff>100012</xdr:colOff>
      <xdr:row>16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271462</xdr:colOff>
      <xdr:row>1</xdr:row>
      <xdr:rowOff>42862</xdr:rowOff>
    </xdr:from>
    <xdr:to>
      <xdr:col>14</xdr:col>
      <xdr:colOff>576262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8"/>
  <sheetViews>
    <sheetView workbookViewId="0">
      <selection activeCell="C19" sqref="C19"/>
    </sheetView>
  </sheetViews>
  <sheetFormatPr baseColWidth="10" defaultColWidth="8.83203125" defaultRowHeight="15" x14ac:dyDescent="0.2"/>
  <sheetData>
    <row r="3" spans="2:3" x14ac:dyDescent="0.2">
      <c r="B3" s="4" t="s">
        <v>0</v>
      </c>
    </row>
    <row r="5" spans="2:3" x14ac:dyDescent="0.2">
      <c r="B5" t="s">
        <v>1</v>
      </c>
      <c r="C5" t="s">
        <v>2</v>
      </c>
    </row>
    <row r="6" spans="2:3" x14ac:dyDescent="0.2">
      <c r="B6">
        <v>7.2</v>
      </c>
      <c r="C6">
        <v>-1</v>
      </c>
    </row>
    <row r="7" spans="2:3" x14ac:dyDescent="0.2">
      <c r="B7">
        <v>7.6</v>
      </c>
      <c r="C7">
        <v>-0.8</v>
      </c>
    </row>
    <row r="8" spans="2:3" x14ac:dyDescent="0.2">
      <c r="B8">
        <v>7.8</v>
      </c>
      <c r="C8">
        <v>-0.45</v>
      </c>
    </row>
    <row r="9" spans="2:3" x14ac:dyDescent="0.2">
      <c r="B9">
        <v>8</v>
      </c>
      <c r="C9">
        <v>-0.1</v>
      </c>
    </row>
    <row r="10" spans="2:3" x14ac:dyDescent="0.2">
      <c r="B10">
        <v>8.25</v>
      </c>
      <c r="C10">
        <v>0.4</v>
      </c>
    </row>
    <row r="14" spans="2:3" x14ac:dyDescent="0.2">
      <c r="B14" t="s">
        <v>3</v>
      </c>
      <c r="C14">
        <v>0.92910000000000004</v>
      </c>
    </row>
    <row r="18" spans="2:3" x14ac:dyDescent="0.2">
      <c r="B18" t="s">
        <v>3</v>
      </c>
      <c r="C18">
        <v>0.99870000000000003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180"/>
  <sheetViews>
    <sheetView zoomScaleNormal="100" workbookViewId="0">
      <selection activeCell="D8" sqref="D8"/>
    </sheetView>
  </sheetViews>
  <sheetFormatPr baseColWidth="10" defaultColWidth="8.83203125" defaultRowHeight="15" x14ac:dyDescent="0.2"/>
  <cols>
    <col min="2" max="2" width="18.33203125" bestFit="1" customWidth="1"/>
    <col min="4" max="4" width="14.83203125" bestFit="1" customWidth="1"/>
    <col min="5" max="5" width="11.5" bestFit="1" customWidth="1"/>
    <col min="11" max="11" width="12" bestFit="1" customWidth="1"/>
    <col min="12" max="12" width="9.33203125" bestFit="1" customWidth="1"/>
    <col min="15" max="15" width="12" bestFit="1" customWidth="1"/>
    <col min="16" max="16" width="9.33203125" bestFit="1" customWidth="1"/>
  </cols>
  <sheetData>
    <row r="3" spans="3:23" x14ac:dyDescent="0.2">
      <c r="C3" s="25" t="s">
        <v>4</v>
      </c>
      <c r="E3" s="27" t="s">
        <v>5</v>
      </c>
    </row>
    <row r="5" spans="3:23" x14ac:dyDescent="0.2">
      <c r="C5" s="4" t="s">
        <v>6</v>
      </c>
      <c r="K5" s="4" t="s">
        <v>7</v>
      </c>
    </row>
    <row r="6" spans="3:23" x14ac:dyDescent="0.2">
      <c r="C6" s="5" t="s">
        <v>8</v>
      </c>
      <c r="D6" s="6">
        <v>7.23</v>
      </c>
      <c r="E6" s="6" t="s">
        <v>9</v>
      </c>
      <c r="F6" s="9">
        <v>7.2</v>
      </c>
      <c r="G6" s="5" t="s">
        <v>8</v>
      </c>
      <c r="H6" s="6">
        <v>7.79</v>
      </c>
      <c r="I6" s="6" t="s">
        <v>9</v>
      </c>
      <c r="J6" s="9">
        <v>7.69</v>
      </c>
      <c r="K6" s="5" t="s">
        <v>8</v>
      </c>
      <c r="L6" s="6">
        <v>7.48</v>
      </c>
      <c r="M6" s="6" t="s">
        <v>9</v>
      </c>
      <c r="N6" s="9">
        <v>7.45</v>
      </c>
      <c r="O6" s="5" t="s">
        <v>8</v>
      </c>
      <c r="P6" s="6">
        <v>7.61</v>
      </c>
      <c r="Q6" s="6" t="s">
        <v>9</v>
      </c>
      <c r="R6" s="9">
        <v>7.6</v>
      </c>
      <c r="S6" s="8"/>
      <c r="T6" s="8"/>
      <c r="U6" s="8"/>
      <c r="V6" s="8"/>
      <c r="W6" s="8"/>
    </row>
    <row r="7" spans="3:23" x14ac:dyDescent="0.2">
      <c r="C7" s="15" t="s">
        <v>10</v>
      </c>
      <c r="D7" s="20" t="s">
        <v>11</v>
      </c>
      <c r="E7" s="20" t="s">
        <v>12</v>
      </c>
      <c r="F7" s="24" t="s">
        <v>13</v>
      </c>
      <c r="G7" s="15" t="s">
        <v>10</v>
      </c>
      <c r="H7" s="20" t="s">
        <v>11</v>
      </c>
      <c r="I7" s="20" t="s">
        <v>12</v>
      </c>
      <c r="J7" s="24" t="s">
        <v>13</v>
      </c>
      <c r="K7" s="15" t="s">
        <v>10</v>
      </c>
      <c r="L7" s="20" t="s">
        <v>11</v>
      </c>
      <c r="M7" s="20" t="s">
        <v>12</v>
      </c>
      <c r="N7" s="24" t="s">
        <v>13</v>
      </c>
      <c r="O7" s="15" t="s">
        <v>10</v>
      </c>
      <c r="P7" s="20" t="s">
        <v>11</v>
      </c>
      <c r="Q7" s="20" t="s">
        <v>12</v>
      </c>
      <c r="R7" s="24" t="s">
        <v>13</v>
      </c>
      <c r="S7" s="8"/>
      <c r="T7" s="8"/>
      <c r="U7" s="8"/>
      <c r="V7" s="8"/>
      <c r="W7" s="8"/>
    </row>
    <row r="8" spans="3:23" x14ac:dyDescent="0.2">
      <c r="C8" s="10">
        <v>0</v>
      </c>
      <c r="D8" s="12">
        <v>1</v>
      </c>
      <c r="E8" s="13">
        <f>'GP 1'!I31</f>
        <v>36.375912408759127</v>
      </c>
      <c r="F8" s="14">
        <f>LN(E8)</f>
        <v>3.5939068085793862</v>
      </c>
      <c r="G8" s="10">
        <f>'GP 1'!E42</f>
        <v>5</v>
      </c>
      <c r="H8" s="12">
        <f>'GP 1'!H42</f>
        <v>0.90300000000000002</v>
      </c>
      <c r="I8" s="13">
        <f>'GP 1'!I42</f>
        <v>32.835766423357668</v>
      </c>
      <c r="J8" s="14">
        <f>LN(I8)</f>
        <v>3.4915183610290486</v>
      </c>
      <c r="K8" s="10">
        <f>'GP 2'!K7</f>
        <v>10</v>
      </c>
      <c r="L8" s="12">
        <f>'GP 2'!N7</f>
        <v>0.76200000000000001</v>
      </c>
      <c r="M8" s="13">
        <f>'GP 2'!O7</f>
        <v>30.201581027667984</v>
      </c>
      <c r="N8" s="14">
        <f>LN(M8)</f>
        <v>3.4078942749200465</v>
      </c>
      <c r="O8" s="10">
        <f>'GP 2'!S7</f>
        <v>14</v>
      </c>
      <c r="P8" s="12">
        <f>'GP 2'!V7</f>
        <v>0.86499999999999999</v>
      </c>
      <c r="Q8" s="13">
        <f>'GP 2'!W7</f>
        <v>34.272727272727273</v>
      </c>
      <c r="R8" s="14">
        <f>LN(Q8)</f>
        <v>3.5343499146496402</v>
      </c>
      <c r="S8" s="8"/>
      <c r="T8" s="8"/>
      <c r="U8" s="8"/>
      <c r="V8" s="8"/>
      <c r="W8" s="8"/>
    </row>
    <row r="9" spans="3:23" x14ac:dyDescent="0.2">
      <c r="C9" s="10">
        <v>127</v>
      </c>
      <c r="D9" s="12">
        <v>0.879</v>
      </c>
      <c r="E9" s="13">
        <f>'GP 1'!I32</f>
        <v>31.959854014598541</v>
      </c>
      <c r="F9" s="14">
        <f t="shared" ref="F9:F14" si="0">LN(E9)</f>
        <v>3.464480553134154</v>
      </c>
      <c r="G9" s="10">
        <f>'GP 1'!E43</f>
        <v>30</v>
      </c>
      <c r="H9" s="12">
        <f>'GP 1'!H43</f>
        <v>0.76600000000000001</v>
      </c>
      <c r="I9" s="13">
        <f>'GP 1'!I43</f>
        <v>27.835766423357665</v>
      </c>
      <c r="J9" s="14">
        <f t="shared" ref="J9:J17" si="1">LN(I9)</f>
        <v>3.3263217557761684</v>
      </c>
      <c r="K9" s="10">
        <f>'GP 2'!K8</f>
        <v>90</v>
      </c>
      <c r="L9" s="12">
        <f>'GP 2'!N8</f>
        <v>0.75600000000000001</v>
      </c>
      <c r="M9" s="13">
        <f>'GP 2'!O8</f>
        <v>29.964426877470355</v>
      </c>
      <c r="N9" s="14">
        <f t="shared" ref="N9:N17" si="2">LN(M9)</f>
        <v>3.4000109073287836</v>
      </c>
      <c r="O9" s="10">
        <f>'GP 2'!S8</f>
        <v>42</v>
      </c>
      <c r="P9" s="12">
        <f>'GP 2'!V8</f>
        <v>0.77900000000000003</v>
      </c>
      <c r="Q9" s="13">
        <f>'GP 2'!W8</f>
        <v>30.873517786561266</v>
      </c>
      <c r="R9" s="14">
        <f t="shared" ref="R9:R17" si="3">LN(Q9)</f>
        <v>3.4298987868827773</v>
      </c>
      <c r="S9" s="8"/>
      <c r="T9" s="8"/>
      <c r="U9" s="8"/>
      <c r="V9" s="8"/>
      <c r="W9" s="8"/>
    </row>
    <row r="10" spans="3:23" x14ac:dyDescent="0.2">
      <c r="C10" s="10">
        <v>420</v>
      </c>
      <c r="D10" s="12">
        <v>0.81499999999999995</v>
      </c>
      <c r="E10" s="13">
        <f>'GP 1'!I33</f>
        <v>29.624087591240873</v>
      </c>
      <c r="F10" s="14">
        <f t="shared" si="0"/>
        <v>3.3885878003731054</v>
      </c>
      <c r="G10" s="10">
        <f>'GP 1'!E44</f>
        <v>70</v>
      </c>
      <c r="H10" s="12">
        <f>'GP 1'!H44</f>
        <v>0.65800000000000003</v>
      </c>
      <c r="I10" s="13">
        <f>'GP 1'!I44</f>
        <v>23.894160583941609</v>
      </c>
      <c r="J10" s="14">
        <f t="shared" si="1"/>
        <v>3.1736341020530214</v>
      </c>
      <c r="K10" s="10">
        <f>'GP 2'!K9</f>
        <v>187</v>
      </c>
      <c r="L10" s="12">
        <f>'GP 2'!N9</f>
        <v>0.59099999999999997</v>
      </c>
      <c r="M10" s="13">
        <f>'GP 2'!O9</f>
        <v>23.442687747035571</v>
      </c>
      <c r="N10" s="14">
        <f t="shared" si="2"/>
        <v>3.1545586231112064</v>
      </c>
      <c r="O10" s="10">
        <f>'GP 2'!S9</f>
        <v>140</v>
      </c>
      <c r="P10" s="12">
        <f>'GP 2'!V9</f>
        <v>0.57899999999999996</v>
      </c>
      <c r="Q10" s="13">
        <f>'GP 2'!W9</f>
        <v>22.968379446640316</v>
      </c>
      <c r="R10" s="14">
        <f t="shared" si="3"/>
        <v>3.1341184633475851</v>
      </c>
      <c r="S10" s="8"/>
      <c r="T10" s="8"/>
      <c r="U10" s="8"/>
      <c r="V10" s="8"/>
      <c r="W10" s="8"/>
    </row>
    <row r="11" spans="3:23" x14ac:dyDescent="0.2">
      <c r="C11" s="10">
        <v>700</v>
      </c>
      <c r="D11" s="12">
        <v>0.73499999999999999</v>
      </c>
      <c r="E11" s="13">
        <f>'GP 1'!I34</f>
        <v>26.704379562043794</v>
      </c>
      <c r="F11" s="14">
        <f t="shared" si="0"/>
        <v>3.2848275804959597</v>
      </c>
      <c r="G11" s="10">
        <f>'GP 1'!E45</f>
        <v>102</v>
      </c>
      <c r="H11" s="12">
        <f>'GP 1'!H45</f>
        <v>0.53800000000000003</v>
      </c>
      <c r="I11" s="13">
        <f>'GP 1'!I45</f>
        <v>19.514598540145986</v>
      </c>
      <c r="J11" s="14">
        <f t="shared" si="1"/>
        <v>2.9711628285606615</v>
      </c>
      <c r="K11" s="10">
        <f>'GP 2'!K10</f>
        <v>310</v>
      </c>
      <c r="L11" s="12">
        <f>'GP 2'!N10</f>
        <v>0.44700000000000001</v>
      </c>
      <c r="M11" s="13">
        <f>'GP 2'!O10</f>
        <v>17.750988142292492</v>
      </c>
      <c r="N11" s="14">
        <f t="shared" si="2"/>
        <v>2.876441184360218</v>
      </c>
      <c r="O11" s="10">
        <f>'GP 2'!S10</f>
        <v>235</v>
      </c>
      <c r="P11" s="12">
        <f>'GP 2'!V10</f>
        <v>0.35499999999999998</v>
      </c>
      <c r="Q11" s="13">
        <f>'GP 2'!W10</f>
        <v>14.114624505928854</v>
      </c>
      <c r="R11" s="14">
        <f t="shared" si="3"/>
        <v>2.647211458866928</v>
      </c>
      <c r="S11" s="8"/>
      <c r="T11" s="8"/>
      <c r="U11" s="8"/>
      <c r="V11" s="8"/>
      <c r="W11" s="8"/>
    </row>
    <row r="12" spans="3:23" x14ac:dyDescent="0.2">
      <c r="C12" s="10">
        <v>947</v>
      </c>
      <c r="D12" s="12">
        <v>0.60699999999999998</v>
      </c>
      <c r="E12" s="13">
        <f>'GP 1'!I35</f>
        <v>22.032846715328468</v>
      </c>
      <c r="F12" s="14">
        <f t="shared" si="0"/>
        <v>3.0925343724083558</v>
      </c>
      <c r="G12" s="10">
        <f>'GP 1'!E46</f>
        <v>136</v>
      </c>
      <c r="H12" s="12">
        <f>'GP 1'!H46</f>
        <v>0.39300000000000002</v>
      </c>
      <c r="I12" s="13">
        <f>'GP 1'!I46</f>
        <v>14.222627737226277</v>
      </c>
      <c r="J12" s="14">
        <f t="shared" si="1"/>
        <v>2.6548341989506392</v>
      </c>
      <c r="K12" s="10">
        <f>'GP 2'!K11</f>
        <v>430</v>
      </c>
      <c r="L12" s="12">
        <f>'GP 2'!N11</f>
        <v>0.23100000000000001</v>
      </c>
      <c r="M12" s="13">
        <f>'GP 2'!O11</f>
        <v>9.2134387351778653</v>
      </c>
      <c r="N12" s="14">
        <f t="shared" si="2"/>
        <v>2.220663150308237</v>
      </c>
      <c r="O12" s="10">
        <f>'GP 2'!S11</f>
        <v>310</v>
      </c>
      <c r="P12" s="12">
        <f>'GP 2'!V11</f>
        <v>0.249</v>
      </c>
      <c r="Q12" s="13">
        <f>'GP 2'!W11</f>
        <v>9.9249011857707501</v>
      </c>
      <c r="R12" s="14">
        <f t="shared" si="3"/>
        <v>2.2950468704300646</v>
      </c>
      <c r="S12" s="8"/>
      <c r="T12" s="8"/>
      <c r="U12" s="8"/>
      <c r="V12" s="8"/>
      <c r="W12" s="8"/>
    </row>
    <row r="13" spans="3:23" x14ac:dyDescent="0.2">
      <c r="C13" s="10">
        <v>1244</v>
      </c>
      <c r="D13" s="12">
        <v>0.44900000000000001</v>
      </c>
      <c r="E13" s="13">
        <f>'GP 1'!I36</f>
        <v>16.266423357664234</v>
      </c>
      <c r="F13" s="14">
        <f t="shared" si="0"/>
        <v>2.7891030665584857</v>
      </c>
      <c r="G13" s="10">
        <f>'GP 1'!E47</f>
        <v>175</v>
      </c>
      <c r="H13" s="12">
        <f>'GP 1'!H47</f>
        <v>0.25800000000000001</v>
      </c>
      <c r="I13" s="13">
        <f>'GP 1'!I47</f>
        <v>9.2956204379562042</v>
      </c>
      <c r="J13" s="14">
        <f t="shared" si="1"/>
        <v>2.2295433685913868</v>
      </c>
      <c r="K13" s="10">
        <f>'GP 2'!K12</f>
        <v>492</v>
      </c>
      <c r="L13" s="12">
        <f>'GP 2'!N12</f>
        <v>0.17899999999999999</v>
      </c>
      <c r="M13" s="13">
        <f>'GP 2'!O12</f>
        <v>7.1581027667984181</v>
      </c>
      <c r="N13" s="14">
        <f t="shared" si="2"/>
        <v>1.968244969155893</v>
      </c>
      <c r="O13" s="10">
        <f>'GP 2'!S12</f>
        <v>340</v>
      </c>
      <c r="P13" s="12">
        <f>'GP 2'!V12</f>
        <v>0.17100000000000001</v>
      </c>
      <c r="Q13" s="13">
        <f>'GP 2'!W12</f>
        <v>6.8418972332015811</v>
      </c>
      <c r="R13" s="14">
        <f t="shared" si="3"/>
        <v>1.923065066448689</v>
      </c>
      <c r="S13" s="8"/>
      <c r="T13" s="8"/>
      <c r="U13" s="8"/>
      <c r="V13" s="8"/>
      <c r="W13" s="8"/>
    </row>
    <row r="14" spans="3:23" x14ac:dyDescent="0.2">
      <c r="C14" s="10">
        <v>1872</v>
      </c>
      <c r="D14" s="12">
        <v>0.191</v>
      </c>
      <c r="E14" s="13">
        <f>'GP 1'!I37</f>
        <v>6.8503649635036501</v>
      </c>
      <c r="F14" s="14">
        <f t="shared" si="0"/>
        <v>1.9243019301984388</v>
      </c>
      <c r="G14" s="10">
        <f>'GP 1'!E48</f>
        <v>211</v>
      </c>
      <c r="H14" s="12">
        <f>'GP 1'!H48</f>
        <v>0.16300000000000001</v>
      </c>
      <c r="I14" s="13">
        <f>'GP 1'!I48</f>
        <v>5.8284671532846719</v>
      </c>
      <c r="J14" s="14">
        <f t="shared" si="1"/>
        <v>1.7627540418269423</v>
      </c>
      <c r="K14" s="10">
        <f>'GP 2'!K13</f>
        <v>566</v>
      </c>
      <c r="L14" s="12">
        <f>'GP 2'!N13</f>
        <v>0.121</v>
      </c>
      <c r="M14" s="13">
        <f>'GP 2'!O13</f>
        <v>4.8656126482213438</v>
      </c>
      <c r="N14" s="14">
        <f t="shared" si="2"/>
        <v>1.5821926374569333</v>
      </c>
      <c r="O14" s="10">
        <f>'GP 2'!S13</f>
        <v>407</v>
      </c>
      <c r="P14" s="12">
        <f>'GP 2'!V13</f>
        <v>0.16500000000000001</v>
      </c>
      <c r="Q14" s="13">
        <f>'GP 2'!W13</f>
        <v>6.6047430830039522</v>
      </c>
      <c r="R14" s="14">
        <f t="shared" si="3"/>
        <v>1.8877880398678735</v>
      </c>
      <c r="S14" s="8"/>
      <c r="T14" s="8"/>
      <c r="U14" s="8"/>
      <c r="V14" s="8"/>
      <c r="W14" s="8"/>
    </row>
    <row r="15" spans="3:23" x14ac:dyDescent="0.2">
      <c r="C15" s="10"/>
      <c r="D15" s="12"/>
      <c r="E15" s="13"/>
      <c r="F15" s="14"/>
      <c r="G15" s="10">
        <f>'GP 1'!E49</f>
        <v>246</v>
      </c>
      <c r="H15" s="12">
        <f>'GP 1'!H49</f>
        <v>0.107</v>
      </c>
      <c r="I15" s="13">
        <f>'GP 1'!I49</f>
        <v>3.7846715328467151</v>
      </c>
      <c r="J15" s="14">
        <f t="shared" si="1"/>
        <v>1.330959101841457</v>
      </c>
      <c r="K15" s="10">
        <f>'GP 2'!K14</f>
        <v>640</v>
      </c>
      <c r="L15" s="12">
        <f>'GP 2'!N14</f>
        <v>7.6999999999999999E-2</v>
      </c>
      <c r="M15" s="13">
        <f>'GP 2'!O14</f>
        <v>3.1264822134387353</v>
      </c>
      <c r="N15" s="14">
        <f t="shared" si="2"/>
        <v>1.1399084790401337</v>
      </c>
      <c r="O15" s="10">
        <f>'GP 2'!S14</f>
        <v>435</v>
      </c>
      <c r="P15" s="12">
        <f>'GP 2'!V14</f>
        <v>0.11</v>
      </c>
      <c r="Q15" s="13">
        <f>'GP 2'!W14</f>
        <v>4.4308300395256923</v>
      </c>
      <c r="R15" s="14">
        <f t="shared" si="3"/>
        <v>1.4885869343446398</v>
      </c>
      <c r="S15" s="8"/>
      <c r="T15" s="8"/>
      <c r="U15" s="8"/>
      <c r="V15" s="8"/>
      <c r="W15" s="8"/>
    </row>
    <row r="16" spans="3:23" x14ac:dyDescent="0.2">
      <c r="C16" s="10"/>
      <c r="D16" s="12"/>
      <c r="E16" s="13"/>
      <c r="F16" s="14"/>
      <c r="G16" s="10">
        <f>'GP 1'!E50</f>
        <v>286</v>
      </c>
      <c r="H16" s="12">
        <f>'GP 1'!H50</f>
        <v>7.0999999999999994E-2</v>
      </c>
      <c r="I16" s="13">
        <f>'GP 1'!I50</f>
        <v>2.4708029197080288</v>
      </c>
      <c r="J16" s="14">
        <f t="shared" si="1"/>
        <v>0.90454316652420463</v>
      </c>
      <c r="K16" s="10">
        <f>'GP 2'!K15</f>
        <v>735</v>
      </c>
      <c r="L16" s="12">
        <f>'GP 2'!N15</f>
        <v>0.04</v>
      </c>
      <c r="M16" s="13">
        <f>'GP 2'!O15</f>
        <v>1.6640316205533596</v>
      </c>
      <c r="N16" s="14">
        <f t="shared" si="2"/>
        <v>0.50924334495486112</v>
      </c>
      <c r="O16" s="10">
        <f>'GP 2'!S15</f>
        <v>505</v>
      </c>
      <c r="P16" s="12">
        <f>'GP 2'!V15</f>
        <v>6.7000000000000004E-2</v>
      </c>
      <c r="Q16" s="13">
        <f>'GP 2'!W15</f>
        <v>2.731225296442688</v>
      </c>
      <c r="R16" s="14">
        <f t="shared" si="3"/>
        <v>1.0047503350401497</v>
      </c>
      <c r="S16" s="8"/>
      <c r="T16" s="8"/>
      <c r="U16" s="8"/>
      <c r="V16" s="8"/>
      <c r="W16" s="8"/>
    </row>
    <row r="17" spans="3:23" x14ac:dyDescent="0.2">
      <c r="C17" s="15"/>
      <c r="D17" s="16"/>
      <c r="E17" s="17"/>
      <c r="F17" s="18"/>
      <c r="G17" s="15">
        <f>'GP 1'!E51</f>
        <v>324</v>
      </c>
      <c r="H17" s="16">
        <f>'GP 1'!H51</f>
        <v>3.9E-2</v>
      </c>
      <c r="I17" s="17">
        <f>'GP 1'!I51</f>
        <v>1.3029197080291972</v>
      </c>
      <c r="J17" s="18">
        <f t="shared" si="1"/>
        <v>0.26460767539156893</v>
      </c>
      <c r="K17" s="15">
        <f>'GP 2'!K16</f>
        <v>795</v>
      </c>
      <c r="L17" s="16">
        <f>'GP 2'!N16</f>
        <v>4.2000000000000003E-2</v>
      </c>
      <c r="M17" s="17">
        <f>'GP 2'!O16</f>
        <v>1.7430830039525693</v>
      </c>
      <c r="N17" s="18">
        <f t="shared" si="2"/>
        <v>0.55565538671932579</v>
      </c>
      <c r="O17" s="15">
        <f>'GP 2'!S16</f>
        <v>535</v>
      </c>
      <c r="P17" s="16">
        <f>'GP 2'!V16</f>
        <v>3.6999999999999998E-2</v>
      </c>
      <c r="Q17" s="17">
        <f>'GP 2'!W16</f>
        <v>1.5454545454545454</v>
      </c>
      <c r="R17" s="18">
        <f t="shared" si="3"/>
        <v>0.4353180712578455</v>
      </c>
      <c r="S17" s="8"/>
      <c r="T17" s="8"/>
      <c r="U17" s="8"/>
      <c r="V17" s="8"/>
      <c r="W17" s="8"/>
    </row>
    <row r="18" spans="3:23" x14ac:dyDescent="0.2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7"/>
      <c r="S18" s="8"/>
      <c r="T18" s="8"/>
      <c r="U18" s="8"/>
      <c r="V18" s="8"/>
      <c r="W18" s="8"/>
    </row>
    <row r="19" spans="3:23" x14ac:dyDescent="0.2">
      <c r="C19" s="19" t="s">
        <v>14</v>
      </c>
      <c r="D19" s="8"/>
      <c r="E19" s="8"/>
      <c r="F19" s="8"/>
      <c r="G19" s="8"/>
      <c r="H19" s="8"/>
      <c r="I19" s="8"/>
      <c r="J19" s="8"/>
      <c r="K19" s="19" t="s">
        <v>15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3:23" x14ac:dyDescent="0.2">
      <c r="C20" s="5" t="s">
        <v>8</v>
      </c>
      <c r="D20" s="6">
        <v>7.59</v>
      </c>
      <c r="E20" s="6" t="s">
        <v>9</v>
      </c>
      <c r="F20" s="9">
        <v>7.54</v>
      </c>
      <c r="G20" s="6" t="s">
        <v>8</v>
      </c>
      <c r="H20" s="6">
        <v>7.41</v>
      </c>
      <c r="I20" s="6" t="s">
        <v>9</v>
      </c>
      <c r="J20" s="6">
        <v>7.4</v>
      </c>
      <c r="K20" s="5" t="s">
        <v>8</v>
      </c>
      <c r="L20" s="6">
        <v>7.25</v>
      </c>
      <c r="M20" s="6" t="s">
        <v>9</v>
      </c>
      <c r="N20" s="9">
        <v>7.21</v>
      </c>
      <c r="O20" s="6" t="s">
        <v>8</v>
      </c>
      <c r="P20" s="6">
        <v>7.8</v>
      </c>
      <c r="Q20" s="6" t="s">
        <v>9</v>
      </c>
      <c r="R20" s="6">
        <v>7.74</v>
      </c>
      <c r="S20" s="5" t="s">
        <v>8</v>
      </c>
      <c r="T20" s="6">
        <v>7.47</v>
      </c>
      <c r="U20" s="6" t="s">
        <v>9</v>
      </c>
      <c r="V20" s="9">
        <v>7.45</v>
      </c>
      <c r="W20" s="8"/>
    </row>
    <row r="21" spans="3:23" x14ac:dyDescent="0.2">
      <c r="C21" s="15" t="s">
        <v>10</v>
      </c>
      <c r="D21" s="20" t="s">
        <v>11</v>
      </c>
      <c r="E21" s="20" t="s">
        <v>12</v>
      </c>
      <c r="F21" s="24" t="s">
        <v>13</v>
      </c>
      <c r="G21" s="20" t="s">
        <v>10</v>
      </c>
      <c r="H21" s="20" t="s">
        <v>11</v>
      </c>
      <c r="I21" s="20" t="s">
        <v>12</v>
      </c>
      <c r="J21" s="20" t="s">
        <v>13</v>
      </c>
      <c r="K21" s="15" t="s">
        <v>10</v>
      </c>
      <c r="L21" s="20" t="s">
        <v>11</v>
      </c>
      <c r="M21" s="20" t="s">
        <v>12</v>
      </c>
      <c r="N21" s="24" t="s">
        <v>13</v>
      </c>
      <c r="O21" s="20" t="s">
        <v>10</v>
      </c>
      <c r="P21" s="20" t="s">
        <v>11</v>
      </c>
      <c r="Q21" s="20" t="s">
        <v>12</v>
      </c>
      <c r="R21" s="20" t="s">
        <v>13</v>
      </c>
      <c r="S21" s="15" t="s">
        <v>10</v>
      </c>
      <c r="T21" s="20" t="s">
        <v>11</v>
      </c>
      <c r="U21" s="20" t="s">
        <v>12</v>
      </c>
      <c r="V21" s="24" t="s">
        <v>13</v>
      </c>
      <c r="W21" s="8"/>
    </row>
    <row r="22" spans="3:23" x14ac:dyDescent="0.2">
      <c r="C22" s="10">
        <f>'GP 3'!C23</f>
        <v>10</v>
      </c>
      <c r="D22" s="12">
        <f>'GP 3'!F23</f>
        <v>0.89800000000000002</v>
      </c>
      <c r="E22" s="13">
        <f>'GP 3'!G23</f>
        <v>35.577075098814227</v>
      </c>
      <c r="F22" s="14">
        <f>LN(E22)</f>
        <v>3.5717014725295648</v>
      </c>
      <c r="G22" s="8">
        <f>'GP 3'!K23</f>
        <v>7</v>
      </c>
      <c r="H22" s="12">
        <f>'GP 3'!N23</f>
        <v>0.75600000000000001</v>
      </c>
      <c r="I22" s="13">
        <f>'GP 3'!O23</f>
        <v>29.964426877470355</v>
      </c>
      <c r="J22" s="7">
        <f>LN(I22)</f>
        <v>3.4000109073287836</v>
      </c>
      <c r="K22" s="10">
        <f>'Jay+Hanif'!D7</f>
        <v>13</v>
      </c>
      <c r="L22" s="12">
        <f>'Jay+Hanif'!E7</f>
        <v>0.89800000000000002</v>
      </c>
      <c r="M22" s="13">
        <f>'Jay+Hanif'!F7</f>
        <v>33.669524000000003</v>
      </c>
      <c r="N22" s="14">
        <f>LN(M22)</f>
        <v>3.5165930958589144</v>
      </c>
      <c r="O22" s="8">
        <f>'Jay+Hanif'!J7</f>
        <v>7</v>
      </c>
      <c r="P22" s="12">
        <f>'Jay+Hanif'!K7</f>
        <v>0.85799999999999998</v>
      </c>
      <c r="Q22" s="13">
        <f>'Jay+Hanif'!L7</f>
        <v>32.164003999999998</v>
      </c>
      <c r="R22" s="7">
        <f>LN(Q22)</f>
        <v>3.4708479390485363</v>
      </c>
      <c r="S22" s="10">
        <f>'Jay+Hanif'!P7</f>
        <v>7</v>
      </c>
      <c r="T22" s="12">
        <f>'Jay+Hanif'!Q7</f>
        <v>0.90200000000000002</v>
      </c>
      <c r="U22" s="13">
        <f>'Jay+Hanif'!R7</f>
        <v>33.820076</v>
      </c>
      <c r="V22" s="14">
        <f>LN(U22)</f>
        <v>3.5210545906589203</v>
      </c>
      <c r="W22" s="8"/>
    </row>
    <row r="23" spans="3:23" x14ac:dyDescent="0.2">
      <c r="C23" s="10">
        <f>'GP 3'!C24</f>
        <v>39</v>
      </c>
      <c r="D23" s="12">
        <f>'GP 3'!F24</f>
        <v>0.81499999999999995</v>
      </c>
      <c r="E23" s="13">
        <f>'GP 3'!G24</f>
        <v>32.296442687747032</v>
      </c>
      <c r="F23" s="14">
        <f t="shared" ref="F23:F31" si="4">LN(E23)</f>
        <v>3.4749570906571869</v>
      </c>
      <c r="G23" s="8">
        <f>'GP 3'!K24</f>
        <v>66</v>
      </c>
      <c r="H23" s="12">
        <f>'GP 3'!N24</f>
        <v>0.82</v>
      </c>
      <c r="I23" s="13">
        <f>'GP 3'!O24</f>
        <v>32.494071146245055</v>
      </c>
      <c r="J23" s="7">
        <f t="shared" ref="J23:J31" si="5">LN(I23)</f>
        <v>3.4810576464246132</v>
      </c>
      <c r="K23" s="10">
        <f>'Jay+Hanif'!D8</f>
        <v>178</v>
      </c>
      <c r="L23" s="12">
        <f>'Jay+Hanif'!E8</f>
        <v>0.82399999999999995</v>
      </c>
      <c r="M23" s="13">
        <f>'Jay+Hanif'!F8</f>
        <v>30.884311999999998</v>
      </c>
      <c r="N23" s="14">
        <f t="shared" ref="N23:N31" si="6">LN(M23)</f>
        <v>3.4302483527138938</v>
      </c>
      <c r="O23" s="8">
        <f>'Jay+Hanif'!J8</f>
        <v>38</v>
      </c>
      <c r="P23" s="12">
        <f>'Jay+Hanif'!K8</f>
        <v>0.76600000000000001</v>
      </c>
      <c r="Q23" s="13">
        <f>'Jay+Hanif'!L8</f>
        <v>28.701307999999997</v>
      </c>
      <c r="R23" s="7">
        <f t="shared" ref="R23:R31" si="7">LN(Q23)</f>
        <v>3.3569426966399627</v>
      </c>
      <c r="S23" s="10">
        <f>'Jay+Hanif'!P8</f>
        <v>35</v>
      </c>
      <c r="T23" s="12">
        <f>'Jay+Hanif'!Q8</f>
        <v>0.874</v>
      </c>
      <c r="U23" s="13">
        <f>'Jay+Hanif'!R8</f>
        <v>32.766212000000003</v>
      </c>
      <c r="V23" s="14">
        <f t="shared" ref="V23:V31" si="8">LN(U23)</f>
        <v>3.4893978624986079</v>
      </c>
      <c r="W23" s="8"/>
    </row>
    <row r="24" spans="3:23" x14ac:dyDescent="0.2">
      <c r="C24" s="10">
        <f>'GP 3'!C25</f>
        <v>95</v>
      </c>
      <c r="D24" s="12">
        <f>'GP 3'!F25</f>
        <v>0.69699999999999995</v>
      </c>
      <c r="E24" s="13">
        <f>'GP 3'!G25</f>
        <v>27.632411067193676</v>
      </c>
      <c r="F24" s="14">
        <f t="shared" si="4"/>
        <v>3.3189893977844651</v>
      </c>
      <c r="G24" s="8">
        <f>'GP 3'!K25</f>
        <v>127</v>
      </c>
      <c r="H24" s="12">
        <f>'GP 3'!N25</f>
        <v>0.72</v>
      </c>
      <c r="I24" s="13">
        <f>'GP 3'!O25</f>
        <v>28.541501976284582</v>
      </c>
      <c r="J24" s="7">
        <f t="shared" si="5"/>
        <v>3.3513592377236612</v>
      </c>
      <c r="K24" s="10">
        <f>'Jay+Hanif'!D9</f>
        <v>360</v>
      </c>
      <c r="L24" s="12">
        <f>'Jay+Hanif'!E9</f>
        <v>0.76600000000000001</v>
      </c>
      <c r="M24" s="13">
        <f>'Jay+Hanif'!F9</f>
        <v>28.701307999999997</v>
      </c>
      <c r="N24" s="14">
        <f t="shared" si="6"/>
        <v>3.3569426966399627</v>
      </c>
      <c r="O24" s="8">
        <f>'Jay+Hanif'!J9</f>
        <v>64</v>
      </c>
      <c r="P24" s="12">
        <f>'Jay+Hanif'!K9</f>
        <v>0.64500000000000002</v>
      </c>
      <c r="Q24" s="13">
        <f>'Jay+Hanif'!L9</f>
        <v>24.147109999999998</v>
      </c>
      <c r="R24" s="7">
        <f t="shared" si="7"/>
        <v>3.1841647042006471</v>
      </c>
      <c r="S24" s="10">
        <f>'Jay+Hanif'!P9</f>
        <v>92</v>
      </c>
      <c r="T24" s="12">
        <f>'Jay+Hanif'!Q9</f>
        <v>0.77100000000000002</v>
      </c>
      <c r="U24" s="13">
        <f>'Jay+Hanif'!R9</f>
        <v>28.889498</v>
      </c>
      <c r="V24" s="14">
        <f t="shared" si="8"/>
        <v>3.3634781380724155</v>
      </c>
      <c r="W24" s="8"/>
    </row>
    <row r="25" spans="3:23" x14ac:dyDescent="0.2">
      <c r="C25" s="10">
        <f>'GP 3'!C26</f>
        <v>150</v>
      </c>
      <c r="D25" s="12">
        <f>'GP 3'!F26</f>
        <v>0.54500000000000004</v>
      </c>
      <c r="E25" s="13">
        <f>'GP 3'!G26</f>
        <v>21.624505928853758</v>
      </c>
      <c r="F25" s="14">
        <f t="shared" si="4"/>
        <v>3.0738272053363058</v>
      </c>
      <c r="G25" s="8">
        <f>'GP 3'!K26</f>
        <v>246</v>
      </c>
      <c r="H25" s="12">
        <f>'GP 3'!N26</f>
        <v>0.623</v>
      </c>
      <c r="I25" s="13">
        <f>'GP 3'!O26</f>
        <v>24.707509881422926</v>
      </c>
      <c r="J25" s="7">
        <f t="shared" si="5"/>
        <v>3.2071072412042922</v>
      </c>
      <c r="K25" s="10">
        <f>'Jay+Hanif'!D10</f>
        <v>542</v>
      </c>
      <c r="L25" s="12">
        <f>'Jay+Hanif'!E10</f>
        <v>0.67900000000000005</v>
      </c>
      <c r="M25" s="13">
        <f>'Jay+Hanif'!F10</f>
        <v>25.426801999999999</v>
      </c>
      <c r="N25" s="14">
        <f t="shared" si="6"/>
        <v>3.2358038145460113</v>
      </c>
      <c r="O25" s="8">
        <f>'Jay+Hanif'!J10</f>
        <v>97</v>
      </c>
      <c r="P25" s="12">
        <f>'Jay+Hanif'!K10</f>
        <v>0.501</v>
      </c>
      <c r="Q25" s="13">
        <f>'Jay+Hanif'!L10</f>
        <v>18.727238</v>
      </c>
      <c r="R25" s="7">
        <f t="shared" si="7"/>
        <v>2.9299790416205593</v>
      </c>
      <c r="S25" s="10">
        <f>'Jay+Hanif'!P10</f>
        <v>208</v>
      </c>
      <c r="T25" s="12">
        <f>'Jay+Hanif'!Q10</f>
        <v>0.57399999999999995</v>
      </c>
      <c r="U25" s="13">
        <f>'Jay+Hanif'!R10</f>
        <v>21.474811999999996</v>
      </c>
      <c r="V25" s="14">
        <f t="shared" si="8"/>
        <v>3.0668807134664577</v>
      </c>
      <c r="W25" s="8"/>
    </row>
    <row r="26" spans="3:23" x14ac:dyDescent="0.2">
      <c r="C26" s="10">
        <f>'GP 3'!C27</f>
        <v>185</v>
      </c>
      <c r="D26" s="12">
        <f>'GP 3'!F27</f>
        <v>0.47699999999999998</v>
      </c>
      <c r="E26" s="13">
        <f>'GP 3'!G27</f>
        <v>18.936758893280633</v>
      </c>
      <c r="F26" s="14">
        <f t="shared" si="4"/>
        <v>2.9411049481556018</v>
      </c>
      <c r="G26" s="8">
        <f>'GP 3'!K27</f>
        <v>306</v>
      </c>
      <c r="H26" s="12">
        <f>'GP 3'!N27</f>
        <v>0.42499999999999999</v>
      </c>
      <c r="I26" s="13">
        <f>'GP 3'!O27</f>
        <v>16.881422924901184</v>
      </c>
      <c r="J26" s="7">
        <f t="shared" si="5"/>
        <v>2.8262137821139461</v>
      </c>
      <c r="K26" s="10">
        <f>'Jay+Hanif'!D11</f>
        <v>720</v>
      </c>
      <c r="L26" s="12">
        <f>'Jay+Hanif'!E11</f>
        <v>0.61499999999999999</v>
      </c>
      <c r="M26" s="13">
        <f>'Jay+Hanif'!F11</f>
        <v>23.017969999999998</v>
      </c>
      <c r="N26" s="14">
        <f t="shared" si="6"/>
        <v>3.1362752152176196</v>
      </c>
      <c r="O26" s="8">
        <f>'Jay+Hanif'!J11</f>
        <v>125</v>
      </c>
      <c r="P26" s="12">
        <f>'Jay+Hanif'!K11</f>
        <v>0.35199999999999998</v>
      </c>
      <c r="Q26" s="13">
        <f>'Jay+Hanif'!L11</f>
        <v>13.119175999999998</v>
      </c>
      <c r="R26" s="7">
        <f t="shared" si="7"/>
        <v>2.5740749766655853</v>
      </c>
      <c r="S26" s="10">
        <f>'Jay+Hanif'!P11</f>
        <v>333</v>
      </c>
      <c r="T26" s="12">
        <f>'Jay+Hanif'!Q11</f>
        <v>0.36099999999999999</v>
      </c>
      <c r="U26" s="13">
        <f>'Jay+Hanif'!R11</f>
        <v>13.457917999999998</v>
      </c>
      <c r="V26" s="14">
        <f t="shared" si="8"/>
        <v>2.5995676317173957</v>
      </c>
      <c r="W26" s="8"/>
    </row>
    <row r="27" spans="3:23" x14ac:dyDescent="0.2">
      <c r="C27" s="10">
        <f>'GP 3'!C28</f>
        <v>214</v>
      </c>
      <c r="D27" s="12">
        <f>'GP 3'!F28</f>
        <v>0.39500000000000002</v>
      </c>
      <c r="E27" s="13">
        <f>'GP 3'!G28</f>
        <v>15.695652173913045</v>
      </c>
      <c r="F27" s="14">
        <f t="shared" si="4"/>
        <v>2.7533837424037313</v>
      </c>
      <c r="G27" s="8">
        <f>'GP 3'!K28</f>
        <v>366</v>
      </c>
      <c r="H27" s="12">
        <f>'GP 3'!N28</f>
        <v>0.34200000000000003</v>
      </c>
      <c r="I27" s="13">
        <f>'GP 3'!O28</f>
        <v>13.600790513833992</v>
      </c>
      <c r="J27" s="7">
        <f t="shared" si="5"/>
        <v>2.6101279170699603</v>
      </c>
      <c r="K27" s="10">
        <f>'Jay+Hanif'!D12</f>
        <v>903</v>
      </c>
      <c r="L27" s="12">
        <f>'Jay+Hanif'!E12</f>
        <v>0.52</v>
      </c>
      <c r="M27" s="13">
        <f>'Jay+Hanif'!F12</f>
        <v>19.442360000000001</v>
      </c>
      <c r="N27" s="14">
        <f t="shared" si="6"/>
        <v>2.967454190840964</v>
      </c>
      <c r="O27" s="8">
        <f>'Jay+Hanif'!J12</f>
        <v>164</v>
      </c>
      <c r="P27" s="12">
        <f>'Jay+Hanif'!K12</f>
        <v>0.217</v>
      </c>
      <c r="Q27" s="13">
        <f>'Jay+Hanif'!L12</f>
        <v>8.0380459999999996</v>
      </c>
      <c r="R27" s="7">
        <f t="shared" si="7"/>
        <v>2.0841860188272552</v>
      </c>
      <c r="S27" s="10">
        <f>'Jay+Hanif'!P12</f>
        <v>444</v>
      </c>
      <c r="T27" s="12">
        <f>'Jay+Hanif'!Q12</f>
        <v>0.217</v>
      </c>
      <c r="U27" s="13">
        <f>'Jay+Hanif'!R12</f>
        <v>8.0380459999999996</v>
      </c>
      <c r="V27" s="14">
        <f t="shared" si="8"/>
        <v>2.0841860188272552</v>
      </c>
      <c r="W27" s="8"/>
    </row>
    <row r="28" spans="3:23" x14ac:dyDescent="0.2">
      <c r="C28" s="10">
        <f>'GP 3'!C29</f>
        <v>242</v>
      </c>
      <c r="D28" s="12">
        <f>'GP 3'!F29</f>
        <v>0.32800000000000001</v>
      </c>
      <c r="E28" s="13">
        <f>'GP 3'!G29</f>
        <v>13.047430830039525</v>
      </c>
      <c r="F28" s="14">
        <f t="shared" si="4"/>
        <v>2.5685912431256726</v>
      </c>
      <c r="G28" s="8">
        <f>'GP 3'!K29</f>
        <v>424</v>
      </c>
      <c r="H28" s="12">
        <f>'GP 3'!N29</f>
        <v>0.27100000000000002</v>
      </c>
      <c r="I28" s="13">
        <f>'GP 3'!O29</f>
        <v>10.794466403162057</v>
      </c>
      <c r="J28" s="7">
        <f t="shared" si="5"/>
        <v>2.379033632746185</v>
      </c>
      <c r="K28" s="10">
        <f>'Jay+Hanif'!D13</f>
        <v>1083</v>
      </c>
      <c r="L28" s="12">
        <f>'Jay+Hanif'!E13</f>
        <v>0.442</v>
      </c>
      <c r="M28" s="13">
        <f>'Jay+Hanif'!F13</f>
        <v>16.506595999999998</v>
      </c>
      <c r="N28" s="14">
        <f t="shared" si="6"/>
        <v>2.8037600586005209</v>
      </c>
      <c r="O28" s="8">
        <f>'Jay+Hanif'!J13</f>
        <v>192</v>
      </c>
      <c r="P28" s="12">
        <f>'Jay+Hanif'!K13</f>
        <v>0.13800000000000001</v>
      </c>
      <c r="Q28" s="13">
        <f>'Jay+Hanif'!L13</f>
        <v>5.0646439999999995</v>
      </c>
      <c r="R28" s="7">
        <f t="shared" si="7"/>
        <v>1.6222838489520695</v>
      </c>
      <c r="S28" s="10">
        <f>'Jay+Hanif'!P13</f>
        <v>564</v>
      </c>
      <c r="T28" s="12">
        <f>'Jay+Hanif'!Q13</f>
        <v>0.12</v>
      </c>
      <c r="U28" s="13">
        <f>'Jay+Hanif'!R13</f>
        <v>4.3871599999999988</v>
      </c>
      <c r="V28" s="14">
        <f t="shared" si="8"/>
        <v>1.478682092911763</v>
      </c>
      <c r="W28" s="8"/>
    </row>
    <row r="29" spans="3:23" x14ac:dyDescent="0.2">
      <c r="C29" s="10">
        <f>'GP 3'!C30</f>
        <v>278</v>
      </c>
      <c r="D29" s="12">
        <f>'GP 3'!F30</f>
        <v>0.26600000000000001</v>
      </c>
      <c r="E29" s="13">
        <f>'GP 3'!G30</f>
        <v>10.596837944664031</v>
      </c>
      <c r="F29" s="14">
        <f t="shared" si="4"/>
        <v>2.3605556495084392</v>
      </c>
      <c r="G29" s="8">
        <f>'GP 3'!K30</f>
        <v>485</v>
      </c>
      <c r="H29" s="12">
        <f>'GP 3'!N30</f>
        <v>0.20799999999999999</v>
      </c>
      <c r="I29" s="13">
        <f>'GP 3'!O30</f>
        <v>8.3043478260869552</v>
      </c>
      <c r="J29" s="7">
        <f t="shared" si="5"/>
        <v>2.1167792121174802</v>
      </c>
      <c r="K29" s="10">
        <f>'Jay+Hanif'!D14</f>
        <v>1255</v>
      </c>
      <c r="L29" s="12">
        <f>'Jay+Hanif'!E14</f>
        <v>0.36</v>
      </c>
      <c r="M29" s="13">
        <f>'Jay+Hanif'!F14</f>
        <v>13.420279999999998</v>
      </c>
      <c r="N29" s="14">
        <f t="shared" si="6"/>
        <v>2.5967669957073976</v>
      </c>
      <c r="O29" s="8">
        <f>'Jay+Hanif'!J14</f>
        <v>222</v>
      </c>
      <c r="P29" s="12">
        <f>'Jay+Hanif'!K14</f>
        <v>8.6999999999999994E-2</v>
      </c>
      <c r="Q29" s="13">
        <f>'Jay+Hanif'!L14</f>
        <v>3.1451059999999997</v>
      </c>
      <c r="R29" s="7">
        <f t="shared" si="7"/>
        <v>1.1458475938769548</v>
      </c>
      <c r="S29" s="10">
        <f>'Jay+Hanif'!P14</f>
        <v>690</v>
      </c>
      <c r="T29" s="12">
        <f>'Jay+Hanif'!Q14</f>
        <v>8.7999999999999995E-2</v>
      </c>
      <c r="U29" s="13">
        <f>'Jay+Hanif'!R14</f>
        <v>3.1827439999999996</v>
      </c>
      <c r="V29" s="14">
        <f t="shared" si="8"/>
        <v>1.1577437177956382</v>
      </c>
      <c r="W29" s="8"/>
    </row>
    <row r="30" spans="3:23" x14ac:dyDescent="0.2">
      <c r="C30" s="10">
        <f>'GP 3'!C31</f>
        <v>331</v>
      </c>
      <c r="D30" s="12">
        <f>'GP 3'!F31</f>
        <v>0.17499999999999999</v>
      </c>
      <c r="E30" s="13">
        <f>'GP 3'!G31</f>
        <v>6.9999999999999991</v>
      </c>
      <c r="F30" s="14">
        <f t="shared" si="4"/>
        <v>1.9459101490553132</v>
      </c>
      <c r="G30" s="8">
        <f>'GP 3'!K31</f>
        <v>526</v>
      </c>
      <c r="H30" s="12">
        <f>'GP 3'!N31</f>
        <v>0.16700000000000001</v>
      </c>
      <c r="I30" s="13">
        <f>'GP 3'!O31</f>
        <v>6.6837944664031621</v>
      </c>
      <c r="J30" s="7">
        <f t="shared" si="5"/>
        <v>1.89968586017106</v>
      </c>
      <c r="K30" s="10">
        <f>'Jay+Hanif'!D15</f>
        <v>1440</v>
      </c>
      <c r="L30" s="12">
        <f>'Jay+Hanif'!E15</f>
        <v>0.29499999999999998</v>
      </c>
      <c r="M30" s="13">
        <f>'Jay+Hanif'!F15</f>
        <v>10.973809999999999</v>
      </c>
      <c r="N30" s="14">
        <f t="shared" si="6"/>
        <v>2.3955115248364542</v>
      </c>
      <c r="O30" s="8">
        <f>'Jay+Hanif'!J15</f>
        <v>270</v>
      </c>
      <c r="P30" s="12">
        <f>'Jay+Hanif'!K15</f>
        <v>3.7999999999999999E-2</v>
      </c>
      <c r="Q30" s="13">
        <f>'Jay+Hanif'!L15</f>
        <v>1.3008439999999999</v>
      </c>
      <c r="R30" s="7">
        <f t="shared" si="7"/>
        <v>0.26301328457759854</v>
      </c>
      <c r="S30" s="10">
        <f>'Jay+Hanif'!P15</f>
        <v>807</v>
      </c>
      <c r="T30" s="12">
        <f>'Jay+Hanif'!Q15</f>
        <v>4.2000000000000003E-2</v>
      </c>
      <c r="U30" s="13">
        <f>'Jay+Hanif'!R15</f>
        <v>1.4513960000000001</v>
      </c>
      <c r="V30" s="14">
        <f t="shared" si="8"/>
        <v>0.37252585189833898</v>
      </c>
      <c r="W30" s="8"/>
    </row>
    <row r="31" spans="3:23" x14ac:dyDescent="0.2">
      <c r="C31" s="15">
        <f>'GP 3'!C32</f>
        <v>379</v>
      </c>
      <c r="D31" s="16">
        <f>'GP 3'!F32</f>
        <v>0.123</v>
      </c>
      <c r="E31" s="17">
        <f>'GP 3'!G32</f>
        <v>4.9446640316205528</v>
      </c>
      <c r="F31" s="18">
        <f t="shared" si="4"/>
        <v>1.5983090217393907</v>
      </c>
      <c r="G31" s="20">
        <f>'GP 3'!K32</f>
        <v>607</v>
      </c>
      <c r="H31" s="16">
        <f>'GP 3'!N32</f>
        <v>0.13800000000000001</v>
      </c>
      <c r="I31" s="17">
        <f>'GP 3'!O32</f>
        <v>5.537549407114625</v>
      </c>
      <c r="J31" s="21">
        <f t="shared" si="5"/>
        <v>1.7115520576094869</v>
      </c>
      <c r="K31" s="15">
        <f>'Jay+Hanif'!D16</f>
        <v>1622</v>
      </c>
      <c r="L31" s="16">
        <f>'Jay+Hanif'!E16</f>
        <v>0.23699999999999999</v>
      </c>
      <c r="M31" s="17">
        <f>'Jay+Hanif'!F16</f>
        <v>8.7908059999999981</v>
      </c>
      <c r="N31" s="18">
        <f t="shared" si="6"/>
        <v>2.1737064026014234</v>
      </c>
      <c r="O31" s="20">
        <f>'Jay+Hanif'!J16</f>
        <v>301</v>
      </c>
      <c r="P31" s="16">
        <f>'Jay+Hanif'!K16</f>
        <v>2.7E-2</v>
      </c>
      <c r="Q31" s="17">
        <f>'Jay+Hanif'!L16</f>
        <v>0.88682599999999989</v>
      </c>
      <c r="R31" s="21">
        <f t="shared" si="7"/>
        <v>-0.12010648277035768</v>
      </c>
      <c r="S31" s="15">
        <f>'Jay+Hanif'!P16</f>
        <v>923</v>
      </c>
      <c r="T31" s="16">
        <f>'Jay+Hanif'!Q16</f>
        <v>1.4999999999999999E-2</v>
      </c>
      <c r="U31" s="17">
        <f>'Jay+Hanif'!R16</f>
        <v>0.43516999999999995</v>
      </c>
      <c r="V31" s="18">
        <f t="shared" si="8"/>
        <v>-0.83201851963997897</v>
      </c>
      <c r="W31" s="8"/>
    </row>
    <row r="32" spans="3:23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3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3" x14ac:dyDescent="0.2">
      <c r="C34" s="25" t="s">
        <v>16</v>
      </c>
      <c r="D34" s="8"/>
      <c r="E34" s="27" t="s">
        <v>17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3:23" x14ac:dyDescent="0.2">
      <c r="C35" s="2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3:23" x14ac:dyDescent="0.2">
      <c r="C36" s="53" t="s">
        <v>1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8"/>
      <c r="V36" s="8"/>
      <c r="W36" s="8"/>
    </row>
    <row r="37" spans="3:23" x14ac:dyDescent="0.2">
      <c r="C37" s="50">
        <f>AVERAGE(D6,F6)</f>
        <v>7.2149999999999999</v>
      </c>
      <c r="D37" s="51"/>
      <c r="E37" s="50">
        <f>AVERAGE(L20,N20)</f>
        <v>7.23</v>
      </c>
      <c r="F37" s="51"/>
      <c r="G37" s="50">
        <f>AVERAGE(H20,J20)</f>
        <v>7.4050000000000002</v>
      </c>
      <c r="H37" s="51"/>
      <c r="I37" s="50">
        <f>AVERAGE(T20,V20)</f>
        <v>7.46</v>
      </c>
      <c r="J37" s="51"/>
      <c r="K37" s="50">
        <f>AVERAGE(L6,N6)</f>
        <v>7.4649999999999999</v>
      </c>
      <c r="L37" s="51"/>
      <c r="M37" s="50">
        <f>AVERAGE(D20,F20)</f>
        <v>7.5649999999999995</v>
      </c>
      <c r="N37" s="51"/>
      <c r="O37" s="50">
        <f>AVERAGE(P6,R6)</f>
        <v>7.6050000000000004</v>
      </c>
      <c r="P37" s="51"/>
      <c r="Q37" s="50">
        <f>AVERAGE(H6,J6)</f>
        <v>7.74</v>
      </c>
      <c r="R37" s="52"/>
      <c r="S37" s="50">
        <f>AVERAGE(P20,R20)</f>
        <v>7.77</v>
      </c>
      <c r="T37" s="51"/>
      <c r="U37" s="8"/>
      <c r="V37" s="8"/>
      <c r="W37" s="8"/>
    </row>
    <row r="38" spans="3:23" x14ac:dyDescent="0.2">
      <c r="C38" s="10" t="s">
        <v>18</v>
      </c>
      <c r="D38" s="11" t="s">
        <v>13</v>
      </c>
      <c r="E38" s="10" t="s">
        <v>18</v>
      </c>
      <c r="F38" s="11" t="s">
        <v>13</v>
      </c>
      <c r="G38" s="8" t="s">
        <v>18</v>
      </c>
      <c r="H38" s="8" t="s">
        <v>13</v>
      </c>
      <c r="I38" s="10" t="s">
        <v>18</v>
      </c>
      <c r="J38" s="11" t="s">
        <v>13</v>
      </c>
      <c r="K38" s="10" t="s">
        <v>18</v>
      </c>
      <c r="L38" s="11" t="s">
        <v>13</v>
      </c>
      <c r="M38" s="10" t="s">
        <v>18</v>
      </c>
      <c r="N38" s="11" t="s">
        <v>13</v>
      </c>
      <c r="O38" s="8" t="s">
        <v>18</v>
      </c>
      <c r="P38" s="8" t="s">
        <v>13</v>
      </c>
      <c r="Q38" s="10" t="s">
        <v>18</v>
      </c>
      <c r="R38" s="8" t="s">
        <v>13</v>
      </c>
      <c r="S38" s="10" t="s">
        <v>18</v>
      </c>
      <c r="T38" s="11" t="s">
        <v>13</v>
      </c>
      <c r="U38" s="8"/>
      <c r="V38" s="8"/>
      <c r="W38" s="8"/>
    </row>
    <row r="39" spans="3:23" x14ac:dyDescent="0.2">
      <c r="C39" s="22">
        <f t="shared" ref="C39:C45" si="9">C8/60</f>
        <v>0</v>
      </c>
      <c r="D39" s="14">
        <f t="shared" ref="D39:D45" si="10">F8</f>
        <v>3.5939068085793862</v>
      </c>
      <c r="E39" s="22">
        <f t="shared" ref="E39:E48" si="11">K22/60</f>
        <v>0.21666666666666667</v>
      </c>
      <c r="F39" s="14">
        <f t="shared" ref="F39:F48" si="12">N22</f>
        <v>3.5165930958589144</v>
      </c>
      <c r="G39" s="7">
        <f t="shared" ref="G39:G48" si="13">G22/60</f>
        <v>0.11666666666666667</v>
      </c>
      <c r="H39" s="7">
        <f t="shared" ref="H39:H48" si="14">J22</f>
        <v>3.4000109073287836</v>
      </c>
      <c r="I39" s="22">
        <f t="shared" ref="I39:I48" si="15">S22/60</f>
        <v>0.11666666666666667</v>
      </c>
      <c r="J39" s="14">
        <f t="shared" ref="J39:J48" si="16">V22</f>
        <v>3.5210545906589203</v>
      </c>
      <c r="K39" s="22">
        <f t="shared" ref="K39:K48" si="17">K8/60</f>
        <v>0.16666666666666666</v>
      </c>
      <c r="L39" s="14">
        <f t="shared" ref="L39:L48" si="18">N8</f>
        <v>3.4078942749200465</v>
      </c>
      <c r="M39" s="22">
        <f t="shared" ref="M39:M48" si="19">C22/60</f>
        <v>0.16666666666666666</v>
      </c>
      <c r="N39" s="14">
        <f t="shared" ref="N39:N48" si="20">F22</f>
        <v>3.5717014725295648</v>
      </c>
      <c r="O39" s="7">
        <f t="shared" ref="O39:O48" si="21">O8/60</f>
        <v>0.23333333333333334</v>
      </c>
      <c r="P39" s="7">
        <f t="shared" ref="P39:P48" si="22">R8</f>
        <v>3.5343499146496402</v>
      </c>
      <c r="Q39" s="22">
        <f t="shared" ref="Q39:Q48" si="23">G8/60</f>
        <v>8.3333333333333329E-2</v>
      </c>
      <c r="R39" s="7">
        <f t="shared" ref="R39:R48" si="24">J8</f>
        <v>3.4915183610290486</v>
      </c>
      <c r="S39" s="22">
        <f t="shared" ref="S39:S48" si="25">O22/60</f>
        <v>0.11666666666666667</v>
      </c>
      <c r="T39" s="14">
        <f t="shared" ref="T39:T48" si="26">R22</f>
        <v>3.4708479390485363</v>
      </c>
      <c r="U39" s="8"/>
      <c r="V39" s="8"/>
      <c r="W39" s="8"/>
    </row>
    <row r="40" spans="3:23" x14ac:dyDescent="0.2">
      <c r="C40" s="22">
        <f t="shared" si="9"/>
        <v>2.1166666666666667</v>
      </c>
      <c r="D40" s="14">
        <f t="shared" si="10"/>
        <v>3.464480553134154</v>
      </c>
      <c r="E40" s="22">
        <f t="shared" si="11"/>
        <v>2.9666666666666668</v>
      </c>
      <c r="F40" s="14">
        <f t="shared" si="12"/>
        <v>3.4302483527138938</v>
      </c>
      <c r="G40" s="7">
        <f t="shared" si="13"/>
        <v>1.1000000000000001</v>
      </c>
      <c r="H40" s="7">
        <f t="shared" si="14"/>
        <v>3.4810576464246132</v>
      </c>
      <c r="I40" s="22">
        <f t="shared" si="15"/>
        <v>0.58333333333333337</v>
      </c>
      <c r="J40" s="14">
        <f t="shared" si="16"/>
        <v>3.4893978624986079</v>
      </c>
      <c r="K40" s="22">
        <f t="shared" si="17"/>
        <v>1.5</v>
      </c>
      <c r="L40" s="14">
        <f t="shared" si="18"/>
        <v>3.4000109073287836</v>
      </c>
      <c r="M40" s="22">
        <f t="shared" si="19"/>
        <v>0.65</v>
      </c>
      <c r="N40" s="14">
        <f t="shared" si="20"/>
        <v>3.4749570906571869</v>
      </c>
      <c r="O40" s="7">
        <f t="shared" si="21"/>
        <v>0.7</v>
      </c>
      <c r="P40" s="7">
        <f t="shared" si="22"/>
        <v>3.4298987868827773</v>
      </c>
      <c r="Q40" s="22">
        <f t="shared" si="23"/>
        <v>0.5</v>
      </c>
      <c r="R40" s="7">
        <f t="shared" si="24"/>
        <v>3.3263217557761684</v>
      </c>
      <c r="S40" s="22">
        <f t="shared" si="25"/>
        <v>0.6333333333333333</v>
      </c>
      <c r="T40" s="14">
        <f t="shared" si="26"/>
        <v>3.3569426966399627</v>
      </c>
      <c r="U40" s="8"/>
      <c r="V40" s="8"/>
      <c r="W40" s="8"/>
    </row>
    <row r="41" spans="3:23" x14ac:dyDescent="0.2">
      <c r="C41" s="22">
        <f t="shared" si="9"/>
        <v>7</v>
      </c>
      <c r="D41" s="14">
        <f t="shared" si="10"/>
        <v>3.3885878003731054</v>
      </c>
      <c r="E41" s="22">
        <f t="shared" si="11"/>
        <v>6</v>
      </c>
      <c r="F41" s="14">
        <f t="shared" si="12"/>
        <v>3.3569426966399627</v>
      </c>
      <c r="G41" s="7">
        <f t="shared" si="13"/>
        <v>2.1166666666666667</v>
      </c>
      <c r="H41" s="7">
        <f t="shared" si="14"/>
        <v>3.3513592377236612</v>
      </c>
      <c r="I41" s="22">
        <f t="shared" si="15"/>
        <v>1.5333333333333334</v>
      </c>
      <c r="J41" s="14">
        <f t="shared" si="16"/>
        <v>3.3634781380724155</v>
      </c>
      <c r="K41" s="22">
        <f t="shared" si="17"/>
        <v>3.1166666666666667</v>
      </c>
      <c r="L41" s="14">
        <f t="shared" si="18"/>
        <v>3.1545586231112064</v>
      </c>
      <c r="M41" s="22">
        <f t="shared" si="19"/>
        <v>1.5833333333333333</v>
      </c>
      <c r="N41" s="14">
        <f t="shared" si="20"/>
        <v>3.3189893977844651</v>
      </c>
      <c r="O41" s="7">
        <f t="shared" si="21"/>
        <v>2.3333333333333335</v>
      </c>
      <c r="P41" s="7">
        <f t="shared" si="22"/>
        <v>3.1341184633475851</v>
      </c>
      <c r="Q41" s="22">
        <f t="shared" si="23"/>
        <v>1.1666666666666667</v>
      </c>
      <c r="R41" s="7">
        <f t="shared" si="24"/>
        <v>3.1736341020530214</v>
      </c>
      <c r="S41" s="22">
        <f t="shared" si="25"/>
        <v>1.0666666666666667</v>
      </c>
      <c r="T41" s="14">
        <f t="shared" si="26"/>
        <v>3.1841647042006471</v>
      </c>
      <c r="U41" s="8"/>
      <c r="V41" s="8"/>
      <c r="W41" s="8"/>
    </row>
    <row r="42" spans="3:23" x14ac:dyDescent="0.2">
      <c r="C42" s="22">
        <f t="shared" si="9"/>
        <v>11.666666666666666</v>
      </c>
      <c r="D42" s="14">
        <f t="shared" si="10"/>
        <v>3.2848275804959597</v>
      </c>
      <c r="E42" s="22">
        <f t="shared" si="11"/>
        <v>9.0333333333333332</v>
      </c>
      <c r="F42" s="14">
        <f t="shared" si="12"/>
        <v>3.2358038145460113</v>
      </c>
      <c r="G42" s="7">
        <f t="shared" si="13"/>
        <v>4.0999999999999996</v>
      </c>
      <c r="H42" s="7">
        <f t="shared" si="14"/>
        <v>3.2071072412042922</v>
      </c>
      <c r="I42" s="22">
        <f t="shared" si="15"/>
        <v>3.4666666666666668</v>
      </c>
      <c r="J42" s="14">
        <f t="shared" si="16"/>
        <v>3.0668807134664577</v>
      </c>
      <c r="K42" s="22">
        <f t="shared" si="17"/>
        <v>5.166666666666667</v>
      </c>
      <c r="L42" s="14">
        <f t="shared" si="18"/>
        <v>2.876441184360218</v>
      </c>
      <c r="M42" s="22">
        <f t="shared" si="19"/>
        <v>2.5</v>
      </c>
      <c r="N42" s="14">
        <f t="shared" si="20"/>
        <v>3.0738272053363058</v>
      </c>
      <c r="O42" s="7">
        <f t="shared" si="21"/>
        <v>3.9166666666666665</v>
      </c>
      <c r="P42" s="7">
        <f t="shared" si="22"/>
        <v>2.647211458866928</v>
      </c>
      <c r="Q42" s="22">
        <f t="shared" si="23"/>
        <v>1.7</v>
      </c>
      <c r="R42" s="7">
        <f t="shared" si="24"/>
        <v>2.9711628285606615</v>
      </c>
      <c r="S42" s="22">
        <f t="shared" si="25"/>
        <v>1.6166666666666667</v>
      </c>
      <c r="T42" s="14">
        <f t="shared" si="26"/>
        <v>2.9299790416205593</v>
      </c>
      <c r="U42" s="8"/>
      <c r="V42" s="8"/>
      <c r="W42" s="8"/>
    </row>
    <row r="43" spans="3:23" x14ac:dyDescent="0.2">
      <c r="C43" s="22">
        <f t="shared" si="9"/>
        <v>15.783333333333333</v>
      </c>
      <c r="D43" s="14">
        <f t="shared" si="10"/>
        <v>3.0925343724083558</v>
      </c>
      <c r="E43" s="22">
        <f t="shared" si="11"/>
        <v>12</v>
      </c>
      <c r="F43" s="14">
        <f t="shared" si="12"/>
        <v>3.1362752152176196</v>
      </c>
      <c r="G43" s="7">
        <f t="shared" si="13"/>
        <v>5.0999999999999996</v>
      </c>
      <c r="H43" s="7">
        <f t="shared" si="14"/>
        <v>2.8262137821139461</v>
      </c>
      <c r="I43" s="22">
        <f t="shared" si="15"/>
        <v>5.55</v>
      </c>
      <c r="J43" s="14">
        <f t="shared" si="16"/>
        <v>2.5995676317173957</v>
      </c>
      <c r="K43" s="22">
        <f t="shared" si="17"/>
        <v>7.166666666666667</v>
      </c>
      <c r="L43" s="14">
        <f t="shared" si="18"/>
        <v>2.220663150308237</v>
      </c>
      <c r="M43" s="22">
        <f t="shared" si="19"/>
        <v>3.0833333333333335</v>
      </c>
      <c r="N43" s="14">
        <f t="shared" si="20"/>
        <v>2.9411049481556018</v>
      </c>
      <c r="O43" s="7">
        <f t="shared" si="21"/>
        <v>5.166666666666667</v>
      </c>
      <c r="P43" s="7">
        <f t="shared" si="22"/>
        <v>2.2950468704300646</v>
      </c>
      <c r="Q43" s="22">
        <f t="shared" si="23"/>
        <v>2.2666666666666666</v>
      </c>
      <c r="R43" s="7">
        <f t="shared" si="24"/>
        <v>2.6548341989506392</v>
      </c>
      <c r="S43" s="22">
        <f t="shared" si="25"/>
        <v>2.0833333333333335</v>
      </c>
      <c r="T43" s="14">
        <f t="shared" si="26"/>
        <v>2.5740749766655853</v>
      </c>
      <c r="U43" s="8"/>
      <c r="V43" s="8"/>
      <c r="W43" s="8"/>
    </row>
    <row r="44" spans="3:23" x14ac:dyDescent="0.2">
      <c r="C44" s="22">
        <f t="shared" si="9"/>
        <v>20.733333333333334</v>
      </c>
      <c r="D44" s="14">
        <f t="shared" si="10"/>
        <v>2.7891030665584857</v>
      </c>
      <c r="E44" s="22">
        <f t="shared" si="11"/>
        <v>15.05</v>
      </c>
      <c r="F44" s="14">
        <f t="shared" si="12"/>
        <v>2.967454190840964</v>
      </c>
      <c r="G44" s="7">
        <f t="shared" si="13"/>
        <v>6.1</v>
      </c>
      <c r="H44" s="7">
        <f t="shared" si="14"/>
        <v>2.6101279170699603</v>
      </c>
      <c r="I44" s="22">
        <f t="shared" si="15"/>
        <v>7.4</v>
      </c>
      <c r="J44" s="14">
        <f t="shared" si="16"/>
        <v>2.0841860188272552</v>
      </c>
      <c r="K44" s="22">
        <f t="shared" si="17"/>
        <v>8.1999999999999993</v>
      </c>
      <c r="L44" s="14">
        <f t="shared" si="18"/>
        <v>1.968244969155893</v>
      </c>
      <c r="M44" s="22">
        <f t="shared" si="19"/>
        <v>3.5666666666666669</v>
      </c>
      <c r="N44" s="14">
        <f t="shared" si="20"/>
        <v>2.7533837424037313</v>
      </c>
      <c r="O44" s="7">
        <f t="shared" si="21"/>
        <v>5.666666666666667</v>
      </c>
      <c r="P44" s="7">
        <f t="shared" si="22"/>
        <v>1.923065066448689</v>
      </c>
      <c r="Q44" s="22">
        <f t="shared" si="23"/>
        <v>2.9166666666666665</v>
      </c>
      <c r="R44" s="7">
        <f t="shared" si="24"/>
        <v>2.2295433685913868</v>
      </c>
      <c r="S44" s="22">
        <f t="shared" si="25"/>
        <v>2.7333333333333334</v>
      </c>
      <c r="T44" s="14">
        <f t="shared" si="26"/>
        <v>2.0841860188272552</v>
      </c>
      <c r="U44" s="8"/>
      <c r="V44" s="8"/>
      <c r="W44" s="8"/>
    </row>
    <row r="45" spans="3:23" x14ac:dyDescent="0.2">
      <c r="C45" s="22">
        <f t="shared" si="9"/>
        <v>31.2</v>
      </c>
      <c r="D45" s="14">
        <f t="shared" si="10"/>
        <v>1.9243019301984388</v>
      </c>
      <c r="E45" s="22">
        <f t="shared" si="11"/>
        <v>18.05</v>
      </c>
      <c r="F45" s="14">
        <f t="shared" si="12"/>
        <v>2.8037600586005209</v>
      </c>
      <c r="G45" s="7">
        <f t="shared" si="13"/>
        <v>7.0666666666666664</v>
      </c>
      <c r="H45" s="7">
        <f t="shared" si="14"/>
        <v>2.379033632746185</v>
      </c>
      <c r="I45" s="22">
        <f t="shared" si="15"/>
        <v>9.4</v>
      </c>
      <c r="J45" s="14">
        <f t="shared" si="16"/>
        <v>1.478682092911763</v>
      </c>
      <c r="K45" s="22">
        <f t="shared" si="17"/>
        <v>9.4333333333333336</v>
      </c>
      <c r="L45" s="14">
        <f t="shared" si="18"/>
        <v>1.5821926374569333</v>
      </c>
      <c r="M45" s="22">
        <f t="shared" si="19"/>
        <v>4.0333333333333332</v>
      </c>
      <c r="N45" s="14">
        <f t="shared" si="20"/>
        <v>2.5685912431256726</v>
      </c>
      <c r="O45" s="7">
        <f t="shared" si="21"/>
        <v>6.7833333333333332</v>
      </c>
      <c r="P45" s="7">
        <f t="shared" si="22"/>
        <v>1.8877880398678735</v>
      </c>
      <c r="Q45" s="22">
        <f t="shared" si="23"/>
        <v>3.5166666666666666</v>
      </c>
      <c r="R45" s="7">
        <f t="shared" si="24"/>
        <v>1.7627540418269423</v>
      </c>
      <c r="S45" s="22">
        <f t="shared" si="25"/>
        <v>3.2</v>
      </c>
      <c r="T45" s="14">
        <f t="shared" si="26"/>
        <v>1.6222838489520695</v>
      </c>
      <c r="U45" s="8"/>
      <c r="V45" s="8"/>
      <c r="W45" s="8"/>
    </row>
    <row r="46" spans="3:23" x14ac:dyDescent="0.2">
      <c r="C46" s="22"/>
      <c r="D46" s="11"/>
      <c r="E46" s="22">
        <f t="shared" si="11"/>
        <v>20.916666666666668</v>
      </c>
      <c r="F46" s="14">
        <f t="shared" si="12"/>
        <v>2.5967669957073976</v>
      </c>
      <c r="G46" s="7">
        <f t="shared" si="13"/>
        <v>8.0833333333333339</v>
      </c>
      <c r="H46" s="7">
        <f t="shared" si="14"/>
        <v>2.1167792121174802</v>
      </c>
      <c r="I46" s="22">
        <f t="shared" si="15"/>
        <v>11.5</v>
      </c>
      <c r="J46" s="14">
        <f t="shared" si="16"/>
        <v>1.1577437177956382</v>
      </c>
      <c r="K46" s="22">
        <f t="shared" si="17"/>
        <v>10.666666666666666</v>
      </c>
      <c r="L46" s="14">
        <f t="shared" si="18"/>
        <v>1.1399084790401337</v>
      </c>
      <c r="M46" s="22">
        <f t="shared" si="19"/>
        <v>4.6333333333333337</v>
      </c>
      <c r="N46" s="14">
        <f t="shared" si="20"/>
        <v>2.3605556495084392</v>
      </c>
      <c r="O46" s="7">
        <f t="shared" si="21"/>
        <v>7.25</v>
      </c>
      <c r="P46" s="7">
        <f t="shared" si="22"/>
        <v>1.4885869343446398</v>
      </c>
      <c r="Q46" s="22">
        <f t="shared" si="23"/>
        <v>4.0999999999999996</v>
      </c>
      <c r="R46" s="7">
        <f t="shared" si="24"/>
        <v>1.330959101841457</v>
      </c>
      <c r="S46" s="22">
        <f t="shared" si="25"/>
        <v>3.7</v>
      </c>
      <c r="T46" s="14">
        <f t="shared" si="26"/>
        <v>1.1458475938769548</v>
      </c>
      <c r="U46" s="8"/>
      <c r="V46" s="8"/>
      <c r="W46" s="8"/>
    </row>
    <row r="47" spans="3:23" x14ac:dyDescent="0.2">
      <c r="C47" s="22"/>
      <c r="D47" s="11"/>
      <c r="E47" s="22">
        <f t="shared" si="11"/>
        <v>24</v>
      </c>
      <c r="F47" s="14">
        <f t="shared" si="12"/>
        <v>2.3955115248364542</v>
      </c>
      <c r="G47" s="7">
        <f t="shared" si="13"/>
        <v>8.7666666666666675</v>
      </c>
      <c r="H47" s="7">
        <f t="shared" si="14"/>
        <v>1.89968586017106</v>
      </c>
      <c r="I47" s="22">
        <f t="shared" si="15"/>
        <v>13.45</v>
      </c>
      <c r="J47" s="14">
        <f t="shared" si="16"/>
        <v>0.37252585189833898</v>
      </c>
      <c r="K47" s="22">
        <f t="shared" si="17"/>
        <v>12.25</v>
      </c>
      <c r="L47" s="14">
        <f t="shared" si="18"/>
        <v>0.50924334495486112</v>
      </c>
      <c r="M47" s="22">
        <f t="shared" si="19"/>
        <v>5.5166666666666666</v>
      </c>
      <c r="N47" s="14">
        <f t="shared" si="20"/>
        <v>1.9459101490553132</v>
      </c>
      <c r="O47" s="7">
        <f t="shared" si="21"/>
        <v>8.4166666666666661</v>
      </c>
      <c r="P47" s="7">
        <f t="shared" si="22"/>
        <v>1.0047503350401497</v>
      </c>
      <c r="Q47" s="22">
        <f t="shared" si="23"/>
        <v>4.7666666666666666</v>
      </c>
      <c r="R47" s="7">
        <f t="shared" si="24"/>
        <v>0.90454316652420463</v>
      </c>
      <c r="S47" s="22">
        <f t="shared" si="25"/>
        <v>4.5</v>
      </c>
      <c r="T47" s="14">
        <f t="shared" si="26"/>
        <v>0.26301328457759854</v>
      </c>
      <c r="U47" s="8"/>
      <c r="V47" s="8"/>
      <c r="W47" s="8"/>
    </row>
    <row r="48" spans="3:23" x14ac:dyDescent="0.2">
      <c r="C48" s="23"/>
      <c r="D48" s="24"/>
      <c r="E48" s="23">
        <f t="shared" si="11"/>
        <v>27.033333333333335</v>
      </c>
      <c r="F48" s="18">
        <f t="shared" si="12"/>
        <v>2.1737064026014234</v>
      </c>
      <c r="G48" s="21">
        <f t="shared" si="13"/>
        <v>10.116666666666667</v>
      </c>
      <c r="H48" s="21">
        <f t="shared" si="14"/>
        <v>1.7115520576094869</v>
      </c>
      <c r="I48" s="23">
        <f t="shared" si="15"/>
        <v>15.383333333333333</v>
      </c>
      <c r="J48" s="18">
        <f t="shared" si="16"/>
        <v>-0.83201851963997897</v>
      </c>
      <c r="K48" s="23">
        <f t="shared" si="17"/>
        <v>13.25</v>
      </c>
      <c r="L48" s="18">
        <f t="shared" si="18"/>
        <v>0.55565538671932579</v>
      </c>
      <c r="M48" s="23">
        <f t="shared" si="19"/>
        <v>6.3166666666666664</v>
      </c>
      <c r="N48" s="18">
        <f t="shared" si="20"/>
        <v>1.5983090217393907</v>
      </c>
      <c r="O48" s="21">
        <f t="shared" si="21"/>
        <v>8.9166666666666661</v>
      </c>
      <c r="P48" s="21">
        <f t="shared" si="22"/>
        <v>0.4353180712578455</v>
      </c>
      <c r="Q48" s="23">
        <f t="shared" si="23"/>
        <v>5.4</v>
      </c>
      <c r="R48" s="21">
        <f t="shared" si="24"/>
        <v>0.26460767539156893</v>
      </c>
      <c r="S48" s="23">
        <f t="shared" si="25"/>
        <v>5.0166666666666666</v>
      </c>
      <c r="T48" s="18">
        <f t="shared" si="26"/>
        <v>-0.12010648277035768</v>
      </c>
      <c r="U48" s="8"/>
      <c r="V48" s="8"/>
      <c r="W48" s="8"/>
    </row>
    <row r="49" spans="2:23" x14ac:dyDescent="0.2">
      <c r="B49" t="s">
        <v>19</v>
      </c>
      <c r="C49" s="7">
        <f>D6-C37</f>
        <v>1.5000000000000568E-2</v>
      </c>
      <c r="D49" s="8"/>
      <c r="E49" s="7">
        <f>L20-E37</f>
        <v>1.9999999999999574E-2</v>
      </c>
      <c r="F49" s="8"/>
      <c r="G49" s="7">
        <f>H20-G37</f>
        <v>4.9999999999998934E-3</v>
      </c>
      <c r="H49" s="8"/>
      <c r="I49" s="7">
        <f>T20-I37</f>
        <v>9.9999999999997868E-3</v>
      </c>
      <c r="J49" s="8"/>
      <c r="K49" s="7">
        <f>L6-K37</f>
        <v>1.5000000000000568E-2</v>
      </c>
      <c r="L49" s="8"/>
      <c r="M49" s="7">
        <f>D20-M37</f>
        <v>2.5000000000000355E-2</v>
      </c>
      <c r="N49" s="8"/>
      <c r="O49" s="7">
        <f>P6-O37</f>
        <v>4.9999999999998934E-3</v>
      </c>
      <c r="P49" s="8"/>
      <c r="Q49" s="7">
        <f>H6-Q37</f>
        <v>4.9999999999999822E-2</v>
      </c>
      <c r="R49" s="8"/>
      <c r="S49" s="7">
        <f>P20-S37</f>
        <v>3.0000000000000249E-2</v>
      </c>
      <c r="T49" s="8"/>
      <c r="U49" s="7"/>
      <c r="V49" s="8"/>
      <c r="W49" s="8"/>
    </row>
    <row r="50" spans="2:23" x14ac:dyDescent="0.2">
      <c r="C50" s="8"/>
      <c r="D50" s="8"/>
      <c r="E50" s="8"/>
      <c r="F50" s="8"/>
      <c r="G50" s="7"/>
      <c r="H50" s="8"/>
      <c r="I50" s="7"/>
      <c r="J50" s="8"/>
      <c r="K50" s="7"/>
      <c r="L50" s="8"/>
      <c r="M50" s="7"/>
      <c r="N50" s="8"/>
      <c r="O50" s="7"/>
      <c r="P50" s="8"/>
      <c r="Q50" s="7"/>
      <c r="R50" s="8"/>
      <c r="S50" s="7"/>
      <c r="T50" s="8"/>
      <c r="U50" s="7"/>
      <c r="V50" s="8"/>
      <c r="W50" s="8"/>
    </row>
    <row r="51" spans="2:23" x14ac:dyDescent="0.2">
      <c r="G51" s="1"/>
      <c r="I51" s="1"/>
      <c r="K51" s="1"/>
      <c r="M51" s="1"/>
      <c r="O51" s="1"/>
      <c r="Q51" s="1"/>
      <c r="S51" s="1"/>
      <c r="U51" s="1"/>
    </row>
    <row r="52" spans="2:23" x14ac:dyDescent="0.2">
      <c r="C52" s="4" t="s">
        <v>20</v>
      </c>
    </row>
    <row r="70" spans="2:20" x14ac:dyDescent="0.2">
      <c r="C70" s="4" t="s">
        <v>21</v>
      </c>
      <c r="F70" s="27" t="s">
        <v>22</v>
      </c>
    </row>
    <row r="72" spans="2:20" x14ac:dyDescent="0.2">
      <c r="B72" t="s">
        <v>1</v>
      </c>
      <c r="C72" s="50">
        <f>C37</f>
        <v>7.2149999999999999</v>
      </c>
      <c r="D72" s="51"/>
      <c r="E72" s="50">
        <f>E37</f>
        <v>7.23</v>
      </c>
      <c r="F72" s="51"/>
      <c r="G72" s="50">
        <f>G37</f>
        <v>7.4050000000000002</v>
      </c>
      <c r="H72" s="51"/>
      <c r="I72" s="50">
        <f>I37</f>
        <v>7.46</v>
      </c>
      <c r="J72" s="51"/>
      <c r="K72" s="50">
        <f>K37</f>
        <v>7.4649999999999999</v>
      </c>
      <c r="L72" s="51"/>
      <c r="M72" s="50">
        <f>M37</f>
        <v>7.5649999999999995</v>
      </c>
      <c r="N72" s="51"/>
      <c r="O72" s="50">
        <f>O37</f>
        <v>7.6050000000000004</v>
      </c>
      <c r="P72" s="51"/>
      <c r="Q72" s="50">
        <f>Q37</f>
        <v>7.74</v>
      </c>
      <c r="R72" s="51"/>
      <c r="S72" s="50">
        <f>S37</f>
        <v>7.77</v>
      </c>
      <c r="T72" s="51"/>
    </row>
    <row r="73" spans="2:20" x14ac:dyDescent="0.2">
      <c r="C73" s="28" t="s">
        <v>23</v>
      </c>
      <c r="D73" s="29" t="s">
        <v>24</v>
      </c>
      <c r="E73" t="s">
        <v>23</v>
      </c>
      <c r="F73" t="s">
        <v>24</v>
      </c>
      <c r="G73" s="28" t="s">
        <v>23</v>
      </c>
      <c r="H73" s="29" t="s">
        <v>24</v>
      </c>
      <c r="I73" t="s">
        <v>23</v>
      </c>
      <c r="J73" t="s">
        <v>24</v>
      </c>
      <c r="K73" s="28" t="s">
        <v>23</v>
      </c>
      <c r="L73" s="29" t="s">
        <v>24</v>
      </c>
      <c r="M73" t="s">
        <v>23</v>
      </c>
      <c r="N73" t="s">
        <v>24</v>
      </c>
      <c r="O73" s="28" t="s">
        <v>23</v>
      </c>
      <c r="P73" s="29" t="s">
        <v>24</v>
      </c>
      <c r="Q73" t="s">
        <v>23</v>
      </c>
      <c r="R73" t="s">
        <v>24</v>
      </c>
      <c r="S73" s="28" t="s">
        <v>23</v>
      </c>
      <c r="T73" s="29" t="s">
        <v>24</v>
      </c>
    </row>
    <row r="74" spans="2:20" x14ac:dyDescent="0.2">
      <c r="B74" t="s">
        <v>25</v>
      </c>
      <c r="C74" s="28">
        <f t="array" ref="C74:D76">LINEST(F8:F14,C8:C14,TRUE,TRUE)</f>
        <v>-8.3540895476836696E-4</v>
      </c>
      <c r="D74" s="29">
        <v>3.7105376659382729</v>
      </c>
      <c r="E74">
        <f t="array" ref="E74:F76">LINEST(N22:N31,K22:K31,TRUE,TRUE)</f>
        <v>-8.3139650065770776E-4</v>
      </c>
      <c r="F74">
        <v>3.6360676346901122</v>
      </c>
      <c r="G74" s="28">
        <f t="array" ref="G74:H76">LINEST(J22:J31,G22:G31,TRUE,TRUE)</f>
        <v>-3.1465039333772784E-3</v>
      </c>
      <c r="H74" s="29">
        <v>3.6925879923981668</v>
      </c>
      <c r="I74">
        <f t="array" ref="I74:J76">LINEST(V22:V31,S22:S31,TRUE,TRUE)</f>
        <v>-4.3890362464440932E-3</v>
      </c>
      <c r="J74">
        <v>3.8309713817366924</v>
      </c>
      <c r="K74" s="28">
        <f t="array" ref="K74:L76">LINEST(N8:N17,K8:K17,TRUE,TRUE)</f>
        <v>-4.059145114225054E-3</v>
      </c>
      <c r="L74" s="29">
        <v>3.8086475418383241</v>
      </c>
      <c r="M74">
        <f t="array" ref="M74:N76">LINEST(F22:F31,C22:C31,TRUE,TRUE)</f>
        <v>-5.2879624068615932E-3</v>
      </c>
      <c r="N74">
        <v>3.7776081628690514</v>
      </c>
      <c r="O74" s="28">
        <f t="array" ref="O74:P76">LINEST(R8:R17,O8:O17,TRUE,TRUE)</f>
        <v>-5.4702725575357268E-3</v>
      </c>
      <c r="P74" s="29">
        <v>3.7988551529114547</v>
      </c>
      <c r="Q74">
        <f t="array" ref="Q74:R76">LINEST(J8:J17,G8:G17,TRUE,TRUE)</f>
        <v>-1.0071492858070777E-2</v>
      </c>
      <c r="R74">
        <v>3.8073194780587283</v>
      </c>
      <c r="S74" s="28">
        <f t="array" ref="S74:T76">LINEST(R22:R31,O22:O31,TRUE,TRUE)</f>
        <v>-1.2839554174818748E-2</v>
      </c>
      <c r="T74" s="29">
        <v>3.951377380037056</v>
      </c>
    </row>
    <row r="75" spans="2:20" x14ac:dyDescent="0.2">
      <c r="B75" t="s">
        <v>26</v>
      </c>
      <c r="C75" s="28">
        <v>1.0828614348271032E-4</v>
      </c>
      <c r="D75" s="29">
        <v>0.10539544201222997</v>
      </c>
      <c r="E75">
        <v>5.0472242532590949E-5</v>
      </c>
      <c r="F75">
        <v>4.8520140462729282E-2</v>
      </c>
      <c r="G75" s="28">
        <v>2.6046752471778031E-4</v>
      </c>
      <c r="H75" s="29">
        <v>9.6364817790699581E-2</v>
      </c>
      <c r="I75">
        <v>3.1132879390650665E-4</v>
      </c>
      <c r="J75">
        <v>0.16052014191110051</v>
      </c>
      <c r="K75" s="28">
        <v>2.7871265562639402E-4</v>
      </c>
      <c r="L75" s="29">
        <v>0.13847388888941645</v>
      </c>
      <c r="M75">
        <v>3.3566559458656918E-4</v>
      </c>
      <c r="N75">
        <v>7.5223326282003303E-2</v>
      </c>
      <c r="O75" s="28">
        <v>4.1182788069134236E-4</v>
      </c>
      <c r="P75" s="29">
        <v>0.14174353476136051</v>
      </c>
      <c r="Q75">
        <v>6.0530676412002898E-4</v>
      </c>
      <c r="R75">
        <v>0.1143948112898697</v>
      </c>
      <c r="S75" s="28">
        <v>7.8843249325881524E-4</v>
      </c>
      <c r="T75" s="29">
        <v>0.13818232616245732</v>
      </c>
    </row>
    <row r="76" spans="2:20" x14ac:dyDescent="0.2">
      <c r="B76" t="s">
        <v>27</v>
      </c>
      <c r="C76" s="30">
        <v>0.92250293047943521</v>
      </c>
      <c r="D76" s="32">
        <v>0.17471504370308991</v>
      </c>
      <c r="E76" s="31">
        <v>0.97136089633888412</v>
      </c>
      <c r="F76" s="31">
        <v>8.2232254884864187E-2</v>
      </c>
      <c r="G76" s="30">
        <v>0.94802887023009719</v>
      </c>
      <c r="H76" s="32">
        <v>0.15848073713547259</v>
      </c>
      <c r="I76" s="31">
        <v>0.96130529286543509</v>
      </c>
      <c r="J76" s="31">
        <v>0.30740310932533682</v>
      </c>
      <c r="K76" s="30">
        <v>0.96365410349528924</v>
      </c>
      <c r="L76" s="32">
        <v>0.22607299062932465</v>
      </c>
      <c r="M76" s="31">
        <v>0.96877169810265495</v>
      </c>
      <c r="N76" s="31">
        <v>0.12214912034254116</v>
      </c>
      <c r="O76" s="30">
        <v>0.95662444737290442</v>
      </c>
      <c r="P76" s="32">
        <v>0.2280619737158146</v>
      </c>
      <c r="Q76" s="31">
        <v>0.97191454749325379</v>
      </c>
      <c r="R76" s="31">
        <v>0.19701456640915166</v>
      </c>
      <c r="S76" s="30">
        <v>0.97071724901698653</v>
      </c>
      <c r="T76" s="32">
        <v>0.23405691228301295</v>
      </c>
    </row>
    <row r="79" spans="2:20" x14ac:dyDescent="0.2">
      <c r="C79" s="4" t="s">
        <v>28</v>
      </c>
    </row>
    <row r="81" spans="2:23" x14ac:dyDescent="0.2">
      <c r="B81" t="s">
        <v>1</v>
      </c>
      <c r="C81" s="50">
        <f>C72</f>
        <v>7.2149999999999999</v>
      </c>
      <c r="D81" s="51"/>
      <c r="E81" s="50">
        <f>E72</f>
        <v>7.23</v>
      </c>
      <c r="F81" s="51"/>
      <c r="G81" s="50">
        <f>G72</f>
        <v>7.4050000000000002</v>
      </c>
      <c r="H81" s="51"/>
      <c r="I81" s="50">
        <f>I72</f>
        <v>7.46</v>
      </c>
      <c r="J81" s="51"/>
      <c r="K81" s="50">
        <f>K72</f>
        <v>7.4649999999999999</v>
      </c>
      <c r="L81" s="51"/>
      <c r="M81" s="50">
        <f>M72</f>
        <v>7.5649999999999995</v>
      </c>
      <c r="N81" s="51"/>
      <c r="O81" s="50">
        <f>O72</f>
        <v>7.6050000000000004</v>
      </c>
      <c r="P81" s="51"/>
      <c r="Q81" s="50">
        <f>Q72</f>
        <v>7.74</v>
      </c>
      <c r="R81" s="51"/>
      <c r="S81" s="50">
        <f>S72</f>
        <v>7.77</v>
      </c>
      <c r="T81" s="51"/>
    </row>
    <row r="82" spans="2:23" x14ac:dyDescent="0.2">
      <c r="B82" t="s">
        <v>29</v>
      </c>
      <c r="C82" s="28">
        <f>ABS(C74)</f>
        <v>8.3540895476836696E-4</v>
      </c>
      <c r="D82">
        <f>C75</f>
        <v>1.0828614348271032E-4</v>
      </c>
      <c r="E82" s="28">
        <f>ABS(E74)</f>
        <v>8.3139650065770776E-4</v>
      </c>
      <c r="F82" s="29">
        <f>E75</f>
        <v>5.0472242532590949E-5</v>
      </c>
      <c r="G82">
        <f>ABS(G74)</f>
        <v>3.1465039333772784E-3</v>
      </c>
      <c r="H82">
        <f>G75</f>
        <v>2.6046752471778031E-4</v>
      </c>
      <c r="I82" s="28">
        <f>ABS(I74)</f>
        <v>4.3890362464440932E-3</v>
      </c>
      <c r="J82" s="29">
        <f>I75</f>
        <v>3.1132879390650665E-4</v>
      </c>
      <c r="K82">
        <f>ABS(K74)</f>
        <v>4.059145114225054E-3</v>
      </c>
      <c r="L82">
        <f>K75</f>
        <v>2.7871265562639402E-4</v>
      </c>
      <c r="M82" s="28">
        <f>ABS(M74)</f>
        <v>5.2879624068615932E-3</v>
      </c>
      <c r="N82" s="29">
        <f>M75</f>
        <v>3.3566559458656918E-4</v>
      </c>
      <c r="O82">
        <f>ABS(O74)</f>
        <v>5.4702725575357268E-3</v>
      </c>
      <c r="P82">
        <f>O75</f>
        <v>4.1182788069134236E-4</v>
      </c>
      <c r="Q82" s="28">
        <f>ABS(Q74)</f>
        <v>1.0071492858070777E-2</v>
      </c>
      <c r="R82" s="29">
        <f>Q75</f>
        <v>6.0530676412002898E-4</v>
      </c>
      <c r="S82">
        <f>ABS(S74)</f>
        <v>1.2839554174818748E-2</v>
      </c>
      <c r="T82" s="29">
        <f>S75</f>
        <v>7.8843249325881524E-4</v>
      </c>
    </row>
    <row r="83" spans="2:23" x14ac:dyDescent="0.2">
      <c r="B83" t="s">
        <v>30</v>
      </c>
      <c r="C83" s="30">
        <f>LOG(C82)</f>
        <v>-3.078100873833113</v>
      </c>
      <c r="D83" s="31">
        <f>0.434*D82/C82</f>
        <v>5.6255305863374259E-2</v>
      </c>
      <c r="E83" s="30">
        <f>LOG(E82)</f>
        <v>-3.0801918077685171</v>
      </c>
      <c r="F83" s="32">
        <f>0.434*F82/E82</f>
        <v>2.6347180005948698E-2</v>
      </c>
      <c r="G83" s="31">
        <f>LOG(G82)</f>
        <v>-2.5021717210139118</v>
      </c>
      <c r="H83" s="31">
        <f>0.434*H82/G82</f>
        <v>3.5926510222468663E-2</v>
      </c>
      <c r="I83" s="30">
        <f>LOG(I82)</f>
        <v>-2.3576308325599804</v>
      </c>
      <c r="J83" s="32">
        <f>0.434*J82/I82</f>
        <v>3.0785049147154495E-2</v>
      </c>
      <c r="K83" s="31">
        <f>LOG(K82)</f>
        <v>-2.3915654224002187</v>
      </c>
      <c r="L83" s="31">
        <f>0.434*L82/K82</f>
        <v>2.9799696521800294E-2</v>
      </c>
      <c r="M83" s="30">
        <f>LOG(M82)</f>
        <v>-2.2767116409941637</v>
      </c>
      <c r="N83" s="32">
        <f>0.434*N82/M82</f>
        <v>2.7549149718148522E-2</v>
      </c>
      <c r="O83" s="31">
        <f>LOG(O82)</f>
        <v>-2.2619910343092005</v>
      </c>
      <c r="P83" s="31">
        <f>0.434*P82/O82</f>
        <v>3.2673563947709247E-2</v>
      </c>
      <c r="Q83" s="30">
        <f>LOG(Q82)</f>
        <v>-1.9969061508992545</v>
      </c>
      <c r="R83" s="32">
        <f>0.434*R82/Q82</f>
        <v>2.6083832787269046E-2</v>
      </c>
      <c r="S83" s="31">
        <f>LOG(S82)</f>
        <v>-1.8914500559227401</v>
      </c>
      <c r="T83" s="32">
        <f>0.434*T82/S82</f>
        <v>2.6650434852747235E-2</v>
      </c>
    </row>
    <row r="85" spans="2:23" x14ac:dyDescent="0.2">
      <c r="B85" s="26" t="s">
        <v>31</v>
      </c>
    </row>
    <row r="86" spans="2:23" x14ac:dyDescent="0.2">
      <c r="B86" s="27" t="s">
        <v>32</v>
      </c>
    </row>
    <row r="87" spans="2:23" x14ac:dyDescent="0.2">
      <c r="B87" s="27"/>
      <c r="D87">
        <f>D82/C82</f>
        <v>0.12962052042252134</v>
      </c>
      <c r="F87">
        <f>F82/E82</f>
        <v>6.0707788032139859E-2</v>
      </c>
      <c r="H87">
        <f>H82/G82</f>
        <v>8.2779977471125948E-2</v>
      </c>
      <c r="J87">
        <f>J82/I82</f>
        <v>7.0933292965793759E-2</v>
      </c>
      <c r="L87">
        <f>L82/K82</f>
        <v>6.8662895211521413E-2</v>
      </c>
      <c r="N87">
        <f>N82/M82</f>
        <v>6.3477303498038068E-2</v>
      </c>
      <c r="P87">
        <f>P82/O82</f>
        <v>7.5284709556933754E-2</v>
      </c>
      <c r="R87">
        <f>R82/Q82</f>
        <v>6.0100997205689045E-2</v>
      </c>
      <c r="T87">
        <f>T82/S82</f>
        <v>6.1406531918772433E-2</v>
      </c>
      <c r="V87">
        <f>AVERAGE(D87:T87)</f>
        <v>7.4774890698059523E-2</v>
      </c>
      <c r="W87">
        <f>100*V87</f>
        <v>7.4774890698059524</v>
      </c>
    </row>
    <row r="88" spans="2:23" x14ac:dyDescent="0.2">
      <c r="B88" t="s">
        <v>33</v>
      </c>
      <c r="C88" s="1">
        <f>14-C81</f>
        <v>6.7850000000000001</v>
      </c>
      <c r="E88" s="1">
        <f>14-E81</f>
        <v>6.77</v>
      </c>
      <c r="G88" s="1">
        <f>14-G81</f>
        <v>6.5949999999999998</v>
      </c>
      <c r="I88" s="1">
        <f>14-I81</f>
        <v>6.54</v>
      </c>
      <c r="K88" s="1">
        <f>14-K81</f>
        <v>6.5350000000000001</v>
      </c>
      <c r="M88" s="1">
        <f>14-M81</f>
        <v>6.4350000000000005</v>
      </c>
      <c r="O88" s="1">
        <f>14-O81</f>
        <v>6.3949999999999996</v>
      </c>
      <c r="Q88" s="1">
        <f>14-Q81</f>
        <v>6.26</v>
      </c>
      <c r="S88" s="1">
        <f>14-S81</f>
        <v>6.23</v>
      </c>
    </row>
    <row r="90" spans="2:23" x14ac:dyDescent="0.2">
      <c r="B90" s="37" t="s">
        <v>1</v>
      </c>
      <c r="C90" s="60" t="s">
        <v>33</v>
      </c>
      <c r="D90" s="61"/>
      <c r="E90" s="60" t="s">
        <v>29</v>
      </c>
      <c r="F90" s="61"/>
      <c r="G90" s="60" t="s">
        <v>30</v>
      </c>
      <c r="H90" s="61"/>
      <c r="J90" t="s">
        <v>33</v>
      </c>
      <c r="K90" t="s">
        <v>19</v>
      </c>
    </row>
    <row r="91" spans="2:23" x14ac:dyDescent="0.2">
      <c r="B91" s="22">
        <f>C81</f>
        <v>7.2149999999999999</v>
      </c>
      <c r="C91" s="62">
        <f>14-B91</f>
        <v>6.7850000000000001</v>
      </c>
      <c r="D91" s="63"/>
      <c r="E91" s="56" t="str">
        <f>TEXT(C82,"0.00E-4")&amp;" ± "&amp;TEXT(D82,"0.00E-4")</f>
        <v>8.35E-4 ± 1.08E-4</v>
      </c>
      <c r="F91" s="57"/>
      <c r="G91" s="56" t="str">
        <f>ROUND(C83,2)&amp;" ± "&amp;ROUND(D83,2)</f>
        <v>-3.08 ± 0.06</v>
      </c>
      <c r="H91" s="57"/>
      <c r="J91" s="1">
        <f>C91</f>
        <v>6.7850000000000001</v>
      </c>
      <c r="K91" s="1">
        <f>C49</f>
        <v>1.5000000000000568E-2</v>
      </c>
      <c r="L91">
        <f>C83</f>
        <v>-3.078100873833113</v>
      </c>
      <c r="Q91">
        <f t="array" ref="Q91:R95">LINEST(L91:L99,J91:J99,TRUE,TRUE)</f>
        <v>-2.054571330472271</v>
      </c>
      <c r="R91">
        <v>10.93868433364422</v>
      </c>
    </row>
    <row r="92" spans="2:23" x14ac:dyDescent="0.2">
      <c r="B92" s="22">
        <f>E81</f>
        <v>7.23</v>
      </c>
      <c r="C92" s="62">
        <f t="shared" ref="C92:C99" si="27">14-B92</f>
        <v>6.77</v>
      </c>
      <c r="D92" s="63"/>
      <c r="E92" s="56" t="str">
        <f>TEXT(E82,"0.00E-4")&amp;" ± "&amp;TEXT(F82,"0.00E-4")</f>
        <v>8.31E-4 ± 5.05E-4</v>
      </c>
      <c r="F92" s="57"/>
      <c r="G92" s="56" t="str">
        <f>ROUND(E83,2)&amp;" ± "&amp;ROUND(F83,2)</f>
        <v>-3.08 ± 0.03</v>
      </c>
      <c r="H92" s="57"/>
      <c r="J92" s="1">
        <f t="shared" ref="J92:J99" si="28">C92</f>
        <v>6.77</v>
      </c>
      <c r="K92" s="1">
        <f>E49</f>
        <v>1.9999999999999574E-2</v>
      </c>
      <c r="L92">
        <f>E83</f>
        <v>-3.0801918077685171</v>
      </c>
      <c r="Q92">
        <v>0.17787692667550178</v>
      </c>
      <c r="R92">
        <v>1.1575625256009059</v>
      </c>
    </row>
    <row r="93" spans="2:23" x14ac:dyDescent="0.2">
      <c r="B93" s="22">
        <f>G81</f>
        <v>7.4050000000000002</v>
      </c>
      <c r="C93" s="62">
        <f t="shared" si="27"/>
        <v>6.5949999999999998</v>
      </c>
      <c r="D93" s="63"/>
      <c r="E93" s="56" t="str">
        <f>TEXT(G82,"0.00E-4")&amp;" ± "&amp;TEXT(H82,"0.00E-4")</f>
        <v>3.15E-4 ± 2.60E-4</v>
      </c>
      <c r="F93" s="57"/>
      <c r="G93" s="56" t="str">
        <f>ROUND(G83,2)&amp;" ± "&amp;ROUND(H83,2)</f>
        <v>-2.5 ± 0.04</v>
      </c>
      <c r="H93" s="57"/>
      <c r="J93" s="1">
        <f t="shared" si="28"/>
        <v>6.5949999999999998</v>
      </c>
      <c r="K93" s="1">
        <f>G49</f>
        <v>4.9999999999998934E-3</v>
      </c>
      <c r="L93">
        <f>G83</f>
        <v>-2.5021717210139118</v>
      </c>
      <c r="Q93">
        <v>0.95014761835217665</v>
      </c>
      <c r="R93">
        <v>9.9276999476500288E-2</v>
      </c>
    </row>
    <row r="94" spans="2:23" x14ac:dyDescent="0.2">
      <c r="B94" s="22">
        <f>I81</f>
        <v>7.46</v>
      </c>
      <c r="C94" s="62">
        <f t="shared" si="27"/>
        <v>6.54</v>
      </c>
      <c r="D94" s="63"/>
      <c r="E94" s="56" t="str">
        <f>TEXT(I82,"0.00E-4")&amp;" ± "&amp;TEXT(J82,"0.00E-4")</f>
        <v>4.39E-4 ± 3.11E-4</v>
      </c>
      <c r="F94" s="57"/>
      <c r="G94" s="56" t="str">
        <f>ROUND(I83,2)&amp;" ± "&amp;ROUND(J83,2)</f>
        <v>-2.36 ± 0.03</v>
      </c>
      <c r="H94" s="57"/>
      <c r="J94" s="1">
        <f>C94</f>
        <v>6.54</v>
      </c>
      <c r="K94" s="1">
        <f>I49</f>
        <v>9.9999999999997868E-3</v>
      </c>
      <c r="L94">
        <f>I83</f>
        <v>-2.3576308325599804</v>
      </c>
      <c r="Q94">
        <v>133.41455530551636</v>
      </c>
      <c r="R94">
        <v>7</v>
      </c>
    </row>
    <row r="95" spans="2:23" x14ac:dyDescent="0.2">
      <c r="B95" s="22">
        <f>K81</f>
        <v>7.4649999999999999</v>
      </c>
      <c r="C95" s="62">
        <f t="shared" si="27"/>
        <v>6.5350000000000001</v>
      </c>
      <c r="D95" s="63"/>
      <c r="E95" s="56" t="str">
        <f>TEXT(K82,"0.00E-4")&amp;" ± "&amp;TEXT(L82,"0.00E-4")</f>
        <v>4.06E-4 ± 2.79E-4</v>
      </c>
      <c r="F95" s="57"/>
      <c r="G95" s="56" t="str">
        <f>ROUND(K83,2)&amp;" ± "&amp;ROUND(L83,2)</f>
        <v>-2.39 ± 0.03</v>
      </c>
      <c r="H95" s="57"/>
      <c r="J95" s="1">
        <f t="shared" si="28"/>
        <v>6.5350000000000001</v>
      </c>
      <c r="K95" s="1">
        <f>K49</f>
        <v>1.5000000000000568E-2</v>
      </c>
      <c r="L95">
        <f>K83</f>
        <v>-2.3915654224002187</v>
      </c>
      <c r="Q95">
        <v>1.3149235341475622</v>
      </c>
      <c r="R95">
        <v>6.8991458375399273E-2</v>
      </c>
    </row>
    <row r="96" spans="2:23" x14ac:dyDescent="0.2">
      <c r="B96" s="22">
        <f>M81</f>
        <v>7.5649999999999995</v>
      </c>
      <c r="C96" s="62">
        <f t="shared" si="27"/>
        <v>6.4350000000000005</v>
      </c>
      <c r="D96" s="63"/>
      <c r="E96" s="56" t="str">
        <f>TEXT(M82,"0.00E-4")&amp;"  ± "&amp;TEXT(N82,"0.00E-4")</f>
        <v>5.29E-4  ± 3.36E-4</v>
      </c>
      <c r="F96" s="57"/>
      <c r="G96" s="56" t="str">
        <f>ROUND(M83,2)&amp;" ± "&amp;ROUND(N83,2)</f>
        <v>-2.28 ± 0.03</v>
      </c>
      <c r="H96" s="57"/>
      <c r="J96" s="1">
        <f t="shared" si="28"/>
        <v>6.4350000000000005</v>
      </c>
      <c r="K96" s="1">
        <f>M49</f>
        <v>2.5000000000000355E-2</v>
      </c>
      <c r="L96">
        <f>M83</f>
        <v>-2.2767116409941637</v>
      </c>
    </row>
    <row r="97" spans="2:12" x14ac:dyDescent="0.2">
      <c r="B97" s="22">
        <f>O81</f>
        <v>7.6050000000000004</v>
      </c>
      <c r="C97" s="62">
        <f t="shared" si="27"/>
        <v>6.3949999999999996</v>
      </c>
      <c r="D97" s="63"/>
      <c r="E97" s="56" t="str">
        <f>TEXT(O82,"0.00E-4")&amp;"  ± "&amp;TEXT(P82,"0.00E-4")</f>
        <v>5.47E-4  ± 4.12E-4</v>
      </c>
      <c r="F97" s="57"/>
      <c r="G97" s="56" t="str">
        <f>ROUND(O83,2)&amp;" ± "&amp;ROUND(P83,2)</f>
        <v>-2.26 ± 0.03</v>
      </c>
      <c r="H97" s="57"/>
      <c r="J97" s="1">
        <f t="shared" si="28"/>
        <v>6.3949999999999996</v>
      </c>
      <c r="K97" s="1">
        <f>O49</f>
        <v>4.9999999999998934E-3</v>
      </c>
      <c r="L97">
        <f>O83</f>
        <v>-2.2619910343092005</v>
      </c>
    </row>
    <row r="98" spans="2:12" x14ac:dyDescent="0.2">
      <c r="B98" s="22">
        <f>Q81</f>
        <v>7.74</v>
      </c>
      <c r="C98" s="62">
        <f t="shared" si="27"/>
        <v>6.26</v>
      </c>
      <c r="D98" s="63"/>
      <c r="E98" s="56" t="str">
        <f>TEXT(Q82,"0.00E-4")&amp;"  ± "&amp;TEXT(R82,"0.00E-4")</f>
        <v>1.01E-4  ± 6.05E-4</v>
      </c>
      <c r="F98" s="57"/>
      <c r="G98" s="56" t="str">
        <f>ROUND(Q83,2)&amp;" ± "&amp;ROUND(R83,2)</f>
        <v>-2 ± 0.03</v>
      </c>
      <c r="H98" s="57"/>
      <c r="J98" s="1">
        <f t="shared" si="28"/>
        <v>6.26</v>
      </c>
      <c r="K98" s="1">
        <f>Q49</f>
        <v>4.9999999999999822E-2</v>
      </c>
      <c r="L98">
        <f>Q83</f>
        <v>-1.9969061508992545</v>
      </c>
    </row>
    <row r="99" spans="2:12" x14ac:dyDescent="0.2">
      <c r="B99" s="23">
        <f>S81</f>
        <v>7.77</v>
      </c>
      <c r="C99" s="64">
        <f t="shared" si="27"/>
        <v>6.23</v>
      </c>
      <c r="D99" s="65"/>
      <c r="E99" s="58" t="str">
        <f>TEXT(S82,"0.00E-4")&amp;" ±  "&amp;TEXT(T82,"0.00E-4")</f>
        <v>1.28E-4 ±  7.88E-4</v>
      </c>
      <c r="F99" s="59"/>
      <c r="G99" s="58" t="str">
        <f>ROUND(S83,2)&amp;" ± "&amp;ROUND(T83,2)</f>
        <v>-1.89 ± 0.03</v>
      </c>
      <c r="H99" s="59"/>
      <c r="J99" s="1">
        <f t="shared" si="28"/>
        <v>6.23</v>
      </c>
      <c r="K99" s="1">
        <f>S49</f>
        <v>3.0000000000000249E-2</v>
      </c>
      <c r="L99">
        <f>S83</f>
        <v>-1.8914500559227401</v>
      </c>
    </row>
    <row r="100" spans="2:12" x14ac:dyDescent="0.2">
      <c r="B100" s="1"/>
      <c r="K100" s="1"/>
    </row>
    <row r="102" spans="2:12" x14ac:dyDescent="0.2">
      <c r="B102" s="27"/>
    </row>
    <row r="117" spans="2:15" x14ac:dyDescent="0.2">
      <c r="C117" t="s">
        <v>23</v>
      </c>
      <c r="D117" t="s">
        <v>19</v>
      </c>
    </row>
    <row r="118" spans="2:15" x14ac:dyDescent="0.2">
      <c r="B118" t="s">
        <v>34</v>
      </c>
      <c r="C118" s="26"/>
    </row>
    <row r="122" spans="2:15" x14ac:dyDescent="0.2">
      <c r="C122" s="4" t="s">
        <v>35</v>
      </c>
    </row>
    <row r="124" spans="2:15" x14ac:dyDescent="0.2">
      <c r="C124" t="s">
        <v>36</v>
      </c>
    </row>
    <row r="126" spans="2:15" x14ac:dyDescent="0.2">
      <c r="C126" s="1">
        <f>D6-F6</f>
        <v>3.0000000000000249E-2</v>
      </c>
      <c r="G126" s="1">
        <f>H6-J6</f>
        <v>9.9999999999999645E-2</v>
      </c>
      <c r="K126" s="1">
        <f>L6-N6</f>
        <v>3.0000000000000249E-2</v>
      </c>
      <c r="O126" s="1">
        <f>P6-R6</f>
        <v>1.0000000000000675E-2</v>
      </c>
    </row>
    <row r="127" spans="2:15" x14ac:dyDescent="0.2">
      <c r="C127" s="1">
        <f>D20-F20</f>
        <v>4.9999999999999822E-2</v>
      </c>
      <c r="G127" s="1">
        <f>H20-J20</f>
        <v>9.9999999999997868E-3</v>
      </c>
      <c r="K127" s="1">
        <f>L20-N20</f>
        <v>4.0000000000000036E-2</v>
      </c>
      <c r="O127" s="1">
        <f>P20-R20</f>
        <v>5.9999999999999609E-2</v>
      </c>
    </row>
    <row r="130" spans="2:5" x14ac:dyDescent="0.2">
      <c r="C130" t="s">
        <v>37</v>
      </c>
      <c r="E130" s="1">
        <f>AVERAGE(C126:O127)</f>
        <v>4.1250000000000009E-2</v>
      </c>
    </row>
    <row r="131" spans="2:5" x14ac:dyDescent="0.2">
      <c r="C131" t="s">
        <v>38</v>
      </c>
      <c r="E131">
        <f>STDEV(C126:O127)</f>
        <v>2.9489707647632642E-2</v>
      </c>
    </row>
    <row r="132" spans="2:5" x14ac:dyDescent="0.2">
      <c r="C132" t="s">
        <v>39</v>
      </c>
      <c r="E132" s="1">
        <f>MAX(C126:O127)</f>
        <v>9.9999999999999645E-2</v>
      </c>
    </row>
    <row r="133" spans="2:5" x14ac:dyDescent="0.2">
      <c r="C133" t="s">
        <v>40</v>
      </c>
      <c r="E133" s="1">
        <f>MIN(C126:O127)</f>
        <v>9.9999999999997868E-3</v>
      </c>
    </row>
    <row r="138" spans="2:5" x14ac:dyDescent="0.2">
      <c r="B138" t="s">
        <v>41</v>
      </c>
    </row>
    <row r="139" spans="2:5" x14ac:dyDescent="0.2">
      <c r="C139" t="s">
        <v>1</v>
      </c>
      <c r="D139" t="s">
        <v>42</v>
      </c>
      <c r="E139" t="s">
        <v>23</v>
      </c>
    </row>
    <row r="140" spans="2:5" x14ac:dyDescent="0.2">
      <c r="B140" t="s">
        <v>43</v>
      </c>
      <c r="C140">
        <v>6.5</v>
      </c>
      <c r="D140">
        <v>-2.4500000000000002</v>
      </c>
    </row>
    <row r="141" spans="2:5" x14ac:dyDescent="0.2">
      <c r="C141">
        <v>7.5</v>
      </c>
      <c r="D141">
        <v>-0.45</v>
      </c>
      <c r="E141">
        <f>(D141-D140)/(C141-C140)</f>
        <v>2</v>
      </c>
    </row>
    <row r="142" spans="2:5" x14ac:dyDescent="0.2">
      <c r="B142" t="s">
        <v>44</v>
      </c>
      <c r="C142">
        <v>7</v>
      </c>
      <c r="D142">
        <v>-1.4</v>
      </c>
    </row>
    <row r="143" spans="2:5" x14ac:dyDescent="0.2">
      <c r="C143">
        <v>8.25</v>
      </c>
      <c r="D143">
        <v>0.25</v>
      </c>
      <c r="E143">
        <f>(D143-D142)/(C143-C142)</f>
        <v>1.3199999999999998</v>
      </c>
    </row>
    <row r="144" spans="2:5" x14ac:dyDescent="0.2">
      <c r="B144" t="s">
        <v>45</v>
      </c>
      <c r="C144">
        <v>7.25</v>
      </c>
      <c r="D144">
        <v>-1</v>
      </c>
    </row>
    <row r="145" spans="2:16" x14ac:dyDescent="0.2">
      <c r="C145">
        <v>8.25</v>
      </c>
      <c r="D145">
        <v>0.4</v>
      </c>
      <c r="E145">
        <f>(D145-D144)/(C145-C144)</f>
        <v>1.4</v>
      </c>
    </row>
    <row r="150" spans="2:16" x14ac:dyDescent="0.2">
      <c r="B150" s="39" t="s">
        <v>46</v>
      </c>
    </row>
    <row r="152" spans="2:16" x14ac:dyDescent="0.2">
      <c r="B152" s="37" t="str">
        <f>B90</f>
        <v>pH</v>
      </c>
      <c r="C152" s="40" t="str">
        <f>E90</f>
        <v>k' (s)</v>
      </c>
      <c r="D152" s="40" t="s">
        <v>19</v>
      </c>
      <c r="E152" s="40" t="str">
        <f>G90</f>
        <v>log(k')</v>
      </c>
      <c r="F152" s="38" t="s">
        <v>19</v>
      </c>
      <c r="J152" s="37" t="s">
        <v>47</v>
      </c>
      <c r="K152" s="40" t="s">
        <v>48</v>
      </c>
      <c r="L152" s="40" t="str">
        <f>B152</f>
        <v>pH</v>
      </c>
      <c r="M152" s="40" t="str">
        <f t="shared" ref="M152:P152" si="29">C152</f>
        <v>k' (s)</v>
      </c>
      <c r="N152" s="40" t="str">
        <f t="shared" si="29"/>
        <v>uncertainty</v>
      </c>
      <c r="O152" s="40" t="str">
        <f t="shared" si="29"/>
        <v>log(k')</v>
      </c>
      <c r="P152" s="38" t="str">
        <f t="shared" si="29"/>
        <v>uncertainty</v>
      </c>
    </row>
    <row r="153" spans="2:16" x14ac:dyDescent="0.2">
      <c r="B153" s="22">
        <f>B91</f>
        <v>7.2149999999999999</v>
      </c>
      <c r="C153" s="41">
        <f>ABS(C74)</f>
        <v>8.3540895476836696E-4</v>
      </c>
      <c r="D153" s="41">
        <f>C75</f>
        <v>1.0828614348271032E-4</v>
      </c>
      <c r="E153" s="7">
        <f>LOG(C153)</f>
        <v>-3.078100873833113</v>
      </c>
      <c r="F153" s="14">
        <f>0.434*D153/C153</f>
        <v>5.6255305863374259E-2</v>
      </c>
      <c r="J153" s="10">
        <v>1</v>
      </c>
      <c r="K153" s="8" t="s">
        <v>49</v>
      </c>
      <c r="L153" s="8">
        <f>B154</f>
        <v>7.23</v>
      </c>
      <c r="M153" s="41">
        <f>C154</f>
        <v>8.3139650065770776E-4</v>
      </c>
      <c r="N153" s="41">
        <f>D154</f>
        <v>5.0472242532590949E-5</v>
      </c>
      <c r="O153" s="7">
        <f>E154</f>
        <v>-3.0801918077685171</v>
      </c>
      <c r="P153" s="14">
        <f>F154</f>
        <v>2.6347180005948698E-2</v>
      </c>
    </row>
    <row r="154" spans="2:16" x14ac:dyDescent="0.2">
      <c r="B154" s="22">
        <f t="shared" ref="B154:B161" si="30">B92</f>
        <v>7.23</v>
      </c>
      <c r="C154" s="41">
        <f>ABS(E74)</f>
        <v>8.3139650065770776E-4</v>
      </c>
      <c r="D154" s="41">
        <f>E75</f>
        <v>5.0472242532590949E-5</v>
      </c>
      <c r="E154" s="7">
        <f t="shared" ref="E154:E161" si="31">LOG(C154)</f>
        <v>-3.0801918077685171</v>
      </c>
      <c r="F154" s="14">
        <f t="shared" ref="F154:F161" si="32">0.434*D154/C154</f>
        <v>2.6347180005948698E-2</v>
      </c>
      <c r="J154" s="10">
        <v>1</v>
      </c>
      <c r="K154" s="8" t="s">
        <v>50</v>
      </c>
      <c r="L154" s="8">
        <f>B160</f>
        <v>7.74</v>
      </c>
      <c r="M154" s="41">
        <f>C160</f>
        <v>1.0071492858070777E-2</v>
      </c>
      <c r="N154" s="41">
        <f>D160</f>
        <v>6.0530676412002898E-4</v>
      </c>
      <c r="O154" s="7">
        <f>E160</f>
        <v>-1.9969061508992545</v>
      </c>
      <c r="P154" s="14">
        <f>F160</f>
        <v>2.6083832787269046E-2</v>
      </c>
    </row>
    <row r="155" spans="2:16" x14ac:dyDescent="0.2">
      <c r="B155" s="22">
        <f t="shared" si="30"/>
        <v>7.4050000000000002</v>
      </c>
      <c r="C155" s="41">
        <f>ABS(G74)</f>
        <v>3.1465039333772784E-3</v>
      </c>
      <c r="D155" s="41">
        <f>G75</f>
        <v>2.6046752471778031E-4</v>
      </c>
      <c r="E155" s="7">
        <f t="shared" si="31"/>
        <v>-2.5021717210139118</v>
      </c>
      <c r="F155" s="14">
        <f t="shared" si="32"/>
        <v>3.5926510222468663E-2</v>
      </c>
      <c r="J155" s="10">
        <v>2</v>
      </c>
      <c r="K155" s="8" t="s">
        <v>49</v>
      </c>
      <c r="L155" s="8">
        <f>B157</f>
        <v>7.4649999999999999</v>
      </c>
      <c r="M155" s="41">
        <f>C157</f>
        <v>4.059145114225054E-3</v>
      </c>
      <c r="N155" s="41">
        <f>D157</f>
        <v>2.7871265562639402E-4</v>
      </c>
      <c r="O155" s="7">
        <f>E157</f>
        <v>-2.3915654224002187</v>
      </c>
      <c r="P155" s="14">
        <f>F157</f>
        <v>2.9799696521800294E-2</v>
      </c>
    </row>
    <row r="156" spans="2:16" x14ac:dyDescent="0.2">
      <c r="B156" s="22">
        <f t="shared" si="30"/>
        <v>7.46</v>
      </c>
      <c r="C156" s="41">
        <f>ABS(I74)</f>
        <v>4.3890362464440932E-3</v>
      </c>
      <c r="D156" s="41">
        <f>I75</f>
        <v>3.1132879390650665E-4</v>
      </c>
      <c r="E156" s="7">
        <f t="shared" si="31"/>
        <v>-2.3576308325599804</v>
      </c>
      <c r="F156" s="14">
        <f t="shared" si="32"/>
        <v>3.0785049147154495E-2</v>
      </c>
      <c r="J156" s="10">
        <v>2</v>
      </c>
      <c r="K156" s="8" t="s">
        <v>50</v>
      </c>
      <c r="L156" s="8">
        <f>B159</f>
        <v>7.6050000000000004</v>
      </c>
      <c r="M156" s="41">
        <f>C159</f>
        <v>5.4702725575357268E-3</v>
      </c>
      <c r="N156" s="41">
        <f>D159</f>
        <v>4.1182788069134236E-4</v>
      </c>
      <c r="O156" s="7">
        <f>E159</f>
        <v>-2.2619910343092005</v>
      </c>
      <c r="P156" s="14">
        <f>F159</f>
        <v>3.2673563947709247E-2</v>
      </c>
    </row>
    <row r="157" spans="2:16" x14ac:dyDescent="0.2">
      <c r="B157" s="22">
        <f t="shared" si="30"/>
        <v>7.4649999999999999</v>
      </c>
      <c r="C157" s="41">
        <f>ABS(K74)</f>
        <v>4.059145114225054E-3</v>
      </c>
      <c r="D157" s="41">
        <f>K75</f>
        <v>2.7871265562639402E-4</v>
      </c>
      <c r="E157" s="7">
        <f t="shared" si="31"/>
        <v>-2.3915654224002187</v>
      </c>
      <c r="F157" s="14">
        <f t="shared" si="32"/>
        <v>2.9799696521800294E-2</v>
      </c>
      <c r="J157" s="10">
        <v>3</v>
      </c>
      <c r="K157" s="8" t="s">
        <v>49</v>
      </c>
      <c r="L157" s="8">
        <f>B158</f>
        <v>7.5649999999999995</v>
      </c>
      <c r="M157" s="41">
        <f>C158</f>
        <v>5.2879624068615932E-3</v>
      </c>
      <c r="N157" s="41">
        <f>D158</f>
        <v>3.3566559458656918E-4</v>
      </c>
      <c r="O157" s="7">
        <f>E158</f>
        <v>-2.2767116409941637</v>
      </c>
      <c r="P157" s="14">
        <f>F158</f>
        <v>2.7549149718148522E-2</v>
      </c>
    </row>
    <row r="158" spans="2:16" x14ac:dyDescent="0.2">
      <c r="B158" s="22">
        <f t="shared" si="30"/>
        <v>7.5649999999999995</v>
      </c>
      <c r="C158" s="41">
        <f>ABS(M74)</f>
        <v>5.2879624068615932E-3</v>
      </c>
      <c r="D158" s="41">
        <f>M75</f>
        <v>3.3566559458656918E-4</v>
      </c>
      <c r="E158" s="7">
        <f t="shared" si="31"/>
        <v>-2.2767116409941637</v>
      </c>
      <c r="F158" s="14">
        <f t="shared" si="32"/>
        <v>2.7549149718148522E-2</v>
      </c>
      <c r="J158" s="10">
        <v>3</v>
      </c>
      <c r="K158" s="8" t="s">
        <v>50</v>
      </c>
      <c r="L158" s="8">
        <f>B155</f>
        <v>7.4050000000000002</v>
      </c>
      <c r="M158" s="41">
        <f>C155</f>
        <v>3.1465039333772784E-3</v>
      </c>
      <c r="N158" s="41">
        <f>D155</f>
        <v>2.6046752471778031E-4</v>
      </c>
      <c r="O158" s="7">
        <f>E155</f>
        <v>-2.5021717210139118</v>
      </c>
      <c r="P158" s="14">
        <f>F155</f>
        <v>3.5926510222468663E-2</v>
      </c>
    </row>
    <row r="159" spans="2:16" x14ac:dyDescent="0.2">
      <c r="B159" s="22">
        <f t="shared" si="30"/>
        <v>7.6050000000000004</v>
      </c>
      <c r="C159" s="41">
        <f>ABS(O74)</f>
        <v>5.4702725575357268E-3</v>
      </c>
      <c r="D159" s="41">
        <f>O75</f>
        <v>4.1182788069134236E-4</v>
      </c>
      <c r="E159" s="7">
        <f t="shared" si="31"/>
        <v>-2.2619910343092005</v>
      </c>
      <c r="F159" s="14">
        <f t="shared" si="32"/>
        <v>3.2673563947709247E-2</v>
      </c>
      <c r="J159" s="10">
        <v>4</v>
      </c>
      <c r="K159" s="8" t="s">
        <v>49</v>
      </c>
      <c r="L159" s="8">
        <f>B153</f>
        <v>7.2149999999999999</v>
      </c>
      <c r="M159" s="41">
        <f>C153</f>
        <v>8.3540895476836696E-4</v>
      </c>
      <c r="N159" s="41">
        <f>D153</f>
        <v>1.0828614348271032E-4</v>
      </c>
      <c r="O159" s="7">
        <f>E153</f>
        <v>-3.078100873833113</v>
      </c>
      <c r="P159" s="14">
        <f>F153</f>
        <v>5.6255305863374259E-2</v>
      </c>
    </row>
    <row r="160" spans="2:16" x14ac:dyDescent="0.2">
      <c r="B160" s="22">
        <f t="shared" si="30"/>
        <v>7.74</v>
      </c>
      <c r="C160" s="41">
        <f>ABS(Q74)</f>
        <v>1.0071492858070777E-2</v>
      </c>
      <c r="D160" s="41">
        <f>Q75</f>
        <v>6.0530676412002898E-4</v>
      </c>
      <c r="E160" s="7">
        <f t="shared" si="31"/>
        <v>-1.9969061508992545</v>
      </c>
      <c r="F160" s="14">
        <f t="shared" si="32"/>
        <v>2.6083832787269046E-2</v>
      </c>
      <c r="J160" s="10">
        <v>4</v>
      </c>
      <c r="K160" s="8" t="s">
        <v>50</v>
      </c>
      <c r="L160" s="8">
        <f>B161</f>
        <v>7.77</v>
      </c>
      <c r="M160" s="41">
        <f>C161</f>
        <v>1.2839554174818748E-2</v>
      </c>
      <c r="N160" s="41">
        <f>D161</f>
        <v>7.8843249325881524E-4</v>
      </c>
      <c r="O160" s="7">
        <f>E161</f>
        <v>-1.8914500559227401</v>
      </c>
      <c r="P160" s="14">
        <f>F161</f>
        <v>2.6650434852747235E-2</v>
      </c>
    </row>
    <row r="161" spans="2:16" x14ac:dyDescent="0.2">
      <c r="B161" s="23">
        <f t="shared" si="30"/>
        <v>7.77</v>
      </c>
      <c r="C161" s="42">
        <f>ABS(S74)</f>
        <v>1.2839554174818748E-2</v>
      </c>
      <c r="D161" s="42">
        <f>S75</f>
        <v>7.8843249325881524E-4</v>
      </c>
      <c r="E161" s="21">
        <f t="shared" si="31"/>
        <v>-1.8914500559227401</v>
      </c>
      <c r="F161" s="18">
        <f t="shared" si="32"/>
        <v>2.6650434852747235E-2</v>
      </c>
      <c r="J161" s="15">
        <v>4</v>
      </c>
      <c r="K161" s="20" t="s">
        <v>51</v>
      </c>
      <c r="L161" s="20">
        <f>B156</f>
        <v>7.46</v>
      </c>
      <c r="M161" s="42">
        <f>C156</f>
        <v>4.3890362464440932E-3</v>
      </c>
      <c r="N161" s="42">
        <f>D156</f>
        <v>3.1132879390650665E-4</v>
      </c>
      <c r="O161" s="21">
        <f>E156</f>
        <v>-2.3576308325599804</v>
      </c>
      <c r="P161" s="18">
        <f>F156</f>
        <v>3.0785049147154495E-2</v>
      </c>
    </row>
    <row r="162" spans="2:16" x14ac:dyDescent="0.2">
      <c r="B162" s="1"/>
    </row>
    <row r="163" spans="2:16" x14ac:dyDescent="0.2">
      <c r="B163" s="1"/>
    </row>
    <row r="164" spans="2:16" x14ac:dyDescent="0.2">
      <c r="B164" s="1"/>
    </row>
    <row r="165" spans="2:16" x14ac:dyDescent="0.2">
      <c r="B165" s="1"/>
    </row>
    <row r="166" spans="2:16" x14ac:dyDescent="0.2">
      <c r="B166" s="1" t="s">
        <v>52</v>
      </c>
    </row>
    <row r="167" spans="2:16" x14ac:dyDescent="0.2">
      <c r="B167" s="1"/>
    </row>
    <row r="168" spans="2:16" x14ac:dyDescent="0.2">
      <c r="B168" s="1"/>
    </row>
    <row r="169" spans="2:16" x14ac:dyDescent="0.2">
      <c r="B169" s="1"/>
    </row>
    <row r="170" spans="2:16" x14ac:dyDescent="0.2">
      <c r="B170" s="1"/>
    </row>
    <row r="171" spans="2:16" x14ac:dyDescent="0.2">
      <c r="B171" s="1"/>
    </row>
    <row r="172" spans="2:16" x14ac:dyDescent="0.2">
      <c r="B172" s="1"/>
    </row>
    <row r="173" spans="2:16" x14ac:dyDescent="0.2">
      <c r="B173" s="1"/>
    </row>
    <row r="174" spans="2:16" x14ac:dyDescent="0.2">
      <c r="B174" s="1"/>
    </row>
    <row r="175" spans="2:16" x14ac:dyDescent="0.2">
      <c r="B175" s="1"/>
    </row>
    <row r="176" spans="2:16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</sheetData>
  <mergeCells count="58">
    <mergeCell ref="C99:D99"/>
    <mergeCell ref="C94:D94"/>
    <mergeCell ref="C95:D95"/>
    <mergeCell ref="C96:D96"/>
    <mergeCell ref="C97:D97"/>
    <mergeCell ref="C98:D98"/>
    <mergeCell ref="G93:H93"/>
    <mergeCell ref="G92:H92"/>
    <mergeCell ref="G91:H91"/>
    <mergeCell ref="G90:H90"/>
    <mergeCell ref="C90:D90"/>
    <mergeCell ref="C91:D91"/>
    <mergeCell ref="C92:D92"/>
    <mergeCell ref="C93:D93"/>
    <mergeCell ref="E91:F91"/>
    <mergeCell ref="E90:F90"/>
    <mergeCell ref="G99:H99"/>
    <mergeCell ref="G98:H98"/>
    <mergeCell ref="G97:H97"/>
    <mergeCell ref="G96:H96"/>
    <mergeCell ref="G94:H94"/>
    <mergeCell ref="G95:H95"/>
    <mergeCell ref="E94:F94"/>
    <mergeCell ref="E93:F93"/>
    <mergeCell ref="E92:F92"/>
    <mergeCell ref="E99:F99"/>
    <mergeCell ref="E98:F98"/>
    <mergeCell ref="E97:F97"/>
    <mergeCell ref="E96:F96"/>
    <mergeCell ref="E95:F95"/>
    <mergeCell ref="O81:P81"/>
    <mergeCell ref="Q81:R81"/>
    <mergeCell ref="S81:T81"/>
    <mergeCell ref="M81:N81"/>
    <mergeCell ref="K81:L81"/>
    <mergeCell ref="I81:J81"/>
    <mergeCell ref="G81:H81"/>
    <mergeCell ref="E81:F81"/>
    <mergeCell ref="C81:D81"/>
    <mergeCell ref="G72:H72"/>
    <mergeCell ref="E72:F72"/>
    <mergeCell ref="S72:T72"/>
    <mergeCell ref="I72:J72"/>
    <mergeCell ref="C72:D72"/>
    <mergeCell ref="Q72:R72"/>
    <mergeCell ref="K72:L72"/>
    <mergeCell ref="O72:P72"/>
    <mergeCell ref="M72:N72"/>
    <mergeCell ref="K37:L37"/>
    <mergeCell ref="Q37:R37"/>
    <mergeCell ref="C37:D37"/>
    <mergeCell ref="C36:T36"/>
    <mergeCell ref="I37:J37"/>
    <mergeCell ref="S37:T37"/>
    <mergeCell ref="E37:F37"/>
    <mergeCell ref="G37:H37"/>
    <mergeCell ref="M37:N37"/>
    <mergeCell ref="O37:P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31"/>
  <sheetViews>
    <sheetView topLeftCell="G11" workbookViewId="0">
      <selection activeCell="B15" sqref="B15"/>
    </sheetView>
  </sheetViews>
  <sheetFormatPr baseColWidth="10" defaultColWidth="8.83203125" defaultRowHeight="15" x14ac:dyDescent="0.2"/>
  <cols>
    <col min="3" max="3" width="12" bestFit="1" customWidth="1"/>
  </cols>
  <sheetData>
    <row r="2" spans="2:18" x14ac:dyDescent="0.2">
      <c r="C2" t="s">
        <v>53</v>
      </c>
      <c r="D2">
        <v>2</v>
      </c>
    </row>
    <row r="3" spans="2:18" x14ac:dyDescent="0.2">
      <c r="C3" t="s">
        <v>54</v>
      </c>
    </row>
    <row r="5" spans="2:18" x14ac:dyDescent="0.2">
      <c r="B5" t="s">
        <v>1</v>
      </c>
      <c r="C5" s="1">
        <f>AVERAGE('Data table'!D6,'Data table'!F6)</f>
        <v>7.2149999999999999</v>
      </c>
      <c r="G5" s="1">
        <f>AVERAGE('Data table'!H6,'Data table'!J6)</f>
        <v>7.74</v>
      </c>
      <c r="K5" s="1">
        <f>AVERAGE('Data table'!L6,'Data table'!N6)</f>
        <v>7.4649999999999999</v>
      </c>
      <c r="O5" s="1">
        <f>AVERAGE('Data table'!P6,'Data table'!R6)</f>
        <v>7.6050000000000004</v>
      </c>
    </row>
    <row r="6" spans="2:18" x14ac:dyDescent="0.2">
      <c r="B6" t="s">
        <v>55</v>
      </c>
      <c r="C6">
        <f>10^-(14-(('Data table'!D6+'Data table'!F6)/2))</f>
        <v>1.6405897731995348E-7</v>
      </c>
      <c r="G6">
        <f>10^-(14-(('Data table'!H6+'Data table'!J6)/2))</f>
        <v>5.4954087385762417E-7</v>
      </c>
      <c r="K6">
        <f>10^-(14-(('Data table'!L6+'Data table'!N6)/2))</f>
        <v>2.9174270140011623E-7</v>
      </c>
      <c r="O6">
        <f>10^-(14-(('Data table'!P6+'Data table'!R6)/2))</f>
        <v>4.0271703432545868E-7</v>
      </c>
    </row>
    <row r="7" spans="2:18" x14ac:dyDescent="0.2">
      <c r="C7" t="str">
        <f>'Data table'!C7</f>
        <v>t (s)</v>
      </c>
      <c r="D7" t="str">
        <f>'Data table'!D7</f>
        <v>Abs</v>
      </c>
      <c r="E7" t="str">
        <f>'Data table'!E7</f>
        <v>[Fe(II)] (µM)</v>
      </c>
      <c r="F7" t="str">
        <f>'Data table'!F7</f>
        <v>ln[Fe(II)]</v>
      </c>
      <c r="G7" t="str">
        <f>'Data table'!G7</f>
        <v>t (s)</v>
      </c>
      <c r="H7" t="str">
        <f>'Data table'!H7</f>
        <v>Abs</v>
      </c>
      <c r="I7" t="str">
        <f>'Data table'!I7</f>
        <v>[Fe(II)] (µM)</v>
      </c>
      <c r="J7" t="str">
        <f>'Data table'!J7</f>
        <v>ln[Fe(II)]</v>
      </c>
      <c r="K7" t="str">
        <f>'Data table'!K7</f>
        <v>t (s)</v>
      </c>
      <c r="L7" t="str">
        <f>'Data table'!L7</f>
        <v>Abs</v>
      </c>
      <c r="M7" t="str">
        <f>'Data table'!M7</f>
        <v>[Fe(II)] (µM)</v>
      </c>
      <c r="N7" t="str">
        <f>'Data table'!N7</f>
        <v>ln[Fe(II)]</v>
      </c>
      <c r="O7" t="str">
        <f>'Data table'!O7</f>
        <v>t (s)</v>
      </c>
      <c r="P7" t="str">
        <f>'Data table'!P7</f>
        <v>Abs</v>
      </c>
      <c r="Q7" t="str">
        <f>'Data table'!Q7</f>
        <v>[Fe(II)] (µM)</v>
      </c>
      <c r="R7" t="str">
        <f>'Data table'!R7</f>
        <v>ln[Fe(II)]</v>
      </c>
    </row>
    <row r="8" spans="2:18" x14ac:dyDescent="0.2">
      <c r="C8">
        <f>'Data table'!C8*(C$6^$D$2)</f>
        <v>0</v>
      </c>
      <c r="D8">
        <f>'Data table'!D8</f>
        <v>1</v>
      </c>
      <c r="E8">
        <f>'Data table'!E8</f>
        <v>36.375912408759127</v>
      </c>
      <c r="F8">
        <f>'Data table'!F8</f>
        <v>3.5939068085793862</v>
      </c>
      <c r="G8">
        <f>'Data table'!G8*(G$6^$D$2)</f>
        <v>1.5099758602010062E-12</v>
      </c>
      <c r="H8">
        <f>'Data table'!H8</f>
        <v>0.90300000000000002</v>
      </c>
      <c r="I8">
        <f>'Data table'!I8</f>
        <v>32.835766423357668</v>
      </c>
      <c r="J8">
        <f>'Data table'!J8</f>
        <v>3.4915183610290486</v>
      </c>
      <c r="K8">
        <f>'Data table'!K8*(K$6^$D$2)</f>
        <v>8.511380382023738E-13</v>
      </c>
      <c r="L8">
        <f>'Data table'!L8</f>
        <v>0.76200000000000001</v>
      </c>
      <c r="M8">
        <f>'Data table'!M8</f>
        <v>30.201581027667984</v>
      </c>
      <c r="N8">
        <f>'Data table'!N8</f>
        <v>3.4078942749200465</v>
      </c>
      <c r="O8">
        <f>'Data table'!O8*(O$6^$D$2)</f>
        <v>2.2705341363024973E-12</v>
      </c>
      <c r="P8">
        <f>'Data table'!P8</f>
        <v>0.86499999999999999</v>
      </c>
      <c r="Q8">
        <f>'Data table'!Q8</f>
        <v>34.272727272727273</v>
      </c>
      <c r="R8">
        <f>'Data table'!R8</f>
        <v>3.5343499146496402</v>
      </c>
    </row>
    <row r="9" spans="2:18" x14ac:dyDescent="0.2">
      <c r="C9">
        <f>'Data table'!C9*(C$6^$D$2)</f>
        <v>3.4182492009871644E-12</v>
      </c>
      <c r="D9">
        <f>'Data table'!D9</f>
        <v>0.879</v>
      </c>
      <c r="E9">
        <f>'Data table'!E9</f>
        <v>31.959854014598541</v>
      </c>
      <c r="F9">
        <f>'Data table'!F9</f>
        <v>3.464480553134154</v>
      </c>
      <c r="G9">
        <f>'Data table'!G9*(G$6^$D$2)</f>
        <v>9.0598551612060364E-12</v>
      </c>
      <c r="H9">
        <f>'Data table'!H9</f>
        <v>0.76600000000000001</v>
      </c>
      <c r="I9">
        <f>'Data table'!I9</f>
        <v>27.835766423357665</v>
      </c>
      <c r="J9">
        <f>'Data table'!J9</f>
        <v>3.3263217557761684</v>
      </c>
      <c r="K9">
        <f>'Data table'!K9*(K$6^$D$2)</f>
        <v>7.6602423438213649E-12</v>
      </c>
      <c r="L9">
        <f>'Data table'!L9</f>
        <v>0.75600000000000001</v>
      </c>
      <c r="M9">
        <f>'Data table'!M9</f>
        <v>29.964426877470355</v>
      </c>
      <c r="N9">
        <f>'Data table'!N9</f>
        <v>3.4000109073287836</v>
      </c>
      <c r="O9">
        <f>'Data table'!O9*(O$6^$D$2)</f>
        <v>6.8116024089074915E-12</v>
      </c>
      <c r="P9">
        <f>'Data table'!P9</f>
        <v>0.77900000000000003</v>
      </c>
      <c r="Q9">
        <f>'Data table'!Q9</f>
        <v>30.873517786561266</v>
      </c>
      <c r="R9">
        <f>'Data table'!R9</f>
        <v>3.4298987868827773</v>
      </c>
    </row>
    <row r="10" spans="2:18" x14ac:dyDescent="0.2">
      <c r="C10">
        <f>'Data table'!C10*(C$6^$D$2)</f>
        <v>1.1304446176492984E-11</v>
      </c>
      <c r="D10">
        <f>'Data table'!D10</f>
        <v>0.81499999999999995</v>
      </c>
      <c r="E10">
        <f>'Data table'!E10</f>
        <v>29.624087591240873</v>
      </c>
      <c r="F10">
        <f>'Data table'!F10</f>
        <v>3.3885878003731054</v>
      </c>
      <c r="G10">
        <f>'Data table'!G10*(G$6^$D$2)</f>
        <v>2.1139662042814086E-11</v>
      </c>
      <c r="H10">
        <f>'Data table'!H10</f>
        <v>0.65800000000000003</v>
      </c>
      <c r="I10">
        <f>'Data table'!I10</f>
        <v>23.894160583941609</v>
      </c>
      <c r="J10">
        <f>'Data table'!J10</f>
        <v>3.1736341020530214</v>
      </c>
      <c r="K10">
        <f>'Data table'!K10*(K$6^$D$2)</f>
        <v>1.591628131438439E-11</v>
      </c>
      <c r="L10">
        <f>'Data table'!L10</f>
        <v>0.59099999999999997</v>
      </c>
      <c r="M10">
        <f>'Data table'!M10</f>
        <v>23.442687747035571</v>
      </c>
      <c r="N10">
        <f>'Data table'!N10</f>
        <v>3.1545586231112064</v>
      </c>
      <c r="O10">
        <f>'Data table'!O10*(O$6^$D$2)</f>
        <v>2.2705341363024972E-11</v>
      </c>
      <c r="P10">
        <f>'Data table'!P10</f>
        <v>0.57899999999999996</v>
      </c>
      <c r="Q10">
        <f>'Data table'!Q10</f>
        <v>22.968379446640316</v>
      </c>
      <c r="R10">
        <f>'Data table'!R10</f>
        <v>3.1341184633475851</v>
      </c>
    </row>
    <row r="11" spans="2:18" x14ac:dyDescent="0.2">
      <c r="C11">
        <f>'Data table'!C11*(C$6^$D$2)</f>
        <v>1.884074362748831E-11</v>
      </c>
      <c r="D11">
        <f>'Data table'!D11</f>
        <v>0.73499999999999999</v>
      </c>
      <c r="E11">
        <f>'Data table'!E11</f>
        <v>26.704379562043794</v>
      </c>
      <c r="F11">
        <f>'Data table'!F11</f>
        <v>3.2848275804959597</v>
      </c>
      <c r="G11">
        <f>'Data table'!G11*(G$6^$D$2)</f>
        <v>3.0803507548100525E-11</v>
      </c>
      <c r="H11">
        <f>'Data table'!H11</f>
        <v>0.53800000000000003</v>
      </c>
      <c r="I11">
        <f>'Data table'!I11</f>
        <v>19.514598540145986</v>
      </c>
      <c r="J11">
        <f>'Data table'!J11</f>
        <v>2.9711628285606615</v>
      </c>
      <c r="K11">
        <f>'Data table'!K11*(K$6^$D$2)</f>
        <v>2.6385279184273588E-11</v>
      </c>
      <c r="L11">
        <f>'Data table'!L11</f>
        <v>0.44700000000000001</v>
      </c>
      <c r="M11">
        <f>'Data table'!M11</f>
        <v>17.750988142292492</v>
      </c>
      <c r="N11">
        <f>'Data table'!N11</f>
        <v>2.876441184360218</v>
      </c>
      <c r="O11">
        <f>'Data table'!O11*(O$6^$D$2)</f>
        <v>3.8112537287934775E-11</v>
      </c>
      <c r="P11">
        <f>'Data table'!P11</f>
        <v>0.35499999999999998</v>
      </c>
      <c r="Q11">
        <f>'Data table'!Q11</f>
        <v>14.114624505928854</v>
      </c>
      <c r="R11">
        <f>'Data table'!R11</f>
        <v>2.647211458866928</v>
      </c>
    </row>
    <row r="12" spans="2:18" x14ac:dyDescent="0.2">
      <c r="C12">
        <f>'Data table'!C12*(C$6^$D$2)</f>
        <v>2.5488834593187754E-11</v>
      </c>
      <c r="D12">
        <f>'Data table'!D12</f>
        <v>0.60699999999999998</v>
      </c>
      <c r="E12">
        <f>'Data table'!E12</f>
        <v>22.032846715328468</v>
      </c>
      <c r="F12">
        <f>'Data table'!F12</f>
        <v>3.0925343724083558</v>
      </c>
      <c r="G12">
        <f>'Data table'!G12*(G$6^$D$2)</f>
        <v>4.1071343397467367E-11</v>
      </c>
      <c r="H12">
        <f>'Data table'!H12</f>
        <v>0.39300000000000002</v>
      </c>
      <c r="I12">
        <f>'Data table'!I12</f>
        <v>14.222627737226277</v>
      </c>
      <c r="J12">
        <f>'Data table'!J12</f>
        <v>2.6548341989506392</v>
      </c>
      <c r="K12">
        <f>'Data table'!K12*(K$6^$D$2)</f>
        <v>3.6598935642702076E-11</v>
      </c>
      <c r="L12">
        <f>'Data table'!L12</f>
        <v>0.23100000000000001</v>
      </c>
      <c r="M12">
        <f>'Data table'!M12</f>
        <v>9.2134387351778653</v>
      </c>
      <c r="N12">
        <f>'Data table'!N12</f>
        <v>2.220663150308237</v>
      </c>
      <c r="O12">
        <f>'Data table'!O12*(O$6^$D$2)</f>
        <v>5.0276113018126725E-11</v>
      </c>
      <c r="P12">
        <f>'Data table'!P12</f>
        <v>0.249</v>
      </c>
      <c r="Q12">
        <f>'Data table'!Q12</f>
        <v>9.9249011857707501</v>
      </c>
      <c r="R12">
        <f>'Data table'!R12</f>
        <v>2.2950468704300646</v>
      </c>
    </row>
    <row r="13" spans="2:18" x14ac:dyDescent="0.2">
      <c r="C13">
        <f>'Data table'!C13*(C$6^$D$2)</f>
        <v>3.3482692960850647E-11</v>
      </c>
      <c r="D13">
        <f>'Data table'!D13</f>
        <v>0.44900000000000001</v>
      </c>
      <c r="E13">
        <f>'Data table'!E13</f>
        <v>16.266423357664234</v>
      </c>
      <c r="F13">
        <f>'Data table'!F13</f>
        <v>2.7891030665584857</v>
      </c>
      <c r="G13">
        <f>'Data table'!G13*(G$6^$D$2)</f>
        <v>5.2849155107035214E-11</v>
      </c>
      <c r="H13">
        <f>'Data table'!H13</f>
        <v>0.25800000000000001</v>
      </c>
      <c r="I13">
        <f>'Data table'!I13</f>
        <v>9.2956204379562042</v>
      </c>
      <c r="J13">
        <f>'Data table'!J13</f>
        <v>2.2295433685913868</v>
      </c>
      <c r="K13">
        <f>'Data table'!K13*(K$6^$D$2)</f>
        <v>4.1875991479556791E-11</v>
      </c>
      <c r="L13">
        <f>'Data table'!L13</f>
        <v>0.17899999999999999</v>
      </c>
      <c r="M13">
        <f>'Data table'!M13</f>
        <v>7.1581027667984181</v>
      </c>
      <c r="N13">
        <f>'Data table'!N13</f>
        <v>1.968244969155893</v>
      </c>
      <c r="O13">
        <f>'Data table'!O13*(O$6^$D$2)</f>
        <v>5.5141543310203504E-11</v>
      </c>
      <c r="P13">
        <f>'Data table'!P13</f>
        <v>0.17100000000000001</v>
      </c>
      <c r="Q13">
        <f>'Data table'!Q13</f>
        <v>6.8418972332015811</v>
      </c>
      <c r="R13">
        <f>'Data table'!R13</f>
        <v>1.923065066448689</v>
      </c>
    </row>
    <row r="14" spans="2:18" x14ac:dyDescent="0.2">
      <c r="C14">
        <f>'Data table'!C14*(C$6^$D$2)</f>
        <v>5.038553152951159E-11</v>
      </c>
      <c r="D14">
        <f>'Data table'!D14</f>
        <v>0.191</v>
      </c>
      <c r="E14">
        <f>'Data table'!E14</f>
        <v>6.8503649635036501</v>
      </c>
      <c r="F14">
        <f>'Data table'!F14</f>
        <v>1.9243019301984388</v>
      </c>
      <c r="G14">
        <f>'Data table'!G14*(G$6^$D$2)</f>
        <v>6.3720981300482461E-11</v>
      </c>
      <c r="H14">
        <f>'Data table'!H14</f>
        <v>0.16300000000000001</v>
      </c>
      <c r="I14">
        <f>'Data table'!I14</f>
        <v>5.8284671532846719</v>
      </c>
      <c r="J14">
        <f>'Data table'!J14</f>
        <v>1.7627540418269423</v>
      </c>
      <c r="K14">
        <f>'Data table'!K14*(K$6^$D$2)</f>
        <v>4.8174412962254354E-11</v>
      </c>
      <c r="L14">
        <f>'Data table'!L14</f>
        <v>0.121</v>
      </c>
      <c r="M14">
        <f>'Data table'!M14</f>
        <v>4.8656126482213438</v>
      </c>
      <c r="N14">
        <f>'Data table'!N14</f>
        <v>1.5821926374569333</v>
      </c>
      <c r="O14">
        <f>'Data table'!O14*(O$6^$D$2)</f>
        <v>6.6007670962508316E-11</v>
      </c>
      <c r="P14">
        <f>'Data table'!P14</f>
        <v>0.16500000000000001</v>
      </c>
      <c r="Q14">
        <f>'Data table'!Q14</f>
        <v>6.6047430830039522</v>
      </c>
      <c r="R14">
        <f>'Data table'!R14</f>
        <v>1.8877880398678735</v>
      </c>
    </row>
    <row r="15" spans="2:18" x14ac:dyDescent="0.2">
      <c r="G15">
        <f>'Data table'!G15*(G$6^$D$2)</f>
        <v>7.4290812321889503E-11</v>
      </c>
      <c r="H15">
        <f>'Data table'!H15</f>
        <v>0.107</v>
      </c>
      <c r="I15">
        <f>'Data table'!I15</f>
        <v>3.7846715328467151</v>
      </c>
      <c r="J15">
        <f>'Data table'!J15</f>
        <v>1.330959101841457</v>
      </c>
      <c r="K15">
        <f>'Data table'!K15*(K$6^$D$2)</f>
        <v>5.4472834444951924E-11</v>
      </c>
      <c r="L15">
        <f>'Data table'!L15</f>
        <v>7.6999999999999999E-2</v>
      </c>
      <c r="M15">
        <f>'Data table'!M15</f>
        <v>3.1264822134387353</v>
      </c>
      <c r="N15">
        <f>'Data table'!N15</f>
        <v>1.1399084790401337</v>
      </c>
      <c r="O15">
        <f>'Data table'!O15*(O$6^$D$2)</f>
        <v>7.0548739235113301E-11</v>
      </c>
      <c r="P15">
        <f>'Data table'!P15</f>
        <v>0.11</v>
      </c>
      <c r="Q15">
        <f>'Data table'!Q15</f>
        <v>4.4308300395256923</v>
      </c>
      <c r="R15">
        <f>'Data table'!R15</f>
        <v>1.4885869343446398</v>
      </c>
    </row>
    <row r="16" spans="2:18" x14ac:dyDescent="0.2">
      <c r="G16">
        <f>'Data table'!G16*(G$6^$D$2)</f>
        <v>8.6370619203497556E-11</v>
      </c>
      <c r="H16">
        <f>'Data table'!H16</f>
        <v>7.0999999999999994E-2</v>
      </c>
      <c r="I16">
        <f>'Data table'!I16</f>
        <v>2.4708029197080288</v>
      </c>
      <c r="J16">
        <f>'Data table'!J16</f>
        <v>0.90454316652420463</v>
      </c>
      <c r="K16">
        <f>'Data table'!K16*(K$6^$D$2)</f>
        <v>6.2558645807874477E-11</v>
      </c>
      <c r="L16">
        <f>'Data table'!L16</f>
        <v>0.04</v>
      </c>
      <c r="M16">
        <f>'Data table'!M16</f>
        <v>1.6640316205533596</v>
      </c>
      <c r="N16">
        <f>'Data table'!N16</f>
        <v>0.50924334495486112</v>
      </c>
      <c r="O16">
        <f>'Data table'!O16*(O$6^$D$2)</f>
        <v>8.1901409916625787E-11</v>
      </c>
      <c r="P16">
        <f>'Data table'!P16</f>
        <v>6.7000000000000004E-2</v>
      </c>
      <c r="Q16">
        <f>'Data table'!Q16</f>
        <v>2.731225296442688</v>
      </c>
      <c r="R16">
        <f>'Data table'!R16</f>
        <v>1.0047503350401497</v>
      </c>
    </row>
    <row r="17" spans="3:22" x14ac:dyDescent="0.2">
      <c r="G17">
        <f>'Data table'!G17*(G$6^$D$2)</f>
        <v>9.7846435741025196E-11</v>
      </c>
      <c r="H17">
        <f>'Data table'!H17</f>
        <v>3.9E-2</v>
      </c>
      <c r="I17">
        <f>'Data table'!I17</f>
        <v>1.3029197080291972</v>
      </c>
      <c r="J17">
        <f>'Data table'!J17</f>
        <v>0.26460767539156893</v>
      </c>
      <c r="K17">
        <f>'Data table'!K17*(K$6^$D$2)</f>
        <v>6.7665474037088719E-11</v>
      </c>
      <c r="L17">
        <f>'Data table'!L17</f>
        <v>4.2000000000000003E-2</v>
      </c>
      <c r="M17">
        <f>'Data table'!M17</f>
        <v>1.7430830039525693</v>
      </c>
      <c r="N17">
        <f>'Data table'!N17</f>
        <v>0.55565538671932579</v>
      </c>
      <c r="O17">
        <f>'Data table'!O17*(O$6^$D$2)</f>
        <v>8.6766840208702566E-11</v>
      </c>
      <c r="P17">
        <f>'Data table'!P17</f>
        <v>3.6999999999999998E-2</v>
      </c>
      <c r="Q17">
        <f>'Data table'!Q17</f>
        <v>1.5454545454545454</v>
      </c>
      <c r="R17">
        <f>'Data table'!R17</f>
        <v>0.4353180712578455</v>
      </c>
    </row>
    <row r="19" spans="3:22" x14ac:dyDescent="0.2">
      <c r="C19" s="1">
        <f>AVERAGE('Data table'!D20,'Data table'!F20)</f>
        <v>7.5649999999999995</v>
      </c>
      <c r="G19" s="1">
        <f>AVERAGE('Data table'!H20,'Data table'!J20)</f>
        <v>7.4050000000000002</v>
      </c>
      <c r="K19" s="1">
        <f>AVERAGE('Data table'!L20,'Data table'!N20)</f>
        <v>7.23</v>
      </c>
      <c r="O19" s="1">
        <f>AVERAGE('Data table'!P20,'Data table'!R20)</f>
        <v>7.77</v>
      </c>
      <c r="S19" s="1">
        <f>AVERAGE('Data table'!T20,'Data table'!V20)</f>
        <v>7.46</v>
      </c>
    </row>
    <row r="20" spans="3:22" x14ac:dyDescent="0.2">
      <c r="C20">
        <f>10^-(14-(('Data table'!D20+'Data table'!F20)/2))</f>
        <v>3.6728230049808372E-7</v>
      </c>
      <c r="G20">
        <f>10^-(14-(('Data table'!H20+'Data table'!J20)/2))</f>
        <v>2.5409727055493028E-7</v>
      </c>
      <c r="K20">
        <f>10^-(14-(('Data table'!L20+'Data table'!N20)/2))</f>
        <v>1.6982436524617427E-7</v>
      </c>
      <c r="O20">
        <f>10^-(14-(('Data table'!P20+'Data table'!R20)/2))</f>
        <v>5.8884365535558744E-7</v>
      </c>
      <c r="S20">
        <f>10^-(14-(('Data table'!T20+'Data table'!V20)/2))</f>
        <v>2.8840315031266014E-7</v>
      </c>
    </row>
    <row r="21" spans="3:22" x14ac:dyDescent="0.2">
      <c r="C21" t="str">
        <f>'Data table'!C21</f>
        <v>t (s)</v>
      </c>
      <c r="D21" t="str">
        <f>'Data table'!D21</f>
        <v>Abs</v>
      </c>
      <c r="E21" t="str">
        <f>'Data table'!E21</f>
        <v>[Fe(II)] (µM)</v>
      </c>
      <c r="F21" t="str">
        <f>'Data table'!F21</f>
        <v>ln[Fe(II)]</v>
      </c>
      <c r="G21" t="str">
        <f>'Data table'!G21</f>
        <v>t (s)</v>
      </c>
      <c r="H21" t="str">
        <f>'Data table'!H21</f>
        <v>Abs</v>
      </c>
      <c r="I21" t="str">
        <f>'Data table'!I21</f>
        <v>[Fe(II)] (µM)</v>
      </c>
      <c r="J21" t="str">
        <f>'Data table'!J21</f>
        <v>ln[Fe(II)]</v>
      </c>
      <c r="K21" t="str">
        <f>'Data table'!K21</f>
        <v>t (s)</v>
      </c>
      <c r="L21" t="str">
        <f>'Data table'!L21</f>
        <v>Abs</v>
      </c>
      <c r="M21" t="str">
        <f>'Data table'!M21</f>
        <v>[Fe(II)] (µM)</v>
      </c>
      <c r="N21" t="str">
        <f>'Data table'!N21</f>
        <v>ln[Fe(II)]</v>
      </c>
      <c r="O21" t="str">
        <f>'Data table'!O21</f>
        <v>t (s)</v>
      </c>
      <c r="P21" t="str">
        <f>'Data table'!P21</f>
        <v>Abs</v>
      </c>
      <c r="Q21" t="str">
        <f>'Data table'!Q21</f>
        <v>[Fe(II)] (µM)</v>
      </c>
      <c r="R21" t="str">
        <f>'Data table'!R21</f>
        <v>ln[Fe(II)]</v>
      </c>
      <c r="S21" t="str">
        <f>'Data table'!S21</f>
        <v>t (s)</v>
      </c>
      <c r="T21" t="str">
        <f>'Data table'!T21</f>
        <v>Abs</v>
      </c>
      <c r="U21" t="str">
        <f>'Data table'!U21</f>
        <v>[Fe(II)] (µM)</v>
      </c>
      <c r="V21" t="str">
        <f>'Data table'!V21</f>
        <v>ln[Fe(II)]</v>
      </c>
    </row>
    <row r="22" spans="3:22" x14ac:dyDescent="0.2">
      <c r="C22">
        <f>'Data table'!C22*(C$20^$D$2)</f>
        <v>1.3489628825916466E-12</v>
      </c>
      <c r="D22">
        <f>'Data table'!D22</f>
        <v>0.89800000000000002</v>
      </c>
      <c r="E22">
        <f>'Data table'!E22</f>
        <v>35.577075098814227</v>
      </c>
      <c r="F22">
        <f>'Data table'!F22</f>
        <v>3.5717014725295648</v>
      </c>
      <c r="G22">
        <f>'Data table'!G22*(G$20^$D$2)</f>
        <v>4.5195796032425802E-13</v>
      </c>
      <c r="H22">
        <f>'Data table'!H22</f>
        <v>0.75600000000000001</v>
      </c>
      <c r="I22">
        <f>'Data table'!I22</f>
        <v>29.964426877470355</v>
      </c>
      <c r="J22">
        <f>'Data table'!J22</f>
        <v>3.4000109073287836</v>
      </c>
      <c r="K22">
        <f>'Data table'!K22*(K$20^$D$2)</f>
        <v>3.7492409540645803E-13</v>
      </c>
      <c r="L22">
        <f>'Data table'!L22</f>
        <v>0.89800000000000002</v>
      </c>
      <c r="M22">
        <f>'Data table'!M22</f>
        <v>33.669524000000003</v>
      </c>
      <c r="N22">
        <f>'Data table'!N22</f>
        <v>3.5165930958589144</v>
      </c>
      <c r="O22">
        <f>'Data table'!O22*(O$20^$D$2)</f>
        <v>2.4271579531677087E-12</v>
      </c>
      <c r="P22">
        <f>'Data table'!P22</f>
        <v>0.85799999999999998</v>
      </c>
      <c r="Q22">
        <f>'Data table'!Q22</f>
        <v>32.164003999999998</v>
      </c>
      <c r="R22">
        <f>'Data table'!R22</f>
        <v>3.4708479390485363</v>
      </c>
      <c r="S22">
        <f>'Data table'!S22*(S$20^$D$2)</f>
        <v>5.822346397718679E-13</v>
      </c>
      <c r="T22">
        <f>'Data table'!T22</f>
        <v>0.90200000000000002</v>
      </c>
      <c r="U22">
        <f>'Data table'!U22</f>
        <v>33.820076</v>
      </c>
      <c r="V22">
        <f>'Data table'!V22</f>
        <v>3.5210545906589203</v>
      </c>
    </row>
    <row r="23" spans="3:22" x14ac:dyDescent="0.2">
      <c r="C23">
        <f>'Data table'!C23*(C$20^$D$2)</f>
        <v>5.2609552421074218E-12</v>
      </c>
      <c r="D23">
        <f>'Data table'!D23</f>
        <v>0.81499999999999995</v>
      </c>
      <c r="E23">
        <f>'Data table'!E23</f>
        <v>32.296442687747032</v>
      </c>
      <c r="F23">
        <f>'Data table'!F23</f>
        <v>3.4749570906571869</v>
      </c>
      <c r="G23">
        <f>'Data table'!G23*(G$20^$D$2)</f>
        <v>4.2613179116287182E-12</v>
      </c>
      <c r="H23">
        <f>'Data table'!H23</f>
        <v>0.82</v>
      </c>
      <c r="I23">
        <f>'Data table'!I23</f>
        <v>32.494071146245055</v>
      </c>
      <c r="J23">
        <f>'Data table'!J23</f>
        <v>3.4810576464246132</v>
      </c>
      <c r="K23">
        <f>'Data table'!K23*(K$20^$D$2)</f>
        <v>5.1335760755653486E-12</v>
      </c>
      <c r="L23">
        <f>'Data table'!L23</f>
        <v>0.82399999999999995</v>
      </c>
      <c r="M23">
        <f>'Data table'!M23</f>
        <v>30.884311999999998</v>
      </c>
      <c r="N23">
        <f>'Data table'!N23</f>
        <v>3.4302483527138938</v>
      </c>
      <c r="O23">
        <f>'Data table'!O23*(O$20^$D$2)</f>
        <v>1.3176000317196133E-11</v>
      </c>
      <c r="P23">
        <f>'Data table'!P23</f>
        <v>0.76600000000000001</v>
      </c>
      <c r="Q23">
        <f>'Data table'!Q23</f>
        <v>28.701307999999997</v>
      </c>
      <c r="R23">
        <f>'Data table'!R23</f>
        <v>3.3569426966399627</v>
      </c>
      <c r="S23">
        <f>'Data table'!S23*(S$20^$D$2)</f>
        <v>2.9111731988593396E-12</v>
      </c>
      <c r="T23">
        <f>'Data table'!T23</f>
        <v>0.874</v>
      </c>
      <c r="U23">
        <f>'Data table'!U23</f>
        <v>32.766212000000003</v>
      </c>
      <c r="V23">
        <f>'Data table'!V23</f>
        <v>3.4893978624986079</v>
      </c>
    </row>
    <row r="24" spans="3:22" x14ac:dyDescent="0.2">
      <c r="C24">
        <f>'Data table'!C24*(C$20^$D$2)</f>
        <v>1.2815147384620642E-11</v>
      </c>
      <c r="D24">
        <f>'Data table'!D24</f>
        <v>0.69699999999999995</v>
      </c>
      <c r="E24">
        <f>'Data table'!E24</f>
        <v>27.632411067193676</v>
      </c>
      <c r="F24">
        <f>'Data table'!F24</f>
        <v>3.3189893977844651</v>
      </c>
      <c r="G24">
        <f>'Data table'!G24*(G$20^$D$2)</f>
        <v>8.1998087087401091E-12</v>
      </c>
      <c r="H24">
        <f>'Data table'!H24</f>
        <v>0.72</v>
      </c>
      <c r="I24">
        <f>'Data table'!I24</f>
        <v>28.541501976284582</v>
      </c>
      <c r="J24">
        <f>'Data table'!J24</f>
        <v>3.3513592377236612</v>
      </c>
      <c r="K24">
        <f>'Data table'!K24*(K$20^$D$2)</f>
        <v>1.0382513411255761E-11</v>
      </c>
      <c r="L24">
        <f>'Data table'!L24</f>
        <v>0.76600000000000001</v>
      </c>
      <c r="M24">
        <f>'Data table'!M24</f>
        <v>28.701307999999997</v>
      </c>
      <c r="N24">
        <f>'Data table'!N24</f>
        <v>3.3569426966399627</v>
      </c>
      <c r="O24">
        <f>'Data table'!O24*(O$20^$D$2)</f>
        <v>2.219115842896191E-11</v>
      </c>
      <c r="P24">
        <f>'Data table'!P24</f>
        <v>0.64500000000000002</v>
      </c>
      <c r="Q24">
        <f>'Data table'!Q24</f>
        <v>24.147109999999998</v>
      </c>
      <c r="R24">
        <f>'Data table'!R24</f>
        <v>3.1841647042006471</v>
      </c>
      <c r="S24">
        <f>'Data table'!S24*(S$20^$D$2)</f>
        <v>7.6522266941445501E-12</v>
      </c>
      <c r="T24">
        <f>'Data table'!T24</f>
        <v>0.77100000000000002</v>
      </c>
      <c r="U24">
        <f>'Data table'!U24</f>
        <v>28.889498</v>
      </c>
      <c r="V24">
        <f>'Data table'!V24</f>
        <v>3.3634781380724155</v>
      </c>
    </row>
    <row r="25" spans="3:22" x14ac:dyDescent="0.2">
      <c r="C25">
        <f>'Data table'!C25*(C$20^$D$2)</f>
        <v>2.02344432388747E-11</v>
      </c>
      <c r="D25">
        <f>'Data table'!D25</f>
        <v>0.54500000000000004</v>
      </c>
      <c r="E25">
        <f>'Data table'!E25</f>
        <v>21.624505928853758</v>
      </c>
      <c r="F25">
        <f>'Data table'!F25</f>
        <v>3.0738272053363058</v>
      </c>
      <c r="G25">
        <f>'Data table'!G25*(G$20^$D$2)</f>
        <v>1.5883094034252496E-11</v>
      </c>
      <c r="H25">
        <f>'Data table'!H25</f>
        <v>0.623</v>
      </c>
      <c r="I25">
        <f>'Data table'!I25</f>
        <v>24.707509881422926</v>
      </c>
      <c r="J25">
        <f>'Data table'!J25</f>
        <v>3.2071072412042922</v>
      </c>
      <c r="K25">
        <f>'Data table'!K25*(K$20^$D$2)</f>
        <v>1.5631450746946173E-11</v>
      </c>
      <c r="L25">
        <f>'Data table'!L25</f>
        <v>0.67900000000000005</v>
      </c>
      <c r="M25">
        <f>'Data table'!M25</f>
        <v>25.426801999999999</v>
      </c>
      <c r="N25">
        <f>'Data table'!N25</f>
        <v>3.2358038145460113</v>
      </c>
      <c r="O25">
        <f>'Data table'!O25*(O$20^$D$2)</f>
        <v>3.3633474493895391E-11</v>
      </c>
      <c r="P25">
        <f>'Data table'!P25</f>
        <v>0.501</v>
      </c>
      <c r="Q25">
        <f>'Data table'!Q25</f>
        <v>18.727238</v>
      </c>
      <c r="R25">
        <f>'Data table'!R25</f>
        <v>2.9299790416205593</v>
      </c>
      <c r="S25">
        <f>'Data table'!S25*(S$20^$D$2)</f>
        <v>1.7300686438935504E-11</v>
      </c>
      <c r="T25">
        <f>'Data table'!T25</f>
        <v>0.57399999999999995</v>
      </c>
      <c r="U25">
        <f>'Data table'!U25</f>
        <v>21.474811999999996</v>
      </c>
      <c r="V25">
        <f>'Data table'!V25</f>
        <v>3.0668807134664577</v>
      </c>
    </row>
    <row r="26" spans="3:22" x14ac:dyDescent="0.2">
      <c r="C26">
        <f>'Data table'!C26*(C$20^$D$2)</f>
        <v>2.4955813327945464E-11</v>
      </c>
      <c r="D26">
        <f>'Data table'!D26</f>
        <v>0.47699999999999998</v>
      </c>
      <c r="E26">
        <f>'Data table'!E26</f>
        <v>18.936758893280633</v>
      </c>
      <c r="F26">
        <f>'Data table'!F26</f>
        <v>2.9411049481556018</v>
      </c>
      <c r="G26">
        <f>'Data table'!G26*(G$20^$D$2)</f>
        <v>1.9757019408460423E-11</v>
      </c>
      <c r="H26">
        <f>'Data table'!H26</f>
        <v>0.42499999999999999</v>
      </c>
      <c r="I26">
        <f>'Data table'!I26</f>
        <v>16.881422924901184</v>
      </c>
      <c r="J26">
        <f>'Data table'!J26</f>
        <v>2.8262137821139461</v>
      </c>
      <c r="K26">
        <f>'Data table'!K26*(K$20^$D$2)</f>
        <v>2.0765026822511521E-11</v>
      </c>
      <c r="L26">
        <f>'Data table'!L26</f>
        <v>0.61499999999999999</v>
      </c>
      <c r="M26">
        <f>'Data table'!M26</f>
        <v>23.017969999999998</v>
      </c>
      <c r="N26">
        <f>'Data table'!N26</f>
        <v>3.1362752152176196</v>
      </c>
      <c r="O26">
        <f>'Data table'!O26*(O$20^$D$2)</f>
        <v>4.3342106306566231E-11</v>
      </c>
      <c r="P26">
        <f>'Data table'!P26</f>
        <v>0.35199999999999998</v>
      </c>
      <c r="Q26">
        <f>'Data table'!Q26</f>
        <v>13.119175999999998</v>
      </c>
      <c r="R26">
        <f>'Data table'!R26</f>
        <v>2.5740749766655853</v>
      </c>
      <c r="S26">
        <f>'Data table'!S26*(S$20^$D$2)</f>
        <v>2.7697733577718858E-11</v>
      </c>
      <c r="T26">
        <f>'Data table'!T26</f>
        <v>0.36099999999999999</v>
      </c>
      <c r="U26">
        <f>'Data table'!U26</f>
        <v>13.457917999999998</v>
      </c>
      <c r="V26">
        <f>'Data table'!V26</f>
        <v>2.5995676317173957</v>
      </c>
    </row>
    <row r="27" spans="3:22" x14ac:dyDescent="0.2">
      <c r="C27">
        <f>'Data table'!C27*(C$20^$D$2)</f>
        <v>2.8867805687461237E-11</v>
      </c>
      <c r="D27">
        <f>'Data table'!D27</f>
        <v>0.39500000000000002</v>
      </c>
      <c r="E27">
        <f>'Data table'!E27</f>
        <v>15.695652173913045</v>
      </c>
      <c r="F27">
        <f>'Data table'!F27</f>
        <v>2.7533837424037313</v>
      </c>
      <c r="G27">
        <f>'Data table'!G27*(G$20^$D$2)</f>
        <v>2.3630944782668349E-11</v>
      </c>
      <c r="H27">
        <f>'Data table'!H27</f>
        <v>0.34200000000000003</v>
      </c>
      <c r="I27">
        <f>'Data table'!I27</f>
        <v>13.600790513833992</v>
      </c>
      <c r="J27">
        <f>'Data table'!J27</f>
        <v>2.6101279170699603</v>
      </c>
      <c r="K27">
        <f>'Data table'!K27*(K$20^$D$2)</f>
        <v>2.6042804473233203E-11</v>
      </c>
      <c r="L27">
        <f>'Data table'!L27</f>
        <v>0.52</v>
      </c>
      <c r="M27">
        <f>'Data table'!M27</f>
        <v>19.442360000000001</v>
      </c>
      <c r="N27">
        <f>'Data table'!N27</f>
        <v>2.967454190840964</v>
      </c>
      <c r="O27">
        <f>'Data table'!O27*(O$20^$D$2)</f>
        <v>5.6864843474214892E-11</v>
      </c>
      <c r="P27">
        <f>'Data table'!P27</f>
        <v>0.217</v>
      </c>
      <c r="Q27">
        <f>'Data table'!Q27</f>
        <v>8.0380459999999996</v>
      </c>
      <c r="R27">
        <f>'Data table'!R27</f>
        <v>2.0841860188272552</v>
      </c>
      <c r="S27">
        <f>'Data table'!S27*(S$20^$D$2)</f>
        <v>3.6930311436958482E-11</v>
      </c>
      <c r="T27">
        <f>'Data table'!T27</f>
        <v>0.217</v>
      </c>
      <c r="U27">
        <f>'Data table'!U27</f>
        <v>8.0380459999999996</v>
      </c>
      <c r="V27">
        <f>'Data table'!V27</f>
        <v>2.0841860188272552</v>
      </c>
    </row>
    <row r="28" spans="3:22" x14ac:dyDescent="0.2">
      <c r="C28">
        <f>'Data table'!C28*(C$20^$D$2)</f>
        <v>3.2644901758717848E-11</v>
      </c>
      <c r="D28">
        <f>'Data table'!D28</f>
        <v>0.32800000000000001</v>
      </c>
      <c r="E28">
        <f>'Data table'!E28</f>
        <v>13.047430830039525</v>
      </c>
      <c r="F28">
        <f>'Data table'!F28</f>
        <v>2.5685912431256726</v>
      </c>
      <c r="G28">
        <f>'Data table'!G28*(G$20^$D$2)</f>
        <v>2.7375739311069343E-11</v>
      </c>
      <c r="H28">
        <f>'Data table'!H28</f>
        <v>0.27100000000000002</v>
      </c>
      <c r="I28">
        <f>'Data table'!I28</f>
        <v>10.794466403162057</v>
      </c>
      <c r="J28">
        <f>'Data table'!J28</f>
        <v>2.379033632746185</v>
      </c>
      <c r="K28">
        <f>'Data table'!K28*(K$20^$D$2)</f>
        <v>3.123406117886108E-11</v>
      </c>
      <c r="L28">
        <f>'Data table'!L28</f>
        <v>0.442</v>
      </c>
      <c r="M28">
        <f>'Data table'!M28</f>
        <v>16.506595999999998</v>
      </c>
      <c r="N28">
        <f>'Data table'!N28</f>
        <v>2.8037600586005209</v>
      </c>
      <c r="O28">
        <f>'Data table'!O28*(O$20^$D$2)</f>
        <v>6.6573475286885732E-11</v>
      </c>
      <c r="P28">
        <f>'Data table'!P28</f>
        <v>0.13800000000000001</v>
      </c>
      <c r="Q28">
        <f>'Data table'!Q28</f>
        <v>5.0646439999999995</v>
      </c>
      <c r="R28">
        <f>'Data table'!R28</f>
        <v>1.6222838489520695</v>
      </c>
      <c r="S28">
        <f>'Data table'!S28*(S$20^$D$2)</f>
        <v>4.6911476690190503E-11</v>
      </c>
      <c r="T28">
        <f>'Data table'!T28</f>
        <v>0.12</v>
      </c>
      <c r="U28">
        <f>'Data table'!U28</f>
        <v>4.3871599999999988</v>
      </c>
      <c r="V28">
        <f>'Data table'!V28</f>
        <v>1.478682092911763</v>
      </c>
    </row>
    <row r="29" spans="3:22" x14ac:dyDescent="0.2">
      <c r="C29">
        <f>'Data table'!C29*(C$20^$D$2)</f>
        <v>3.7501168136047774E-11</v>
      </c>
      <c r="D29">
        <f>'Data table'!D29</f>
        <v>0.26600000000000001</v>
      </c>
      <c r="E29">
        <f>'Data table'!E29</f>
        <v>10.596837944664031</v>
      </c>
      <c r="F29">
        <f>'Data table'!F29</f>
        <v>2.3605556495084392</v>
      </c>
      <c r="G29">
        <f>'Data table'!G29*(G$20^$D$2)</f>
        <v>3.1314230108180734E-11</v>
      </c>
      <c r="H29">
        <f>'Data table'!H29</f>
        <v>0.20799999999999999</v>
      </c>
      <c r="I29">
        <f>'Data table'!I29</f>
        <v>8.3043478260869552</v>
      </c>
      <c r="J29">
        <f>'Data table'!J29</f>
        <v>2.1167792121174802</v>
      </c>
      <c r="K29">
        <f>'Data table'!K29*(K$20^$D$2)</f>
        <v>3.6194595364238833E-11</v>
      </c>
      <c r="L29">
        <f>'Data table'!L29</f>
        <v>0.36</v>
      </c>
      <c r="M29">
        <f>'Data table'!M29</f>
        <v>13.420279999999998</v>
      </c>
      <c r="N29">
        <f>'Data table'!N29</f>
        <v>2.5967669957073976</v>
      </c>
      <c r="O29">
        <f>'Data table'!O29*(O$20^$D$2)</f>
        <v>7.6975580800461628E-11</v>
      </c>
      <c r="P29">
        <f>'Data table'!P29</f>
        <v>8.6999999999999994E-2</v>
      </c>
      <c r="Q29">
        <f>'Data table'!Q29</f>
        <v>3.1451059999999997</v>
      </c>
      <c r="R29">
        <f>'Data table'!R29</f>
        <v>1.1458475938769548</v>
      </c>
      <c r="S29">
        <f>'Data table'!S29*(S$20^$D$2)</f>
        <v>5.7391700206084121E-11</v>
      </c>
      <c r="T29">
        <f>'Data table'!T29</f>
        <v>8.7999999999999995E-2</v>
      </c>
      <c r="U29">
        <f>'Data table'!U29</f>
        <v>3.1827439999999996</v>
      </c>
      <c r="V29">
        <f>'Data table'!V29</f>
        <v>1.1577437177956382</v>
      </c>
    </row>
    <row r="30" spans="3:22" x14ac:dyDescent="0.2">
      <c r="C30">
        <f>'Data table'!C30*(C$20^$D$2)</f>
        <v>4.46506714137835E-11</v>
      </c>
      <c r="D30">
        <f>'Data table'!D30</f>
        <v>0.17499999999999999</v>
      </c>
      <c r="E30">
        <f>'Data table'!E30</f>
        <v>6.9999999999999991</v>
      </c>
      <c r="F30">
        <f>'Data table'!F30</f>
        <v>1.9459101490553132</v>
      </c>
      <c r="G30">
        <f>'Data table'!G30*(G$20^$D$2)</f>
        <v>3.3961412447222816E-11</v>
      </c>
      <c r="H30">
        <f>'Data table'!H30</f>
        <v>0.16700000000000001</v>
      </c>
      <c r="I30">
        <f>'Data table'!I30</f>
        <v>6.6837944664031621</v>
      </c>
      <c r="J30">
        <f>'Data table'!J30</f>
        <v>1.89968586017106</v>
      </c>
      <c r="K30">
        <f>'Data table'!K30*(K$20^$D$2)</f>
        <v>4.1530053645023043E-11</v>
      </c>
      <c r="L30">
        <f>'Data table'!L30</f>
        <v>0.29499999999999998</v>
      </c>
      <c r="M30">
        <f>'Data table'!M30</f>
        <v>10.973809999999999</v>
      </c>
      <c r="N30">
        <f>'Data table'!N30</f>
        <v>2.3955115248364542</v>
      </c>
      <c r="O30">
        <f>'Data table'!O30*(O$20^$D$2)</f>
        <v>9.3618949622183055E-11</v>
      </c>
      <c r="P30">
        <f>'Data table'!P30</f>
        <v>3.7999999999999999E-2</v>
      </c>
      <c r="Q30">
        <f>'Data table'!Q30</f>
        <v>1.3008439999999999</v>
      </c>
      <c r="R30">
        <f>'Data table'!R30</f>
        <v>0.26301328457759854</v>
      </c>
      <c r="S30">
        <f>'Data table'!S30*(S$20^$D$2)</f>
        <v>6.7123336327985343E-11</v>
      </c>
      <c r="T30">
        <f>'Data table'!T30</f>
        <v>4.2000000000000003E-2</v>
      </c>
      <c r="U30">
        <f>'Data table'!U30</f>
        <v>1.4513960000000001</v>
      </c>
      <c r="V30">
        <f>'Data table'!V30</f>
        <v>0.37252585189833898</v>
      </c>
    </row>
    <row r="31" spans="3:22" x14ac:dyDescent="0.2">
      <c r="C31">
        <f>'Data table'!C31*(C$20^$D$2)</f>
        <v>5.1125693250223406E-11</v>
      </c>
      <c r="D31">
        <f>'Data table'!D31</f>
        <v>0.123</v>
      </c>
      <c r="E31">
        <f>'Data table'!E31</f>
        <v>4.9446640316205528</v>
      </c>
      <c r="F31">
        <f>'Data table'!F31</f>
        <v>1.5983090217393907</v>
      </c>
      <c r="G31">
        <f>'Data table'!G31*(G$20^$D$2)</f>
        <v>3.9191211702403516E-11</v>
      </c>
      <c r="H31">
        <f>'Data table'!H31</f>
        <v>0.13800000000000001</v>
      </c>
      <c r="I31">
        <f>'Data table'!I31</f>
        <v>5.537549407114625</v>
      </c>
      <c r="J31">
        <f>'Data table'!J31</f>
        <v>1.7115520576094869</v>
      </c>
      <c r="K31">
        <f>'Data table'!K31*(K$20^$D$2)</f>
        <v>4.6778990980713455E-11</v>
      </c>
      <c r="L31">
        <f>'Data table'!L31</f>
        <v>0.23699999999999999</v>
      </c>
      <c r="M31">
        <f>'Data table'!M31</f>
        <v>8.7908059999999981</v>
      </c>
      <c r="N31">
        <f>'Data table'!N31</f>
        <v>2.1737064026014234</v>
      </c>
      <c r="O31">
        <f>'Data table'!O31*(O$20^$D$2)</f>
        <v>1.0436779198621148E-10</v>
      </c>
      <c r="P31">
        <f>'Data table'!P31</f>
        <v>2.7E-2</v>
      </c>
      <c r="Q31">
        <f>'Data table'!Q31</f>
        <v>0.88682599999999989</v>
      </c>
      <c r="R31">
        <f>'Data table'!R31</f>
        <v>-0.12010648277035768</v>
      </c>
      <c r="S31">
        <f>'Data table'!S31*(S$20^$D$2)</f>
        <v>7.6771796072776294E-11</v>
      </c>
      <c r="T31">
        <f>'Data table'!T31</f>
        <v>1.4999999999999999E-2</v>
      </c>
      <c r="U31">
        <f>'Data table'!U31</f>
        <v>0.43516999999999995</v>
      </c>
      <c r="V31">
        <f>'Data table'!V31</f>
        <v>-0.83201851963997897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P52"/>
  <sheetViews>
    <sheetView topLeftCell="A23" workbookViewId="0">
      <selection activeCell="G28" sqref="G28:G32"/>
    </sheetView>
  </sheetViews>
  <sheetFormatPr baseColWidth="10" defaultColWidth="8.83203125" defaultRowHeight="15" x14ac:dyDescent="0.2"/>
  <cols>
    <col min="4" max="4" width="13.6640625" customWidth="1"/>
    <col min="5" max="5" width="12.5" customWidth="1"/>
  </cols>
  <sheetData>
    <row r="3" spans="1:8" x14ac:dyDescent="0.2">
      <c r="D3" s="4" t="s">
        <v>56</v>
      </c>
    </row>
    <row r="5" spans="1:8" x14ac:dyDescent="0.2">
      <c r="D5" s="34" t="s">
        <v>12</v>
      </c>
      <c r="E5" s="33" t="s">
        <v>57</v>
      </c>
    </row>
    <row r="6" spans="1:8" x14ac:dyDescent="0.2">
      <c r="D6" s="28">
        <v>0</v>
      </c>
      <c r="E6" s="35">
        <v>0</v>
      </c>
    </row>
    <row r="7" spans="1:8" x14ac:dyDescent="0.2">
      <c r="D7" s="28">
        <v>0.4</v>
      </c>
      <c r="E7" s="35">
        <v>1.4999999999999999E-2</v>
      </c>
    </row>
    <row r="8" spans="1:8" x14ac:dyDescent="0.2">
      <c r="D8" s="28">
        <v>1</v>
      </c>
      <c r="E8" s="35">
        <v>2.4E-2</v>
      </c>
    </row>
    <row r="9" spans="1:8" x14ac:dyDescent="0.2">
      <c r="D9" s="28">
        <v>4</v>
      </c>
      <c r="E9" s="35">
        <v>8.5000000000000006E-2</v>
      </c>
    </row>
    <row r="10" spans="1:8" x14ac:dyDescent="0.2">
      <c r="D10" s="28">
        <v>20</v>
      </c>
      <c r="E10" s="35">
        <v>0.49099999999999999</v>
      </c>
    </row>
    <row r="11" spans="1:8" x14ac:dyDescent="0.2">
      <c r="D11" s="30">
        <v>40</v>
      </c>
      <c r="E11" s="36">
        <v>1</v>
      </c>
    </row>
    <row r="15" spans="1:8" x14ac:dyDescent="0.2">
      <c r="A15" s="72" t="s">
        <v>58</v>
      </c>
      <c r="B15" s="73"/>
      <c r="C15" s="74"/>
      <c r="D15" s="34">
        <f t="array" ref="D15:E19">LINEST(E6:E11,D6:D11,TRUE,TRUE)</f>
        <v>2.498389940964502E-2</v>
      </c>
      <c r="E15" s="33">
        <v>-3.1578368984640504E-3</v>
      </c>
      <c r="F15" s="66" t="s">
        <v>59</v>
      </c>
      <c r="G15" s="67"/>
      <c r="H15" s="68"/>
    </row>
    <row r="16" spans="1:8" x14ac:dyDescent="0.2">
      <c r="A16" s="75" t="s">
        <v>60</v>
      </c>
      <c r="B16" s="76"/>
      <c r="C16" s="77"/>
      <c r="D16" s="28">
        <v>2.2537216570639164E-4</v>
      </c>
      <c r="E16" s="35">
        <v>4.1323283870547045E-3</v>
      </c>
      <c r="F16" s="69" t="s">
        <v>61</v>
      </c>
      <c r="G16" s="70"/>
      <c r="H16" s="71"/>
    </row>
    <row r="17" spans="1:16" x14ac:dyDescent="0.2">
      <c r="A17" s="72" t="s">
        <v>3</v>
      </c>
      <c r="B17" s="73"/>
      <c r="C17" s="74"/>
      <c r="D17" s="34">
        <v>0.9996746140729259</v>
      </c>
      <c r="E17" s="33">
        <v>8.1393369038251107E-3</v>
      </c>
      <c r="F17" s="66" t="s">
        <v>62</v>
      </c>
      <c r="G17" s="67"/>
      <c r="H17" s="68"/>
    </row>
    <row r="18" spans="1:16" x14ac:dyDescent="0.2">
      <c r="A18" s="75" t="s">
        <v>63</v>
      </c>
      <c r="B18" s="76"/>
      <c r="C18" s="77"/>
      <c r="D18" s="28">
        <v>12289.094652154494</v>
      </c>
      <c r="E18" s="35">
        <v>4</v>
      </c>
      <c r="F18" s="69" t="s">
        <v>64</v>
      </c>
      <c r="G18" s="70"/>
      <c r="H18" s="71"/>
    </row>
    <row r="19" spans="1:16" x14ac:dyDescent="0.2">
      <c r="A19" s="72" t="s">
        <v>65</v>
      </c>
      <c r="B19" s="73"/>
      <c r="C19" s="74"/>
      <c r="D19" s="34">
        <v>0.81413783811239737</v>
      </c>
      <c r="E19" s="33">
        <v>2.6499522093587741E-4</v>
      </c>
      <c r="F19" s="66" t="s">
        <v>66</v>
      </c>
      <c r="G19" s="67"/>
      <c r="H19" s="68"/>
    </row>
    <row r="25" spans="1:16" x14ac:dyDescent="0.2">
      <c r="O25" s="4" t="s">
        <v>67</v>
      </c>
    </row>
    <row r="26" spans="1:16" x14ac:dyDescent="0.2">
      <c r="D26" t="s">
        <v>68</v>
      </c>
      <c r="F26" t="s">
        <v>69</v>
      </c>
      <c r="H26" t="s">
        <v>70</v>
      </c>
      <c r="J26" t="s">
        <v>71</v>
      </c>
      <c r="O26" t="s">
        <v>72</v>
      </c>
    </row>
    <row r="27" spans="1:16" x14ac:dyDescent="0.2">
      <c r="D27" s="28">
        <v>0</v>
      </c>
      <c r="E27" s="35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t="s">
        <v>73</v>
      </c>
      <c r="P27" t="s">
        <v>74</v>
      </c>
    </row>
    <row r="28" spans="1:16" x14ac:dyDescent="0.2">
      <c r="D28" s="28">
        <v>0.4</v>
      </c>
      <c r="E28" s="35">
        <v>1.4999999999999999E-2</v>
      </c>
      <c r="F28">
        <v>0.5</v>
      </c>
      <c r="G28">
        <v>2.1000000000000001E-2</v>
      </c>
      <c r="H28">
        <v>0.5</v>
      </c>
      <c r="I28">
        <v>6.0000000000000001E-3</v>
      </c>
      <c r="J28">
        <v>0.5</v>
      </c>
      <c r="K28">
        <v>1.4E-2</v>
      </c>
      <c r="L28">
        <f>AVERAGE(G28,I28,K28)</f>
        <v>1.3666666666666667E-2</v>
      </c>
      <c r="M28">
        <f>STDEV(E28,G28,I28,K28)</f>
        <v>6.1644140029689749E-3</v>
      </c>
      <c r="N28">
        <f>(M28/L28)*100</f>
        <v>45.105468314407133</v>
      </c>
      <c r="O28" s="44">
        <f>STDEV(G28,I28,K28)</f>
        <v>7.5055534994651367E-3</v>
      </c>
      <c r="P28" s="44">
        <f>(3*O28)/D46</f>
        <v>0.85414830493499339</v>
      </c>
    </row>
    <row r="29" spans="1:16" x14ac:dyDescent="0.2">
      <c r="D29" s="28">
        <v>1</v>
      </c>
      <c r="E29" s="35">
        <v>2.4E-2</v>
      </c>
      <c r="F29">
        <v>1</v>
      </c>
      <c r="G29">
        <v>2.8000000000000001E-2</v>
      </c>
      <c r="H29">
        <v>1</v>
      </c>
      <c r="I29">
        <v>2.3E-2</v>
      </c>
      <c r="J29">
        <v>1</v>
      </c>
      <c r="K29">
        <v>3.9E-2</v>
      </c>
      <c r="L29">
        <f>AVERAGE(G29,I29,K29)</f>
        <v>0.03</v>
      </c>
      <c r="M29">
        <f>STDEV(E29,G29,I29,K29)</f>
        <v>7.3257536586119436E-3</v>
      </c>
      <c r="N29">
        <f>(M29/L29)*100</f>
        <v>24.419178862039811</v>
      </c>
    </row>
    <row r="30" spans="1:16" x14ac:dyDescent="0.2">
      <c r="D30" s="28">
        <v>4</v>
      </c>
      <c r="E30" s="35">
        <v>8.5000000000000006E-2</v>
      </c>
      <c r="F30">
        <v>5</v>
      </c>
      <c r="G30">
        <v>0.13900000000000001</v>
      </c>
      <c r="H30">
        <v>5</v>
      </c>
      <c r="I30">
        <v>0.124</v>
      </c>
      <c r="J30">
        <v>5</v>
      </c>
      <c r="K30">
        <v>0.13200000000000001</v>
      </c>
      <c r="L30">
        <f>AVERAGE(G30,I30,K30)</f>
        <v>0.13166666666666668</v>
      </c>
      <c r="M30">
        <f>STDEV(E30,G30,I30,K30)</f>
        <v>2.4124676163629621E-2</v>
      </c>
      <c r="N30">
        <f>(M30/L30)*100</f>
        <v>18.322538858452873</v>
      </c>
    </row>
    <row r="31" spans="1:16" x14ac:dyDescent="0.2">
      <c r="D31" s="28">
        <v>20</v>
      </c>
      <c r="E31" s="35">
        <v>0.49099999999999999</v>
      </c>
      <c r="F31">
        <v>25</v>
      </c>
      <c r="G31">
        <v>0.69599999999999995</v>
      </c>
      <c r="H31">
        <v>25</v>
      </c>
      <c r="I31">
        <v>0.63500000000000001</v>
      </c>
      <c r="J31">
        <v>25</v>
      </c>
      <c r="K31">
        <v>0.69</v>
      </c>
      <c r="L31">
        <f>AVERAGE(G31,I31,K31)</f>
        <v>0.67366666666666664</v>
      </c>
      <c r="M31">
        <f>STDEV(E31,G31,I31,K31)</f>
        <v>9.5369457025472934E-2</v>
      </c>
      <c r="N31">
        <f>(M31/L31)*100</f>
        <v>14.15677244316768</v>
      </c>
    </row>
    <row r="32" spans="1:16" x14ac:dyDescent="0.2">
      <c r="D32" s="30">
        <v>40</v>
      </c>
      <c r="E32" s="36">
        <v>1</v>
      </c>
      <c r="F32">
        <v>50</v>
      </c>
      <c r="G32">
        <v>1.3720000000000001</v>
      </c>
      <c r="H32">
        <v>50</v>
      </c>
      <c r="I32">
        <v>1.2589999999999999</v>
      </c>
      <c r="J32">
        <v>50</v>
      </c>
      <c r="K32">
        <v>1.391</v>
      </c>
    </row>
    <row r="34" spans="3:11" x14ac:dyDescent="0.2">
      <c r="D34" s="34">
        <f t="array" ref="D34:E38">LINEST(E27:E32,D27:D32,TRUE,TRUE)</f>
        <v>2.498389940964502E-2</v>
      </c>
      <c r="E34" s="33">
        <v>-3.1578368984640504E-3</v>
      </c>
      <c r="F34" s="34">
        <f t="array" ref="F34:G38">LINEST(G27:G32,F27:F32,TRUE,TRUE)</f>
        <v>2.7438250341411712E-2</v>
      </c>
      <c r="G34" s="33">
        <v>3.2970995291576322E-3</v>
      </c>
      <c r="H34" s="34">
        <f t="array" ref="H34:I38">LINEST(I27:I32,H27:H32,TRUE,TRUE)</f>
        <v>2.5274291188520412E-2</v>
      </c>
      <c r="I34" s="33">
        <v>-2.142455310735647E-3</v>
      </c>
      <c r="J34" s="34">
        <f t="array" ref="J34:K38">LINEST(K27:K32,J27:J32,TRUE,TRUE)</f>
        <v>2.7749699353865603E-2</v>
      </c>
      <c r="K34" s="33">
        <v>7.3325044332550604E-4</v>
      </c>
    </row>
    <row r="35" spans="3:11" x14ac:dyDescent="0.2">
      <c r="D35" s="28">
        <v>2.2537216570639164E-4</v>
      </c>
      <c r="E35" s="35">
        <v>4.1323283870547045E-3</v>
      </c>
      <c r="F35" s="28">
        <v>1.0622046790258927E-4</v>
      </c>
      <c r="G35" s="35">
        <v>2.4342995248224056E-3</v>
      </c>
      <c r="H35" s="28">
        <v>8.5239477433166245E-5</v>
      </c>
      <c r="I35" s="35">
        <v>1.9534692654710924E-3</v>
      </c>
      <c r="J35" s="28">
        <v>1.5453157236016641E-4</v>
      </c>
      <c r="K35" s="35">
        <v>3.5414656006918471E-3</v>
      </c>
    </row>
    <row r="36" spans="3:11" x14ac:dyDescent="0.2">
      <c r="D36" s="34">
        <v>0.9996746140729259</v>
      </c>
      <c r="E36" s="33">
        <v>8.1393369038251107E-3</v>
      </c>
      <c r="F36" s="34">
        <v>0.99994005712766121</v>
      </c>
      <c r="G36" s="33">
        <v>4.8025377507048845E-3</v>
      </c>
      <c r="H36" s="34">
        <v>0.99995450498418881</v>
      </c>
      <c r="I36" s="33">
        <v>3.8539258610548748E-3</v>
      </c>
      <c r="J36" s="34">
        <v>0.99987597078201684</v>
      </c>
      <c r="K36" s="33">
        <v>6.9868239576582778E-3</v>
      </c>
    </row>
    <row r="37" spans="3:11" x14ac:dyDescent="0.2">
      <c r="D37" s="28">
        <v>12289.094652154494</v>
      </c>
      <c r="E37" s="35">
        <v>4</v>
      </c>
      <c r="F37" s="28">
        <v>66726.202339953699</v>
      </c>
      <c r="G37" s="35">
        <v>4</v>
      </c>
      <c r="H37" s="28">
        <v>87917.719086731449</v>
      </c>
      <c r="I37" s="35">
        <v>4</v>
      </c>
      <c r="J37" s="28">
        <v>32246.465374571402</v>
      </c>
      <c r="K37" s="35">
        <v>4</v>
      </c>
    </row>
    <row r="38" spans="3:11" x14ac:dyDescent="0.2">
      <c r="D38" s="34">
        <v>0.81413783811239737</v>
      </c>
      <c r="E38" s="33">
        <v>2.6499522093587741E-4</v>
      </c>
      <c r="F38" s="34">
        <v>1.5389977425246122</v>
      </c>
      <c r="G38" s="33">
        <v>9.225747538778214E-5</v>
      </c>
      <c r="H38" s="34">
        <v>1.3058194223551631</v>
      </c>
      <c r="I38" s="33">
        <v>5.9410978170030233E-5</v>
      </c>
      <c r="J38" s="34">
        <v>1.5741340704972722</v>
      </c>
      <c r="K38" s="33">
        <v>1.9526283606123072E-4</v>
      </c>
    </row>
    <row r="40" spans="3:11" x14ac:dyDescent="0.2">
      <c r="J40" t="s">
        <v>75</v>
      </c>
    </row>
    <row r="41" spans="3:11" x14ac:dyDescent="0.2">
      <c r="C41" s="33" t="s">
        <v>47</v>
      </c>
      <c r="D41" s="33" t="s">
        <v>76</v>
      </c>
      <c r="E41" s="33" t="s">
        <v>77</v>
      </c>
      <c r="F41" s="33" t="s">
        <v>78</v>
      </c>
      <c r="G41" s="33" t="s">
        <v>77</v>
      </c>
      <c r="H41" s="33" t="s">
        <v>3</v>
      </c>
    </row>
    <row r="42" spans="3:11" x14ac:dyDescent="0.2">
      <c r="C42" s="33">
        <v>1</v>
      </c>
      <c r="D42" s="43">
        <f>D34</f>
        <v>2.498389940964502E-2</v>
      </c>
      <c r="E42" s="43">
        <f>D35</f>
        <v>2.2537216570639164E-4</v>
      </c>
      <c r="F42" s="33">
        <f>E34</f>
        <v>-3.1578368984640504E-3</v>
      </c>
      <c r="G42" s="33">
        <f>E35</f>
        <v>4.1323283870547045E-3</v>
      </c>
      <c r="H42" s="43">
        <f>D36</f>
        <v>0.9996746140729259</v>
      </c>
    </row>
    <row r="43" spans="3:11" x14ac:dyDescent="0.2">
      <c r="C43" s="33">
        <v>2</v>
      </c>
      <c r="D43" s="43">
        <f>F34</f>
        <v>2.7438250341411712E-2</v>
      </c>
      <c r="E43" s="43">
        <f>F35</f>
        <v>1.0622046790258927E-4</v>
      </c>
      <c r="F43" s="33">
        <f>G34</f>
        <v>3.2970995291576322E-3</v>
      </c>
      <c r="G43" s="33">
        <f>G35</f>
        <v>2.4342995248224056E-3</v>
      </c>
      <c r="H43" s="43">
        <f>F36</f>
        <v>0.99994005712766121</v>
      </c>
    </row>
    <row r="44" spans="3:11" x14ac:dyDescent="0.2">
      <c r="C44" s="33">
        <v>3</v>
      </c>
      <c r="D44" s="43">
        <f>H34</f>
        <v>2.5274291188520412E-2</v>
      </c>
      <c r="E44" s="43">
        <f>H35</f>
        <v>8.5239477433166245E-5</v>
      </c>
      <c r="F44" s="33">
        <f>I34</f>
        <v>-2.142455310735647E-3</v>
      </c>
      <c r="G44" s="33">
        <f>I35</f>
        <v>1.9534692654710924E-3</v>
      </c>
      <c r="H44" s="43">
        <f>H36</f>
        <v>0.99995450498418881</v>
      </c>
    </row>
    <row r="45" spans="3:11" x14ac:dyDescent="0.2">
      <c r="C45" s="33">
        <v>4</v>
      </c>
      <c r="D45" s="43">
        <f>J34</f>
        <v>2.7749699353865603E-2</v>
      </c>
      <c r="E45" s="43">
        <f>J35</f>
        <v>1.5453157236016641E-4</v>
      </c>
      <c r="F45" s="33">
        <f>K34</f>
        <v>7.3325044332550604E-4</v>
      </c>
      <c r="G45" s="33">
        <f>K35</f>
        <v>3.5414656006918471E-3</v>
      </c>
      <c r="H45" s="43">
        <f>J36</f>
        <v>0.99987597078201684</v>
      </c>
    </row>
    <row r="46" spans="3:11" x14ac:dyDescent="0.2">
      <c r="C46" s="33" t="s">
        <v>79</v>
      </c>
      <c r="D46" s="43">
        <f>AVERAGE(D42:D45)</f>
        <v>2.6361535073360687E-2</v>
      </c>
      <c r="E46" s="43"/>
      <c r="F46" s="43">
        <f>AVERAGE(F42:F45)</f>
        <v>-3.1748555917913979E-4</v>
      </c>
      <c r="G46" s="43"/>
      <c r="H46" s="43"/>
    </row>
    <row r="47" spans="3:11" x14ac:dyDescent="0.2">
      <c r="C47" s="33" t="s">
        <v>80</v>
      </c>
      <c r="D47" s="43">
        <f>STDEV(D42:D45)</f>
        <v>1.4336776863702434E-3</v>
      </c>
      <c r="E47" s="43"/>
      <c r="F47" s="33"/>
      <c r="G47" s="33"/>
      <c r="H47" s="33"/>
    </row>
    <row r="52" spans="4:5" x14ac:dyDescent="0.2">
      <c r="D52">
        <f>100*D47/D46</f>
        <v>5.4385212484041867</v>
      </c>
      <c r="E52" t="s">
        <v>81</v>
      </c>
    </row>
  </sheetData>
  <mergeCells count="10">
    <mergeCell ref="A15:C15"/>
    <mergeCell ref="A16:C16"/>
    <mergeCell ref="A17:C17"/>
    <mergeCell ref="A18:C18"/>
    <mergeCell ref="A19:C19"/>
    <mergeCell ref="F15:H15"/>
    <mergeCell ref="F16:H16"/>
    <mergeCell ref="F17:H17"/>
    <mergeCell ref="F18:H18"/>
    <mergeCell ref="F19:H1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4:J51"/>
  <sheetViews>
    <sheetView topLeftCell="A10" workbookViewId="0">
      <selection activeCell="G38" sqref="G38"/>
    </sheetView>
  </sheetViews>
  <sheetFormatPr baseColWidth="10" defaultColWidth="8.83203125" defaultRowHeight="15" x14ac:dyDescent="0.2"/>
  <cols>
    <col min="4" max="4" width="18.1640625" customWidth="1"/>
  </cols>
  <sheetData>
    <row r="14" spans="4:5" x14ac:dyDescent="0.2">
      <c r="D14" s="3" t="s">
        <v>82</v>
      </c>
    </row>
    <row r="15" spans="4:5" x14ac:dyDescent="0.2">
      <c r="D15" t="s">
        <v>83</v>
      </c>
      <c r="E15" t="s">
        <v>57</v>
      </c>
    </row>
    <row r="16" spans="4:5" x14ac:dyDescent="0.2">
      <c r="D16">
        <v>0</v>
      </c>
      <c r="E16">
        <v>0</v>
      </c>
    </row>
    <row r="17" spans="4:10" x14ac:dyDescent="0.2">
      <c r="D17">
        <v>0.5</v>
      </c>
      <c r="E17">
        <v>2.1000000000000001E-2</v>
      </c>
    </row>
    <row r="18" spans="4:10" x14ac:dyDescent="0.2">
      <c r="D18">
        <v>1</v>
      </c>
      <c r="E18">
        <v>2.8000000000000001E-2</v>
      </c>
    </row>
    <row r="19" spans="4:10" x14ac:dyDescent="0.2">
      <c r="D19">
        <v>5</v>
      </c>
      <c r="E19">
        <v>0.13900000000000001</v>
      </c>
    </row>
    <row r="20" spans="4:10" x14ac:dyDescent="0.2">
      <c r="D20">
        <v>25</v>
      </c>
      <c r="E20">
        <v>0.69599999999999995</v>
      </c>
    </row>
    <row r="21" spans="4:10" x14ac:dyDescent="0.2">
      <c r="D21">
        <v>50</v>
      </c>
      <c r="E21">
        <v>1.3720000000000001</v>
      </c>
    </row>
    <row r="27" spans="4:10" x14ac:dyDescent="0.2">
      <c r="D27" t="s">
        <v>58</v>
      </c>
      <c r="E27">
        <v>2.7400000000000001E-2</v>
      </c>
    </row>
    <row r="28" spans="4:10" x14ac:dyDescent="0.2">
      <c r="D28" t="s">
        <v>59</v>
      </c>
      <c r="E28">
        <v>3.3E-3</v>
      </c>
    </row>
    <row r="30" spans="4:10" x14ac:dyDescent="0.2">
      <c r="D30" t="s">
        <v>84</v>
      </c>
      <c r="E30" t="s">
        <v>85</v>
      </c>
      <c r="F30" t="s">
        <v>86</v>
      </c>
      <c r="G30" t="s">
        <v>1</v>
      </c>
      <c r="H30" t="s">
        <v>57</v>
      </c>
      <c r="I30" t="s">
        <v>87</v>
      </c>
      <c r="J30" t="s">
        <v>88</v>
      </c>
    </row>
    <row r="31" spans="4:10" x14ac:dyDescent="0.2">
      <c r="D31" t="s">
        <v>89</v>
      </c>
      <c r="E31">
        <v>0</v>
      </c>
      <c r="F31" s="1">
        <f>E31/60</f>
        <v>0</v>
      </c>
      <c r="G31">
        <v>7.23</v>
      </c>
      <c r="H31">
        <v>1</v>
      </c>
      <c r="I31">
        <f>(H31-$E$28)/$E$27</f>
        <v>36.375912408759127</v>
      </c>
      <c r="J31">
        <f>LN(I31)</f>
        <v>3.5939068085793862</v>
      </c>
    </row>
    <row r="32" spans="4:10" x14ac:dyDescent="0.2">
      <c r="D32" t="s">
        <v>90</v>
      </c>
      <c r="E32">
        <v>127</v>
      </c>
      <c r="F32" s="1">
        <f t="shared" ref="F32:F37" si="0">E32/60</f>
        <v>2.1166666666666667</v>
      </c>
      <c r="G32">
        <v>7.22</v>
      </c>
      <c r="H32">
        <v>0.879</v>
      </c>
      <c r="I32">
        <f t="shared" ref="I32:I37" si="1">(H32-$E$28)/$E$27</f>
        <v>31.959854014598541</v>
      </c>
      <c r="J32">
        <f t="shared" ref="J32:J37" si="2">LN(I32)</f>
        <v>3.464480553134154</v>
      </c>
    </row>
    <row r="33" spans="4:10" x14ac:dyDescent="0.2">
      <c r="D33" t="s">
        <v>91</v>
      </c>
      <c r="E33">
        <v>420</v>
      </c>
      <c r="F33" s="1">
        <f t="shared" si="0"/>
        <v>7</v>
      </c>
      <c r="G33">
        <v>7.25</v>
      </c>
      <c r="H33">
        <v>0.81499999999999995</v>
      </c>
      <c r="I33">
        <f t="shared" si="1"/>
        <v>29.624087591240873</v>
      </c>
      <c r="J33">
        <f t="shared" si="2"/>
        <v>3.3885878003731054</v>
      </c>
    </row>
    <row r="34" spans="4:10" x14ac:dyDescent="0.2">
      <c r="D34" t="s">
        <v>92</v>
      </c>
      <c r="E34">
        <v>700</v>
      </c>
      <c r="F34" s="1">
        <f t="shared" si="0"/>
        <v>11.666666666666666</v>
      </c>
      <c r="G34">
        <v>7.21</v>
      </c>
      <c r="H34">
        <v>0.73499999999999999</v>
      </c>
      <c r="I34">
        <f t="shared" si="1"/>
        <v>26.704379562043794</v>
      </c>
      <c r="J34">
        <f t="shared" si="2"/>
        <v>3.2848275804959597</v>
      </c>
    </row>
    <row r="35" spans="4:10" x14ac:dyDescent="0.2">
      <c r="D35" t="s">
        <v>93</v>
      </c>
      <c r="E35">
        <v>947</v>
      </c>
      <c r="F35" s="1">
        <f t="shared" si="0"/>
        <v>15.783333333333333</v>
      </c>
      <c r="G35">
        <v>7.2</v>
      </c>
      <c r="H35">
        <v>0.60699999999999998</v>
      </c>
      <c r="I35">
        <f t="shared" si="1"/>
        <v>22.032846715328468</v>
      </c>
      <c r="J35">
        <f t="shared" si="2"/>
        <v>3.0925343724083558</v>
      </c>
    </row>
    <row r="36" spans="4:10" x14ac:dyDescent="0.2">
      <c r="D36" t="s">
        <v>94</v>
      </c>
      <c r="E36">
        <v>1244</v>
      </c>
      <c r="F36" s="1">
        <f t="shared" si="0"/>
        <v>20.733333333333334</v>
      </c>
      <c r="G36">
        <v>7.2</v>
      </c>
      <c r="H36">
        <v>0.44900000000000001</v>
      </c>
      <c r="I36">
        <f t="shared" si="1"/>
        <v>16.266423357664234</v>
      </c>
      <c r="J36">
        <f t="shared" si="2"/>
        <v>2.7891030665584857</v>
      </c>
    </row>
    <row r="37" spans="4:10" x14ac:dyDescent="0.2">
      <c r="D37" t="s">
        <v>95</v>
      </c>
      <c r="E37">
        <v>1872</v>
      </c>
      <c r="F37" s="1">
        <f t="shared" si="0"/>
        <v>31.2</v>
      </c>
      <c r="G37">
        <v>7.2</v>
      </c>
      <c r="H37">
        <v>0.191</v>
      </c>
      <c r="I37">
        <f t="shared" si="1"/>
        <v>6.8503649635036501</v>
      </c>
      <c r="J37">
        <f t="shared" si="2"/>
        <v>1.9243019301984388</v>
      </c>
    </row>
    <row r="41" spans="4:10" x14ac:dyDescent="0.2">
      <c r="D41" t="s">
        <v>84</v>
      </c>
      <c r="E41" t="s">
        <v>85</v>
      </c>
      <c r="F41" t="s">
        <v>86</v>
      </c>
      <c r="G41" t="s">
        <v>1</v>
      </c>
      <c r="H41" t="s">
        <v>57</v>
      </c>
      <c r="I41" t="s">
        <v>87</v>
      </c>
      <c r="J41" t="s">
        <v>88</v>
      </c>
    </row>
    <row r="42" spans="4:10" x14ac:dyDescent="0.2">
      <c r="D42" t="s">
        <v>96</v>
      </c>
      <c r="E42">
        <v>5</v>
      </c>
      <c r="F42" s="1">
        <f t="shared" ref="F42:F51" si="3">E42/60</f>
        <v>8.3333333333333329E-2</v>
      </c>
      <c r="G42">
        <v>7.79</v>
      </c>
      <c r="H42">
        <v>0.90300000000000002</v>
      </c>
      <c r="I42">
        <f>(H42-$E$28)/$E$27</f>
        <v>32.835766423357668</v>
      </c>
      <c r="J42">
        <f t="shared" ref="J42:J51" si="4">LN(I42)</f>
        <v>3.4915183610290486</v>
      </c>
    </row>
    <row r="43" spans="4:10" x14ac:dyDescent="0.2">
      <c r="D43" t="s">
        <v>97</v>
      </c>
      <c r="E43">
        <v>30</v>
      </c>
      <c r="F43" s="1">
        <f t="shared" si="3"/>
        <v>0.5</v>
      </c>
      <c r="G43">
        <v>7.73</v>
      </c>
      <c r="H43">
        <v>0.76600000000000001</v>
      </c>
      <c r="I43">
        <f t="shared" ref="I43:I51" si="5">(H43-$E$28)/$E$27</f>
        <v>27.835766423357665</v>
      </c>
      <c r="J43">
        <f t="shared" si="4"/>
        <v>3.3263217557761684</v>
      </c>
    </row>
    <row r="44" spans="4:10" x14ac:dyDescent="0.2">
      <c r="D44" t="s">
        <v>98</v>
      </c>
      <c r="E44">
        <v>70</v>
      </c>
      <c r="F44" s="1">
        <f t="shared" si="3"/>
        <v>1.1666666666666667</v>
      </c>
      <c r="G44">
        <v>7.72</v>
      </c>
      <c r="H44">
        <v>0.65800000000000003</v>
      </c>
      <c r="I44">
        <f t="shared" si="5"/>
        <v>23.894160583941609</v>
      </c>
      <c r="J44">
        <f t="shared" si="4"/>
        <v>3.1736341020530214</v>
      </c>
    </row>
    <row r="45" spans="4:10" x14ac:dyDescent="0.2">
      <c r="D45" t="s">
        <v>99</v>
      </c>
      <c r="E45">
        <v>102</v>
      </c>
      <c r="F45" s="1">
        <f t="shared" si="3"/>
        <v>1.7</v>
      </c>
      <c r="G45">
        <v>7.71</v>
      </c>
      <c r="H45">
        <v>0.53800000000000003</v>
      </c>
      <c r="I45">
        <f t="shared" si="5"/>
        <v>19.514598540145986</v>
      </c>
      <c r="J45">
        <f t="shared" si="4"/>
        <v>2.9711628285606615</v>
      </c>
    </row>
    <row r="46" spans="4:10" x14ac:dyDescent="0.2">
      <c r="D46" t="s">
        <v>100</v>
      </c>
      <c r="E46">
        <v>136</v>
      </c>
      <c r="F46" s="1">
        <f t="shared" si="3"/>
        <v>2.2666666666666666</v>
      </c>
      <c r="G46">
        <v>7.71</v>
      </c>
      <c r="H46">
        <v>0.39300000000000002</v>
      </c>
      <c r="I46">
        <f t="shared" si="5"/>
        <v>14.222627737226277</v>
      </c>
      <c r="J46">
        <f t="shared" si="4"/>
        <v>2.6548341989506392</v>
      </c>
    </row>
    <row r="47" spans="4:10" x14ac:dyDescent="0.2">
      <c r="D47" t="s">
        <v>101</v>
      </c>
      <c r="E47">
        <v>175</v>
      </c>
      <c r="F47" s="1">
        <f t="shared" si="3"/>
        <v>2.9166666666666665</v>
      </c>
      <c r="G47">
        <v>7.7</v>
      </c>
      <c r="H47">
        <v>0.25800000000000001</v>
      </c>
      <c r="I47">
        <f t="shared" si="5"/>
        <v>9.2956204379562042</v>
      </c>
      <c r="J47">
        <f t="shared" si="4"/>
        <v>2.2295433685913868</v>
      </c>
    </row>
    <row r="48" spans="4:10" x14ac:dyDescent="0.2">
      <c r="D48" t="s">
        <v>102</v>
      </c>
      <c r="E48">
        <v>211</v>
      </c>
      <c r="F48" s="1">
        <f t="shared" si="3"/>
        <v>3.5166666666666666</v>
      </c>
      <c r="G48">
        <v>7.7</v>
      </c>
      <c r="H48">
        <v>0.16300000000000001</v>
      </c>
      <c r="I48">
        <f t="shared" si="5"/>
        <v>5.8284671532846719</v>
      </c>
      <c r="J48">
        <f t="shared" si="4"/>
        <v>1.7627540418269423</v>
      </c>
    </row>
    <row r="49" spans="4:10" x14ac:dyDescent="0.2">
      <c r="D49" t="s">
        <v>103</v>
      </c>
      <c r="E49">
        <v>246</v>
      </c>
      <c r="F49" s="1">
        <f t="shared" si="3"/>
        <v>4.0999999999999996</v>
      </c>
      <c r="G49">
        <v>7.7</v>
      </c>
      <c r="H49">
        <v>0.107</v>
      </c>
      <c r="I49">
        <f t="shared" si="5"/>
        <v>3.7846715328467151</v>
      </c>
      <c r="J49">
        <f t="shared" si="4"/>
        <v>1.330959101841457</v>
      </c>
    </row>
    <row r="50" spans="4:10" x14ac:dyDescent="0.2">
      <c r="D50" t="s">
        <v>104</v>
      </c>
      <c r="E50">
        <v>286</v>
      </c>
      <c r="F50" s="1">
        <f t="shared" si="3"/>
        <v>4.7666666666666666</v>
      </c>
      <c r="G50">
        <v>7.69</v>
      </c>
      <c r="H50">
        <v>7.0999999999999994E-2</v>
      </c>
      <c r="I50">
        <f t="shared" si="5"/>
        <v>2.4708029197080288</v>
      </c>
      <c r="J50">
        <f t="shared" si="4"/>
        <v>0.90454316652420463</v>
      </c>
    </row>
    <row r="51" spans="4:10" x14ac:dyDescent="0.2">
      <c r="D51" t="s">
        <v>105</v>
      </c>
      <c r="E51">
        <v>324</v>
      </c>
      <c r="F51" s="1">
        <f t="shared" si="3"/>
        <v>5.4</v>
      </c>
      <c r="G51">
        <v>7.69</v>
      </c>
      <c r="H51">
        <v>3.9E-2</v>
      </c>
      <c r="I51">
        <f t="shared" si="5"/>
        <v>1.3029197080291972</v>
      </c>
      <c r="J51">
        <f t="shared" si="4"/>
        <v>0.26460767539156893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X16"/>
  <sheetViews>
    <sheetView workbookViewId="0">
      <selection activeCell="C4" sqref="C4:D9"/>
    </sheetView>
  </sheetViews>
  <sheetFormatPr baseColWidth="10" defaultColWidth="8.83203125" defaultRowHeight="15" x14ac:dyDescent="0.2"/>
  <sheetData>
    <row r="2" spans="3:24" x14ac:dyDescent="0.2">
      <c r="C2" t="s">
        <v>82</v>
      </c>
    </row>
    <row r="3" spans="3:24" x14ac:dyDescent="0.2">
      <c r="C3" t="s">
        <v>106</v>
      </c>
      <c r="D3" t="s">
        <v>57</v>
      </c>
      <c r="J3" t="s">
        <v>58</v>
      </c>
      <c r="K3">
        <v>2.53E-2</v>
      </c>
    </row>
    <row r="4" spans="3:24" x14ac:dyDescent="0.2">
      <c r="C4">
        <v>0</v>
      </c>
      <c r="D4">
        <v>0</v>
      </c>
      <c r="J4" t="s">
        <v>59</v>
      </c>
      <c r="K4">
        <v>-2.0999999999999999E-3</v>
      </c>
    </row>
    <row r="5" spans="3:24" x14ac:dyDescent="0.2">
      <c r="C5">
        <v>0.5</v>
      </c>
      <c r="D5">
        <v>6.0000000000000001E-3</v>
      </c>
    </row>
    <row r="6" spans="3:24" x14ac:dyDescent="0.2">
      <c r="C6">
        <v>1</v>
      </c>
      <c r="D6">
        <v>2.3E-2</v>
      </c>
      <c r="J6" t="s">
        <v>84</v>
      </c>
      <c r="K6" t="s">
        <v>85</v>
      </c>
      <c r="L6" t="s">
        <v>86</v>
      </c>
      <c r="M6" t="s">
        <v>1</v>
      </c>
      <c r="N6" t="s">
        <v>57</v>
      </c>
      <c r="O6" t="s">
        <v>87</v>
      </c>
      <c r="P6" t="s">
        <v>88</v>
      </c>
      <c r="R6" t="s">
        <v>84</v>
      </c>
      <c r="S6" t="s">
        <v>85</v>
      </c>
      <c r="T6" t="s">
        <v>86</v>
      </c>
      <c r="U6" t="s">
        <v>1</v>
      </c>
      <c r="V6" t="s">
        <v>57</v>
      </c>
      <c r="W6" t="s">
        <v>87</v>
      </c>
      <c r="X6" t="s">
        <v>88</v>
      </c>
    </row>
    <row r="7" spans="3:24" x14ac:dyDescent="0.2">
      <c r="C7">
        <v>5</v>
      </c>
      <c r="D7">
        <v>0.124</v>
      </c>
      <c r="J7" t="s">
        <v>89</v>
      </c>
      <c r="K7">
        <v>10</v>
      </c>
      <c r="L7">
        <f>K7/60</f>
        <v>0.16666666666666666</v>
      </c>
      <c r="M7">
        <v>7.48</v>
      </c>
      <c r="N7">
        <v>0.76200000000000001</v>
      </c>
      <c r="O7">
        <f>(N7-$K$4)/$K$3</f>
        <v>30.201581027667984</v>
      </c>
      <c r="P7">
        <f>LN(O7)</f>
        <v>3.4078942749200465</v>
      </c>
      <c r="R7" t="s">
        <v>96</v>
      </c>
      <c r="S7">
        <v>14</v>
      </c>
      <c r="T7">
        <f>S7/60</f>
        <v>0.23333333333333334</v>
      </c>
      <c r="U7">
        <v>7.61</v>
      </c>
      <c r="V7">
        <v>0.86499999999999999</v>
      </c>
      <c r="W7">
        <f>(V7-$K$4)/$K$3</f>
        <v>34.272727272727273</v>
      </c>
      <c r="X7">
        <f>LN(W7)</f>
        <v>3.5343499146496402</v>
      </c>
    </row>
    <row r="8" spans="3:24" x14ac:dyDescent="0.2">
      <c r="C8">
        <v>25</v>
      </c>
      <c r="D8">
        <v>0.63500000000000001</v>
      </c>
      <c r="J8" t="s">
        <v>90</v>
      </c>
      <c r="K8">
        <v>90</v>
      </c>
      <c r="L8">
        <f t="shared" ref="L8:L16" si="0">K8/60</f>
        <v>1.5</v>
      </c>
      <c r="M8">
        <v>7.47</v>
      </c>
      <c r="N8">
        <v>0.75600000000000001</v>
      </c>
      <c r="O8">
        <f t="shared" ref="O8:O16" si="1">(N8-$K$4)/$K$3</f>
        <v>29.964426877470355</v>
      </c>
      <c r="P8">
        <f t="shared" ref="P8:P16" si="2">LN(O8)</f>
        <v>3.4000109073287836</v>
      </c>
      <c r="R8" t="s">
        <v>97</v>
      </c>
      <c r="S8">
        <v>42</v>
      </c>
      <c r="T8">
        <f t="shared" ref="T8:T16" si="3">S8/60</f>
        <v>0.7</v>
      </c>
      <c r="U8">
        <v>7.61</v>
      </c>
      <c r="V8">
        <v>0.77900000000000003</v>
      </c>
      <c r="W8">
        <f t="shared" ref="W8:W16" si="4">(V8-$K$4)/$K$3</f>
        <v>30.873517786561266</v>
      </c>
      <c r="X8">
        <f t="shared" ref="X8:X16" si="5">LN(W8)</f>
        <v>3.4298987868827773</v>
      </c>
    </row>
    <row r="9" spans="3:24" x14ac:dyDescent="0.2">
      <c r="C9">
        <v>50</v>
      </c>
      <c r="D9">
        <v>1.2589999999999999</v>
      </c>
      <c r="J9" t="s">
        <v>91</v>
      </c>
      <c r="K9">
        <v>187</v>
      </c>
      <c r="L9">
        <f t="shared" si="0"/>
        <v>3.1166666666666667</v>
      </c>
      <c r="M9">
        <v>7.46</v>
      </c>
      <c r="N9">
        <v>0.59099999999999997</v>
      </c>
      <c r="O9">
        <f t="shared" si="1"/>
        <v>23.442687747035571</v>
      </c>
      <c r="P9">
        <f t="shared" si="2"/>
        <v>3.1545586231112064</v>
      </c>
      <c r="R9" t="s">
        <v>98</v>
      </c>
      <c r="S9">
        <v>140</v>
      </c>
      <c r="T9">
        <f t="shared" si="3"/>
        <v>2.3333333333333335</v>
      </c>
      <c r="U9">
        <v>7.6</v>
      </c>
      <c r="V9">
        <v>0.57899999999999996</v>
      </c>
      <c r="W9">
        <f t="shared" si="4"/>
        <v>22.968379446640316</v>
      </c>
      <c r="X9">
        <f t="shared" si="5"/>
        <v>3.1341184633475851</v>
      </c>
    </row>
    <row r="10" spans="3:24" x14ac:dyDescent="0.2">
      <c r="J10" t="s">
        <v>92</v>
      </c>
      <c r="K10">
        <v>310</v>
      </c>
      <c r="L10">
        <f t="shared" si="0"/>
        <v>5.166666666666667</v>
      </c>
      <c r="N10">
        <v>0.44700000000000001</v>
      </c>
      <c r="O10">
        <f t="shared" si="1"/>
        <v>17.750988142292492</v>
      </c>
      <c r="P10">
        <f t="shared" si="2"/>
        <v>2.876441184360218</v>
      </c>
      <c r="R10" t="s">
        <v>99</v>
      </c>
      <c r="S10">
        <v>235</v>
      </c>
      <c r="T10">
        <f t="shared" si="3"/>
        <v>3.9166666666666665</v>
      </c>
      <c r="U10">
        <v>7.6</v>
      </c>
      <c r="V10">
        <v>0.35499999999999998</v>
      </c>
      <c r="W10">
        <f t="shared" si="4"/>
        <v>14.114624505928854</v>
      </c>
      <c r="X10">
        <f t="shared" si="5"/>
        <v>2.647211458866928</v>
      </c>
    </row>
    <row r="11" spans="3:24" x14ac:dyDescent="0.2">
      <c r="J11" t="s">
        <v>93</v>
      </c>
      <c r="K11">
        <v>430</v>
      </c>
      <c r="L11">
        <f t="shared" si="0"/>
        <v>7.166666666666667</v>
      </c>
      <c r="M11">
        <v>7.45</v>
      </c>
      <c r="N11">
        <v>0.23100000000000001</v>
      </c>
      <c r="O11">
        <f t="shared" si="1"/>
        <v>9.2134387351778653</v>
      </c>
      <c r="P11">
        <f t="shared" si="2"/>
        <v>2.220663150308237</v>
      </c>
      <c r="R11" t="s">
        <v>100</v>
      </c>
      <c r="S11">
        <v>310</v>
      </c>
      <c r="T11">
        <f t="shared" si="3"/>
        <v>5.166666666666667</v>
      </c>
      <c r="U11">
        <v>7.6</v>
      </c>
      <c r="V11">
        <v>0.249</v>
      </c>
      <c r="W11">
        <f t="shared" si="4"/>
        <v>9.9249011857707501</v>
      </c>
      <c r="X11">
        <f t="shared" si="5"/>
        <v>2.2950468704300646</v>
      </c>
    </row>
    <row r="12" spans="3:24" x14ac:dyDescent="0.2">
      <c r="J12" t="s">
        <v>94</v>
      </c>
      <c r="K12">
        <v>492</v>
      </c>
      <c r="L12">
        <f t="shared" si="0"/>
        <v>8.1999999999999993</v>
      </c>
      <c r="M12">
        <v>7.45</v>
      </c>
      <c r="N12">
        <v>0.17899999999999999</v>
      </c>
      <c r="O12">
        <f t="shared" si="1"/>
        <v>7.1581027667984181</v>
      </c>
      <c r="P12">
        <f t="shared" si="2"/>
        <v>1.968244969155893</v>
      </c>
      <c r="R12" t="s">
        <v>101</v>
      </c>
      <c r="S12">
        <v>340</v>
      </c>
      <c r="T12">
        <f t="shared" si="3"/>
        <v>5.666666666666667</v>
      </c>
      <c r="U12">
        <v>7.6</v>
      </c>
      <c r="V12">
        <v>0.17100000000000001</v>
      </c>
      <c r="W12">
        <f t="shared" si="4"/>
        <v>6.8418972332015811</v>
      </c>
      <c r="X12">
        <f t="shared" si="5"/>
        <v>1.923065066448689</v>
      </c>
    </row>
    <row r="13" spans="3:24" x14ac:dyDescent="0.2">
      <c r="J13" t="s">
        <v>107</v>
      </c>
      <c r="K13">
        <v>566</v>
      </c>
      <c r="L13">
        <f t="shared" si="0"/>
        <v>9.4333333333333336</v>
      </c>
      <c r="M13">
        <v>7.45</v>
      </c>
      <c r="N13">
        <v>0.121</v>
      </c>
      <c r="O13">
        <f t="shared" si="1"/>
        <v>4.8656126482213438</v>
      </c>
      <c r="P13">
        <f t="shared" si="2"/>
        <v>1.5821926374569333</v>
      </c>
      <c r="R13" t="s">
        <v>102</v>
      </c>
      <c r="S13">
        <v>407</v>
      </c>
      <c r="T13">
        <f t="shared" si="3"/>
        <v>6.7833333333333332</v>
      </c>
      <c r="U13">
        <v>7.6</v>
      </c>
      <c r="V13">
        <v>0.16500000000000001</v>
      </c>
      <c r="W13">
        <f t="shared" si="4"/>
        <v>6.6047430830039522</v>
      </c>
      <c r="X13">
        <f t="shared" si="5"/>
        <v>1.8877880398678735</v>
      </c>
    </row>
    <row r="14" spans="3:24" x14ac:dyDescent="0.2">
      <c r="J14" t="s">
        <v>95</v>
      </c>
      <c r="K14">
        <v>640</v>
      </c>
      <c r="L14">
        <f t="shared" si="0"/>
        <v>10.666666666666666</v>
      </c>
      <c r="M14">
        <v>7.45</v>
      </c>
      <c r="N14">
        <v>7.6999999999999999E-2</v>
      </c>
      <c r="O14">
        <f t="shared" si="1"/>
        <v>3.1264822134387353</v>
      </c>
      <c r="P14">
        <f t="shared" si="2"/>
        <v>1.1399084790401337</v>
      </c>
      <c r="R14" t="s">
        <v>103</v>
      </c>
      <c r="S14">
        <v>435</v>
      </c>
      <c r="T14">
        <f t="shared" si="3"/>
        <v>7.25</v>
      </c>
      <c r="U14">
        <v>7.6</v>
      </c>
      <c r="V14">
        <v>0.11</v>
      </c>
      <c r="W14">
        <f t="shared" si="4"/>
        <v>4.4308300395256923</v>
      </c>
      <c r="X14">
        <f t="shared" si="5"/>
        <v>1.4885869343446398</v>
      </c>
    </row>
    <row r="15" spans="3:24" x14ac:dyDescent="0.2">
      <c r="J15" t="s">
        <v>108</v>
      </c>
      <c r="K15">
        <v>735</v>
      </c>
      <c r="L15">
        <f t="shared" si="0"/>
        <v>12.25</v>
      </c>
      <c r="M15">
        <v>7.45</v>
      </c>
      <c r="N15">
        <v>0.04</v>
      </c>
      <c r="O15">
        <f t="shared" si="1"/>
        <v>1.6640316205533596</v>
      </c>
      <c r="P15">
        <f t="shared" si="2"/>
        <v>0.50924334495486112</v>
      </c>
      <c r="R15" t="s">
        <v>104</v>
      </c>
      <c r="S15">
        <v>505</v>
      </c>
      <c r="T15">
        <f t="shared" si="3"/>
        <v>8.4166666666666661</v>
      </c>
      <c r="U15">
        <v>7.6</v>
      </c>
      <c r="V15">
        <v>6.7000000000000004E-2</v>
      </c>
      <c r="W15">
        <f t="shared" si="4"/>
        <v>2.731225296442688</v>
      </c>
      <c r="X15">
        <f t="shared" si="5"/>
        <v>1.0047503350401497</v>
      </c>
    </row>
    <row r="16" spans="3:24" x14ac:dyDescent="0.2">
      <c r="J16" t="s">
        <v>109</v>
      </c>
      <c r="K16">
        <v>795</v>
      </c>
      <c r="L16">
        <f t="shared" si="0"/>
        <v>13.25</v>
      </c>
      <c r="M16">
        <v>7.45</v>
      </c>
      <c r="N16">
        <v>4.2000000000000003E-2</v>
      </c>
      <c r="O16">
        <f t="shared" si="1"/>
        <v>1.7430830039525693</v>
      </c>
      <c r="P16">
        <f t="shared" si="2"/>
        <v>0.55565538671932579</v>
      </c>
      <c r="R16" t="s">
        <v>105</v>
      </c>
      <c r="S16">
        <v>535</v>
      </c>
      <c r="T16">
        <f t="shared" si="3"/>
        <v>8.9166666666666661</v>
      </c>
      <c r="U16">
        <v>7.6</v>
      </c>
      <c r="V16">
        <v>3.6999999999999998E-2</v>
      </c>
      <c r="W16">
        <f t="shared" si="4"/>
        <v>1.5454545454545454</v>
      </c>
      <c r="X16">
        <f t="shared" si="5"/>
        <v>0.4353180712578455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2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18" customWidth="1"/>
    <col min="2" max="2" width="14.5" customWidth="1"/>
  </cols>
  <sheetData>
    <row r="1" spans="1:2" x14ac:dyDescent="0.2">
      <c r="A1" t="s">
        <v>83</v>
      </c>
      <c r="B1" t="s">
        <v>110</v>
      </c>
    </row>
    <row r="2" spans="1:2" x14ac:dyDescent="0.2">
      <c r="A2">
        <v>0</v>
      </c>
      <c r="B2">
        <v>0</v>
      </c>
    </row>
    <row r="3" spans="1:2" x14ac:dyDescent="0.2">
      <c r="A3">
        <v>0.5</v>
      </c>
      <c r="B3">
        <v>1.4E-2</v>
      </c>
    </row>
    <row r="4" spans="1:2" x14ac:dyDescent="0.2">
      <c r="A4">
        <v>1</v>
      </c>
      <c r="B4">
        <v>3.9E-2</v>
      </c>
    </row>
    <row r="5" spans="1:2" x14ac:dyDescent="0.2">
      <c r="A5">
        <v>5</v>
      </c>
      <c r="B5">
        <v>0.13200000000000001</v>
      </c>
    </row>
    <row r="6" spans="1:2" x14ac:dyDescent="0.2">
      <c r="A6">
        <v>25</v>
      </c>
      <c r="B6">
        <v>0.69</v>
      </c>
    </row>
    <row r="7" spans="1:2" x14ac:dyDescent="0.2">
      <c r="A7">
        <v>50</v>
      </c>
      <c r="B7">
        <v>1.391</v>
      </c>
    </row>
    <row r="19" spans="2:16" x14ac:dyDescent="0.2">
      <c r="B19" t="s">
        <v>58</v>
      </c>
      <c r="C19">
        <v>2.53E-2</v>
      </c>
    </row>
    <row r="20" spans="2:16" x14ac:dyDescent="0.2">
      <c r="B20" t="s">
        <v>59</v>
      </c>
      <c r="C20">
        <v>-2.0999999999999999E-3</v>
      </c>
    </row>
    <row r="22" spans="2:16" x14ac:dyDescent="0.2">
      <c r="B22" t="s">
        <v>84</v>
      </c>
      <c r="C22" t="s">
        <v>85</v>
      </c>
      <c r="D22" t="s">
        <v>86</v>
      </c>
      <c r="E22" t="s">
        <v>1</v>
      </c>
      <c r="F22" t="s">
        <v>57</v>
      </c>
      <c r="G22" t="s">
        <v>87</v>
      </c>
      <c r="H22" t="s">
        <v>88</v>
      </c>
      <c r="J22" t="s">
        <v>84</v>
      </c>
      <c r="K22" t="s">
        <v>85</v>
      </c>
      <c r="L22" t="s">
        <v>86</v>
      </c>
      <c r="M22" t="s">
        <v>1</v>
      </c>
      <c r="N22" t="s">
        <v>57</v>
      </c>
      <c r="O22" t="s">
        <v>87</v>
      </c>
      <c r="P22" t="s">
        <v>88</v>
      </c>
    </row>
    <row r="23" spans="2:16" x14ac:dyDescent="0.2">
      <c r="B23" t="s">
        <v>89</v>
      </c>
      <c r="C23">
        <v>10</v>
      </c>
      <c r="D23">
        <f>C23/60</f>
        <v>0.16666666666666666</v>
      </c>
      <c r="E23">
        <v>7.59</v>
      </c>
      <c r="F23">
        <v>0.89800000000000002</v>
      </c>
      <c r="G23">
        <f>(F23-$C$20)/$C$19</f>
        <v>35.577075098814227</v>
      </c>
      <c r="H23">
        <f>LN(G23)</f>
        <v>3.5717014725295648</v>
      </c>
      <c r="J23" t="s">
        <v>96</v>
      </c>
      <c r="K23">
        <v>7</v>
      </c>
      <c r="L23">
        <f>K23/60</f>
        <v>0.11666666666666667</v>
      </c>
      <c r="M23">
        <v>7.41</v>
      </c>
      <c r="N23">
        <v>0.75600000000000001</v>
      </c>
      <c r="O23">
        <f>(N23-$C$20)/$C$19</f>
        <v>29.964426877470355</v>
      </c>
      <c r="P23">
        <f>LN(O23)</f>
        <v>3.4000109073287836</v>
      </c>
    </row>
    <row r="24" spans="2:16" x14ac:dyDescent="0.2">
      <c r="B24" t="s">
        <v>90</v>
      </c>
      <c r="C24">
        <v>39</v>
      </c>
      <c r="D24">
        <f t="shared" ref="D24:D32" si="0">C24/60</f>
        <v>0.65</v>
      </c>
      <c r="E24">
        <v>7.56</v>
      </c>
      <c r="F24">
        <v>0.81499999999999995</v>
      </c>
      <c r="G24">
        <f t="shared" ref="G24:G32" si="1">(F24-$C$20)/$C$19</f>
        <v>32.296442687747032</v>
      </c>
      <c r="H24">
        <f t="shared" ref="H24:H32" si="2">LN(G24)</f>
        <v>3.4749570906571869</v>
      </c>
      <c r="J24" t="s">
        <v>97</v>
      </c>
      <c r="K24">
        <v>66</v>
      </c>
      <c r="L24">
        <f t="shared" ref="L24:L32" si="3">K24/60</f>
        <v>1.1000000000000001</v>
      </c>
      <c r="M24">
        <v>7.41</v>
      </c>
      <c r="N24">
        <v>0.82</v>
      </c>
      <c r="O24">
        <f t="shared" ref="O24:O32" si="4">(N24-$C$20)/$C$19</f>
        <v>32.494071146245055</v>
      </c>
      <c r="P24">
        <f t="shared" ref="P24:P32" si="5">LN(O24)</f>
        <v>3.4810576464246132</v>
      </c>
    </row>
    <row r="25" spans="2:16" x14ac:dyDescent="0.2">
      <c r="B25" t="s">
        <v>91</v>
      </c>
      <c r="C25">
        <v>95</v>
      </c>
      <c r="D25">
        <f t="shared" si="0"/>
        <v>1.5833333333333333</v>
      </c>
      <c r="E25">
        <v>7.56</v>
      </c>
      <c r="F25">
        <v>0.69699999999999995</v>
      </c>
      <c r="G25">
        <f t="shared" si="1"/>
        <v>27.632411067193676</v>
      </c>
      <c r="H25">
        <f t="shared" si="2"/>
        <v>3.3189893977844651</v>
      </c>
      <c r="J25" t="s">
        <v>98</v>
      </c>
      <c r="K25">
        <v>127</v>
      </c>
      <c r="L25">
        <f t="shared" si="3"/>
        <v>2.1166666666666667</v>
      </c>
      <c r="M25">
        <v>7.4</v>
      </c>
      <c r="N25">
        <v>0.72</v>
      </c>
      <c r="O25">
        <f t="shared" si="4"/>
        <v>28.541501976284582</v>
      </c>
      <c r="P25">
        <f t="shared" si="5"/>
        <v>3.3513592377236612</v>
      </c>
    </row>
    <row r="26" spans="2:16" x14ac:dyDescent="0.2">
      <c r="B26" t="s">
        <v>92</v>
      </c>
      <c r="C26">
        <v>150</v>
      </c>
      <c r="D26">
        <f t="shared" si="0"/>
        <v>2.5</v>
      </c>
      <c r="E26">
        <v>7.56</v>
      </c>
      <c r="F26">
        <v>0.54500000000000004</v>
      </c>
      <c r="G26">
        <f t="shared" si="1"/>
        <v>21.624505928853758</v>
      </c>
      <c r="H26">
        <f t="shared" si="2"/>
        <v>3.0738272053363058</v>
      </c>
      <c r="J26" t="s">
        <v>99</v>
      </c>
      <c r="K26">
        <v>246</v>
      </c>
      <c r="L26">
        <f t="shared" si="3"/>
        <v>4.0999999999999996</v>
      </c>
      <c r="M26">
        <v>7.4</v>
      </c>
      <c r="N26">
        <v>0.623</v>
      </c>
      <c r="O26">
        <f t="shared" si="4"/>
        <v>24.707509881422926</v>
      </c>
      <c r="P26">
        <f t="shared" si="5"/>
        <v>3.2071072412042922</v>
      </c>
    </row>
    <row r="27" spans="2:16" x14ac:dyDescent="0.2">
      <c r="B27" t="s">
        <v>93</v>
      </c>
      <c r="C27">
        <v>185</v>
      </c>
      <c r="D27">
        <f t="shared" si="0"/>
        <v>3.0833333333333335</v>
      </c>
      <c r="E27">
        <v>7.55</v>
      </c>
      <c r="F27">
        <v>0.47699999999999998</v>
      </c>
      <c r="G27">
        <f t="shared" si="1"/>
        <v>18.936758893280633</v>
      </c>
      <c r="H27">
        <f t="shared" si="2"/>
        <v>2.9411049481556018</v>
      </c>
      <c r="J27" t="s">
        <v>100</v>
      </c>
      <c r="K27">
        <v>306</v>
      </c>
      <c r="L27">
        <f t="shared" si="3"/>
        <v>5.0999999999999996</v>
      </c>
      <c r="M27">
        <v>7.4</v>
      </c>
      <c r="N27">
        <v>0.42499999999999999</v>
      </c>
      <c r="O27">
        <f t="shared" si="4"/>
        <v>16.881422924901184</v>
      </c>
      <c r="P27">
        <f t="shared" si="5"/>
        <v>2.8262137821139461</v>
      </c>
    </row>
    <row r="28" spans="2:16" x14ac:dyDescent="0.2">
      <c r="B28" t="s">
        <v>94</v>
      </c>
      <c r="C28">
        <v>214</v>
      </c>
      <c r="D28">
        <f t="shared" si="0"/>
        <v>3.5666666666666669</v>
      </c>
      <c r="E28">
        <v>7.55</v>
      </c>
      <c r="F28">
        <v>0.39500000000000002</v>
      </c>
      <c r="G28">
        <f t="shared" si="1"/>
        <v>15.695652173913045</v>
      </c>
      <c r="H28">
        <f t="shared" si="2"/>
        <v>2.7533837424037313</v>
      </c>
      <c r="J28" t="s">
        <v>101</v>
      </c>
      <c r="K28">
        <v>366</v>
      </c>
      <c r="L28">
        <f t="shared" si="3"/>
        <v>6.1</v>
      </c>
      <c r="M28">
        <v>7.4</v>
      </c>
      <c r="N28">
        <v>0.34200000000000003</v>
      </c>
      <c r="O28">
        <f t="shared" si="4"/>
        <v>13.600790513833992</v>
      </c>
      <c r="P28">
        <f t="shared" si="5"/>
        <v>2.6101279170699603</v>
      </c>
    </row>
    <row r="29" spans="2:16" x14ac:dyDescent="0.2">
      <c r="B29" t="s">
        <v>107</v>
      </c>
      <c r="C29">
        <v>242</v>
      </c>
      <c r="D29">
        <f t="shared" si="0"/>
        <v>4.0333333333333332</v>
      </c>
      <c r="E29">
        <v>7.55</v>
      </c>
      <c r="F29">
        <v>0.32800000000000001</v>
      </c>
      <c r="G29">
        <f t="shared" si="1"/>
        <v>13.047430830039525</v>
      </c>
      <c r="H29">
        <f t="shared" si="2"/>
        <v>2.5685912431256726</v>
      </c>
      <c r="J29" t="s">
        <v>102</v>
      </c>
      <c r="K29">
        <v>424</v>
      </c>
      <c r="L29">
        <f t="shared" si="3"/>
        <v>7.0666666666666664</v>
      </c>
      <c r="M29">
        <v>7.4</v>
      </c>
      <c r="N29">
        <v>0.27100000000000002</v>
      </c>
      <c r="O29">
        <f t="shared" si="4"/>
        <v>10.794466403162057</v>
      </c>
      <c r="P29">
        <f t="shared" si="5"/>
        <v>2.379033632746185</v>
      </c>
    </row>
    <row r="30" spans="2:16" x14ac:dyDescent="0.2">
      <c r="B30" t="s">
        <v>95</v>
      </c>
      <c r="C30">
        <v>278</v>
      </c>
      <c r="D30">
        <f t="shared" si="0"/>
        <v>4.6333333333333337</v>
      </c>
      <c r="E30">
        <v>7.55</v>
      </c>
      <c r="F30">
        <v>0.26600000000000001</v>
      </c>
      <c r="G30">
        <f t="shared" si="1"/>
        <v>10.596837944664031</v>
      </c>
      <c r="H30">
        <f t="shared" si="2"/>
        <v>2.3605556495084392</v>
      </c>
      <c r="J30" t="s">
        <v>103</v>
      </c>
      <c r="K30">
        <v>485</v>
      </c>
      <c r="L30">
        <f t="shared" si="3"/>
        <v>8.0833333333333339</v>
      </c>
      <c r="M30">
        <v>7.49</v>
      </c>
      <c r="N30">
        <v>0.20799999999999999</v>
      </c>
      <c r="O30">
        <f t="shared" si="4"/>
        <v>8.3043478260869552</v>
      </c>
      <c r="P30">
        <f t="shared" si="5"/>
        <v>2.1167792121174802</v>
      </c>
    </row>
    <row r="31" spans="2:16" x14ac:dyDescent="0.2">
      <c r="B31" t="s">
        <v>108</v>
      </c>
      <c r="C31">
        <v>331</v>
      </c>
      <c r="D31">
        <f t="shared" si="0"/>
        <v>5.5166666666666666</v>
      </c>
      <c r="E31">
        <v>7.55</v>
      </c>
      <c r="F31">
        <v>0.17499999999999999</v>
      </c>
      <c r="G31">
        <f t="shared" si="1"/>
        <v>6.9999999999999991</v>
      </c>
      <c r="H31">
        <f t="shared" si="2"/>
        <v>1.9459101490553132</v>
      </c>
      <c r="J31" t="s">
        <v>104</v>
      </c>
      <c r="K31">
        <v>526</v>
      </c>
      <c r="L31">
        <f t="shared" si="3"/>
        <v>8.7666666666666675</v>
      </c>
      <c r="M31">
        <v>7.4</v>
      </c>
      <c r="N31">
        <v>0.16700000000000001</v>
      </c>
      <c r="O31">
        <f t="shared" si="4"/>
        <v>6.6837944664031621</v>
      </c>
      <c r="P31">
        <f t="shared" si="5"/>
        <v>1.89968586017106</v>
      </c>
    </row>
    <row r="32" spans="2:16" x14ac:dyDescent="0.2">
      <c r="B32" t="s">
        <v>109</v>
      </c>
      <c r="C32">
        <v>379</v>
      </c>
      <c r="D32">
        <f t="shared" si="0"/>
        <v>6.3166666666666664</v>
      </c>
      <c r="E32">
        <v>7.54</v>
      </c>
      <c r="F32">
        <v>0.123</v>
      </c>
      <c r="G32">
        <f t="shared" si="1"/>
        <v>4.9446640316205528</v>
      </c>
      <c r="H32">
        <f t="shared" si="2"/>
        <v>1.5983090217393907</v>
      </c>
      <c r="J32" t="s">
        <v>105</v>
      </c>
      <c r="K32">
        <v>607</v>
      </c>
      <c r="L32">
        <f t="shared" si="3"/>
        <v>10.116666666666667</v>
      </c>
      <c r="M32">
        <v>7.39</v>
      </c>
      <c r="N32">
        <v>0.13800000000000001</v>
      </c>
      <c r="O32">
        <f t="shared" si="4"/>
        <v>5.537549407114625</v>
      </c>
      <c r="P32">
        <f t="shared" si="5"/>
        <v>1.7115520576094869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AB45"/>
  <sheetViews>
    <sheetView tabSelected="1" topLeftCell="B1" zoomScaleNormal="100" workbookViewId="0">
      <selection activeCell="E38" sqref="E38"/>
    </sheetView>
  </sheetViews>
  <sheetFormatPr baseColWidth="10" defaultColWidth="8.83203125" defaultRowHeight="15" x14ac:dyDescent="0.2"/>
  <cols>
    <col min="19" max="19" width="12" bestFit="1" customWidth="1"/>
  </cols>
  <sheetData>
    <row r="4" spans="3:28" x14ac:dyDescent="0.2">
      <c r="C4" t="s">
        <v>111</v>
      </c>
      <c r="I4" t="s">
        <v>112</v>
      </c>
      <c r="O4" t="s">
        <v>113</v>
      </c>
      <c r="U4" t="s">
        <v>114</v>
      </c>
      <c r="Z4" t="s">
        <v>115</v>
      </c>
    </row>
    <row r="6" spans="3:28" x14ac:dyDescent="0.2">
      <c r="C6" t="s">
        <v>116</v>
      </c>
      <c r="D6" t="s">
        <v>10</v>
      </c>
      <c r="E6" t="s">
        <v>49</v>
      </c>
      <c r="F6" t="s">
        <v>117</v>
      </c>
      <c r="G6" t="s">
        <v>118</v>
      </c>
      <c r="I6" t="s">
        <v>116</v>
      </c>
      <c r="J6" t="s">
        <v>10</v>
      </c>
      <c r="K6" t="s">
        <v>49</v>
      </c>
      <c r="L6" t="s">
        <v>117</v>
      </c>
      <c r="M6" t="s">
        <v>118</v>
      </c>
      <c r="O6" t="s">
        <v>116</v>
      </c>
      <c r="P6" t="s">
        <v>10</v>
      </c>
      <c r="Q6" t="s">
        <v>49</v>
      </c>
      <c r="R6" t="s">
        <v>117</v>
      </c>
      <c r="S6" t="s">
        <v>118</v>
      </c>
      <c r="U6" t="s">
        <v>116</v>
      </c>
      <c r="V6" t="s">
        <v>119</v>
      </c>
      <c r="W6" t="s">
        <v>49</v>
      </c>
      <c r="Z6" t="s">
        <v>116</v>
      </c>
      <c r="AA6" t="s">
        <v>119</v>
      </c>
      <c r="AB6" t="s">
        <v>49</v>
      </c>
    </row>
    <row r="7" spans="3:28" x14ac:dyDescent="0.2">
      <c r="C7" t="s">
        <v>120</v>
      </c>
      <c r="D7">
        <v>13</v>
      </c>
      <c r="E7">
        <v>0.89800000000000002</v>
      </c>
      <c r="F7">
        <f>E7*$V$15+$V$16</f>
        <v>33.669524000000003</v>
      </c>
      <c r="G7">
        <f>LN(F7)</f>
        <v>3.5165930958589144</v>
      </c>
      <c r="I7" t="s">
        <v>121</v>
      </c>
      <c r="J7">
        <v>7</v>
      </c>
      <c r="K7">
        <v>0.85799999999999998</v>
      </c>
      <c r="L7">
        <f>K7*$V$15+$V$16</f>
        <v>32.164003999999998</v>
      </c>
      <c r="M7">
        <f>LN(L7)</f>
        <v>3.4708479390485363</v>
      </c>
      <c r="O7" t="s">
        <v>121</v>
      </c>
      <c r="P7">
        <v>7</v>
      </c>
      <c r="Q7">
        <v>0.90200000000000002</v>
      </c>
      <c r="R7">
        <f>Q7*$V$15+$V$16</f>
        <v>33.820076</v>
      </c>
      <c r="S7">
        <f>LN(R7)</f>
        <v>3.5210545906589203</v>
      </c>
      <c r="Z7" t="s">
        <v>122</v>
      </c>
      <c r="AA7">
        <v>0</v>
      </c>
      <c r="AB7">
        <v>1.7000000000000001E-2</v>
      </c>
    </row>
    <row r="8" spans="3:28" x14ac:dyDescent="0.2">
      <c r="C8" t="s">
        <v>123</v>
      </c>
      <c r="D8">
        <v>178</v>
      </c>
      <c r="E8">
        <v>0.82399999999999995</v>
      </c>
      <c r="F8">
        <f t="shared" ref="F8:F16" si="0">E8*$V$15+$V$16</f>
        <v>30.884311999999998</v>
      </c>
      <c r="G8">
        <f t="shared" ref="G8:G16" si="1">LN(F8)</f>
        <v>3.4302483527138938</v>
      </c>
      <c r="I8" t="s">
        <v>124</v>
      </c>
      <c r="J8">
        <v>38</v>
      </c>
      <c r="K8">
        <v>0.76600000000000001</v>
      </c>
      <c r="L8">
        <f t="shared" ref="L8:L16" si="2">K8*$V$15+$V$16</f>
        <v>28.701307999999997</v>
      </c>
      <c r="M8">
        <f t="shared" ref="M8:M16" si="3">LN(L8)</f>
        <v>3.3569426966399627</v>
      </c>
      <c r="O8" t="s">
        <v>124</v>
      </c>
      <c r="P8">
        <v>35</v>
      </c>
      <c r="Q8">
        <v>0.874</v>
      </c>
      <c r="R8">
        <f t="shared" ref="R8:R16" si="4">Q8*$V$15+$V$16</f>
        <v>32.766212000000003</v>
      </c>
      <c r="S8">
        <f t="shared" ref="S8:S16" si="5">LN(R8)</f>
        <v>3.4893978624986079</v>
      </c>
      <c r="U8" t="s">
        <v>125</v>
      </c>
      <c r="V8">
        <v>0.5</v>
      </c>
      <c r="W8">
        <v>1.7999999999999999E-2</v>
      </c>
      <c r="Z8" t="s">
        <v>126</v>
      </c>
      <c r="AA8">
        <v>0.5</v>
      </c>
      <c r="AB8">
        <v>1.2999999999999999E-2</v>
      </c>
    </row>
    <row r="9" spans="3:28" x14ac:dyDescent="0.2">
      <c r="C9" t="s">
        <v>127</v>
      </c>
      <c r="D9">
        <v>360</v>
      </c>
      <c r="E9">
        <v>0.76600000000000001</v>
      </c>
      <c r="F9">
        <f t="shared" si="0"/>
        <v>28.701307999999997</v>
      </c>
      <c r="G9">
        <f t="shared" si="1"/>
        <v>3.3569426966399627</v>
      </c>
      <c r="I9" t="s">
        <v>128</v>
      </c>
      <c r="J9">
        <v>64</v>
      </c>
      <c r="K9">
        <v>0.64500000000000002</v>
      </c>
      <c r="L9">
        <f t="shared" si="2"/>
        <v>24.147109999999998</v>
      </c>
      <c r="M9">
        <f t="shared" si="3"/>
        <v>3.1841647042006471</v>
      </c>
      <c r="O9" t="s">
        <v>128</v>
      </c>
      <c r="P9">
        <v>92</v>
      </c>
      <c r="Q9">
        <v>0.77100000000000002</v>
      </c>
      <c r="R9">
        <f t="shared" si="4"/>
        <v>28.889498</v>
      </c>
      <c r="S9">
        <f t="shared" si="5"/>
        <v>3.3634781380724155</v>
      </c>
      <c r="U9" t="s">
        <v>129</v>
      </c>
      <c r="V9">
        <v>1</v>
      </c>
      <c r="W9">
        <v>2.5000000000000001E-2</v>
      </c>
      <c r="Z9" t="s">
        <v>130</v>
      </c>
      <c r="AA9">
        <v>1</v>
      </c>
      <c r="AB9">
        <v>0.03</v>
      </c>
    </row>
    <row r="10" spans="3:28" x14ac:dyDescent="0.2">
      <c r="C10" t="s">
        <v>131</v>
      </c>
      <c r="D10">
        <f>(9*60)+2</f>
        <v>542</v>
      </c>
      <c r="E10">
        <v>0.67900000000000005</v>
      </c>
      <c r="F10">
        <f t="shared" si="0"/>
        <v>25.426801999999999</v>
      </c>
      <c r="G10">
        <f t="shared" si="1"/>
        <v>3.2358038145460113</v>
      </c>
      <c r="I10" t="s">
        <v>132</v>
      </c>
      <c r="J10">
        <v>97</v>
      </c>
      <c r="K10">
        <v>0.501</v>
      </c>
      <c r="L10">
        <f t="shared" si="2"/>
        <v>18.727238</v>
      </c>
      <c r="M10">
        <f t="shared" si="3"/>
        <v>2.9299790416205593</v>
      </c>
      <c r="O10" t="s">
        <v>132</v>
      </c>
      <c r="P10">
        <f>180+28</f>
        <v>208</v>
      </c>
      <c r="Q10">
        <v>0.57399999999999995</v>
      </c>
      <c r="R10">
        <f t="shared" si="4"/>
        <v>21.474811999999996</v>
      </c>
      <c r="S10">
        <f t="shared" si="5"/>
        <v>3.0668807134664577</v>
      </c>
      <c r="U10" t="s">
        <v>133</v>
      </c>
      <c r="V10">
        <v>5</v>
      </c>
      <c r="W10">
        <v>0.127</v>
      </c>
      <c r="Z10" t="s">
        <v>134</v>
      </c>
      <c r="AA10">
        <v>5</v>
      </c>
      <c r="AB10">
        <v>0.127</v>
      </c>
    </row>
    <row r="11" spans="3:28" x14ac:dyDescent="0.2">
      <c r="C11" t="s">
        <v>135</v>
      </c>
      <c r="D11">
        <v>720</v>
      </c>
      <c r="E11">
        <v>0.61499999999999999</v>
      </c>
      <c r="F11">
        <f t="shared" si="0"/>
        <v>23.017969999999998</v>
      </c>
      <c r="G11">
        <f t="shared" si="1"/>
        <v>3.1362752152176196</v>
      </c>
      <c r="I11" t="s">
        <v>136</v>
      </c>
      <c r="J11">
        <v>125</v>
      </c>
      <c r="K11">
        <v>0.35199999999999998</v>
      </c>
      <c r="L11">
        <f t="shared" si="2"/>
        <v>13.119175999999998</v>
      </c>
      <c r="M11">
        <f t="shared" si="3"/>
        <v>2.5740749766655853</v>
      </c>
      <c r="O11" t="s">
        <v>136</v>
      </c>
      <c r="P11">
        <f>(5*60)+33</f>
        <v>333</v>
      </c>
      <c r="Q11">
        <v>0.36099999999999999</v>
      </c>
      <c r="R11">
        <f t="shared" si="4"/>
        <v>13.457917999999998</v>
      </c>
      <c r="S11">
        <f t="shared" si="5"/>
        <v>2.5995676317173957</v>
      </c>
      <c r="U11" t="s">
        <v>137</v>
      </c>
      <c r="V11">
        <v>25</v>
      </c>
      <c r="W11">
        <v>0.66500000000000004</v>
      </c>
      <c r="Z11" t="s">
        <v>138</v>
      </c>
      <c r="AA11">
        <v>25</v>
      </c>
      <c r="AB11">
        <v>0.66700000000000004</v>
      </c>
    </row>
    <row r="12" spans="3:28" x14ac:dyDescent="0.2">
      <c r="C12" t="s">
        <v>139</v>
      </c>
      <c r="D12">
        <v>903</v>
      </c>
      <c r="E12">
        <v>0.52</v>
      </c>
      <c r="F12">
        <f t="shared" si="0"/>
        <v>19.442360000000001</v>
      </c>
      <c r="G12">
        <f t="shared" si="1"/>
        <v>2.967454190840964</v>
      </c>
      <c r="I12" t="s">
        <v>140</v>
      </c>
      <c r="J12">
        <v>164</v>
      </c>
      <c r="K12">
        <v>0.217</v>
      </c>
      <c r="L12">
        <f t="shared" si="2"/>
        <v>8.0380459999999996</v>
      </c>
      <c r="M12">
        <f t="shared" si="3"/>
        <v>2.0841860188272552</v>
      </c>
      <c r="O12" t="s">
        <v>140</v>
      </c>
      <c r="P12">
        <f>(7*60)+24</f>
        <v>444</v>
      </c>
      <c r="Q12">
        <v>0.217</v>
      </c>
      <c r="R12">
        <f t="shared" si="4"/>
        <v>8.0380459999999996</v>
      </c>
      <c r="S12">
        <f t="shared" si="5"/>
        <v>2.0841860188272552</v>
      </c>
      <c r="U12" t="s">
        <v>141</v>
      </c>
      <c r="V12">
        <v>50</v>
      </c>
      <c r="W12">
        <v>1.3340000000000001</v>
      </c>
      <c r="Z12" t="s">
        <v>142</v>
      </c>
      <c r="AA12">
        <v>50</v>
      </c>
      <c r="AB12">
        <v>1.3360000000000001</v>
      </c>
    </row>
    <row r="13" spans="3:28" x14ac:dyDescent="0.2">
      <c r="C13" t="s">
        <v>143</v>
      </c>
      <c r="D13">
        <v>1083</v>
      </c>
      <c r="E13">
        <v>0.442</v>
      </c>
      <c r="F13">
        <f t="shared" si="0"/>
        <v>16.506595999999998</v>
      </c>
      <c r="G13">
        <f t="shared" si="1"/>
        <v>2.8037600586005209</v>
      </c>
      <c r="I13" t="s">
        <v>144</v>
      </c>
      <c r="J13">
        <v>192</v>
      </c>
      <c r="K13">
        <v>0.13800000000000001</v>
      </c>
      <c r="L13">
        <f t="shared" si="2"/>
        <v>5.0646439999999995</v>
      </c>
      <c r="M13">
        <f t="shared" si="3"/>
        <v>1.6222838489520695</v>
      </c>
      <c r="O13" t="s">
        <v>144</v>
      </c>
      <c r="P13">
        <f>(9*60)+24</f>
        <v>564</v>
      </c>
      <c r="Q13">
        <v>0.12</v>
      </c>
      <c r="R13">
        <f t="shared" si="4"/>
        <v>4.3871599999999988</v>
      </c>
      <c r="S13">
        <f t="shared" si="5"/>
        <v>1.478682092911763</v>
      </c>
    </row>
    <row r="14" spans="3:28" x14ac:dyDescent="0.2">
      <c r="C14" t="s">
        <v>145</v>
      </c>
      <c r="D14">
        <v>1255</v>
      </c>
      <c r="E14">
        <v>0.36</v>
      </c>
      <c r="F14">
        <f t="shared" si="0"/>
        <v>13.420279999999998</v>
      </c>
      <c r="G14">
        <f t="shared" si="1"/>
        <v>2.5967669957073976</v>
      </c>
      <c r="I14" t="s">
        <v>146</v>
      </c>
      <c r="J14">
        <v>222</v>
      </c>
      <c r="K14">
        <v>8.6999999999999994E-2</v>
      </c>
      <c r="L14">
        <f t="shared" si="2"/>
        <v>3.1451059999999997</v>
      </c>
      <c r="M14">
        <f t="shared" si="3"/>
        <v>1.1458475938769548</v>
      </c>
      <c r="O14" t="s">
        <v>146</v>
      </c>
      <c r="P14">
        <f>(11*60)+30</f>
        <v>690</v>
      </c>
      <c r="Q14">
        <v>8.7999999999999995E-2</v>
      </c>
      <c r="R14">
        <f t="shared" si="4"/>
        <v>3.1827439999999996</v>
      </c>
      <c r="S14">
        <f t="shared" si="5"/>
        <v>1.1577437177956382</v>
      </c>
    </row>
    <row r="15" spans="3:28" x14ac:dyDescent="0.2">
      <c r="C15" t="s">
        <v>147</v>
      </c>
      <c r="D15">
        <f>24*60</f>
        <v>1440</v>
      </c>
      <c r="E15">
        <v>0.29499999999999998</v>
      </c>
      <c r="F15">
        <f t="shared" si="0"/>
        <v>10.973809999999999</v>
      </c>
      <c r="G15">
        <f t="shared" si="1"/>
        <v>2.3955115248364542</v>
      </c>
      <c r="I15" t="s">
        <v>148</v>
      </c>
      <c r="J15">
        <v>270</v>
      </c>
      <c r="K15">
        <v>3.7999999999999999E-2</v>
      </c>
      <c r="L15">
        <f t="shared" si="2"/>
        <v>1.3008439999999999</v>
      </c>
      <c r="M15">
        <f t="shared" si="3"/>
        <v>0.26301328457759854</v>
      </c>
      <c r="O15" t="s">
        <v>148</v>
      </c>
      <c r="P15">
        <f>(13*60)+27</f>
        <v>807</v>
      </c>
      <c r="Q15">
        <v>4.2000000000000003E-2</v>
      </c>
      <c r="R15">
        <f t="shared" si="4"/>
        <v>1.4513960000000001</v>
      </c>
      <c r="S15">
        <f t="shared" si="5"/>
        <v>0.37252585189833898</v>
      </c>
      <c r="U15" t="s">
        <v>58</v>
      </c>
      <c r="V15">
        <v>37.637999999999998</v>
      </c>
    </row>
    <row r="16" spans="3:28" x14ac:dyDescent="0.2">
      <c r="C16" t="s">
        <v>149</v>
      </c>
      <c r="D16">
        <f>(27*60)+2</f>
        <v>1622</v>
      </c>
      <c r="E16">
        <v>0.23699999999999999</v>
      </c>
      <c r="F16">
        <f t="shared" si="0"/>
        <v>8.7908059999999981</v>
      </c>
      <c r="G16">
        <f t="shared" si="1"/>
        <v>2.1737064026014234</v>
      </c>
      <c r="I16" t="s">
        <v>150</v>
      </c>
      <c r="J16">
        <v>301</v>
      </c>
      <c r="K16">
        <v>2.7E-2</v>
      </c>
      <c r="L16">
        <f t="shared" si="2"/>
        <v>0.88682599999999989</v>
      </c>
      <c r="M16">
        <f t="shared" si="3"/>
        <v>-0.12010648277035768</v>
      </c>
      <c r="O16" t="s">
        <v>150</v>
      </c>
      <c r="P16">
        <f>(15*60)+23</f>
        <v>923</v>
      </c>
      <c r="Q16">
        <v>1.4999999999999999E-2</v>
      </c>
      <c r="R16">
        <f t="shared" si="4"/>
        <v>0.43516999999999995</v>
      </c>
      <c r="S16">
        <f t="shared" si="5"/>
        <v>-0.83201851963997897</v>
      </c>
      <c r="U16" t="s">
        <v>59</v>
      </c>
      <c r="V16">
        <v>-0.12939999999999999</v>
      </c>
    </row>
    <row r="36" spans="4:7" x14ac:dyDescent="0.2">
      <c r="E36" t="s">
        <v>1</v>
      </c>
      <c r="F36" t="s">
        <v>151</v>
      </c>
      <c r="G36" t="s">
        <v>152</v>
      </c>
    </row>
    <row r="37" spans="4:7" x14ac:dyDescent="0.2">
      <c r="D37">
        <f>14-E37</f>
        <v>6.77</v>
      </c>
      <c r="E37">
        <v>7.23</v>
      </c>
      <c r="F37">
        <v>8.0000000000000004E-4</v>
      </c>
      <c r="G37">
        <f>LOG(F37)</f>
        <v>-3.0969100130080562</v>
      </c>
    </row>
    <row r="38" spans="4:7" x14ac:dyDescent="0.2">
      <c r="D38">
        <f t="shared" ref="D38:D45" si="6">14-E38</f>
        <v>6.77</v>
      </c>
      <c r="E38">
        <v>7.23</v>
      </c>
      <c r="F38">
        <v>8.0000000000000004E-4</v>
      </c>
      <c r="G38">
        <f t="shared" ref="G38:G45" si="7">LOG(F38)</f>
        <v>-3.0969100130080562</v>
      </c>
    </row>
    <row r="39" spans="4:7" x14ac:dyDescent="0.2">
      <c r="D39">
        <f t="shared" si="6"/>
        <v>6.59</v>
      </c>
      <c r="E39">
        <v>7.41</v>
      </c>
      <c r="F39">
        <v>3.5000000000000001E-3</v>
      </c>
      <c r="G39">
        <f t="shared" si="7"/>
        <v>-2.4559319556497243</v>
      </c>
    </row>
    <row r="40" spans="4:7" x14ac:dyDescent="0.2">
      <c r="D40">
        <f t="shared" si="6"/>
        <v>6.55</v>
      </c>
      <c r="E40">
        <v>7.45</v>
      </c>
      <c r="F40">
        <v>4.1000000000000003E-3</v>
      </c>
      <c r="G40">
        <f t="shared" si="7"/>
        <v>-2.3872161432802645</v>
      </c>
    </row>
    <row r="41" spans="4:7" x14ac:dyDescent="0.2">
      <c r="D41">
        <f t="shared" si="6"/>
        <v>6.55</v>
      </c>
      <c r="E41">
        <v>7.45</v>
      </c>
      <c r="F41">
        <v>4.4000000000000003E-3</v>
      </c>
      <c r="G41">
        <f t="shared" si="7"/>
        <v>-2.3565473235138126</v>
      </c>
    </row>
    <row r="42" spans="4:7" x14ac:dyDescent="0.2">
      <c r="D42">
        <f t="shared" si="6"/>
        <v>6.45</v>
      </c>
      <c r="E42">
        <v>7.55</v>
      </c>
      <c r="F42">
        <v>5.3E-3</v>
      </c>
      <c r="G42">
        <f t="shared" si="7"/>
        <v>-2.2757241303992108</v>
      </c>
    </row>
    <row r="43" spans="4:7" x14ac:dyDescent="0.2">
      <c r="D43">
        <f t="shared" si="6"/>
        <v>6.39</v>
      </c>
      <c r="E43">
        <v>7.61</v>
      </c>
      <c r="F43">
        <v>5.4999999999999997E-3</v>
      </c>
      <c r="G43">
        <f t="shared" si="7"/>
        <v>-2.2596373105057563</v>
      </c>
    </row>
    <row r="44" spans="4:7" x14ac:dyDescent="0.2">
      <c r="D44">
        <f>14-E44</f>
        <v>6.3</v>
      </c>
      <c r="E44">
        <v>7.7</v>
      </c>
      <c r="F44">
        <v>1.01E-2</v>
      </c>
      <c r="G44">
        <f t="shared" si="7"/>
        <v>-1.9956786262173574</v>
      </c>
    </row>
    <row r="45" spans="4:7" x14ac:dyDescent="0.2">
      <c r="D45">
        <f t="shared" si="6"/>
        <v>6.24</v>
      </c>
      <c r="E45">
        <v>7.76</v>
      </c>
      <c r="F45">
        <v>1.2800000000000001E-2</v>
      </c>
      <c r="G45">
        <f t="shared" si="7"/>
        <v>-1.8927900303521317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L27" sqref="L27"/>
    </sheetView>
  </sheetViews>
  <sheetFormatPr baseColWidth="10" defaultColWidth="8.83203125" defaultRowHeight="15" x14ac:dyDescent="0.2"/>
  <cols>
    <col min="5" max="7" width="10.6640625" bestFit="1" customWidth="1"/>
  </cols>
  <sheetData>
    <row r="1" spans="1:7" x14ac:dyDescent="0.2">
      <c r="A1" t="s">
        <v>153</v>
      </c>
    </row>
    <row r="4" spans="1:7" x14ac:dyDescent="0.2">
      <c r="E4" s="2">
        <v>42865</v>
      </c>
      <c r="F4" s="2">
        <v>42866</v>
      </c>
      <c r="G4" s="2">
        <v>42867</v>
      </c>
    </row>
    <row r="5" spans="1:7" x14ac:dyDescent="0.2">
      <c r="C5" t="s">
        <v>116</v>
      </c>
      <c r="D5" t="s">
        <v>119</v>
      </c>
      <c r="E5" t="s">
        <v>49</v>
      </c>
    </row>
    <row r="6" spans="1:7" x14ac:dyDescent="0.2">
      <c r="C6" t="s">
        <v>154</v>
      </c>
      <c r="D6">
        <v>0</v>
      </c>
      <c r="E6">
        <v>0</v>
      </c>
      <c r="F6">
        <v>0</v>
      </c>
      <c r="G6">
        <v>0</v>
      </c>
    </row>
    <row r="7" spans="1:7" x14ac:dyDescent="0.2">
      <c r="C7" t="s">
        <v>125</v>
      </c>
      <c r="D7">
        <v>0.5</v>
      </c>
      <c r="E7">
        <v>1.7999999999999999E-2</v>
      </c>
      <c r="F7">
        <v>2.4E-2</v>
      </c>
      <c r="G7">
        <v>2.1999999999999999E-2</v>
      </c>
    </row>
    <row r="8" spans="1:7" x14ac:dyDescent="0.2">
      <c r="C8" t="s">
        <v>129</v>
      </c>
      <c r="D8">
        <v>1</v>
      </c>
      <c r="E8">
        <v>2.5000000000000001E-2</v>
      </c>
      <c r="F8">
        <v>4.2000000000000003E-2</v>
      </c>
      <c r="G8">
        <v>2.8000000000000001E-2</v>
      </c>
    </row>
    <row r="9" spans="1:7" x14ac:dyDescent="0.2">
      <c r="C9" t="s">
        <v>133</v>
      </c>
      <c r="D9">
        <v>5</v>
      </c>
      <c r="E9">
        <v>0.127</v>
      </c>
      <c r="F9">
        <v>0.13500000000000001</v>
      </c>
      <c r="G9">
        <v>0.159</v>
      </c>
    </row>
    <row r="10" spans="1:7" x14ac:dyDescent="0.2">
      <c r="C10" t="s">
        <v>137</v>
      </c>
      <c r="D10">
        <v>25</v>
      </c>
      <c r="E10">
        <v>0.66500000000000004</v>
      </c>
      <c r="F10">
        <v>0.65600000000000003</v>
      </c>
      <c r="G10">
        <v>0.66400000000000003</v>
      </c>
    </row>
    <row r="11" spans="1:7" x14ac:dyDescent="0.2">
      <c r="C11" t="s">
        <v>141</v>
      </c>
      <c r="D11">
        <v>50</v>
      </c>
      <c r="E11">
        <v>1.3340000000000001</v>
      </c>
      <c r="F11">
        <v>1.2689999999999999</v>
      </c>
      <c r="G11">
        <v>1.2809999999999999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4:R31"/>
  <sheetViews>
    <sheetView workbookViewId="0">
      <selection activeCell="P19" sqref="P19"/>
    </sheetView>
  </sheetViews>
  <sheetFormatPr baseColWidth="10" defaultColWidth="8.83203125" defaultRowHeight="15" x14ac:dyDescent="0.2"/>
  <cols>
    <col min="5" max="5" width="12.5" customWidth="1"/>
  </cols>
  <sheetData>
    <row r="4" spans="3:5" x14ac:dyDescent="0.2">
      <c r="C4" t="s">
        <v>116</v>
      </c>
      <c r="D4" t="s">
        <v>119</v>
      </c>
      <c r="E4" t="s">
        <v>57</v>
      </c>
    </row>
    <row r="5" spans="3:5" x14ac:dyDescent="0.2">
      <c r="C5" t="s">
        <v>154</v>
      </c>
      <c r="D5">
        <v>0</v>
      </c>
      <c r="E5">
        <v>0</v>
      </c>
    </row>
    <row r="6" spans="3:5" x14ac:dyDescent="0.2">
      <c r="C6" t="s">
        <v>125</v>
      </c>
      <c r="D6">
        <v>0.5</v>
      </c>
      <c r="E6">
        <v>2.1999999999999999E-2</v>
      </c>
    </row>
    <row r="7" spans="3:5" x14ac:dyDescent="0.2">
      <c r="C7" t="s">
        <v>129</v>
      </c>
      <c r="D7">
        <v>1</v>
      </c>
      <c r="E7">
        <v>2.8000000000000001E-2</v>
      </c>
    </row>
    <row r="8" spans="3:5" x14ac:dyDescent="0.2">
      <c r="C8" t="s">
        <v>133</v>
      </c>
      <c r="D8">
        <v>5</v>
      </c>
      <c r="E8">
        <v>0.159</v>
      </c>
    </row>
    <row r="9" spans="3:5" x14ac:dyDescent="0.2">
      <c r="C9" t="s">
        <v>137</v>
      </c>
      <c r="D9">
        <v>25</v>
      </c>
      <c r="E9">
        <v>0.66400000000000003</v>
      </c>
    </row>
    <row r="10" spans="3:5" x14ac:dyDescent="0.2">
      <c r="C10" t="s">
        <v>141</v>
      </c>
      <c r="D10">
        <v>50</v>
      </c>
      <c r="E10">
        <v>1.2809999999999999</v>
      </c>
    </row>
    <row r="19" spans="3:18" x14ac:dyDescent="0.2">
      <c r="C19" t="s">
        <v>58</v>
      </c>
      <c r="D19">
        <v>2.5499999999999998E-2</v>
      </c>
    </row>
    <row r="20" spans="3:18" x14ac:dyDescent="0.2">
      <c r="C20" t="s">
        <v>59</v>
      </c>
      <c r="D20">
        <v>1.2E-2</v>
      </c>
    </row>
    <row r="22" spans="3:18" x14ac:dyDescent="0.2">
      <c r="C22" t="s">
        <v>84</v>
      </c>
      <c r="D22" t="s">
        <v>85</v>
      </c>
      <c r="E22" t="s">
        <v>86</v>
      </c>
      <c r="F22" t="s">
        <v>1</v>
      </c>
      <c r="G22" t="s">
        <v>57</v>
      </c>
      <c r="H22" t="s">
        <v>155</v>
      </c>
      <c r="I22" t="s">
        <v>87</v>
      </c>
      <c r="J22" t="s">
        <v>88</v>
      </c>
      <c r="K22" t="s">
        <v>84</v>
      </c>
      <c r="L22" t="s">
        <v>85</v>
      </c>
      <c r="M22" t="s">
        <v>86</v>
      </c>
      <c r="N22" t="s">
        <v>1</v>
      </c>
      <c r="O22" t="s">
        <v>57</v>
      </c>
      <c r="P22" t="s">
        <v>155</v>
      </c>
      <c r="Q22" t="s">
        <v>87</v>
      </c>
      <c r="R22" t="s">
        <v>88</v>
      </c>
    </row>
    <row r="23" spans="3:18" x14ac:dyDescent="0.2">
      <c r="C23" t="s">
        <v>89</v>
      </c>
      <c r="E23">
        <f>D23/60</f>
        <v>0</v>
      </c>
      <c r="G23">
        <v>0.626</v>
      </c>
      <c r="H23">
        <v>3</v>
      </c>
      <c r="I23">
        <f>((G23-$D$20)/$D$19)*H23</f>
        <v>72.235294117647058</v>
      </c>
      <c r="J23">
        <f>LN(I23)</f>
        <v>4.2799287646508715</v>
      </c>
      <c r="K23" t="s">
        <v>96</v>
      </c>
      <c r="M23">
        <f>L23/60</f>
        <v>0</v>
      </c>
      <c r="O23">
        <v>0.51300000000000001</v>
      </c>
      <c r="P23">
        <v>3</v>
      </c>
      <c r="Q23">
        <f>((O23-$D$20)/$D$19)*P23</f>
        <v>58.941176470588239</v>
      </c>
      <c r="R23">
        <f>LN(Q23)</f>
        <v>4.0765399375885938</v>
      </c>
    </row>
    <row r="24" spans="3:18" x14ac:dyDescent="0.2">
      <c r="C24" t="s">
        <v>90</v>
      </c>
      <c r="E24">
        <f t="shared" ref="E24:E31" si="0">D24/60</f>
        <v>0</v>
      </c>
      <c r="G24">
        <v>0.498</v>
      </c>
      <c r="H24">
        <v>3</v>
      </c>
      <c r="I24">
        <f t="shared" ref="I24:I31" si="1">((G24-$D$20)/$D$19)*H24</f>
        <v>57.17647058823529</v>
      </c>
      <c r="J24">
        <f t="shared" ref="J24:J31" si="2">LN(I24)</f>
        <v>4.0461424604042229</v>
      </c>
      <c r="K24" t="s">
        <v>97</v>
      </c>
      <c r="M24">
        <f t="shared" ref="M24:M31" si="3">L24/60</f>
        <v>0</v>
      </c>
      <c r="O24">
        <v>0.55300000000000005</v>
      </c>
      <c r="P24">
        <v>3</v>
      </c>
      <c r="Q24">
        <f t="shared" ref="Q24:Q31" si="4">((O24-$D$20)/$D$19)*P24</f>
        <v>63.64705882352942</v>
      </c>
      <c r="R24">
        <f t="shared" ref="R24:R31" si="5">LN(Q24)</f>
        <v>4.1533531153502112</v>
      </c>
    </row>
    <row r="25" spans="3:18" x14ac:dyDescent="0.2">
      <c r="C25" t="s">
        <v>91</v>
      </c>
      <c r="E25">
        <f t="shared" si="0"/>
        <v>0</v>
      </c>
      <c r="G25">
        <v>0.34899999999999998</v>
      </c>
      <c r="H25">
        <v>3</v>
      </c>
      <c r="I25">
        <f t="shared" si="1"/>
        <v>39.647058823529406</v>
      </c>
      <c r="J25">
        <f t="shared" si="2"/>
        <v>3.6800167668560908</v>
      </c>
      <c r="K25" t="s">
        <v>98</v>
      </c>
      <c r="M25">
        <f t="shared" si="3"/>
        <v>0</v>
      </c>
      <c r="O25">
        <v>0.46500000000000002</v>
      </c>
      <c r="P25">
        <v>3</v>
      </c>
      <c r="Q25">
        <f t="shared" si="4"/>
        <v>53.294117647058826</v>
      </c>
      <c r="R25">
        <f t="shared" si="5"/>
        <v>3.9758259619867631</v>
      </c>
    </row>
    <row r="26" spans="3:18" x14ac:dyDescent="0.2">
      <c r="C26" t="s">
        <v>92</v>
      </c>
      <c r="E26">
        <f t="shared" si="0"/>
        <v>0</v>
      </c>
      <c r="G26">
        <v>0.24</v>
      </c>
      <c r="H26">
        <v>3</v>
      </c>
      <c r="I26">
        <f t="shared" si="1"/>
        <v>26.823529411764707</v>
      </c>
      <c r="J26">
        <f t="shared" si="2"/>
        <v>3.2892794654581698</v>
      </c>
      <c r="K26" t="s">
        <v>99</v>
      </c>
      <c r="M26">
        <f t="shared" si="3"/>
        <v>0</v>
      </c>
      <c r="O26">
        <v>0.35499999999999998</v>
      </c>
      <c r="P26">
        <v>3</v>
      </c>
      <c r="Q26">
        <f t="shared" si="4"/>
        <v>40.352941176470587</v>
      </c>
      <c r="R26">
        <f t="shared" si="5"/>
        <v>3.6976642836696691</v>
      </c>
    </row>
    <row r="27" spans="3:18" x14ac:dyDescent="0.2">
      <c r="C27" t="s">
        <v>93</v>
      </c>
      <c r="E27">
        <f t="shared" si="0"/>
        <v>0</v>
      </c>
      <c r="G27">
        <v>0.45300000000000001</v>
      </c>
      <c r="H27">
        <v>1</v>
      </c>
      <c r="I27">
        <f t="shared" si="1"/>
        <v>17.294117647058826</v>
      </c>
      <c r="J27">
        <f t="shared" si="2"/>
        <v>2.8503664232824657</v>
      </c>
      <c r="K27" t="s">
        <v>100</v>
      </c>
      <c r="M27">
        <f t="shared" si="3"/>
        <v>0</v>
      </c>
      <c r="O27">
        <v>0.245</v>
      </c>
      <c r="P27">
        <v>3</v>
      </c>
      <c r="Q27">
        <f t="shared" si="4"/>
        <v>27.411764705882351</v>
      </c>
      <c r="R27">
        <f t="shared" si="5"/>
        <v>3.3109722900694298</v>
      </c>
    </row>
    <row r="28" spans="3:18" x14ac:dyDescent="0.2">
      <c r="C28" t="s">
        <v>94</v>
      </c>
      <c r="E28">
        <f t="shared" si="0"/>
        <v>0</v>
      </c>
      <c r="G28">
        <v>0.24099999999999999</v>
      </c>
      <c r="H28">
        <v>1</v>
      </c>
      <c r="I28">
        <f t="shared" si="1"/>
        <v>8.9803921568627452</v>
      </c>
      <c r="J28">
        <f t="shared" si="2"/>
        <v>2.1950435513898592</v>
      </c>
      <c r="K28" t="s">
        <v>101</v>
      </c>
      <c r="M28">
        <f t="shared" si="3"/>
        <v>0</v>
      </c>
      <c r="O28">
        <v>0.58899999999999997</v>
      </c>
      <c r="P28">
        <v>1</v>
      </c>
      <c r="Q28">
        <f t="shared" si="4"/>
        <v>22.627450980392158</v>
      </c>
      <c r="R28">
        <f t="shared" si="5"/>
        <v>3.119163814343719</v>
      </c>
    </row>
    <row r="29" spans="3:18" x14ac:dyDescent="0.2">
      <c r="C29" t="s">
        <v>107</v>
      </c>
      <c r="E29">
        <f t="shared" si="0"/>
        <v>0</v>
      </c>
      <c r="G29">
        <v>0.13900000000000001</v>
      </c>
      <c r="H29">
        <v>1</v>
      </c>
      <c r="I29">
        <f t="shared" si="1"/>
        <v>4.9803921568627452</v>
      </c>
      <c r="J29">
        <f t="shared" si="2"/>
        <v>1.6055086342942109</v>
      </c>
      <c r="K29" t="s">
        <v>102</v>
      </c>
      <c r="M29">
        <f t="shared" si="3"/>
        <v>0</v>
      </c>
      <c r="O29">
        <v>0.36399999999999999</v>
      </c>
      <c r="P29">
        <v>1</v>
      </c>
      <c r="Q29">
        <f t="shared" si="4"/>
        <v>13.803921568627452</v>
      </c>
      <c r="R29">
        <f t="shared" si="5"/>
        <v>2.6249527234337169</v>
      </c>
    </row>
    <row r="30" spans="3:18" x14ac:dyDescent="0.2">
      <c r="C30" t="s">
        <v>95</v>
      </c>
      <c r="E30">
        <f t="shared" si="0"/>
        <v>0</v>
      </c>
      <c r="G30">
        <v>0.09</v>
      </c>
      <c r="H30">
        <v>1</v>
      </c>
      <c r="I30">
        <f t="shared" si="1"/>
        <v>3.0588235294117649</v>
      </c>
      <c r="J30">
        <f t="shared" si="2"/>
        <v>1.1180303745252114</v>
      </c>
      <c r="K30" t="s">
        <v>103</v>
      </c>
      <c r="M30">
        <f t="shared" si="3"/>
        <v>0</v>
      </c>
      <c r="O30">
        <v>0.22900000000000001</v>
      </c>
      <c r="P30">
        <v>1</v>
      </c>
      <c r="Q30">
        <f t="shared" si="4"/>
        <v>8.5098039215686274</v>
      </c>
      <c r="R30">
        <f t="shared" si="5"/>
        <v>2.141218901376079</v>
      </c>
    </row>
    <row r="31" spans="3:18" x14ac:dyDescent="0.2">
      <c r="C31" t="s">
        <v>108</v>
      </c>
      <c r="E31">
        <f t="shared" si="0"/>
        <v>0</v>
      </c>
      <c r="G31">
        <v>0.06</v>
      </c>
      <c r="H31">
        <v>1</v>
      </c>
      <c r="I31">
        <f t="shared" si="1"/>
        <v>1.8823529411764708</v>
      </c>
      <c r="J31">
        <f t="shared" si="2"/>
        <v>0.6325225587435106</v>
      </c>
      <c r="K31" t="s">
        <v>104</v>
      </c>
      <c r="M31">
        <f t="shared" si="3"/>
        <v>0</v>
      </c>
      <c r="O31">
        <v>0.155</v>
      </c>
      <c r="P31">
        <v>1</v>
      </c>
      <c r="Q31">
        <f t="shared" si="4"/>
        <v>5.6078431372549016</v>
      </c>
      <c r="R31">
        <f t="shared" si="5"/>
        <v>1.7241661780955269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DF6E-3165-4462-A772-C2CA4EA1EF82}">
  <dimension ref="B2:M16"/>
  <sheetViews>
    <sheetView workbookViewId="0">
      <selection activeCell="B2" sqref="B2:M16"/>
    </sheetView>
  </sheetViews>
  <sheetFormatPr baseColWidth="10" defaultColWidth="8.83203125" defaultRowHeight="15" x14ac:dyDescent="0.2"/>
  <sheetData>
    <row r="2" spans="2:13" x14ac:dyDescent="0.2"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2:13" x14ac:dyDescent="0.2">
      <c r="B3" s="45"/>
      <c r="C3" s="45"/>
      <c r="D3" s="45" t="s">
        <v>173</v>
      </c>
      <c r="E3" s="45" t="s">
        <v>174</v>
      </c>
      <c r="F3" s="45" t="s">
        <v>175</v>
      </c>
      <c r="G3" s="45"/>
      <c r="H3" s="45"/>
      <c r="I3" s="45"/>
      <c r="J3" s="45"/>
      <c r="K3" s="45"/>
    </row>
    <row r="4" spans="2:13" x14ac:dyDescent="0.2">
      <c r="B4" s="45" t="s">
        <v>172</v>
      </c>
      <c r="C4" s="45" t="s">
        <v>160</v>
      </c>
      <c r="D4" s="45">
        <v>0.02</v>
      </c>
      <c r="E4" s="45">
        <f>D4/10^-3</f>
        <v>20</v>
      </c>
      <c r="F4" s="45">
        <f>E4/10^-3</f>
        <v>20000</v>
      </c>
      <c r="G4" s="45"/>
      <c r="H4" s="45"/>
      <c r="I4" s="45"/>
      <c r="J4" s="45"/>
      <c r="K4" s="45"/>
    </row>
    <row r="5" spans="2:13" x14ac:dyDescent="0.2">
      <c r="B5" s="45"/>
      <c r="D5" s="45"/>
      <c r="E5" s="45"/>
      <c r="F5" s="45">
        <v>200</v>
      </c>
      <c r="G5" s="45"/>
      <c r="H5" s="45"/>
      <c r="I5" s="45"/>
      <c r="J5" s="45"/>
      <c r="K5" s="45"/>
    </row>
    <row r="6" spans="2:13" x14ac:dyDescent="0.2"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2:13" x14ac:dyDescent="0.2">
      <c r="B7" s="45"/>
      <c r="C7" s="45" t="s">
        <v>157</v>
      </c>
      <c r="D7" s="45" t="s">
        <v>158</v>
      </c>
      <c r="E7" s="45"/>
      <c r="F7" s="45"/>
      <c r="G7" s="45"/>
      <c r="H7" s="45"/>
      <c r="I7" s="45"/>
      <c r="J7" s="45"/>
      <c r="K7" s="45"/>
    </row>
    <row r="8" spans="2:13" x14ac:dyDescent="0.2">
      <c r="B8" s="45"/>
      <c r="C8" s="45"/>
      <c r="D8" s="45"/>
      <c r="E8" s="45"/>
      <c r="F8" s="45"/>
      <c r="G8" s="45"/>
      <c r="H8" s="45"/>
      <c r="I8" s="45"/>
      <c r="J8" s="45"/>
      <c r="K8" s="45"/>
    </row>
    <row r="9" spans="2:13" x14ac:dyDescent="0.2">
      <c r="B9" s="45"/>
      <c r="C9" s="45" t="s">
        <v>157</v>
      </c>
      <c r="D9" s="45"/>
      <c r="E9" s="45"/>
      <c r="F9" s="45"/>
      <c r="H9" s="45" t="s">
        <v>159</v>
      </c>
      <c r="J9" s="45"/>
      <c r="K9" s="45"/>
      <c r="L9" s="45"/>
      <c r="M9" s="45"/>
    </row>
    <row r="10" spans="2:13" x14ac:dyDescent="0.2">
      <c r="B10" s="45"/>
      <c r="C10" s="45" t="s">
        <v>179</v>
      </c>
      <c r="D10" s="45" t="s">
        <v>176</v>
      </c>
      <c r="E10" s="45" t="s">
        <v>178</v>
      </c>
      <c r="F10" s="47" t="s">
        <v>177</v>
      </c>
      <c r="I10" s="45" t="s">
        <v>169</v>
      </c>
      <c r="J10" s="45" t="s">
        <v>170</v>
      </c>
      <c r="K10" s="45" t="s">
        <v>156</v>
      </c>
      <c r="L10" s="45" t="s">
        <v>161</v>
      </c>
      <c r="M10" s="45" t="s">
        <v>162</v>
      </c>
    </row>
    <row r="11" spans="2:13" x14ac:dyDescent="0.2">
      <c r="B11" s="45"/>
      <c r="C11" s="45" t="s">
        <v>171</v>
      </c>
      <c r="D11" s="45" t="s">
        <v>163</v>
      </c>
      <c r="E11" s="45" t="s">
        <v>171</v>
      </c>
      <c r="F11" s="47" t="s">
        <v>163</v>
      </c>
      <c r="I11" s="45"/>
      <c r="J11" s="45"/>
      <c r="K11" s="45"/>
      <c r="L11" s="45"/>
      <c r="M11" s="45"/>
    </row>
    <row r="12" spans="2:13" x14ac:dyDescent="0.2">
      <c r="B12" s="45" t="s">
        <v>164</v>
      </c>
      <c r="C12" s="45">
        <v>0.5</v>
      </c>
      <c r="D12" s="45">
        <v>10</v>
      </c>
      <c r="E12" s="45">
        <f>$F$4</f>
        <v>20000</v>
      </c>
      <c r="F12" s="48">
        <f>C12*D12/E12</f>
        <v>2.5000000000000001E-4</v>
      </c>
      <c r="H12" s="49">
        <f>F12</f>
        <v>2.5000000000000001E-4</v>
      </c>
      <c r="I12" s="45">
        <v>0.1</v>
      </c>
      <c r="J12" s="45">
        <v>1</v>
      </c>
      <c r="K12" s="46">
        <f>L12-SUM(F12:J12)</f>
        <v>8.8994999999999997</v>
      </c>
      <c r="L12" s="45">
        <v>10</v>
      </c>
      <c r="M12" s="46">
        <f>SUM(F12:K12)</f>
        <v>10</v>
      </c>
    </row>
    <row r="13" spans="2:13" x14ac:dyDescent="0.2">
      <c r="B13" s="45" t="s">
        <v>165</v>
      </c>
      <c r="C13" s="45">
        <v>1</v>
      </c>
      <c r="D13" s="45">
        <v>10</v>
      </c>
      <c r="E13" s="45">
        <f t="shared" ref="E13:E16" si="0">$F$4</f>
        <v>20000</v>
      </c>
      <c r="F13" s="48">
        <f t="shared" ref="F13:F16" si="1">C13*D13/E13</f>
        <v>5.0000000000000001E-4</v>
      </c>
      <c r="H13" s="49">
        <f t="shared" ref="H13:H16" si="2">F13</f>
        <v>5.0000000000000001E-4</v>
      </c>
      <c r="I13" s="45">
        <v>0.1</v>
      </c>
      <c r="J13" s="45">
        <v>1</v>
      </c>
      <c r="K13" s="46">
        <f>L13-SUM(F13:J13)</f>
        <v>8.8990000000000009</v>
      </c>
      <c r="L13" s="45">
        <v>10</v>
      </c>
      <c r="M13" s="46">
        <f>SUM(F13:K13)</f>
        <v>10</v>
      </c>
    </row>
    <row r="14" spans="2:13" x14ac:dyDescent="0.2">
      <c r="B14" s="45" t="s">
        <v>166</v>
      </c>
      <c r="C14" s="45">
        <v>5</v>
      </c>
      <c r="D14" s="45">
        <v>10</v>
      </c>
      <c r="E14" s="45">
        <f t="shared" si="0"/>
        <v>20000</v>
      </c>
      <c r="F14" s="48">
        <f t="shared" si="1"/>
        <v>2.5000000000000001E-3</v>
      </c>
      <c r="H14" s="49">
        <f t="shared" si="2"/>
        <v>2.5000000000000001E-3</v>
      </c>
      <c r="I14" s="45">
        <v>0.1</v>
      </c>
      <c r="J14" s="45">
        <v>1</v>
      </c>
      <c r="K14" s="46">
        <f>L14-SUM(F14:J14)</f>
        <v>8.8949999999999996</v>
      </c>
      <c r="L14" s="45">
        <v>10</v>
      </c>
      <c r="M14" s="46">
        <f>SUM(F14:K14)</f>
        <v>10</v>
      </c>
    </row>
    <row r="15" spans="2:13" x14ac:dyDescent="0.2">
      <c r="B15" s="45" t="s">
        <v>167</v>
      </c>
      <c r="C15" s="45">
        <v>25</v>
      </c>
      <c r="D15" s="45">
        <v>10</v>
      </c>
      <c r="E15" s="45">
        <f t="shared" si="0"/>
        <v>20000</v>
      </c>
      <c r="F15" s="48">
        <f t="shared" si="1"/>
        <v>1.2500000000000001E-2</v>
      </c>
      <c r="H15" s="49">
        <f t="shared" si="2"/>
        <v>1.2500000000000001E-2</v>
      </c>
      <c r="I15" s="45">
        <v>0.1</v>
      </c>
      <c r="J15" s="45">
        <v>1</v>
      </c>
      <c r="K15" s="46">
        <f>L15-SUM(F15:J15)</f>
        <v>8.875</v>
      </c>
      <c r="L15" s="45">
        <v>10</v>
      </c>
      <c r="M15" s="46">
        <f>SUM(F15:K15)</f>
        <v>10</v>
      </c>
    </row>
    <row r="16" spans="2:13" x14ac:dyDescent="0.2">
      <c r="B16" s="45" t="s">
        <v>168</v>
      </c>
      <c r="C16" s="45">
        <v>50</v>
      </c>
      <c r="D16" s="45">
        <v>10</v>
      </c>
      <c r="E16" s="45">
        <f t="shared" si="0"/>
        <v>20000</v>
      </c>
      <c r="F16" s="48">
        <f t="shared" si="1"/>
        <v>2.5000000000000001E-2</v>
      </c>
      <c r="H16" s="49">
        <f t="shared" si="2"/>
        <v>2.5000000000000001E-2</v>
      </c>
      <c r="I16" s="45">
        <v>0.1</v>
      </c>
      <c r="J16" s="45">
        <v>1</v>
      </c>
      <c r="K16" s="46">
        <f>L16-SUM(F16:J16)</f>
        <v>8.85</v>
      </c>
      <c r="L16" s="45">
        <v>10</v>
      </c>
      <c r="M16" s="46">
        <f>SUM(F16:K16)</f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literature</vt:lpstr>
      <vt:lpstr>Data table</vt:lpstr>
      <vt:lpstr>second order</vt:lpstr>
      <vt:lpstr>Calibration</vt:lpstr>
      <vt:lpstr>GP 1</vt:lpstr>
      <vt:lpstr>GP 2</vt:lpstr>
      <vt:lpstr>GP 3</vt:lpstr>
      <vt:lpstr>Jay+Hanif</vt:lpstr>
      <vt:lpstr>Fe stability</vt:lpstr>
      <vt:lpstr>Fe conc Hanif</vt:lpstr>
      <vt:lpstr>Design Cal Curve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microman</dc:creator>
  <cp:keywords/>
  <dc:description/>
  <cp:lastModifiedBy>Sarawud Saleesongsom</cp:lastModifiedBy>
  <cp:revision/>
  <dcterms:created xsi:type="dcterms:W3CDTF">2017-05-09T13:12:52Z</dcterms:created>
  <dcterms:modified xsi:type="dcterms:W3CDTF">2023-02-24T11:25:08Z</dcterms:modified>
  <cp:category/>
  <cp:contentStatus/>
</cp:coreProperties>
</file>