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25.xml" ContentType="application/vnd.openxmlformats-officedocument.drawingml.char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worksheets/sheet3.xml" ContentType="application/vnd.openxmlformats-officedocument.spreadsheetml.workshee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4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wudsaleesongsom/Library/CloudStorage/OneDrive-ImperialCollegeLondon/Project PhD Y2 Fe oxidation/different [Fe] concentration/"/>
    </mc:Choice>
  </mc:AlternateContent>
  <xr:revisionPtr revIDLastSave="0" documentId="13_ncr:1_{4A7B0DB0-F091-1747-AC33-6344A810CFCE}" xr6:coauthVersionLast="47" xr6:coauthVersionMax="47" xr10:uidLastSave="{00000000-0000-0000-0000-000000000000}"/>
  <bookViews>
    <workbookView xWindow="0" yWindow="500" windowWidth="25160" windowHeight="16000" activeTab="3" xr2:uid="{0105CF28-C604-9846-939B-36A2C51CA408}"/>
  </bookViews>
  <sheets>
    <sheet name="Methodology" sheetId="6" r:id="rId1"/>
    <sheet name="pH-Potential calibration" sheetId="3" r:id="rId2"/>
    <sheet name="Calibration standard" sheetId="4" r:id="rId3"/>
    <sheet name="Result" sheetId="5" r:id="rId4"/>
    <sheet name="Reaction order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7" l="1"/>
  <c r="I33" i="7"/>
  <c r="J33" i="7"/>
  <c r="K33" i="7"/>
  <c r="F33" i="7"/>
  <c r="G33" i="7"/>
  <c r="E33" i="7"/>
  <c r="D33" i="7"/>
  <c r="C33" i="7"/>
  <c r="B33" i="7"/>
  <c r="F34" i="7"/>
  <c r="G34" i="7"/>
  <c r="E34" i="7"/>
  <c r="I34" i="7" s="1"/>
  <c r="D34" i="7"/>
  <c r="H34" i="7" s="1"/>
  <c r="C34" i="7"/>
  <c r="B34" i="7"/>
  <c r="D467" i="5"/>
  <c r="E465" i="5"/>
  <c r="E466" i="5"/>
  <c r="E467" i="5"/>
  <c r="E464" i="5"/>
  <c r="K467" i="5"/>
  <c r="G467" i="5"/>
  <c r="H467" i="5" s="1"/>
  <c r="K466" i="5"/>
  <c r="F461" i="5" s="1"/>
  <c r="G466" i="5"/>
  <c r="H466" i="5" s="1"/>
  <c r="K465" i="5"/>
  <c r="G465" i="5"/>
  <c r="H465" i="5" s="1"/>
  <c r="L465" i="5" s="1"/>
  <c r="K464" i="5"/>
  <c r="G464" i="5"/>
  <c r="H464" i="5" s="1"/>
  <c r="L466" i="5" s="1"/>
  <c r="K463" i="5"/>
  <c r="H461" i="5"/>
  <c r="X447" i="5" a="1"/>
  <c r="X447" i="5" s="1"/>
  <c r="D452" i="5"/>
  <c r="E452" i="5" s="1"/>
  <c r="L450" i="5"/>
  <c r="L449" i="5"/>
  <c r="K452" i="5"/>
  <c r="G452" i="5"/>
  <c r="H452" i="5" s="1"/>
  <c r="L452" i="5" s="1"/>
  <c r="K451" i="5"/>
  <c r="G451" i="5"/>
  <c r="H451" i="5" s="1"/>
  <c r="L451" i="5" s="1"/>
  <c r="E451" i="5"/>
  <c r="K450" i="5"/>
  <c r="G450" i="5"/>
  <c r="H450" i="5" s="1"/>
  <c r="E450" i="5"/>
  <c r="K449" i="5"/>
  <c r="G449" i="5"/>
  <c r="H449" i="5" s="1"/>
  <c r="E449" i="5"/>
  <c r="K448" i="5"/>
  <c r="C32" i="7"/>
  <c r="B32" i="7"/>
  <c r="D438" i="5"/>
  <c r="E438" i="5" s="1"/>
  <c r="D437" i="5"/>
  <c r="E435" i="5"/>
  <c r="E436" i="5"/>
  <c r="E437" i="5"/>
  <c r="E434" i="5"/>
  <c r="L435" i="5"/>
  <c r="L434" i="5"/>
  <c r="K438" i="5"/>
  <c r="G438" i="5"/>
  <c r="H438" i="5" s="1"/>
  <c r="L438" i="5" s="1"/>
  <c r="K437" i="5"/>
  <c r="H437" i="5"/>
  <c r="L437" i="5" s="1"/>
  <c r="G437" i="5"/>
  <c r="K436" i="5"/>
  <c r="G436" i="5"/>
  <c r="H436" i="5" s="1"/>
  <c r="L436" i="5" s="1"/>
  <c r="K435" i="5"/>
  <c r="G435" i="5"/>
  <c r="H435" i="5" s="1"/>
  <c r="I435" i="5" s="1"/>
  <c r="K434" i="5"/>
  <c r="G434" i="5"/>
  <c r="H434" i="5" s="1"/>
  <c r="K433" i="5"/>
  <c r="F31" i="7"/>
  <c r="K31" i="7" s="1"/>
  <c r="G31" i="7"/>
  <c r="E31" i="7"/>
  <c r="D31" i="7"/>
  <c r="H31" i="7" s="1"/>
  <c r="H416" i="5"/>
  <c r="C31" i="7" s="1"/>
  <c r="B31" i="7"/>
  <c r="D423" i="5"/>
  <c r="D422" i="5"/>
  <c r="E422" i="5" s="1"/>
  <c r="D421" i="5"/>
  <c r="L420" i="5"/>
  <c r="L419" i="5"/>
  <c r="K423" i="5"/>
  <c r="G423" i="5"/>
  <c r="H423" i="5" s="1"/>
  <c r="L423" i="5" s="1"/>
  <c r="E423" i="5"/>
  <c r="K422" i="5"/>
  <c r="G422" i="5"/>
  <c r="H422" i="5" s="1"/>
  <c r="L422" i="5" s="1"/>
  <c r="K421" i="5"/>
  <c r="G421" i="5"/>
  <c r="H421" i="5" s="1"/>
  <c r="L421" i="5" s="1"/>
  <c r="E421" i="5"/>
  <c r="K420" i="5"/>
  <c r="G420" i="5"/>
  <c r="H420" i="5" s="1"/>
  <c r="E420" i="5"/>
  <c r="K419" i="5"/>
  <c r="G419" i="5"/>
  <c r="H419" i="5" s="1"/>
  <c r="E419" i="5"/>
  <c r="K418" i="5"/>
  <c r="F30" i="7"/>
  <c r="J30" i="7" s="1"/>
  <c r="G30" i="7"/>
  <c r="K30" i="7" s="1"/>
  <c r="E30" i="7"/>
  <c r="I30" i="7" s="1"/>
  <c r="D30" i="7"/>
  <c r="H30" i="7" s="1"/>
  <c r="C30" i="7"/>
  <c r="B30" i="7"/>
  <c r="D408" i="5"/>
  <c r="D407" i="5"/>
  <c r="E407" i="5" s="1"/>
  <c r="D406" i="5"/>
  <c r="E406" i="5" s="1"/>
  <c r="L405" i="5"/>
  <c r="L407" i="5"/>
  <c r="L404" i="5"/>
  <c r="F29" i="7"/>
  <c r="F28" i="7"/>
  <c r="J28" i="7" s="1"/>
  <c r="F27" i="7"/>
  <c r="G29" i="7"/>
  <c r="J29" i="7"/>
  <c r="E29" i="7"/>
  <c r="D29" i="7"/>
  <c r="G28" i="7"/>
  <c r="E28" i="7"/>
  <c r="I28" i="7" s="1"/>
  <c r="D28" i="7"/>
  <c r="H28" i="7" s="1"/>
  <c r="C28" i="7"/>
  <c r="B28" i="7"/>
  <c r="G27" i="7"/>
  <c r="K27" i="7"/>
  <c r="E27" i="7"/>
  <c r="I27" i="7" s="1"/>
  <c r="D27" i="7"/>
  <c r="H27" i="7" s="1"/>
  <c r="C27" i="7"/>
  <c r="B27" i="7"/>
  <c r="I29" i="7"/>
  <c r="H29" i="7"/>
  <c r="X388" i="5" a="1"/>
  <c r="X388" i="5" s="1"/>
  <c r="K408" i="5"/>
  <c r="G408" i="5"/>
  <c r="H408" i="5" s="1"/>
  <c r="L408" i="5" s="1"/>
  <c r="E408" i="5"/>
  <c r="K407" i="5"/>
  <c r="G407" i="5"/>
  <c r="H407" i="5" s="1"/>
  <c r="K406" i="5"/>
  <c r="G406" i="5"/>
  <c r="H406" i="5" s="1"/>
  <c r="K405" i="5"/>
  <c r="G405" i="5"/>
  <c r="H405" i="5" s="1"/>
  <c r="E405" i="5"/>
  <c r="K404" i="5"/>
  <c r="G404" i="5"/>
  <c r="H404" i="5" s="1"/>
  <c r="E404" i="5"/>
  <c r="K403" i="5"/>
  <c r="D395" i="5"/>
  <c r="E395" i="5" s="1"/>
  <c r="D393" i="5"/>
  <c r="E393" i="5" s="1"/>
  <c r="D394" i="5"/>
  <c r="E394" i="5"/>
  <c r="G394" i="5"/>
  <c r="H394" i="5" s="1"/>
  <c r="K394" i="5"/>
  <c r="G395" i="5"/>
  <c r="H395" i="5" s="1"/>
  <c r="L395" i="5" s="1"/>
  <c r="K395" i="5"/>
  <c r="L390" i="5"/>
  <c r="K393" i="5"/>
  <c r="H387" i="5" s="1"/>
  <c r="C29" i="7" s="1"/>
  <c r="G393" i="5"/>
  <c r="H393" i="5" s="1"/>
  <c r="L393" i="5" s="1"/>
  <c r="K392" i="5"/>
  <c r="G392" i="5"/>
  <c r="H392" i="5" s="1"/>
  <c r="L392" i="5" s="1"/>
  <c r="E392" i="5"/>
  <c r="D392" i="5"/>
  <c r="K391" i="5"/>
  <c r="G391" i="5"/>
  <c r="H391" i="5" s="1"/>
  <c r="L391" i="5" s="1"/>
  <c r="E391" i="5"/>
  <c r="K390" i="5"/>
  <c r="G390" i="5"/>
  <c r="H390" i="5" s="1"/>
  <c r="E390" i="5"/>
  <c r="K389" i="5"/>
  <c r="H373" i="5"/>
  <c r="X374" i="5" a="1"/>
  <c r="X374" i="5" s="1"/>
  <c r="L377" i="5"/>
  <c r="L378" i="5"/>
  <c r="L379" i="5"/>
  <c r="L380" i="5"/>
  <c r="L376" i="5"/>
  <c r="D380" i="5"/>
  <c r="E380" i="5" s="1"/>
  <c r="D379" i="5"/>
  <c r="E379" i="5" s="1"/>
  <c r="K375" i="5"/>
  <c r="E376" i="5"/>
  <c r="G376" i="5"/>
  <c r="H376" i="5"/>
  <c r="K376" i="5"/>
  <c r="E377" i="5"/>
  <c r="G377" i="5"/>
  <c r="H377" i="5" s="1"/>
  <c r="K377" i="5"/>
  <c r="E378" i="5"/>
  <c r="G378" i="5"/>
  <c r="H378" i="5" s="1"/>
  <c r="K378" i="5"/>
  <c r="G379" i="5"/>
  <c r="H379" i="5" s="1"/>
  <c r="K379" i="5"/>
  <c r="G380" i="5"/>
  <c r="H380" i="5" s="1"/>
  <c r="K380" i="5"/>
  <c r="X360" i="5" a="1"/>
  <c r="X360" i="5" s="1"/>
  <c r="D366" i="5"/>
  <c r="E366" i="5" s="1"/>
  <c r="E363" i="5"/>
  <c r="E364" i="5"/>
  <c r="E365" i="5"/>
  <c r="E362" i="5"/>
  <c r="K366" i="5"/>
  <c r="G366" i="5"/>
  <c r="H366" i="5" s="1"/>
  <c r="I366" i="5" s="1"/>
  <c r="K365" i="5"/>
  <c r="G365" i="5"/>
  <c r="H365" i="5" s="1"/>
  <c r="L365" i="5" s="1"/>
  <c r="K364" i="5"/>
  <c r="G364" i="5"/>
  <c r="H364" i="5" s="1"/>
  <c r="K363" i="5"/>
  <c r="G363" i="5"/>
  <c r="H363" i="5" s="1"/>
  <c r="K362" i="5"/>
  <c r="G362" i="5"/>
  <c r="H362" i="5" s="1"/>
  <c r="K361" i="5"/>
  <c r="X108" i="5" a="1"/>
  <c r="X108" i="5" s="1"/>
  <c r="F107" i="5"/>
  <c r="X3" i="5" a="1"/>
  <c r="X3" i="5" s="1"/>
  <c r="X78" i="5" a="1"/>
  <c r="X78" i="5" s="1"/>
  <c r="X34" i="5" a="1"/>
  <c r="X34" i="5" s="1"/>
  <c r="B4" i="7"/>
  <c r="C4" i="7"/>
  <c r="D4" i="7"/>
  <c r="E4" i="7"/>
  <c r="F4" i="7"/>
  <c r="K4" i="7" s="1"/>
  <c r="G4" i="7"/>
  <c r="H4" i="7"/>
  <c r="I4" i="7"/>
  <c r="F48" i="5"/>
  <c r="F26" i="7"/>
  <c r="J26" i="7" s="1"/>
  <c r="G26" i="7"/>
  <c r="K26" i="7" s="1"/>
  <c r="E26" i="7"/>
  <c r="D26" i="7"/>
  <c r="H26" i="7" s="1"/>
  <c r="C26" i="7"/>
  <c r="B26" i="7"/>
  <c r="H344" i="5"/>
  <c r="F344" i="5"/>
  <c r="X345" i="5" a="1"/>
  <c r="X345" i="5" s="1"/>
  <c r="E348" i="5"/>
  <c r="E349" i="5"/>
  <c r="E350" i="5"/>
  <c r="E351" i="5"/>
  <c r="E352" i="5"/>
  <c r="E347" i="5"/>
  <c r="F25" i="7"/>
  <c r="J25" i="7" s="1"/>
  <c r="G25" i="7"/>
  <c r="E25" i="7"/>
  <c r="D25" i="7"/>
  <c r="H25" i="7" s="1"/>
  <c r="C25" i="7"/>
  <c r="B25" i="7"/>
  <c r="H329" i="5"/>
  <c r="F329" i="5"/>
  <c r="X330" i="5" a="1"/>
  <c r="X330" i="5" s="1"/>
  <c r="E333" i="5"/>
  <c r="E334" i="5"/>
  <c r="E335" i="5"/>
  <c r="E336" i="5"/>
  <c r="E337" i="5"/>
  <c r="E332" i="5"/>
  <c r="K352" i="5"/>
  <c r="H352" i="5"/>
  <c r="L352" i="5" s="1"/>
  <c r="G352" i="5"/>
  <c r="K351" i="5"/>
  <c r="G351" i="5"/>
  <c r="H351" i="5" s="1"/>
  <c r="I351" i="5" s="1"/>
  <c r="K350" i="5"/>
  <c r="G350" i="5"/>
  <c r="H350" i="5" s="1"/>
  <c r="K349" i="5"/>
  <c r="G349" i="5"/>
  <c r="H349" i="5" s="1"/>
  <c r="K348" i="5"/>
  <c r="G348" i="5"/>
  <c r="H348" i="5" s="1"/>
  <c r="K347" i="5"/>
  <c r="G347" i="5"/>
  <c r="H347" i="5" s="1"/>
  <c r="K346" i="5"/>
  <c r="K337" i="5"/>
  <c r="G337" i="5"/>
  <c r="H337" i="5" s="1"/>
  <c r="I337" i="5" s="1"/>
  <c r="K336" i="5"/>
  <c r="G336" i="5"/>
  <c r="H336" i="5" s="1"/>
  <c r="L336" i="5" s="1"/>
  <c r="K335" i="5"/>
  <c r="G335" i="5"/>
  <c r="H335" i="5" s="1"/>
  <c r="K334" i="5"/>
  <c r="G334" i="5"/>
  <c r="H334" i="5" s="1"/>
  <c r="K333" i="5"/>
  <c r="G333" i="5"/>
  <c r="H333" i="5" s="1"/>
  <c r="K332" i="5"/>
  <c r="G332" i="5"/>
  <c r="H332" i="5" s="1"/>
  <c r="L333" i="5" s="1"/>
  <c r="K331" i="5"/>
  <c r="F24" i="7"/>
  <c r="G24" i="7"/>
  <c r="E24" i="7"/>
  <c r="D24" i="7"/>
  <c r="X300" i="5" a="1"/>
  <c r="X300" i="5" s="1"/>
  <c r="F23" i="7" s="1"/>
  <c r="H299" i="5"/>
  <c r="F299" i="5"/>
  <c r="B23" i="7" s="1"/>
  <c r="H24" i="7"/>
  <c r="J24" i="7"/>
  <c r="X315" i="5" a="1"/>
  <c r="X315" i="5" s="1"/>
  <c r="E318" i="5"/>
  <c r="E319" i="5"/>
  <c r="E320" i="5"/>
  <c r="E321" i="5"/>
  <c r="E322" i="5"/>
  <c r="E317" i="5"/>
  <c r="K322" i="5"/>
  <c r="G322" i="5"/>
  <c r="H322" i="5" s="1"/>
  <c r="K321" i="5"/>
  <c r="G321" i="5"/>
  <c r="H321" i="5" s="1"/>
  <c r="K320" i="5"/>
  <c r="G320" i="5"/>
  <c r="H320" i="5" s="1"/>
  <c r="K319" i="5"/>
  <c r="G319" i="5"/>
  <c r="H319" i="5" s="1"/>
  <c r="K318" i="5"/>
  <c r="G318" i="5"/>
  <c r="H318" i="5" s="1"/>
  <c r="K317" i="5"/>
  <c r="F314" i="5" s="1"/>
  <c r="B24" i="7" s="1"/>
  <c r="G317" i="5"/>
  <c r="H317" i="5" s="1"/>
  <c r="K316" i="5"/>
  <c r="G23" i="7"/>
  <c r="E23" i="7"/>
  <c r="D23" i="7"/>
  <c r="H23" i="7" s="1"/>
  <c r="C23" i="7"/>
  <c r="X285" i="5" a="1"/>
  <c r="X285" i="5" s="1"/>
  <c r="F22" i="7" s="1"/>
  <c r="E303" i="5"/>
  <c r="E304" i="5"/>
  <c r="E305" i="5"/>
  <c r="E306" i="5"/>
  <c r="E307" i="5"/>
  <c r="E302" i="5"/>
  <c r="K307" i="5"/>
  <c r="G307" i="5"/>
  <c r="H307" i="5" s="1"/>
  <c r="L307" i="5" s="1"/>
  <c r="K306" i="5"/>
  <c r="H306" i="5"/>
  <c r="I306" i="5" s="1"/>
  <c r="G306" i="5"/>
  <c r="K305" i="5"/>
  <c r="G305" i="5"/>
  <c r="H305" i="5" s="1"/>
  <c r="K304" i="5"/>
  <c r="G304" i="5"/>
  <c r="H304" i="5" s="1"/>
  <c r="K303" i="5"/>
  <c r="G303" i="5"/>
  <c r="H303" i="5" s="1"/>
  <c r="K302" i="5"/>
  <c r="G302" i="5"/>
  <c r="H302" i="5" s="1"/>
  <c r="L304" i="5" s="1"/>
  <c r="K301" i="5"/>
  <c r="G22" i="7"/>
  <c r="E22" i="7"/>
  <c r="D22" i="7"/>
  <c r="H22" i="7" s="1"/>
  <c r="C22" i="7"/>
  <c r="B22" i="7"/>
  <c r="H284" i="5"/>
  <c r="F284" i="5"/>
  <c r="E288" i="5"/>
  <c r="E289" i="5"/>
  <c r="E290" i="5"/>
  <c r="E291" i="5"/>
  <c r="E292" i="5"/>
  <c r="E287" i="5"/>
  <c r="K292" i="5"/>
  <c r="H292" i="5"/>
  <c r="G292" i="5"/>
  <c r="K291" i="5"/>
  <c r="G291" i="5"/>
  <c r="H291" i="5" s="1"/>
  <c r="I291" i="5" s="1"/>
  <c r="K290" i="5"/>
  <c r="G290" i="5"/>
  <c r="H290" i="5" s="1"/>
  <c r="K289" i="5"/>
  <c r="G289" i="5"/>
  <c r="H289" i="5" s="1"/>
  <c r="K288" i="5"/>
  <c r="G288" i="5"/>
  <c r="H288" i="5" s="1"/>
  <c r="K287" i="5"/>
  <c r="G287" i="5"/>
  <c r="H287" i="5" s="1"/>
  <c r="K286" i="5"/>
  <c r="C21" i="7"/>
  <c r="B21" i="7"/>
  <c r="E258" i="5"/>
  <c r="E259" i="5"/>
  <c r="E260" i="5"/>
  <c r="E261" i="5"/>
  <c r="E262" i="5"/>
  <c r="E257" i="5"/>
  <c r="E273" i="5"/>
  <c r="E274" i="5"/>
  <c r="E275" i="5"/>
  <c r="E276" i="5"/>
  <c r="E277" i="5"/>
  <c r="E272" i="5"/>
  <c r="K277" i="5"/>
  <c r="G277" i="5"/>
  <c r="H277" i="5" s="1"/>
  <c r="K276" i="5"/>
  <c r="G276" i="5"/>
  <c r="H276" i="5" s="1"/>
  <c r="I276" i="5" s="1"/>
  <c r="K275" i="5"/>
  <c r="G275" i="5"/>
  <c r="H275" i="5" s="1"/>
  <c r="K274" i="5"/>
  <c r="G274" i="5"/>
  <c r="H274" i="5" s="1"/>
  <c r="K273" i="5"/>
  <c r="G273" i="5"/>
  <c r="H273" i="5" s="1"/>
  <c r="K272" i="5"/>
  <c r="G272" i="5"/>
  <c r="H272" i="5" s="1"/>
  <c r="L272" i="5" s="1"/>
  <c r="K271" i="5"/>
  <c r="J7" i="6"/>
  <c r="J6" i="6"/>
  <c r="C6" i="6"/>
  <c r="G19" i="7"/>
  <c r="F19" i="7"/>
  <c r="J19" i="7" s="1"/>
  <c r="E19" i="7"/>
  <c r="D19" i="7"/>
  <c r="H19" i="7" s="1"/>
  <c r="G18" i="7"/>
  <c r="F18" i="7"/>
  <c r="J18" i="7" s="1"/>
  <c r="E18" i="7"/>
  <c r="D18" i="7"/>
  <c r="H18" i="7" s="1"/>
  <c r="G17" i="7"/>
  <c r="F17" i="7"/>
  <c r="E17" i="7"/>
  <c r="D17" i="7"/>
  <c r="H17" i="7" s="1"/>
  <c r="G20" i="7"/>
  <c r="F20" i="7"/>
  <c r="J20" i="7" s="1"/>
  <c r="E20" i="7"/>
  <c r="I20" i="7" s="1"/>
  <c r="D20" i="7"/>
  <c r="H20" i="7" s="1"/>
  <c r="C20" i="7"/>
  <c r="B20" i="7"/>
  <c r="L258" i="5"/>
  <c r="L259" i="5"/>
  <c r="L260" i="5"/>
  <c r="L261" i="5"/>
  <c r="L262" i="5"/>
  <c r="L257" i="5"/>
  <c r="D234" i="5"/>
  <c r="L242" i="5"/>
  <c r="E243" i="5"/>
  <c r="E244" i="5"/>
  <c r="E245" i="5"/>
  <c r="E246" i="5"/>
  <c r="E247" i="5"/>
  <c r="E242" i="5"/>
  <c r="D235" i="5"/>
  <c r="E228" i="5"/>
  <c r="E229" i="5"/>
  <c r="E230" i="5"/>
  <c r="E231" i="5"/>
  <c r="E232" i="5"/>
  <c r="E227" i="5"/>
  <c r="L228" i="5"/>
  <c r="L229" i="5"/>
  <c r="L230" i="5"/>
  <c r="L231" i="5"/>
  <c r="L232" i="5"/>
  <c r="L227" i="5"/>
  <c r="E214" i="5"/>
  <c r="E215" i="5"/>
  <c r="E216" i="5"/>
  <c r="E217" i="5"/>
  <c r="E218" i="5"/>
  <c r="E213" i="5"/>
  <c r="L214" i="5"/>
  <c r="L215" i="5"/>
  <c r="L216" i="5"/>
  <c r="L217" i="5"/>
  <c r="L218" i="5"/>
  <c r="L213" i="5"/>
  <c r="K262" i="5"/>
  <c r="G262" i="5"/>
  <c r="H262" i="5" s="1"/>
  <c r="K261" i="5"/>
  <c r="G261" i="5"/>
  <c r="H261" i="5" s="1"/>
  <c r="I261" i="5" s="1"/>
  <c r="K260" i="5"/>
  <c r="G260" i="5"/>
  <c r="H260" i="5" s="1"/>
  <c r="K259" i="5"/>
  <c r="G259" i="5"/>
  <c r="H259" i="5" s="1"/>
  <c r="K258" i="5"/>
  <c r="G258" i="5"/>
  <c r="H258" i="5" s="1"/>
  <c r="K257" i="5"/>
  <c r="G257" i="5"/>
  <c r="H257" i="5" s="1"/>
  <c r="K256" i="5"/>
  <c r="J17" i="7"/>
  <c r="C19" i="7"/>
  <c r="B19" i="7"/>
  <c r="C18" i="7"/>
  <c r="B18" i="7"/>
  <c r="C17" i="7"/>
  <c r="B17" i="7"/>
  <c r="F239" i="5"/>
  <c r="K247" i="5"/>
  <c r="G247" i="5"/>
  <c r="H247" i="5" s="1"/>
  <c r="K246" i="5"/>
  <c r="G246" i="5"/>
  <c r="H246" i="5" s="1"/>
  <c r="I246" i="5" s="1"/>
  <c r="K245" i="5"/>
  <c r="G245" i="5"/>
  <c r="H245" i="5" s="1"/>
  <c r="K244" i="5"/>
  <c r="G244" i="5"/>
  <c r="H244" i="5" s="1"/>
  <c r="K243" i="5"/>
  <c r="G243" i="5"/>
  <c r="H243" i="5" s="1"/>
  <c r="K242" i="5"/>
  <c r="G242" i="5"/>
  <c r="H242" i="5" s="1"/>
  <c r="L244" i="5" s="1"/>
  <c r="K241" i="5"/>
  <c r="F224" i="5"/>
  <c r="K232" i="5"/>
  <c r="G232" i="5"/>
  <c r="H232" i="5" s="1"/>
  <c r="K231" i="5"/>
  <c r="G231" i="5"/>
  <c r="H231" i="5" s="1"/>
  <c r="K230" i="5"/>
  <c r="G230" i="5"/>
  <c r="H230" i="5" s="1"/>
  <c r="K229" i="5"/>
  <c r="G229" i="5"/>
  <c r="H229" i="5" s="1"/>
  <c r="K228" i="5"/>
  <c r="G228" i="5"/>
  <c r="H228" i="5" s="1"/>
  <c r="K227" i="5"/>
  <c r="G227" i="5"/>
  <c r="H227" i="5" s="1"/>
  <c r="K226" i="5"/>
  <c r="K212" i="5"/>
  <c r="G213" i="5"/>
  <c r="H213" i="5"/>
  <c r="I213" i="5" s="1"/>
  <c r="K213" i="5"/>
  <c r="G214" i="5"/>
  <c r="H214" i="5" s="1"/>
  <c r="K214" i="5"/>
  <c r="G215" i="5"/>
  <c r="H215" i="5" s="1"/>
  <c r="I215" i="5" s="1"/>
  <c r="K215" i="5"/>
  <c r="G216" i="5"/>
  <c r="H216" i="5" s="1"/>
  <c r="K216" i="5"/>
  <c r="G217" i="5"/>
  <c r="H217" i="5" s="1"/>
  <c r="K217" i="5"/>
  <c r="G218" i="5"/>
  <c r="H218" i="5" s="1"/>
  <c r="K218" i="5"/>
  <c r="G16" i="7"/>
  <c r="E16" i="7"/>
  <c r="D16" i="7"/>
  <c r="H16" i="7" s="1"/>
  <c r="C16" i="7"/>
  <c r="B16" i="7"/>
  <c r="G15" i="7"/>
  <c r="F15" i="7"/>
  <c r="K15" i="7" s="1"/>
  <c r="E15" i="7"/>
  <c r="D15" i="7"/>
  <c r="H15" i="7" s="1"/>
  <c r="C15" i="7"/>
  <c r="B15" i="7"/>
  <c r="G14" i="7"/>
  <c r="F14" i="7"/>
  <c r="J14" i="7" s="1"/>
  <c r="E14" i="7"/>
  <c r="D14" i="7"/>
  <c r="H14" i="7" s="1"/>
  <c r="C14" i="7"/>
  <c r="B14" i="7"/>
  <c r="X167" i="5" a="1"/>
  <c r="X167" i="5" s="1"/>
  <c r="F166" i="5"/>
  <c r="E171" i="5"/>
  <c r="G171" i="5"/>
  <c r="H171" i="5" s="1"/>
  <c r="K171" i="5"/>
  <c r="E172" i="5"/>
  <c r="G172" i="5"/>
  <c r="H172" i="5" s="1"/>
  <c r="K172" i="5"/>
  <c r="X182" i="5" a="1"/>
  <c r="X182" i="5" s="1"/>
  <c r="C177" i="5"/>
  <c r="C176" i="5"/>
  <c r="E185" i="5"/>
  <c r="E186" i="5"/>
  <c r="E187" i="5"/>
  <c r="E188" i="5"/>
  <c r="E189" i="5"/>
  <c r="E184" i="5"/>
  <c r="E200" i="5"/>
  <c r="E201" i="5"/>
  <c r="E202" i="5"/>
  <c r="E203" i="5"/>
  <c r="E204" i="5"/>
  <c r="E199" i="5"/>
  <c r="K204" i="5"/>
  <c r="G204" i="5"/>
  <c r="H204" i="5" s="1"/>
  <c r="K203" i="5"/>
  <c r="G203" i="5"/>
  <c r="H203" i="5" s="1"/>
  <c r="K202" i="5"/>
  <c r="G202" i="5"/>
  <c r="H202" i="5" s="1"/>
  <c r="K201" i="5"/>
  <c r="G201" i="5"/>
  <c r="H201" i="5" s="1"/>
  <c r="K200" i="5"/>
  <c r="G200" i="5"/>
  <c r="H200" i="5" s="1"/>
  <c r="K199" i="5"/>
  <c r="G199" i="5"/>
  <c r="H199" i="5" s="1"/>
  <c r="K198" i="5"/>
  <c r="K189" i="5"/>
  <c r="G189" i="5"/>
  <c r="H189" i="5" s="1"/>
  <c r="K188" i="5"/>
  <c r="G188" i="5"/>
  <c r="H188" i="5" s="1"/>
  <c r="K187" i="5"/>
  <c r="G187" i="5"/>
  <c r="H187" i="5" s="1"/>
  <c r="K186" i="5"/>
  <c r="G186" i="5"/>
  <c r="H186" i="5" s="1"/>
  <c r="K185" i="5"/>
  <c r="G185" i="5"/>
  <c r="H185" i="5" s="1"/>
  <c r="K184" i="5"/>
  <c r="G184" i="5"/>
  <c r="H184" i="5" s="1"/>
  <c r="K183" i="5"/>
  <c r="E156" i="5"/>
  <c r="E157" i="5"/>
  <c r="E158" i="5"/>
  <c r="E159" i="5"/>
  <c r="E160" i="5"/>
  <c r="E155" i="5"/>
  <c r="E170" i="5"/>
  <c r="E173" i="5"/>
  <c r="E174" i="5"/>
  <c r="E169" i="5"/>
  <c r="K174" i="5"/>
  <c r="G174" i="5"/>
  <c r="H174" i="5" s="1"/>
  <c r="K173" i="5"/>
  <c r="G173" i="5"/>
  <c r="H173" i="5" s="1"/>
  <c r="K170" i="5"/>
  <c r="G170" i="5"/>
  <c r="H170" i="5" s="1"/>
  <c r="K169" i="5"/>
  <c r="G169" i="5"/>
  <c r="H169" i="5" s="1"/>
  <c r="K168" i="5"/>
  <c r="G13" i="7"/>
  <c r="E13" i="7"/>
  <c r="D13" i="7"/>
  <c r="H13" i="7" s="1"/>
  <c r="I25" i="7" l="1"/>
  <c r="J31" i="7"/>
  <c r="K34" i="7"/>
  <c r="J34" i="7"/>
  <c r="L464" i="5"/>
  <c r="L467" i="5"/>
  <c r="I465" i="5"/>
  <c r="I466" i="5"/>
  <c r="I464" i="5"/>
  <c r="X462" i="5" a="1"/>
  <c r="X462" i="5" s="1"/>
  <c r="X467" i="5" s="1"/>
  <c r="I467" i="5"/>
  <c r="F446" i="5"/>
  <c r="H446" i="5"/>
  <c r="I450" i="5"/>
  <c r="I449" i="5"/>
  <c r="X452" i="5"/>
  <c r="I451" i="5"/>
  <c r="I452" i="5"/>
  <c r="H431" i="5"/>
  <c r="I436" i="5"/>
  <c r="F431" i="5"/>
  <c r="I434" i="5"/>
  <c r="I437" i="5"/>
  <c r="I438" i="5"/>
  <c r="X432" i="5" a="1"/>
  <c r="I31" i="7"/>
  <c r="I420" i="5"/>
  <c r="X417" i="5" a="1"/>
  <c r="X417" i="5" s="1"/>
  <c r="X422" i="5" s="1"/>
  <c r="I419" i="5"/>
  <c r="I421" i="5"/>
  <c r="I422" i="5"/>
  <c r="I423" i="5"/>
  <c r="F416" i="5"/>
  <c r="I406" i="5"/>
  <c r="L406" i="5"/>
  <c r="X402" i="5" a="1"/>
  <c r="X402" i="5" s="1"/>
  <c r="X407" i="5" s="1"/>
  <c r="H401" i="5"/>
  <c r="K28" i="7"/>
  <c r="K29" i="7"/>
  <c r="J27" i="7"/>
  <c r="I405" i="5"/>
  <c r="I407" i="5"/>
  <c r="I408" i="5"/>
  <c r="I404" i="5"/>
  <c r="F401" i="5"/>
  <c r="K20" i="7"/>
  <c r="K18" i="7"/>
  <c r="K17" i="7"/>
  <c r="K19" i="7"/>
  <c r="I23" i="7"/>
  <c r="I24" i="7"/>
  <c r="K25" i="7"/>
  <c r="F387" i="5"/>
  <c r="B29" i="7" s="1"/>
  <c r="I394" i="5"/>
  <c r="L394" i="5"/>
  <c r="I395" i="5"/>
  <c r="I391" i="5"/>
  <c r="I390" i="5"/>
  <c r="X393" i="5"/>
  <c r="I392" i="5"/>
  <c r="I393" i="5"/>
  <c r="I378" i="5"/>
  <c r="I376" i="5"/>
  <c r="F373" i="5"/>
  <c r="I380" i="5"/>
  <c r="I379" i="5"/>
  <c r="I377" i="5"/>
  <c r="X379" i="5"/>
  <c r="L366" i="5"/>
  <c r="L364" i="5"/>
  <c r="L362" i="5"/>
  <c r="L363" i="5"/>
  <c r="F359" i="5"/>
  <c r="H359" i="5"/>
  <c r="I364" i="5"/>
  <c r="I363" i="5"/>
  <c r="I362" i="5"/>
  <c r="X365" i="5"/>
  <c r="I365" i="5"/>
  <c r="J4" i="7"/>
  <c r="I19" i="7"/>
  <c r="I18" i="7"/>
  <c r="K22" i="7"/>
  <c r="I15" i="7"/>
  <c r="I17" i="7"/>
  <c r="I26" i="7"/>
  <c r="J15" i="7"/>
  <c r="I22" i="7"/>
  <c r="K24" i="7"/>
  <c r="I16" i="7"/>
  <c r="L348" i="5"/>
  <c r="L349" i="5"/>
  <c r="L351" i="5"/>
  <c r="L350" i="5"/>
  <c r="L347" i="5"/>
  <c r="L335" i="5"/>
  <c r="L332" i="5"/>
  <c r="L334" i="5"/>
  <c r="L337" i="5"/>
  <c r="I350" i="5"/>
  <c r="X335" i="5"/>
  <c r="I332" i="5"/>
  <c r="I348" i="5"/>
  <c r="I335" i="5"/>
  <c r="I347" i="5"/>
  <c r="X350" i="5"/>
  <c r="I334" i="5"/>
  <c r="I333" i="5"/>
  <c r="I349" i="5"/>
  <c r="I336" i="5"/>
  <c r="I352" i="5"/>
  <c r="H314" i="5"/>
  <c r="C24" i="7" s="1"/>
  <c r="J23" i="7"/>
  <c r="K23" i="7"/>
  <c r="L318" i="5"/>
  <c r="L322" i="5"/>
  <c r="L319" i="5"/>
  <c r="L317" i="5"/>
  <c r="L320" i="5"/>
  <c r="L321" i="5"/>
  <c r="I318" i="5"/>
  <c r="I320" i="5"/>
  <c r="I322" i="5"/>
  <c r="I321" i="5"/>
  <c r="I317" i="5"/>
  <c r="I319" i="5"/>
  <c r="X320" i="5"/>
  <c r="L303" i="5"/>
  <c r="L306" i="5"/>
  <c r="L305" i="5"/>
  <c r="L302" i="5"/>
  <c r="I303" i="5"/>
  <c r="I302" i="5"/>
  <c r="X305" i="5"/>
  <c r="I305" i="5"/>
  <c r="I304" i="5"/>
  <c r="I307" i="5"/>
  <c r="J22" i="7"/>
  <c r="L288" i="5"/>
  <c r="L291" i="5"/>
  <c r="L290" i="5"/>
  <c r="L287" i="5"/>
  <c r="L289" i="5"/>
  <c r="L292" i="5"/>
  <c r="I287" i="5"/>
  <c r="X290" i="5"/>
  <c r="I290" i="5"/>
  <c r="I288" i="5"/>
  <c r="I289" i="5"/>
  <c r="I292" i="5"/>
  <c r="L273" i="5"/>
  <c r="L275" i="5"/>
  <c r="L277" i="5"/>
  <c r="L274" i="5"/>
  <c r="L276" i="5"/>
  <c r="H269" i="5"/>
  <c r="I274" i="5"/>
  <c r="I272" i="5"/>
  <c r="F269" i="5"/>
  <c r="I277" i="5"/>
  <c r="I273" i="5"/>
  <c r="X270" i="5" a="1"/>
  <c r="I275" i="5"/>
  <c r="L247" i="5"/>
  <c r="L246" i="5"/>
  <c r="L245" i="5"/>
  <c r="L243" i="5"/>
  <c r="H254" i="5"/>
  <c r="I258" i="5"/>
  <c r="I257" i="5"/>
  <c r="X255" i="5" a="1"/>
  <c r="X255" i="5" s="1"/>
  <c r="X260" i="5" s="1"/>
  <c r="I260" i="5"/>
  <c r="I259" i="5"/>
  <c r="I262" i="5"/>
  <c r="F254" i="5"/>
  <c r="H239" i="5"/>
  <c r="I244" i="5"/>
  <c r="I243" i="5"/>
  <c r="I242" i="5"/>
  <c r="X240" i="5" a="1"/>
  <c r="X240" i="5" s="1"/>
  <c r="X245" i="5" s="1"/>
  <c r="I245" i="5"/>
  <c r="I247" i="5"/>
  <c r="H224" i="5"/>
  <c r="I228" i="5"/>
  <c r="I227" i="5"/>
  <c r="X225" i="5" a="1"/>
  <c r="X225" i="5" s="1"/>
  <c r="X230" i="5" s="1"/>
  <c r="I231" i="5"/>
  <c r="I229" i="5"/>
  <c r="I230" i="5"/>
  <c r="I232" i="5"/>
  <c r="I218" i="5"/>
  <c r="F210" i="5"/>
  <c r="I214" i="5"/>
  <c r="I216" i="5"/>
  <c r="I217" i="5"/>
  <c r="X211" i="5" a="1"/>
  <c r="X211" i="5" s="1"/>
  <c r="X216" i="5" s="1"/>
  <c r="H210" i="5"/>
  <c r="L171" i="5"/>
  <c r="I171" i="5"/>
  <c r="I172" i="5"/>
  <c r="X172" i="5"/>
  <c r="L172" i="5"/>
  <c r="X197" i="5" a="1"/>
  <c r="X197" i="5" s="1"/>
  <c r="L200" i="5"/>
  <c r="L203" i="5"/>
  <c r="L188" i="5"/>
  <c r="F181" i="5"/>
  <c r="K14" i="7"/>
  <c r="I14" i="7"/>
  <c r="H181" i="5"/>
  <c r="L202" i="5"/>
  <c r="L199" i="5"/>
  <c r="L201" i="5"/>
  <c r="L204" i="5"/>
  <c r="L185" i="5"/>
  <c r="L187" i="5"/>
  <c r="L184" i="5"/>
  <c r="L186" i="5"/>
  <c r="L189" i="5"/>
  <c r="L170" i="5"/>
  <c r="L169" i="5"/>
  <c r="L174" i="5"/>
  <c r="L173" i="5"/>
  <c r="H196" i="5"/>
  <c r="I201" i="5"/>
  <c r="I200" i="5"/>
  <c r="I199" i="5"/>
  <c r="I203" i="5"/>
  <c r="I202" i="5"/>
  <c r="I204" i="5"/>
  <c r="F196" i="5"/>
  <c r="I186" i="5"/>
  <c r="I188" i="5"/>
  <c r="I185" i="5"/>
  <c r="I184" i="5"/>
  <c r="X187" i="5"/>
  <c r="I187" i="5"/>
  <c r="I189" i="5"/>
  <c r="H166" i="5"/>
  <c r="I170" i="5"/>
  <c r="I169" i="5"/>
  <c r="I173" i="5"/>
  <c r="I174" i="5"/>
  <c r="X432" i="5" l="1"/>
  <c r="G32" i="7"/>
  <c r="E32" i="7"/>
  <c r="D32" i="7"/>
  <c r="H32" i="7" s="1"/>
  <c r="X270" i="5"/>
  <c r="G21" i="7"/>
  <c r="E21" i="7"/>
  <c r="D21" i="7"/>
  <c r="H21" i="7" s="1"/>
  <c r="X202" i="5"/>
  <c r="F16" i="7"/>
  <c r="I32" i="7" l="1"/>
  <c r="X437" i="5"/>
  <c r="F32" i="7"/>
  <c r="J32" i="7" s="1"/>
  <c r="I21" i="7"/>
  <c r="X275" i="5"/>
  <c r="F21" i="7"/>
  <c r="J21" i="7" s="1"/>
  <c r="J16" i="7"/>
  <c r="K16" i="7"/>
  <c r="K32" i="7" l="1"/>
  <c r="K21" i="7"/>
  <c r="K156" i="5"/>
  <c r="K157" i="5"/>
  <c r="K158" i="5"/>
  <c r="K159" i="5"/>
  <c r="K160" i="5"/>
  <c r="I13" i="7"/>
  <c r="K141" i="5"/>
  <c r="K142" i="5"/>
  <c r="K143" i="5"/>
  <c r="K144" i="5"/>
  <c r="K145" i="5"/>
  <c r="E126" i="5"/>
  <c r="E127" i="5"/>
  <c r="E128" i="5"/>
  <c r="E129" i="5"/>
  <c r="E130" i="5"/>
  <c r="E125" i="5"/>
  <c r="G125" i="5"/>
  <c r="H125" i="5" s="1"/>
  <c r="X123" i="5" s="1" a="1"/>
  <c r="K126" i="5"/>
  <c r="K127" i="5"/>
  <c r="K128" i="5"/>
  <c r="K129" i="5"/>
  <c r="K130" i="5"/>
  <c r="G160" i="5"/>
  <c r="H160" i="5" s="1"/>
  <c r="G159" i="5"/>
  <c r="H159" i="5" s="1"/>
  <c r="G158" i="5"/>
  <c r="H158" i="5" s="1"/>
  <c r="L158" i="5" s="1"/>
  <c r="G157" i="5"/>
  <c r="H157" i="5" s="1"/>
  <c r="G156" i="5"/>
  <c r="H156" i="5" s="1"/>
  <c r="K155" i="5"/>
  <c r="G155" i="5"/>
  <c r="H155" i="5" s="1"/>
  <c r="K154" i="5"/>
  <c r="K114" i="5"/>
  <c r="K66" i="5"/>
  <c r="K75" i="5"/>
  <c r="E67" i="5"/>
  <c r="E68" i="5"/>
  <c r="E69" i="5"/>
  <c r="E70" i="5"/>
  <c r="E71" i="5"/>
  <c r="E72" i="5"/>
  <c r="E73" i="5"/>
  <c r="E74" i="5"/>
  <c r="E75" i="5"/>
  <c r="E66" i="5"/>
  <c r="G145" i="5"/>
  <c r="H145" i="5" s="1"/>
  <c r="E145" i="5"/>
  <c r="G144" i="5"/>
  <c r="H144" i="5" s="1"/>
  <c r="E144" i="5"/>
  <c r="G143" i="5"/>
  <c r="H143" i="5" s="1"/>
  <c r="E143" i="5"/>
  <c r="G142" i="5"/>
  <c r="H142" i="5" s="1"/>
  <c r="E142" i="5"/>
  <c r="G141" i="5"/>
  <c r="H141" i="5" s="1"/>
  <c r="E141" i="5"/>
  <c r="K140" i="5"/>
  <c r="G140" i="5"/>
  <c r="H140" i="5" s="1"/>
  <c r="E140" i="5"/>
  <c r="K139" i="5"/>
  <c r="G130" i="5"/>
  <c r="H130" i="5" s="1"/>
  <c r="G129" i="5"/>
  <c r="H129" i="5" s="1"/>
  <c r="G128" i="5"/>
  <c r="H128" i="5" s="1"/>
  <c r="G127" i="5"/>
  <c r="H127" i="5" s="1"/>
  <c r="G126" i="5"/>
  <c r="H126" i="5" s="1"/>
  <c r="K125" i="5"/>
  <c r="H122" i="5" s="1"/>
  <c r="C11" i="7" s="1"/>
  <c r="K124" i="5"/>
  <c r="K42" i="5"/>
  <c r="K102" i="5"/>
  <c r="K98" i="5"/>
  <c r="E111" i="5"/>
  <c r="E112" i="5"/>
  <c r="E113" i="5"/>
  <c r="E114" i="5"/>
  <c r="E115" i="5"/>
  <c r="E116" i="5"/>
  <c r="E117" i="5"/>
  <c r="E118" i="5"/>
  <c r="E119" i="5"/>
  <c r="E110" i="5"/>
  <c r="K110" i="5"/>
  <c r="B10" i="7" s="1"/>
  <c r="L157" i="5" l="1"/>
  <c r="I155" i="5"/>
  <c r="L155" i="5"/>
  <c r="X153" i="5" a="1"/>
  <c r="X153" i="5" s="1"/>
  <c r="L141" i="5"/>
  <c r="L143" i="5"/>
  <c r="H152" i="5"/>
  <c r="C13" i="7" s="1"/>
  <c r="F152" i="5"/>
  <c r="B13" i="7" s="1"/>
  <c r="L159" i="5"/>
  <c r="L140" i="5"/>
  <c r="X138" i="5" a="1"/>
  <c r="X138" i="5" s="1"/>
  <c r="H107" i="5"/>
  <c r="C10" i="7" s="1"/>
  <c r="I156" i="5"/>
  <c r="L156" i="5"/>
  <c r="I160" i="5"/>
  <c r="L160" i="5"/>
  <c r="X123" i="5"/>
  <c r="F11" i="7" s="1"/>
  <c r="J11" i="7" s="1"/>
  <c r="D11" i="7"/>
  <c r="H11" i="7" s="1"/>
  <c r="G11" i="7"/>
  <c r="K11" i="7" s="1"/>
  <c r="E11" i="7"/>
  <c r="I157" i="5"/>
  <c r="I159" i="5"/>
  <c r="H137" i="5"/>
  <c r="C12" i="7" s="1"/>
  <c r="L142" i="5"/>
  <c r="L144" i="5"/>
  <c r="F122" i="5"/>
  <c r="B11" i="7" s="1"/>
  <c r="L145" i="5"/>
  <c r="F137" i="5"/>
  <c r="B12" i="7" s="1"/>
  <c r="L129" i="5"/>
  <c r="L128" i="5"/>
  <c r="L125" i="5"/>
  <c r="L127" i="5"/>
  <c r="L130" i="5"/>
  <c r="L126" i="5"/>
  <c r="I158" i="5"/>
  <c r="I141" i="5"/>
  <c r="I144" i="5"/>
  <c r="I126" i="5"/>
  <c r="I129" i="5"/>
  <c r="I143" i="5"/>
  <c r="X128" i="5"/>
  <c r="I127" i="5"/>
  <c r="I140" i="5"/>
  <c r="I125" i="5"/>
  <c r="I128" i="5"/>
  <c r="I130" i="5"/>
  <c r="I142" i="5"/>
  <c r="I145" i="5"/>
  <c r="E96" i="5"/>
  <c r="E97" i="5"/>
  <c r="E98" i="5"/>
  <c r="E99" i="5"/>
  <c r="E100" i="5"/>
  <c r="E101" i="5"/>
  <c r="E95" i="5"/>
  <c r="D103" i="5"/>
  <c r="E103" i="5" s="1"/>
  <c r="D102" i="5"/>
  <c r="I18" i="6"/>
  <c r="I17" i="6"/>
  <c r="K119" i="5"/>
  <c r="G119" i="5"/>
  <c r="H119" i="5" s="1"/>
  <c r="G118" i="5"/>
  <c r="H118" i="5" s="1"/>
  <c r="G117" i="5"/>
  <c r="H117" i="5" s="1"/>
  <c r="G116" i="5"/>
  <c r="H116" i="5" s="1"/>
  <c r="G115" i="5"/>
  <c r="H115" i="5" s="1"/>
  <c r="G114" i="5"/>
  <c r="H114" i="5" s="1"/>
  <c r="G113" i="5"/>
  <c r="H113" i="5" s="1"/>
  <c r="G112" i="5"/>
  <c r="H112" i="5" s="1"/>
  <c r="G111" i="5"/>
  <c r="H111" i="5" s="1"/>
  <c r="G110" i="5"/>
  <c r="H110" i="5" s="1"/>
  <c r="K109" i="5"/>
  <c r="K103" i="5"/>
  <c r="G103" i="5"/>
  <c r="H103" i="5" s="1"/>
  <c r="G102" i="5"/>
  <c r="H102" i="5" s="1"/>
  <c r="I102" i="5" s="1"/>
  <c r="G101" i="5"/>
  <c r="H101" i="5" s="1"/>
  <c r="G100" i="5"/>
  <c r="H100" i="5" s="1"/>
  <c r="G99" i="5"/>
  <c r="H99" i="5" s="1"/>
  <c r="G98" i="5"/>
  <c r="H98" i="5" s="1"/>
  <c r="G97" i="5"/>
  <c r="H97" i="5" s="1"/>
  <c r="G96" i="5"/>
  <c r="H96" i="5" s="1"/>
  <c r="K95" i="5"/>
  <c r="G95" i="5"/>
  <c r="H95" i="5" s="1"/>
  <c r="L95" i="5" s="1"/>
  <c r="K94" i="5"/>
  <c r="K80" i="5"/>
  <c r="F77" i="5" s="1"/>
  <c r="B8" i="7" s="1"/>
  <c r="K89" i="5"/>
  <c r="G89" i="5"/>
  <c r="H89" i="5" s="1"/>
  <c r="E89" i="5"/>
  <c r="G88" i="5"/>
  <c r="H88" i="5" s="1"/>
  <c r="E88" i="5"/>
  <c r="G87" i="5"/>
  <c r="H87" i="5" s="1"/>
  <c r="E87" i="5"/>
  <c r="G86" i="5"/>
  <c r="H86" i="5" s="1"/>
  <c r="E86" i="5"/>
  <c r="G85" i="5"/>
  <c r="H85" i="5" s="1"/>
  <c r="E85" i="5"/>
  <c r="G84" i="5"/>
  <c r="H84" i="5" s="1"/>
  <c r="E84" i="5"/>
  <c r="G83" i="5"/>
  <c r="H83" i="5" s="1"/>
  <c r="E83" i="5"/>
  <c r="G82" i="5"/>
  <c r="H82" i="5" s="1"/>
  <c r="E82" i="5"/>
  <c r="G81" i="5"/>
  <c r="H81" i="5" s="1"/>
  <c r="E81" i="5"/>
  <c r="G80" i="5"/>
  <c r="H80" i="5" s="1"/>
  <c r="E80" i="5"/>
  <c r="K79" i="5"/>
  <c r="G75" i="5"/>
  <c r="H75" i="5" s="1"/>
  <c r="G74" i="5"/>
  <c r="H74" i="5" s="1"/>
  <c r="G73" i="5"/>
  <c r="H73" i="5" s="1"/>
  <c r="G72" i="5"/>
  <c r="H72" i="5" s="1"/>
  <c r="G71" i="5"/>
  <c r="H71" i="5" s="1"/>
  <c r="G70" i="5"/>
  <c r="H70" i="5" s="1"/>
  <c r="K69" i="5"/>
  <c r="F63" i="5" s="1"/>
  <c r="B7" i="7" s="1"/>
  <c r="G69" i="5"/>
  <c r="H69" i="5" s="1"/>
  <c r="G68" i="5"/>
  <c r="H68" i="5" s="1"/>
  <c r="G67" i="5"/>
  <c r="H67" i="5" s="1"/>
  <c r="I67" i="5" s="1"/>
  <c r="G66" i="5"/>
  <c r="H66" i="5" s="1"/>
  <c r="K65" i="5"/>
  <c r="K44" i="5"/>
  <c r="K45" i="5"/>
  <c r="K43" i="5"/>
  <c r="D60" i="5"/>
  <c r="E60" i="5" s="1"/>
  <c r="D59" i="5"/>
  <c r="E59" i="5" s="1"/>
  <c r="D57" i="5"/>
  <c r="K60" i="5"/>
  <c r="G60" i="5"/>
  <c r="H60" i="5" s="1"/>
  <c r="K59" i="5"/>
  <c r="G59" i="5"/>
  <c r="H59" i="5" s="1"/>
  <c r="K58" i="5"/>
  <c r="G58" i="5"/>
  <c r="H58" i="5" s="1"/>
  <c r="E58" i="5"/>
  <c r="G57" i="5"/>
  <c r="H57" i="5" s="1"/>
  <c r="K56" i="5"/>
  <c r="G56" i="5"/>
  <c r="H56" i="5" s="1"/>
  <c r="E56" i="5"/>
  <c r="K55" i="5"/>
  <c r="G55" i="5"/>
  <c r="H55" i="5" s="1"/>
  <c r="E55" i="5"/>
  <c r="G54" i="5"/>
  <c r="H54" i="5" s="1"/>
  <c r="E54" i="5"/>
  <c r="K53" i="5"/>
  <c r="G53" i="5"/>
  <c r="H53" i="5" s="1"/>
  <c r="E53" i="5"/>
  <c r="G52" i="5"/>
  <c r="H52" i="5" s="1"/>
  <c r="E52" i="5"/>
  <c r="K51" i="5"/>
  <c r="G51" i="5"/>
  <c r="H51" i="5" s="1"/>
  <c r="E51" i="5"/>
  <c r="E37" i="5"/>
  <c r="E38" i="5"/>
  <c r="E39" i="5"/>
  <c r="E40" i="5"/>
  <c r="E41" i="5"/>
  <c r="E42" i="5"/>
  <c r="E43" i="5"/>
  <c r="E44" i="5"/>
  <c r="E45" i="5"/>
  <c r="E36" i="5"/>
  <c r="G42" i="5"/>
  <c r="H42" i="5" s="1"/>
  <c r="K41" i="5"/>
  <c r="G43" i="5"/>
  <c r="H43" i="5" s="1"/>
  <c r="G44" i="5"/>
  <c r="H44" i="5" s="1"/>
  <c r="G45" i="5"/>
  <c r="H45" i="5" s="1"/>
  <c r="E21" i="5"/>
  <c r="E22" i="5"/>
  <c r="E23" i="5"/>
  <c r="E24" i="5"/>
  <c r="E25" i="5"/>
  <c r="E26" i="5"/>
  <c r="E28" i="5"/>
  <c r="E20" i="5"/>
  <c r="D29" i="5"/>
  <c r="E29" i="5" s="1"/>
  <c r="D27" i="5"/>
  <c r="E27" i="5" s="1"/>
  <c r="E6" i="5"/>
  <c r="E7" i="5"/>
  <c r="E8" i="5"/>
  <c r="E9" i="5"/>
  <c r="E10" i="5"/>
  <c r="E11" i="5"/>
  <c r="E5" i="5"/>
  <c r="G26" i="5"/>
  <c r="H26" i="5" s="1"/>
  <c r="G27" i="5"/>
  <c r="H27" i="5" s="1"/>
  <c r="G28" i="5"/>
  <c r="H28" i="5" s="1"/>
  <c r="I28" i="5" s="1"/>
  <c r="G29" i="5"/>
  <c r="H29" i="5" s="1"/>
  <c r="K29" i="5"/>
  <c r="G11" i="5"/>
  <c r="H11" i="5" s="1"/>
  <c r="I11" i="5" s="1"/>
  <c r="G12" i="5"/>
  <c r="H12" i="5" s="1"/>
  <c r="I12" i="5" s="1"/>
  <c r="G13" i="5"/>
  <c r="H13" i="5" s="1"/>
  <c r="I13" i="5" s="1"/>
  <c r="G14" i="5"/>
  <c r="H14" i="5" s="1"/>
  <c r="I14" i="5" s="1"/>
  <c r="D14" i="5"/>
  <c r="E14" i="5" s="1"/>
  <c r="D13" i="5"/>
  <c r="E13" i="5" s="1"/>
  <c r="D12" i="5"/>
  <c r="E12" i="5" s="1"/>
  <c r="K11" i="5"/>
  <c r="K12" i="5"/>
  <c r="K13" i="5"/>
  <c r="K14" i="5"/>
  <c r="I28" i="6"/>
  <c r="I29" i="6"/>
  <c r="I30" i="6"/>
  <c r="I27" i="6"/>
  <c r="H36" i="3"/>
  <c r="I36" i="3"/>
  <c r="G36" i="3"/>
  <c r="F36" i="3"/>
  <c r="E23" i="6"/>
  <c r="E22" i="6"/>
  <c r="E21" i="6"/>
  <c r="C21" i="6"/>
  <c r="G7" i="6"/>
  <c r="G6" i="6"/>
  <c r="C7" i="6"/>
  <c r="C10" i="6"/>
  <c r="E30" i="6"/>
  <c r="F30" i="6" s="1"/>
  <c r="E29" i="6"/>
  <c r="F29" i="6" s="1"/>
  <c r="E28" i="6"/>
  <c r="F28" i="6" s="1"/>
  <c r="C20" i="6"/>
  <c r="F13" i="7" l="1"/>
  <c r="X158" i="5"/>
  <c r="L96" i="5"/>
  <c r="L112" i="5"/>
  <c r="B6" i="7"/>
  <c r="H48" i="5"/>
  <c r="C6" i="7" s="1"/>
  <c r="L110" i="5"/>
  <c r="I11" i="7"/>
  <c r="H63" i="5"/>
  <c r="C7" i="7" s="1"/>
  <c r="E57" i="5"/>
  <c r="X49" i="5" a="1"/>
  <c r="L80" i="5"/>
  <c r="X64" i="5" a="1"/>
  <c r="F92" i="5"/>
  <c r="B9" i="7" s="1"/>
  <c r="H92" i="5"/>
  <c r="C9" i="7" s="1"/>
  <c r="E102" i="5"/>
  <c r="X93" i="5" a="1"/>
  <c r="G12" i="7"/>
  <c r="E12" i="7"/>
  <c r="D12" i="7"/>
  <c r="H12" i="7" s="1"/>
  <c r="L66" i="5"/>
  <c r="L97" i="5"/>
  <c r="L69" i="5"/>
  <c r="L98" i="5"/>
  <c r="L73" i="5"/>
  <c r="L99" i="5"/>
  <c r="L100" i="5"/>
  <c r="L116" i="5"/>
  <c r="L68" i="5"/>
  <c r="L71" i="5"/>
  <c r="L75" i="5"/>
  <c r="L67" i="5"/>
  <c r="L101" i="5"/>
  <c r="L113" i="5"/>
  <c r="L117" i="5"/>
  <c r="L72" i="5"/>
  <c r="L114" i="5"/>
  <c r="L118" i="5"/>
  <c r="L57" i="5"/>
  <c r="L74" i="5"/>
  <c r="L103" i="5"/>
  <c r="L111" i="5"/>
  <c r="L115" i="5"/>
  <c r="L119" i="5"/>
  <c r="I117" i="5"/>
  <c r="L102" i="5"/>
  <c r="I111" i="5"/>
  <c r="I113" i="5"/>
  <c r="I112" i="5"/>
  <c r="I114" i="5"/>
  <c r="I116" i="5"/>
  <c r="I110" i="5"/>
  <c r="I115" i="5"/>
  <c r="I118" i="5"/>
  <c r="I119" i="5"/>
  <c r="I98" i="5"/>
  <c r="I97" i="5"/>
  <c r="I101" i="5"/>
  <c r="I103" i="5"/>
  <c r="I95" i="5"/>
  <c r="I99" i="5"/>
  <c r="I96" i="5"/>
  <c r="I100" i="5"/>
  <c r="L85" i="5"/>
  <c r="L82" i="5"/>
  <c r="L87" i="5"/>
  <c r="L86" i="5"/>
  <c r="L88" i="5"/>
  <c r="L83" i="5"/>
  <c r="L89" i="5"/>
  <c r="L81" i="5"/>
  <c r="L84" i="5"/>
  <c r="I84" i="5"/>
  <c r="I83" i="5"/>
  <c r="I82" i="5"/>
  <c r="I85" i="5"/>
  <c r="I88" i="5"/>
  <c r="I81" i="5"/>
  <c r="I87" i="5"/>
  <c r="I89" i="5"/>
  <c r="I80" i="5"/>
  <c r="I86" i="5"/>
  <c r="I73" i="5"/>
  <c r="I70" i="5"/>
  <c r="L70" i="5"/>
  <c r="I69" i="5"/>
  <c r="I66" i="5"/>
  <c r="I68" i="5"/>
  <c r="I71" i="5"/>
  <c r="I74" i="5"/>
  <c r="I75" i="5"/>
  <c r="I72" i="5"/>
  <c r="L52" i="5"/>
  <c r="L60" i="5"/>
  <c r="L56" i="5"/>
  <c r="L51" i="5"/>
  <c r="L55" i="5"/>
  <c r="L59" i="5"/>
  <c r="L54" i="5"/>
  <c r="L58" i="5"/>
  <c r="L53" i="5"/>
  <c r="I53" i="5"/>
  <c r="I51" i="5"/>
  <c r="I59" i="5"/>
  <c r="I55" i="5"/>
  <c r="I57" i="5"/>
  <c r="I60" i="5"/>
  <c r="I52" i="5"/>
  <c r="I54" i="5"/>
  <c r="I56" i="5"/>
  <c r="I58" i="5"/>
  <c r="I44" i="5"/>
  <c r="I42" i="5"/>
  <c r="I45" i="5"/>
  <c r="I43" i="5"/>
  <c r="I29" i="5"/>
  <c r="I27" i="5"/>
  <c r="I26" i="5"/>
  <c r="C22" i="6"/>
  <c r="C23" i="6" s="1"/>
  <c r="J13" i="7" l="1"/>
  <c r="K13" i="7"/>
  <c r="F8" i="7"/>
  <c r="J8" i="7" s="1"/>
  <c r="D8" i="7"/>
  <c r="H8" i="7" s="1"/>
  <c r="G8" i="7"/>
  <c r="E8" i="7"/>
  <c r="X93" i="5"/>
  <c r="F9" i="7" s="1"/>
  <c r="J9" i="7" s="1"/>
  <c r="D9" i="7"/>
  <c r="H9" i="7" s="1"/>
  <c r="E9" i="7"/>
  <c r="G9" i="7"/>
  <c r="X64" i="5"/>
  <c r="F7" i="7" s="1"/>
  <c r="G7" i="7"/>
  <c r="E7" i="7"/>
  <c r="D7" i="7"/>
  <c r="H7" i="7" s="1"/>
  <c r="F10" i="7"/>
  <c r="J10" i="7" s="1"/>
  <c r="D10" i="7"/>
  <c r="H10" i="7" s="1"/>
  <c r="G10" i="7"/>
  <c r="E10" i="7"/>
  <c r="X49" i="5"/>
  <c r="E6" i="7"/>
  <c r="G6" i="7"/>
  <c r="D6" i="7"/>
  <c r="I12" i="7"/>
  <c r="X143" i="5"/>
  <c r="F12" i="7"/>
  <c r="J12" i="7" s="1"/>
  <c r="X98" i="5"/>
  <c r="X83" i="5"/>
  <c r="X69" i="5"/>
  <c r="X113" i="5"/>
  <c r="D27" i="3" a="1"/>
  <c r="D35" i="5"/>
  <c r="D19" i="5"/>
  <c r="G41" i="5"/>
  <c r="H41" i="5" s="1"/>
  <c r="G40" i="5"/>
  <c r="H40" i="5" s="1"/>
  <c r="G39" i="5"/>
  <c r="H39" i="5" s="1"/>
  <c r="G38" i="5"/>
  <c r="H38" i="5" s="1"/>
  <c r="G37" i="5"/>
  <c r="H37" i="5" s="1"/>
  <c r="I37" i="5" s="1"/>
  <c r="G36" i="5"/>
  <c r="H36" i="5" s="1"/>
  <c r="G25" i="5"/>
  <c r="H25" i="5" s="1"/>
  <c r="G24" i="5"/>
  <c r="H24" i="5" s="1"/>
  <c r="G23" i="5"/>
  <c r="H23" i="5" s="1"/>
  <c r="G22" i="5"/>
  <c r="H22" i="5" s="1"/>
  <c r="I22" i="5" s="1"/>
  <c r="G21" i="5"/>
  <c r="H21" i="5" s="1"/>
  <c r="I21" i="5" s="1"/>
  <c r="G20" i="5"/>
  <c r="H20" i="5" s="1"/>
  <c r="G5" i="5"/>
  <c r="H5" i="5" s="1"/>
  <c r="E16" i="4"/>
  <c r="E17" i="4"/>
  <c r="E18" i="4"/>
  <c r="E19" i="4"/>
  <c r="E20" i="4"/>
  <c r="E21" i="4"/>
  <c r="D39" i="4" a="1"/>
  <c r="D39" i="4"/>
  <c r="G6" i="5"/>
  <c r="H6" i="5" s="1"/>
  <c r="I6" i="5" s="1"/>
  <c r="G7" i="5"/>
  <c r="H7" i="5" s="1"/>
  <c r="I7" i="5" s="1"/>
  <c r="G8" i="5"/>
  <c r="H8" i="5" s="1"/>
  <c r="I8" i="5" s="1"/>
  <c r="G9" i="5"/>
  <c r="H9" i="5" s="1"/>
  <c r="G10" i="5"/>
  <c r="H10" i="5" s="1"/>
  <c r="H5" i="4"/>
  <c r="D9" i="4"/>
  <c r="D8" i="4"/>
  <c r="D6" i="4"/>
  <c r="D7" i="4"/>
  <c r="D10" i="4"/>
  <c r="E10" i="4"/>
  <c r="H10" i="4"/>
  <c r="E9" i="4"/>
  <c r="H9" i="4"/>
  <c r="E8" i="4"/>
  <c r="H8" i="4"/>
  <c r="E6" i="4"/>
  <c r="H6" i="4"/>
  <c r="E7" i="4"/>
  <c r="H7" i="4"/>
  <c r="K10" i="7" l="1"/>
  <c r="K8" i="7"/>
  <c r="K9" i="7"/>
  <c r="I7" i="7"/>
  <c r="K12" i="7"/>
  <c r="I6" i="7"/>
  <c r="H6" i="7"/>
  <c r="I10" i="7"/>
  <c r="I8" i="7"/>
  <c r="I9" i="7"/>
  <c r="F6" i="7"/>
  <c r="J6" i="7" s="1"/>
  <c r="X54" i="5"/>
  <c r="K7" i="7"/>
  <c r="J7" i="7"/>
  <c r="X18" i="5" a="1"/>
  <c r="I36" i="5"/>
  <c r="L44" i="5"/>
  <c r="L45" i="5"/>
  <c r="L42" i="5"/>
  <c r="L43" i="5"/>
  <c r="I20" i="5"/>
  <c r="L26" i="5"/>
  <c r="L29" i="5"/>
  <c r="L28" i="5"/>
  <c r="L27" i="5"/>
  <c r="L39" i="5"/>
  <c r="L23" i="5"/>
  <c r="I23" i="5"/>
  <c r="L38" i="5"/>
  <c r="L22" i="5"/>
  <c r="L36" i="5"/>
  <c r="L37" i="5"/>
  <c r="I38" i="5"/>
  <c r="I39" i="5"/>
  <c r="L21" i="5"/>
  <c r="I40" i="5"/>
  <c r="L40" i="5"/>
  <c r="L20" i="5"/>
  <c r="I5" i="5"/>
  <c r="L11" i="5"/>
  <c r="L12" i="5"/>
  <c r="L14" i="5"/>
  <c r="L13" i="5"/>
  <c r="L7" i="5"/>
  <c r="I9" i="5"/>
  <c r="L9" i="5"/>
  <c r="L8" i="5"/>
  <c r="L5" i="5"/>
  <c r="L6" i="5"/>
  <c r="D27" i="3"/>
  <c r="K7" i="5"/>
  <c r="L10" i="5"/>
  <c r="I10" i="5"/>
  <c r="L25" i="5"/>
  <c r="I25" i="5"/>
  <c r="L41" i="5"/>
  <c r="I41" i="5"/>
  <c r="I24" i="5"/>
  <c r="L24" i="5"/>
  <c r="K36" i="5"/>
  <c r="G5" i="7" l="1"/>
  <c r="E5" i="7"/>
  <c r="D5" i="7"/>
  <c r="H5" i="7" s="1"/>
  <c r="H33" i="5"/>
  <c r="C5" i="7" s="1"/>
  <c r="F33" i="5"/>
  <c r="B5" i="7" s="1"/>
  <c r="K6" i="7"/>
  <c r="F3" i="7"/>
  <c r="G3" i="7"/>
  <c r="E3" i="7"/>
  <c r="D3" i="7"/>
  <c r="H3" i="7" s="1"/>
  <c r="X18" i="5"/>
  <c r="X8" i="5"/>
  <c r="K5" i="5"/>
  <c r="C36" i="3"/>
  <c r="K9" i="5"/>
  <c r="K6" i="5"/>
  <c r="K8" i="5"/>
  <c r="K20" i="5"/>
  <c r="F17" i="5" s="1"/>
  <c r="K24" i="5"/>
  <c r="K35" i="5"/>
  <c r="K19" i="5"/>
  <c r="K10" i="5"/>
  <c r="K50" i="5"/>
  <c r="K4" i="5"/>
  <c r="I3" i="7" l="1"/>
  <c r="X23" i="5"/>
  <c r="K3" i="7"/>
  <c r="J3" i="7"/>
  <c r="I5" i="7"/>
  <c r="H2" i="5"/>
  <c r="C3" i="7" s="1"/>
  <c r="F2" i="5"/>
  <c r="B3" i="7" s="1"/>
  <c r="F5" i="7"/>
  <c r="J5" i="7" s="1"/>
  <c r="X39" i="5"/>
  <c r="H17" i="5"/>
  <c r="K5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<sst xmlns="http://schemas.openxmlformats.org/spreadsheetml/2006/main" count="1292" uniqueCount="260">
  <si>
    <t>1. Reagent preparation</t>
  </si>
  <si>
    <t>H2SO4 (0.01 M)</t>
  </si>
  <si>
    <t>H2SO4 (4 M)</t>
  </si>
  <si>
    <t>95% H2SO4</t>
  </si>
  <si>
    <t>17.822 </t>
  </si>
  <si>
    <t>mL</t>
  </si>
  <si>
    <t>95% H2SO4 needed</t>
  </si>
  <si>
    <t>distilled water</t>
  </si>
  <si>
    <t>Ferrozine (0.01 M)</t>
  </si>
  <si>
    <t>C20H12N4Na2O6S2</t>
  </si>
  <si>
    <t>Measured</t>
  </si>
  <si>
    <t>solid reagent (mw 514.442 g/mol)</t>
  </si>
  <si>
    <t>g</t>
  </si>
  <si>
    <t>Fe2+ stock solution (2.5 mM) in H2SO4 0.01 M</t>
  </si>
  <si>
    <t>FeCl2*4H2O</t>
  </si>
  <si>
    <t>g/mol</t>
  </si>
  <si>
    <t>Volume Fe2+ solution needed</t>
  </si>
  <si>
    <t>L</t>
  </si>
  <si>
    <t>Fe2+ solution concentration needed</t>
  </si>
  <si>
    <t>M</t>
  </si>
  <si>
    <t>H2SO4</t>
  </si>
  <si>
    <t>Needed</t>
  </si>
  <si>
    <t>FeCl2*4H20 solid reagent</t>
  </si>
  <si>
    <t>Volume 4 M H2SO4</t>
  </si>
  <si>
    <t>Volume Milli-Q water</t>
  </si>
  <si>
    <t>Total Volume</t>
  </si>
  <si>
    <t xml:space="preserve">Preparing Fe2+ solution </t>
  </si>
  <si>
    <t>In the test tube</t>
  </si>
  <si>
    <t>2.5 mM [Fe2+] added (mL)</t>
  </si>
  <si>
    <t>0.01 H2SO4 [added] (mL)</t>
  </si>
  <si>
    <t>In the reactor</t>
  </si>
  <si>
    <t>mM</t>
  </si>
  <si>
    <t>Final [Fe2+]</t>
  </si>
  <si>
    <t>pH-Potential difference (V) calibrations</t>
  </si>
  <si>
    <t>pH</t>
  </si>
  <si>
    <t>Voltage (mV)</t>
  </si>
  <si>
    <t>LINEST linear regression analysis</t>
  </si>
  <si>
    <t>slope</t>
  </si>
  <si>
    <t>intercept</t>
  </si>
  <si>
    <t>se(slope)</t>
  </si>
  <si>
    <t>se(intercept)</t>
  </si>
  <si>
    <t>r^2</t>
  </si>
  <si>
    <t>se(y)</t>
  </si>
  <si>
    <t>F</t>
  </si>
  <si>
    <t>df</t>
  </si>
  <si>
    <t>ss reg</t>
  </si>
  <si>
    <t>ss resid</t>
  </si>
  <si>
    <t>pH neededs</t>
  </si>
  <si>
    <t>voltage measured</t>
  </si>
  <si>
    <t>Voltage calculated</t>
  </si>
  <si>
    <t>0.01 M H2SO4  added</t>
  </si>
  <si>
    <t>water+imidazole</t>
  </si>
  <si>
    <t>Calibration standard preparation</t>
  </si>
  <si>
    <t>Concentration needed</t>
  </si>
  <si>
    <t>Volume of Fe2+</t>
  </si>
  <si>
    <t>Volume of H2O</t>
  </si>
  <si>
    <t>Volume of Acetate</t>
  </si>
  <si>
    <t>Volume of Ferrozine</t>
  </si>
  <si>
    <t xml:space="preserve">Total volume </t>
  </si>
  <si>
    <t>μM</t>
  </si>
  <si>
    <t>μL</t>
  </si>
  <si>
    <t>CS Blank</t>
  </si>
  <si>
    <t>CS1</t>
  </si>
  <si>
    <t>CS2</t>
  </si>
  <si>
    <t>CS3</t>
  </si>
  <si>
    <t>CS4</t>
  </si>
  <si>
    <t>CS5</t>
  </si>
  <si>
    <t>Calibration standards</t>
  </si>
  <si>
    <t>At 11 AM</t>
  </si>
  <si>
    <t>Conc (μM)</t>
  </si>
  <si>
    <t>Absorbance</t>
  </si>
  <si>
    <t>Corrected Abs</t>
  </si>
  <si>
    <t>Blank</t>
  </si>
  <si>
    <t>2500 [Fe2+]</t>
  </si>
  <si>
    <t>Experiment 1</t>
  </si>
  <si>
    <t>pH average</t>
  </si>
  <si>
    <t xml:space="preserve">sd pH </t>
  </si>
  <si>
    <t>Sample No</t>
  </si>
  <si>
    <t>Time</t>
  </si>
  <si>
    <t>Time (seconds)</t>
  </si>
  <si>
    <t>time corrected (seconds)</t>
  </si>
  <si>
    <t>Abs</t>
  </si>
  <si>
    <t>[Fe2+] (μM)</t>
  </si>
  <si>
    <t>In[Fe2+]</t>
  </si>
  <si>
    <t>potential measured</t>
  </si>
  <si>
    <t>pH calculated</t>
  </si>
  <si>
    <t>% [Fe]t/[Fe]1</t>
  </si>
  <si>
    <t>T</t>
  </si>
  <si>
    <t>Start</t>
  </si>
  <si>
    <t>9</t>
  </si>
  <si>
    <t>21</t>
  </si>
  <si>
    <t>36</t>
  </si>
  <si>
    <t>52</t>
  </si>
  <si>
    <t>r0</t>
  </si>
  <si>
    <t>1.07</t>
  </si>
  <si>
    <t>1.26</t>
  </si>
  <si>
    <t>1.48</t>
  </si>
  <si>
    <t>2.19</t>
  </si>
  <si>
    <t>2.56</t>
  </si>
  <si>
    <t>3.35</t>
  </si>
  <si>
    <t>2000 [Fe2+]</t>
  </si>
  <si>
    <t>Experiment 2</t>
  </si>
  <si>
    <t>12</t>
  </si>
  <si>
    <t>23</t>
  </si>
  <si>
    <t>50</t>
  </si>
  <si>
    <t>1.05</t>
  </si>
  <si>
    <t>1.21</t>
  </si>
  <si>
    <t>1.35</t>
  </si>
  <si>
    <t>1.52</t>
  </si>
  <si>
    <t>2.09</t>
  </si>
  <si>
    <t>2.30</t>
  </si>
  <si>
    <t>1500 [Fe2+]</t>
  </si>
  <si>
    <t>Experiment 3</t>
  </si>
  <si>
    <t>% [Fe]t/[Fe]0</t>
  </si>
  <si>
    <t>1.38</t>
  </si>
  <si>
    <t>2.07</t>
  </si>
  <si>
    <t>2.26</t>
  </si>
  <si>
    <t>3.00</t>
  </si>
  <si>
    <t>Experiment 4</t>
  </si>
  <si>
    <t>37</t>
  </si>
  <si>
    <t>57</t>
  </si>
  <si>
    <t>1.13</t>
  </si>
  <si>
    <t>1.28</t>
  </si>
  <si>
    <t>1.51</t>
  </si>
  <si>
    <t>2.08</t>
  </si>
  <si>
    <t>2.24</t>
  </si>
  <si>
    <t>2.47</t>
  </si>
  <si>
    <t>Experiment 5</t>
  </si>
  <si>
    <t>Experiment 6</t>
  </si>
  <si>
    <t>38</t>
  </si>
  <si>
    <t>48</t>
  </si>
  <si>
    <t>59</t>
  </si>
  <si>
    <t>1.09</t>
  </si>
  <si>
    <t>1.31</t>
  </si>
  <si>
    <t>1.41</t>
  </si>
  <si>
    <t>All experiment</t>
  </si>
  <si>
    <t>Exp</t>
  </si>
  <si>
    <t>[Fe2+]0</t>
  </si>
  <si>
    <t>log[R0]</t>
  </si>
  <si>
    <t>Experiment 7</t>
  </si>
  <si>
    <t>1000 [Fe2+]</t>
  </si>
  <si>
    <t>10</t>
  </si>
  <si>
    <t>35</t>
  </si>
  <si>
    <t>1.39</t>
  </si>
  <si>
    <t>2.05</t>
  </si>
  <si>
    <t>Experiment 8</t>
  </si>
  <si>
    <t>3000 [Fe2+]</t>
  </si>
  <si>
    <t>27</t>
  </si>
  <si>
    <t>1</t>
  </si>
  <si>
    <t>1.1</t>
  </si>
  <si>
    <t>1.23</t>
  </si>
  <si>
    <t>1.34</t>
  </si>
  <si>
    <t>1.47</t>
  </si>
  <si>
    <t>2.17</t>
  </si>
  <si>
    <t>2</t>
  </si>
  <si>
    <t>R0</t>
  </si>
  <si>
    <t>δ[Fe2+]0</t>
  </si>
  <si>
    <t>Experiment 9</t>
  </si>
  <si>
    <t>Experiment 10</t>
  </si>
  <si>
    <t>34</t>
  </si>
  <si>
    <t>46</t>
  </si>
  <si>
    <t>1.36</t>
  </si>
  <si>
    <t>1.49</t>
  </si>
  <si>
    <t>2.11</t>
  </si>
  <si>
    <t>δpH</t>
  </si>
  <si>
    <t>δR1</t>
  </si>
  <si>
    <t>log[Fe2+]0</t>
  </si>
  <si>
    <t>δlog[Fe2+]</t>
  </si>
  <si>
    <t>δlog[R0]</t>
  </si>
  <si>
    <t>5 mL , 2000 [Fe2+] in 250 mL</t>
  </si>
  <si>
    <t>39</t>
  </si>
  <si>
    <t>58</t>
  </si>
  <si>
    <t>1.20</t>
  </si>
  <si>
    <t>1.43</t>
  </si>
  <si>
    <t>4 ml, 2000 [Fe2+] in 250 mL</t>
  </si>
  <si>
    <t>18</t>
  </si>
  <si>
    <t>31</t>
  </si>
  <si>
    <t>45</t>
  </si>
  <si>
    <t>1.22</t>
  </si>
  <si>
    <t>Experiment 11</t>
  </si>
  <si>
    <t>3 mL , 2000 [Fe2+] in 250 mL</t>
  </si>
  <si>
    <t>22</t>
  </si>
  <si>
    <t>Experiment 12</t>
  </si>
  <si>
    <t>2 mL , 2000 [Fe2+] in 250 mL</t>
  </si>
  <si>
    <t>1.03</t>
  </si>
  <si>
    <t>1.17</t>
  </si>
  <si>
    <t>Experiment 13</t>
  </si>
  <si>
    <t>5 mL , 2500 [Fe2+] in 250 mL</t>
  </si>
  <si>
    <t>11</t>
  </si>
  <si>
    <t>25</t>
  </si>
  <si>
    <t>56</t>
  </si>
  <si>
    <t>1.01</t>
  </si>
  <si>
    <t>1.14</t>
  </si>
  <si>
    <t>Experiment 14</t>
  </si>
  <si>
    <t>Experiment 15</t>
  </si>
  <si>
    <t>53</t>
  </si>
  <si>
    <t>1.06</t>
  </si>
  <si>
    <t>Experiment 16</t>
  </si>
  <si>
    <t>4 mL , 2000 [Fe2+] in 250 mL</t>
  </si>
  <si>
    <t>24</t>
  </si>
  <si>
    <t>1.04</t>
  </si>
  <si>
    <t>1.19</t>
  </si>
  <si>
    <t>Experiment 17</t>
  </si>
  <si>
    <t>33</t>
  </si>
  <si>
    <t>1.0</t>
  </si>
  <si>
    <t>1 mL , 2000 [Fe2+] in 250 mL</t>
  </si>
  <si>
    <t>1.12</t>
  </si>
  <si>
    <t>Experiment 18</t>
  </si>
  <si>
    <t>H2SO4 (0.1 M)</t>
  </si>
  <si>
    <t>Experiment 19</t>
  </si>
  <si>
    <t>8</t>
  </si>
  <si>
    <t>20</t>
  </si>
  <si>
    <t>42</t>
  </si>
  <si>
    <t>54</t>
  </si>
  <si>
    <t>Experiment 20</t>
  </si>
  <si>
    <t>43</t>
  </si>
  <si>
    <t>Experiment 21</t>
  </si>
  <si>
    <t>Experiment 22</t>
  </si>
  <si>
    <t>2.2 mL , 2000 [Fe2+] in 250 mL</t>
  </si>
  <si>
    <t>51</t>
  </si>
  <si>
    <t>1 .19</t>
  </si>
  <si>
    <t>Experiment 23</t>
  </si>
  <si>
    <t>Experiment 24</t>
  </si>
  <si>
    <t>3.5 mL , 2000 [Fe2+] in 250 mL</t>
  </si>
  <si>
    <t>40</t>
  </si>
  <si>
    <t>1.24</t>
  </si>
  <si>
    <t>1.5 mL , 2000 [Fe2+] in 250 mL</t>
  </si>
  <si>
    <t>Experiment 25</t>
  </si>
  <si>
    <t>1.18</t>
  </si>
  <si>
    <t>2.02</t>
  </si>
  <si>
    <t>Experiment 26</t>
  </si>
  <si>
    <t>2.21</t>
  </si>
  <si>
    <t>3.22</t>
  </si>
  <si>
    <t>Experiment 27</t>
  </si>
  <si>
    <t>1.55</t>
  </si>
  <si>
    <t>3.18</t>
  </si>
  <si>
    <t>5.04</t>
  </si>
  <si>
    <t>6.52</t>
  </si>
  <si>
    <t>8.48</t>
  </si>
  <si>
    <t>Experiment 28</t>
  </si>
  <si>
    <t>3.27</t>
  </si>
  <si>
    <t>4.34</t>
  </si>
  <si>
    <t>Experiment 29</t>
  </si>
  <si>
    <t>2.5 mL , 2500 [Fe2+] in 250 mL</t>
  </si>
  <si>
    <t>1 mL , 2500 [Fe2+] in 250 mL</t>
  </si>
  <si>
    <t>1.5 mL , 2500 [Fe2+] in 250 mL</t>
  </si>
  <si>
    <t>3.5 mL , 2500 [Fe2+] in 250 mL</t>
  </si>
  <si>
    <t>4 mL , 2500 [Fe2+] in 250 mL</t>
  </si>
  <si>
    <t>2.04</t>
  </si>
  <si>
    <t>3.04</t>
  </si>
  <si>
    <t>4.16</t>
  </si>
  <si>
    <t>Experiment 30</t>
  </si>
  <si>
    <t>1.58</t>
  </si>
  <si>
    <t>3.44</t>
  </si>
  <si>
    <t>5</t>
  </si>
  <si>
    <t>Experiment 31</t>
  </si>
  <si>
    <t>1.02</t>
  </si>
  <si>
    <t>Experiment 32</t>
  </si>
  <si>
    <t>2.5 mL , 2000 [Fe2+] in 250 mL</t>
  </si>
  <si>
    <t>3.43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</si>
</sst>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0"/>
    <numFmt numFmtId="166" formatCode="0.0"/>
    <numFmt numFmtId="167" formatCode="0.0000"/>
    <numFmt numFmtId="168" formatCode="0.00000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 (Body)"/>
    </font>
    <font>
      <sz val="8"/>
      <name val="Calibri"/>
      <family val="2"/>
      <scheme val="minor"/>
    </font>
    <font>
      <sz val="12"/>
      <color rgb="FF000000"/>
      <name val="Angsana New"/>
      <family val="1"/>
    </font>
    <font>
      <sz val="32"/>
      <color rgb="FF202124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3" fillId="0" borderId="0"/>
    <xf numFmtId="0" fontId="14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0" fontId="6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166" fontId="0" fillId="0" borderId="0" xfId="0" applyNumberFormat="1"/>
    <xf numFmtId="0" fontId="4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/>
    </xf>
    <xf numFmtId="0" fontId="7" fillId="0" borderId="0" xfId="0" applyFont="1"/>
    <xf numFmtId="0" fontId="0" fillId="0" borderId="1" xfId="0" applyBorder="1"/>
    <xf numFmtId="1" fontId="0" fillId="0" borderId="7" xfId="0" applyNumberFormat="1" applyBorder="1"/>
    <xf numFmtId="0" fontId="0" fillId="0" borderId="7" xfId="0" applyBorder="1"/>
    <xf numFmtId="1" fontId="0" fillId="0" borderId="2" xfId="0" applyNumberFormat="1" applyBorder="1"/>
    <xf numFmtId="0" fontId="0" fillId="0" borderId="3" xfId="0" applyBorder="1"/>
    <xf numFmtId="1" fontId="0" fillId="0" borderId="4" xfId="0" applyNumberFormat="1" applyBorder="1"/>
    <xf numFmtId="0" fontId="0" fillId="0" borderId="5" xfId="0" applyBorder="1"/>
    <xf numFmtId="166" fontId="0" fillId="0" borderId="8" xfId="0" applyNumberFormat="1" applyBorder="1"/>
    <xf numFmtId="0" fontId="0" fillId="0" borderId="8" xfId="0" applyBorder="1"/>
    <xf numFmtId="1" fontId="0" fillId="0" borderId="6" xfId="0" applyNumberFormat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2" fontId="0" fillId="0" borderId="0" xfId="0" applyNumberFormat="1" applyAlignment="1">
      <alignment horizontal="left"/>
    </xf>
    <xf numFmtId="49" fontId="0" fillId="0" borderId="0" xfId="0" applyNumberFormat="1"/>
    <xf numFmtId="22" fontId="0" fillId="0" borderId="0" xfId="0" applyNumberFormat="1"/>
    <xf numFmtId="22" fontId="0" fillId="0" borderId="0" xfId="0" applyNumberFormat="1" applyAlignment="1">
      <alignment horizontal="left"/>
    </xf>
    <xf numFmtId="0" fontId="11" fillId="0" borderId="0" xfId="0" applyFont="1"/>
    <xf numFmtId="0" fontId="12" fillId="0" borderId="0" xfId="0" applyFont="1"/>
    <xf numFmtId="0" fontId="6" fillId="0" borderId="0" xfId="1" applyFont="1"/>
    <xf numFmtId="0" fontId="13" fillId="0" borderId="0" xfId="1"/>
    <xf numFmtId="0" fontId="13" fillId="0" borderId="0" xfId="2" applyFont="1"/>
    <xf numFmtId="0" fontId="6" fillId="0" borderId="0" xfId="1" applyFont="1" applyAlignment="1">
      <alignment vertical="top"/>
    </xf>
    <xf numFmtId="0" fontId="13" fillId="0" borderId="0" xfId="1" applyAlignment="1">
      <alignment horizontal="left" vertical="top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167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13" fillId="0" borderId="0" xfId="1" applyAlignment="1">
      <alignment horizontal="right" vertical="top" wrapText="1"/>
    </xf>
    <xf numFmtId="2" fontId="13" fillId="0" borderId="0" xfId="1" applyNumberFormat="1"/>
    <xf numFmtId="11" fontId="0" fillId="0" borderId="0" xfId="0" applyNumberFormat="1"/>
    <xf numFmtId="168" fontId="0" fillId="0" borderId="0" xfId="0" applyNumberFormat="1"/>
    <xf numFmtId="167" fontId="0" fillId="0" borderId="0" xfId="0" applyNumberFormat="1"/>
  </cellXfs>
  <cellStyles count="3">
    <cellStyle name="Hyperlink 2" xfId="2" xr:uid="{ADB8082B-F6A4-7A41-A9C3-95A9D81FBC07}"/>
    <cellStyle name="Normal" xfId="0" builtinId="0"/>
    <cellStyle name="Normal 2" xfId="1" xr:uid="{21356E24-6DAB-5840-B6EB-6A693ED395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'pH-Potential calibration'!$B$3</c:f>
              <c:strCache>
                <c:ptCount val="1"/>
                <c:pt idx="0">
                  <c:v>17/07/2023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7724420450399664E-2"/>
                  <c:y val="0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'pH-Potential calibration'!$B$6:$B$9</c:f>
              <c:numCache>
                <c:formatCode>General</c:formatCode>
                <c:ptCount val="4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12</c:v>
                </c:pt>
              </c:numCache>
            </c:numRef>
          </c:xVal>
          <c:yVal>
            <c:numRef>
              <c:f>'pH-Potential calibration'!$C$6:$C$9</c:f>
              <c:numCache>
                <c:formatCode>General</c:formatCode>
                <c:ptCount val="4"/>
                <c:pt idx="0">
                  <c:v>155</c:v>
                </c:pt>
                <c:pt idx="1">
                  <c:v>-20</c:v>
                </c:pt>
                <c:pt idx="2">
                  <c:v>-184</c:v>
                </c:pt>
                <c:pt idx="3">
                  <c:v>-303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C1-754C-8A76-86BEF6BFE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817168"/>
        <c:axId val="1074270752"/>
      </c:scatterChart>
      <c:valAx>
        <c:axId val="1136817168"/>
        <c:scaling>
          <c:orientation val="minMax"/>
          <c:max val="1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270752"/>
        <c:crossesAt val="0"/>
        <c:crossBetween val="midCat"/>
        <c:majorUnit val="2"/>
      </c:valAx>
      <c:valAx>
        <c:axId val="1074270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81716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3349276442769459"/>
                  <c:y val="9.0383868116414422E-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'Calibration standard'!$C$16:$C$21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'Calibration standard'!$E$16:$E$21</c:f>
              <c:numCache>
                <c:formatCode>General</c:formatCode>
                <c:ptCount val="6"/>
                <c:pt idx="0">
                  <c:v>0</c:v>
                </c:pt>
                <c:pt idx="1">
                  <c:v>0.23799999999999999</c:v>
                </c:pt>
                <c:pt idx="2">
                  <c:v>0.48800000000000004</c:v>
                </c:pt>
                <c:pt idx="3">
                  <c:v>0.83899999999999997</c:v>
                </c:pt>
                <c:pt idx="4">
                  <c:v>1.034</c:v>
                </c:pt>
                <c:pt idx="5">
                  <c:v>1.2789999999999999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EB-AD4A-997F-51181CC9D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817168"/>
        <c:axId val="1074270752"/>
      </c:scatterChart>
      <c:valAx>
        <c:axId val="113681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Conc (</a:t>
                </a:r>
                <a:r>
                  <a:rPr lang="el-GR" baseline="0"/>
                  <a:t>μ</a:t>
                </a:r>
                <a:r>
                  <a:rPr lang="en-GB" baseline="0"/>
                  <a:t>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in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270752"/>
        <c:crosses val="autoZero"/>
        <c:crossBetween val="midCat"/>
      </c:valAx>
      <c:valAx>
        <c:axId val="1074270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Corrected 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81716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Result!$D$5:$D$14</c:f>
              <c:numCache>
                <c:formatCode>General</c:formatCode>
                <c:ptCount val="10"/>
                <c:pt idx="0" formatCode="0">
                  <c:v>9</c:v>
                </c:pt>
                <c:pt idx="1">
                  <c:v>21</c:v>
                </c:pt>
                <c:pt idx="2">
                  <c:v>36</c:v>
                </c:pt>
                <c:pt idx="3">
                  <c:v>52</c:v>
                </c:pt>
                <c:pt idx="4">
                  <c:v>67</c:v>
                </c:pt>
                <c:pt idx="5">
                  <c:v>86</c:v>
                </c:pt>
                <c:pt idx="6">
                  <c:v>108</c:v>
                </c:pt>
                <c:pt idx="7">
                  <c:v>139</c:v>
                </c:pt>
                <c:pt idx="8">
                  <c:v>176</c:v>
                </c:pt>
                <c:pt idx="9">
                  <c:v>215</c:v>
                </c:pt>
              </c:numCache>
            </c:numRef>
          </c:xVal>
          <c:yVal>
            <c:numRef>
              <c:f>Result!$H$5:$H$14</c:f>
              <c:numCache>
                <c:formatCode>0.00</c:formatCode>
                <c:ptCount val="10"/>
                <c:pt idx="0">
                  <c:v>40.222268966484364</c:v>
                </c:pt>
                <c:pt idx="1">
                  <c:v>39.875192820081338</c:v>
                </c:pt>
                <c:pt idx="2">
                  <c:v>38.75683634833824</c:v>
                </c:pt>
                <c:pt idx="3">
                  <c:v>38.48688823446922</c:v>
                </c:pt>
                <c:pt idx="4">
                  <c:v>37.48422381152713</c:v>
                </c:pt>
                <c:pt idx="5">
                  <c:v>35.903099144579997</c:v>
                </c:pt>
                <c:pt idx="6">
                  <c:v>33.589258168559809</c:v>
                </c:pt>
                <c:pt idx="7">
                  <c:v>29.424344411723457</c:v>
                </c:pt>
                <c:pt idx="8">
                  <c:v>22.829897630065908</c:v>
                </c:pt>
                <c:pt idx="9">
                  <c:v>15.92693871827233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11-E84A-B549-AC4BF09648F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6532389902072E-2"/>
                  <c:y val="0.14465663513669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Result!$D$5:$D$9</c:f>
              <c:numCache>
                <c:formatCode>General</c:formatCode>
                <c:ptCount val="5"/>
                <c:pt idx="0" formatCode="0">
                  <c:v>9</c:v>
                </c:pt>
                <c:pt idx="1">
                  <c:v>21</c:v>
                </c:pt>
                <c:pt idx="2">
                  <c:v>36</c:v>
                </c:pt>
                <c:pt idx="3">
                  <c:v>52</c:v>
                </c:pt>
                <c:pt idx="4">
                  <c:v>67</c:v>
                </c:pt>
              </c:numCache>
            </c:numRef>
          </c:xVal>
          <c:yVal>
            <c:numRef>
              <c:f>Result!$H$5:$H$9</c:f>
              <c:numCache>
                <c:formatCode>0.00</c:formatCode>
                <c:ptCount val="5"/>
                <c:pt idx="0">
                  <c:v>40.222268966484364</c:v>
                </c:pt>
                <c:pt idx="1">
                  <c:v>39.875192820081338</c:v>
                </c:pt>
                <c:pt idx="2">
                  <c:v>38.75683634833824</c:v>
                </c:pt>
                <c:pt idx="3">
                  <c:v>38.48688823446922</c:v>
                </c:pt>
                <c:pt idx="4">
                  <c:v>37.48422381152713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1-E84A-B549-AC4BF0964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tx>
            <c:v>10%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Result!$D$20:$D$29</c:f>
              <c:numCache>
                <c:formatCode>General</c:formatCode>
                <c:ptCount val="10"/>
                <c:pt idx="0" formatCode="0">
                  <c:v>12</c:v>
                </c:pt>
                <c:pt idx="1">
                  <c:v>23</c:v>
                </c:pt>
                <c:pt idx="2">
                  <c:v>36</c:v>
                </c:pt>
                <c:pt idx="3">
                  <c:v>50</c:v>
                </c:pt>
                <c:pt idx="4">
                  <c:v>65</c:v>
                </c:pt>
                <c:pt idx="5">
                  <c:v>81</c:v>
                </c:pt>
                <c:pt idx="6">
                  <c:v>95</c:v>
                </c:pt>
                <c:pt idx="7">
                  <c:v>112</c:v>
                </c:pt>
                <c:pt idx="8">
                  <c:v>129</c:v>
                </c:pt>
                <c:pt idx="9">
                  <c:v>150</c:v>
                </c:pt>
              </c:numCache>
            </c:numRef>
          </c:xVal>
          <c:yVal>
            <c:numRef>
              <c:f>Result!$H$20:$H$29</c:f>
              <c:numCache>
                <c:formatCode>0.00</c:formatCode>
                <c:ptCount val="10"/>
                <c:pt idx="0">
                  <c:v>32.393773664282705</c:v>
                </c:pt>
                <c:pt idx="1">
                  <c:v>32.355209648015702</c:v>
                </c:pt>
                <c:pt idx="2">
                  <c:v>32.085261534146682</c:v>
                </c:pt>
                <c:pt idx="3">
                  <c:v>31.699621371476649</c:v>
                </c:pt>
                <c:pt idx="4">
                  <c:v>31.236853176272611</c:v>
                </c:pt>
                <c:pt idx="5">
                  <c:v>31.275417192539614</c:v>
                </c:pt>
                <c:pt idx="6">
                  <c:v>30.966905062403587</c:v>
                </c:pt>
                <c:pt idx="7">
                  <c:v>30.427008834665543</c:v>
                </c:pt>
                <c:pt idx="8">
                  <c:v>30.234188753330525</c:v>
                </c:pt>
                <c:pt idx="9">
                  <c:v>29.501472444257463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2-044F-9BB0-56B8FE59B99B}"/>
            </c:ext>
          </c:extLst>
        </c:ser>
        <c:ser>
          <c:idx val="1"/>
          <c:order val="1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6532389902072E-2"/>
                  <c:y val="0.14465663513669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Result!$D$20:$D$29</c:f>
              <c:numCache>
                <c:formatCode>General</c:formatCode>
                <c:ptCount val="10"/>
                <c:pt idx="0" formatCode="0">
                  <c:v>12</c:v>
                </c:pt>
                <c:pt idx="1">
                  <c:v>23</c:v>
                </c:pt>
                <c:pt idx="2">
                  <c:v>36</c:v>
                </c:pt>
                <c:pt idx="3">
                  <c:v>50</c:v>
                </c:pt>
                <c:pt idx="4">
                  <c:v>65</c:v>
                </c:pt>
                <c:pt idx="5">
                  <c:v>81</c:v>
                </c:pt>
                <c:pt idx="6">
                  <c:v>95</c:v>
                </c:pt>
                <c:pt idx="7">
                  <c:v>112</c:v>
                </c:pt>
                <c:pt idx="8">
                  <c:v>129</c:v>
                </c:pt>
                <c:pt idx="9">
                  <c:v>150</c:v>
                </c:pt>
              </c:numCache>
            </c:numRef>
          </c:xVal>
          <c:yVal>
            <c:numRef>
              <c:f>Result!$H$20:$H$29</c:f>
              <c:numCache>
                <c:formatCode>0.00</c:formatCode>
                <c:ptCount val="10"/>
                <c:pt idx="0">
                  <c:v>32.393773664282705</c:v>
                </c:pt>
                <c:pt idx="1">
                  <c:v>32.355209648015702</c:v>
                </c:pt>
                <c:pt idx="2">
                  <c:v>32.085261534146682</c:v>
                </c:pt>
                <c:pt idx="3">
                  <c:v>31.699621371476649</c:v>
                </c:pt>
                <c:pt idx="4">
                  <c:v>31.236853176272611</c:v>
                </c:pt>
                <c:pt idx="5">
                  <c:v>31.275417192539614</c:v>
                </c:pt>
                <c:pt idx="6">
                  <c:v>30.966905062403587</c:v>
                </c:pt>
                <c:pt idx="7">
                  <c:v>30.427008834665543</c:v>
                </c:pt>
                <c:pt idx="8">
                  <c:v>30.234188753330525</c:v>
                </c:pt>
                <c:pt idx="9">
                  <c:v>29.501472444257463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22-044F-9BB0-56B8FE59B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Result!$D$36:$D$45</c:f>
              <c:numCache>
                <c:formatCode>General</c:formatCode>
                <c:ptCount val="10"/>
                <c:pt idx="0" formatCode="0">
                  <c:v>9</c:v>
                </c:pt>
                <c:pt idx="1">
                  <c:v>23</c:v>
                </c:pt>
                <c:pt idx="2">
                  <c:v>36</c:v>
                </c:pt>
                <c:pt idx="3">
                  <c:v>52</c:v>
                </c:pt>
                <c:pt idx="4">
                  <c:v>67</c:v>
                </c:pt>
                <c:pt idx="5">
                  <c:v>81</c:v>
                </c:pt>
                <c:pt idx="6">
                  <c:v>98</c:v>
                </c:pt>
                <c:pt idx="7">
                  <c:v>127</c:v>
                </c:pt>
                <c:pt idx="8">
                  <c:v>146</c:v>
                </c:pt>
                <c:pt idx="9">
                  <c:v>180</c:v>
                </c:pt>
              </c:numCache>
            </c:numRef>
          </c:xVal>
          <c:yVal>
            <c:numRef>
              <c:f>Result!$H$36:$H$45</c:f>
              <c:numCache>
                <c:formatCode>0.00</c:formatCode>
                <c:ptCount val="10"/>
                <c:pt idx="0">
                  <c:v>24.256766231945029</c:v>
                </c:pt>
                <c:pt idx="1">
                  <c:v>24.179638199411023</c:v>
                </c:pt>
                <c:pt idx="2">
                  <c:v>24.025382134343008</c:v>
                </c:pt>
                <c:pt idx="3">
                  <c:v>23.832562053007994</c:v>
                </c:pt>
                <c:pt idx="4">
                  <c:v>23.639741971672976</c:v>
                </c:pt>
                <c:pt idx="5">
                  <c:v>23.254101809002943</c:v>
                </c:pt>
                <c:pt idx="6">
                  <c:v>22.984153695133919</c:v>
                </c:pt>
                <c:pt idx="7">
                  <c:v>22.251437386060861</c:v>
                </c:pt>
                <c:pt idx="8">
                  <c:v>21.827233207123822</c:v>
                </c:pt>
                <c:pt idx="9">
                  <c:v>20.207544523909686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57-B24F-9ADF-D24909C7666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6532389902072E-2"/>
                  <c:y val="0.14465663513669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Result!$D$36:$D$45</c:f>
              <c:numCache>
                <c:formatCode>General</c:formatCode>
                <c:ptCount val="10"/>
                <c:pt idx="0" formatCode="0">
                  <c:v>9</c:v>
                </c:pt>
                <c:pt idx="1">
                  <c:v>23</c:v>
                </c:pt>
                <c:pt idx="2">
                  <c:v>36</c:v>
                </c:pt>
                <c:pt idx="3">
                  <c:v>52</c:v>
                </c:pt>
                <c:pt idx="4">
                  <c:v>67</c:v>
                </c:pt>
                <c:pt idx="5">
                  <c:v>81</c:v>
                </c:pt>
                <c:pt idx="6">
                  <c:v>98</c:v>
                </c:pt>
                <c:pt idx="7">
                  <c:v>127</c:v>
                </c:pt>
                <c:pt idx="8">
                  <c:v>146</c:v>
                </c:pt>
                <c:pt idx="9">
                  <c:v>180</c:v>
                </c:pt>
              </c:numCache>
            </c:numRef>
          </c:xVal>
          <c:yVal>
            <c:numRef>
              <c:f>Result!$H$36:$H$45</c:f>
              <c:numCache>
                <c:formatCode>0.00</c:formatCode>
                <c:ptCount val="10"/>
                <c:pt idx="0">
                  <c:v>24.256766231945029</c:v>
                </c:pt>
                <c:pt idx="1">
                  <c:v>24.179638199411023</c:v>
                </c:pt>
                <c:pt idx="2">
                  <c:v>24.025382134343008</c:v>
                </c:pt>
                <c:pt idx="3">
                  <c:v>23.832562053007994</c:v>
                </c:pt>
                <c:pt idx="4">
                  <c:v>23.639741971672976</c:v>
                </c:pt>
                <c:pt idx="5">
                  <c:v>23.254101809002943</c:v>
                </c:pt>
                <c:pt idx="6">
                  <c:v>22.984153695133919</c:v>
                </c:pt>
                <c:pt idx="7">
                  <c:v>22.251437386060861</c:v>
                </c:pt>
                <c:pt idx="8">
                  <c:v>21.827233207123822</c:v>
                </c:pt>
                <c:pt idx="9">
                  <c:v>20.207544523909686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57-B24F-9ADF-D24909C76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  <c:min val="1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Result!$D$51:$D$60</c:f>
              <c:numCache>
                <c:formatCode>General</c:formatCode>
                <c:ptCount val="10"/>
                <c:pt idx="0" formatCode="0">
                  <c:v>9</c:v>
                </c:pt>
                <c:pt idx="1">
                  <c:v>21</c:v>
                </c:pt>
                <c:pt idx="2">
                  <c:v>37</c:v>
                </c:pt>
                <c:pt idx="3">
                  <c:v>57</c:v>
                </c:pt>
                <c:pt idx="4">
                  <c:v>73</c:v>
                </c:pt>
                <c:pt idx="5">
                  <c:v>88</c:v>
                </c:pt>
                <c:pt idx="6">
                  <c:v>111</c:v>
                </c:pt>
                <c:pt idx="7">
                  <c:v>128</c:v>
                </c:pt>
                <c:pt idx="8">
                  <c:v>144</c:v>
                </c:pt>
                <c:pt idx="9">
                  <c:v>167</c:v>
                </c:pt>
              </c:numCache>
            </c:numRef>
          </c:xVal>
          <c:yVal>
            <c:numRef>
              <c:f>Result!$H$51:$H$60</c:f>
              <c:numCache>
                <c:formatCode>0.00</c:formatCode>
                <c:ptCount val="10"/>
                <c:pt idx="0">
                  <c:v>15.425606506801291</c:v>
                </c:pt>
                <c:pt idx="1">
                  <c:v>15.348478474267285</c:v>
                </c:pt>
                <c:pt idx="2">
                  <c:v>15.271350441733277</c:v>
                </c:pt>
                <c:pt idx="3">
                  <c:v>15.039966344131258</c:v>
                </c:pt>
                <c:pt idx="4">
                  <c:v>15.039966344131258</c:v>
                </c:pt>
                <c:pt idx="5">
                  <c:v>14.962838311597253</c:v>
                </c:pt>
                <c:pt idx="6">
                  <c:v>14.654326181461226</c:v>
                </c:pt>
                <c:pt idx="7">
                  <c:v>14.615762165194223</c:v>
                </c:pt>
                <c:pt idx="8">
                  <c:v>14.384378067592202</c:v>
                </c:pt>
                <c:pt idx="9">
                  <c:v>14.345814051325199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BB-CE4B-B169-A68960684F71}"/>
            </c:ext>
          </c:extLst>
        </c:ser>
        <c:ser>
          <c:idx val="1"/>
          <c:order val="1"/>
          <c:tx>
            <c:v>10%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6532389902072E-2"/>
                  <c:y val="0.14465663513669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Result!$D$51:$D$60</c:f>
              <c:numCache>
                <c:formatCode>General</c:formatCode>
                <c:ptCount val="10"/>
                <c:pt idx="0" formatCode="0">
                  <c:v>9</c:v>
                </c:pt>
                <c:pt idx="1">
                  <c:v>21</c:v>
                </c:pt>
                <c:pt idx="2">
                  <c:v>37</c:v>
                </c:pt>
                <c:pt idx="3">
                  <c:v>57</c:v>
                </c:pt>
                <c:pt idx="4">
                  <c:v>73</c:v>
                </c:pt>
                <c:pt idx="5">
                  <c:v>88</c:v>
                </c:pt>
                <c:pt idx="6">
                  <c:v>111</c:v>
                </c:pt>
                <c:pt idx="7">
                  <c:v>128</c:v>
                </c:pt>
                <c:pt idx="8">
                  <c:v>144</c:v>
                </c:pt>
                <c:pt idx="9">
                  <c:v>167</c:v>
                </c:pt>
              </c:numCache>
            </c:numRef>
          </c:xVal>
          <c:yVal>
            <c:numRef>
              <c:f>Result!$H$51:$H$60</c:f>
              <c:numCache>
                <c:formatCode>0.00</c:formatCode>
                <c:ptCount val="10"/>
                <c:pt idx="0">
                  <c:v>15.425606506801291</c:v>
                </c:pt>
                <c:pt idx="1">
                  <c:v>15.348478474267285</c:v>
                </c:pt>
                <c:pt idx="2">
                  <c:v>15.271350441733277</c:v>
                </c:pt>
                <c:pt idx="3">
                  <c:v>15.039966344131258</c:v>
                </c:pt>
                <c:pt idx="4">
                  <c:v>15.039966344131258</c:v>
                </c:pt>
                <c:pt idx="5">
                  <c:v>14.962838311597253</c:v>
                </c:pt>
                <c:pt idx="6">
                  <c:v>14.654326181461226</c:v>
                </c:pt>
                <c:pt idx="7">
                  <c:v>14.615762165194223</c:v>
                </c:pt>
                <c:pt idx="8">
                  <c:v>14.384378067592202</c:v>
                </c:pt>
                <c:pt idx="9">
                  <c:v>14.345814051325199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BB-CE4B-B169-A68960684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Result!$D$66:$D$75</c:f>
              <c:numCache>
                <c:formatCode>General</c:formatCode>
                <c:ptCount val="10"/>
                <c:pt idx="0" formatCode="0">
                  <c:v>10</c:v>
                </c:pt>
                <c:pt idx="1">
                  <c:v>21</c:v>
                </c:pt>
                <c:pt idx="2">
                  <c:v>34</c:v>
                </c:pt>
                <c:pt idx="3">
                  <c:v>46</c:v>
                </c:pt>
                <c:pt idx="4">
                  <c:v>57</c:v>
                </c:pt>
                <c:pt idx="5">
                  <c:v>69</c:v>
                </c:pt>
                <c:pt idx="6">
                  <c:v>83</c:v>
                </c:pt>
                <c:pt idx="7">
                  <c:v>96</c:v>
                </c:pt>
                <c:pt idx="8">
                  <c:v>109</c:v>
                </c:pt>
                <c:pt idx="9">
                  <c:v>131</c:v>
                </c:pt>
              </c:numCache>
            </c:numRef>
          </c:xVal>
          <c:yVal>
            <c:numRef>
              <c:f>Result!$H$66:$H$75</c:f>
              <c:numCache>
                <c:formatCode>0.00</c:formatCode>
                <c:ptCount val="10"/>
                <c:pt idx="0">
                  <c:v>9.988080213153836</c:v>
                </c:pt>
                <c:pt idx="1">
                  <c:v>9.7566961155518168</c:v>
                </c:pt>
                <c:pt idx="2">
                  <c:v>9.5638760342168005</c:v>
                </c:pt>
                <c:pt idx="3">
                  <c:v>9.3324919366147796</c:v>
                </c:pt>
                <c:pt idx="4">
                  <c:v>9.0625438227457575</c:v>
                </c:pt>
                <c:pt idx="5">
                  <c:v>8.8697237414107413</c:v>
                </c:pt>
                <c:pt idx="6">
                  <c:v>8.5226475950077134</c:v>
                </c:pt>
                <c:pt idx="7">
                  <c:v>8.4840835787407105</c:v>
                </c:pt>
                <c:pt idx="8">
                  <c:v>8.098443416070678</c:v>
                </c:pt>
                <c:pt idx="9">
                  <c:v>7.7128032534006454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F4-BD4D-8DC0-C0507C9632EA}"/>
            </c:ext>
          </c:extLst>
        </c:ser>
        <c:ser>
          <c:idx val="1"/>
          <c:order val="1"/>
          <c:tx>
            <c:v>10%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6532389902072E-2"/>
                  <c:y val="0.14465663513669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Result!$D$66:$D$70</c:f>
              <c:numCache>
                <c:formatCode>General</c:formatCode>
                <c:ptCount val="5"/>
                <c:pt idx="0" formatCode="0">
                  <c:v>10</c:v>
                </c:pt>
                <c:pt idx="1">
                  <c:v>21</c:v>
                </c:pt>
                <c:pt idx="2">
                  <c:v>34</c:v>
                </c:pt>
                <c:pt idx="3">
                  <c:v>46</c:v>
                </c:pt>
                <c:pt idx="4">
                  <c:v>57</c:v>
                </c:pt>
              </c:numCache>
            </c:numRef>
          </c:xVal>
          <c:yVal>
            <c:numRef>
              <c:f>Result!$H$66:$H$70</c:f>
              <c:numCache>
                <c:formatCode>0.00</c:formatCode>
                <c:ptCount val="5"/>
                <c:pt idx="0">
                  <c:v>9.988080213153836</c:v>
                </c:pt>
                <c:pt idx="1">
                  <c:v>9.7566961155518168</c:v>
                </c:pt>
                <c:pt idx="2">
                  <c:v>9.5638760342168005</c:v>
                </c:pt>
                <c:pt idx="3">
                  <c:v>9.3324919366147796</c:v>
                </c:pt>
                <c:pt idx="4">
                  <c:v>9.0625438227457575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F4-BD4D-8DC0-C0507C963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Result!$D$80:$D$87</c:f>
              <c:numCache>
                <c:formatCode>General</c:formatCode>
                <c:ptCount val="8"/>
                <c:pt idx="0" formatCode="0">
                  <c:v>9</c:v>
                </c:pt>
                <c:pt idx="1">
                  <c:v>23</c:v>
                </c:pt>
                <c:pt idx="2">
                  <c:v>38</c:v>
                </c:pt>
                <c:pt idx="3">
                  <c:v>48</c:v>
                </c:pt>
                <c:pt idx="4">
                  <c:v>59</c:v>
                </c:pt>
                <c:pt idx="5">
                  <c:v>69</c:v>
                </c:pt>
                <c:pt idx="6">
                  <c:v>81</c:v>
                </c:pt>
                <c:pt idx="7">
                  <c:v>91</c:v>
                </c:pt>
              </c:numCache>
            </c:numRef>
          </c:xVal>
          <c:yVal>
            <c:numRef>
              <c:f>Result!$H$80:$H$87</c:f>
              <c:numCache>
                <c:formatCode>0.00</c:formatCode>
                <c:ptCount val="8"/>
                <c:pt idx="0">
                  <c:v>39.065348478474263</c:v>
                </c:pt>
                <c:pt idx="1">
                  <c:v>38.872528397139249</c:v>
                </c:pt>
                <c:pt idx="2">
                  <c:v>38.44832421820221</c:v>
                </c:pt>
                <c:pt idx="3">
                  <c:v>38.178376104333189</c:v>
                </c:pt>
                <c:pt idx="4">
                  <c:v>37.946992006731172</c:v>
                </c:pt>
                <c:pt idx="5">
                  <c:v>37.561351844061143</c:v>
                </c:pt>
                <c:pt idx="6">
                  <c:v>37.175711681391107</c:v>
                </c:pt>
                <c:pt idx="7">
                  <c:v>36.790071518721078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0-034E-9A5C-2B6B80C9E93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6532389902072E-2"/>
                  <c:y val="0.14465663513669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Result!$D$80:$D$89</c:f>
              <c:numCache>
                <c:formatCode>General</c:formatCode>
                <c:ptCount val="10"/>
                <c:pt idx="0" formatCode="0">
                  <c:v>9</c:v>
                </c:pt>
                <c:pt idx="1">
                  <c:v>23</c:v>
                </c:pt>
                <c:pt idx="2">
                  <c:v>38</c:v>
                </c:pt>
                <c:pt idx="3">
                  <c:v>48</c:v>
                </c:pt>
                <c:pt idx="4">
                  <c:v>59</c:v>
                </c:pt>
                <c:pt idx="5">
                  <c:v>69</c:v>
                </c:pt>
                <c:pt idx="6">
                  <c:v>81</c:v>
                </c:pt>
                <c:pt idx="7">
                  <c:v>91</c:v>
                </c:pt>
                <c:pt idx="8">
                  <c:v>101</c:v>
                </c:pt>
                <c:pt idx="9">
                  <c:v>111</c:v>
                </c:pt>
              </c:numCache>
            </c:numRef>
          </c:xVal>
          <c:yVal>
            <c:numRef>
              <c:f>Result!$H$80:$H$89</c:f>
              <c:numCache>
                <c:formatCode>0.00</c:formatCode>
                <c:ptCount val="10"/>
                <c:pt idx="0">
                  <c:v>39.065348478474263</c:v>
                </c:pt>
                <c:pt idx="1">
                  <c:v>38.872528397139249</c:v>
                </c:pt>
                <c:pt idx="2">
                  <c:v>38.44832421820221</c:v>
                </c:pt>
                <c:pt idx="3">
                  <c:v>38.178376104333189</c:v>
                </c:pt>
                <c:pt idx="4">
                  <c:v>37.946992006731172</c:v>
                </c:pt>
                <c:pt idx="5">
                  <c:v>37.561351844061143</c:v>
                </c:pt>
                <c:pt idx="6">
                  <c:v>37.175711681391107</c:v>
                </c:pt>
                <c:pt idx="7">
                  <c:v>36.790071518721078</c:v>
                </c:pt>
                <c:pt idx="8">
                  <c:v>35.903099144579997</c:v>
                </c:pt>
                <c:pt idx="9">
                  <c:v>35.710279063244982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E0-034E-9A5C-2B6B80C9E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Result!$D$95:$D$103</c:f>
              <c:numCache>
                <c:formatCode>General</c:formatCode>
                <c:ptCount val="9"/>
                <c:pt idx="0" formatCode="0">
                  <c:v>10</c:v>
                </c:pt>
                <c:pt idx="1">
                  <c:v>23</c:v>
                </c:pt>
                <c:pt idx="2">
                  <c:v>35</c:v>
                </c:pt>
                <c:pt idx="3">
                  <c:v>48</c:v>
                </c:pt>
                <c:pt idx="4">
                  <c:v>59</c:v>
                </c:pt>
                <c:pt idx="5">
                  <c:v>86</c:v>
                </c:pt>
                <c:pt idx="6">
                  <c:v>99</c:v>
                </c:pt>
                <c:pt idx="7">
                  <c:v>111</c:v>
                </c:pt>
                <c:pt idx="8">
                  <c:v>125</c:v>
                </c:pt>
              </c:numCache>
            </c:numRef>
          </c:xVal>
          <c:yVal>
            <c:numRef>
              <c:f>Result!$H$95:$H$103</c:f>
              <c:numCache>
                <c:formatCode>0.00</c:formatCode>
                <c:ptCount val="9"/>
                <c:pt idx="0">
                  <c:v>15.425606506801291</c:v>
                </c:pt>
                <c:pt idx="1">
                  <c:v>15.387042490534288</c:v>
                </c:pt>
                <c:pt idx="2">
                  <c:v>15.348478474267285</c:v>
                </c:pt>
                <c:pt idx="3">
                  <c:v>15.078530360398261</c:v>
                </c:pt>
                <c:pt idx="4">
                  <c:v>15.078530360398261</c:v>
                </c:pt>
                <c:pt idx="5">
                  <c:v>14.731454213995232</c:v>
                </c:pt>
                <c:pt idx="6">
                  <c:v>14.692890197728229</c:v>
                </c:pt>
                <c:pt idx="7">
                  <c:v>14.422942083859207</c:v>
                </c:pt>
                <c:pt idx="8">
                  <c:v>14.384378067592202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7E-824F-A5A8-8144BFD14E7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6532389902072E-2"/>
                  <c:y val="0.14465663513669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Result!$D$95:$D$103</c:f>
              <c:numCache>
                <c:formatCode>General</c:formatCode>
                <c:ptCount val="9"/>
                <c:pt idx="0" formatCode="0">
                  <c:v>10</c:v>
                </c:pt>
                <c:pt idx="1">
                  <c:v>23</c:v>
                </c:pt>
                <c:pt idx="2">
                  <c:v>35</c:v>
                </c:pt>
                <c:pt idx="3">
                  <c:v>48</c:v>
                </c:pt>
                <c:pt idx="4">
                  <c:v>59</c:v>
                </c:pt>
                <c:pt idx="5">
                  <c:v>86</c:v>
                </c:pt>
                <c:pt idx="6">
                  <c:v>99</c:v>
                </c:pt>
                <c:pt idx="7">
                  <c:v>111</c:v>
                </c:pt>
                <c:pt idx="8">
                  <c:v>125</c:v>
                </c:pt>
              </c:numCache>
            </c:numRef>
          </c:xVal>
          <c:yVal>
            <c:numRef>
              <c:f>Result!$H$95:$H$103</c:f>
              <c:numCache>
                <c:formatCode>0.00</c:formatCode>
                <c:ptCount val="9"/>
                <c:pt idx="0">
                  <c:v>15.425606506801291</c:v>
                </c:pt>
                <c:pt idx="1">
                  <c:v>15.387042490534288</c:v>
                </c:pt>
                <c:pt idx="2">
                  <c:v>15.348478474267285</c:v>
                </c:pt>
                <c:pt idx="3">
                  <c:v>15.078530360398261</c:v>
                </c:pt>
                <c:pt idx="4">
                  <c:v>15.078530360398261</c:v>
                </c:pt>
                <c:pt idx="5">
                  <c:v>14.731454213995232</c:v>
                </c:pt>
                <c:pt idx="6">
                  <c:v>14.692890197728229</c:v>
                </c:pt>
                <c:pt idx="7">
                  <c:v>14.422942083859207</c:v>
                </c:pt>
                <c:pt idx="8">
                  <c:v>14.384378067592202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7E-824F-A5A8-8144BFD14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Result!$D$110:$D$119</c:f>
              <c:numCache>
                <c:formatCode>General</c:formatCode>
                <c:ptCount val="10"/>
                <c:pt idx="0" formatCode="0">
                  <c:v>27</c:v>
                </c:pt>
                <c:pt idx="1">
                  <c:v>38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83</c:v>
                </c:pt>
                <c:pt idx="6">
                  <c:v>94</c:v>
                </c:pt>
                <c:pt idx="7">
                  <c:v>107</c:v>
                </c:pt>
                <c:pt idx="8">
                  <c:v>120</c:v>
                </c:pt>
                <c:pt idx="9">
                  <c:v>137</c:v>
                </c:pt>
              </c:numCache>
            </c:numRef>
          </c:xVal>
          <c:yVal>
            <c:numRef>
              <c:f>Result!$H$110:$H$119</c:f>
              <c:numCache>
                <c:formatCode>0.00</c:formatCode>
                <c:ptCount val="10"/>
                <c:pt idx="0">
                  <c:v>45.814051325199827</c:v>
                </c:pt>
                <c:pt idx="1">
                  <c:v>45.351283129995792</c:v>
                </c:pt>
                <c:pt idx="2">
                  <c:v>44.464310755854719</c:v>
                </c:pt>
                <c:pt idx="3">
                  <c:v>43.654466414247644</c:v>
                </c:pt>
                <c:pt idx="4">
                  <c:v>42.806058056373573</c:v>
                </c:pt>
                <c:pt idx="5">
                  <c:v>41.224933389426447</c:v>
                </c:pt>
                <c:pt idx="6">
                  <c:v>39.875192820081338</c:v>
                </c:pt>
                <c:pt idx="7">
                  <c:v>37.946992006731172</c:v>
                </c:pt>
                <c:pt idx="8">
                  <c:v>35.748843079511985</c:v>
                </c:pt>
                <c:pt idx="9">
                  <c:v>32.509465713083721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9C-9047-9F7C-E9C33660527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6532389902072E-2"/>
                  <c:y val="0.14465663513669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Result!$D$110:$D$115</c:f>
              <c:numCache>
                <c:formatCode>General</c:formatCode>
                <c:ptCount val="6"/>
                <c:pt idx="0" formatCode="0">
                  <c:v>27</c:v>
                </c:pt>
                <c:pt idx="1">
                  <c:v>38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83</c:v>
                </c:pt>
              </c:numCache>
            </c:numRef>
          </c:xVal>
          <c:yVal>
            <c:numRef>
              <c:f>Result!$H$110:$H$115</c:f>
              <c:numCache>
                <c:formatCode>0.00</c:formatCode>
                <c:ptCount val="6"/>
                <c:pt idx="0">
                  <c:v>45.814051325199827</c:v>
                </c:pt>
                <c:pt idx="1">
                  <c:v>45.351283129995792</c:v>
                </c:pt>
                <c:pt idx="2">
                  <c:v>44.464310755854719</c:v>
                </c:pt>
                <c:pt idx="3">
                  <c:v>43.654466414247644</c:v>
                </c:pt>
                <c:pt idx="4">
                  <c:v>42.806058056373573</c:v>
                </c:pt>
                <c:pt idx="5">
                  <c:v>41.224933389426447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9C-9047-9F7C-E9C336605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Result!$D$125:$D$133</c:f>
              <c:numCache>
                <c:formatCode>General</c:formatCode>
                <c:ptCount val="9"/>
                <c:pt idx="0" formatCode="0">
                  <c:v>9</c:v>
                </c:pt>
                <c:pt idx="1">
                  <c:v>23</c:v>
                </c:pt>
                <c:pt idx="2">
                  <c:v>39</c:v>
                </c:pt>
                <c:pt idx="3">
                  <c:v>58</c:v>
                </c:pt>
                <c:pt idx="4">
                  <c:v>80</c:v>
                </c:pt>
                <c:pt idx="5">
                  <c:v>103</c:v>
                </c:pt>
              </c:numCache>
            </c:numRef>
          </c:xVal>
          <c:yVal>
            <c:numRef>
              <c:f>Result!$H$125:$H$133</c:f>
              <c:numCache>
                <c:formatCode>0.00</c:formatCode>
                <c:ptCount val="9"/>
                <c:pt idx="0">
                  <c:v>32.432337680549708</c:v>
                </c:pt>
                <c:pt idx="1">
                  <c:v>30.31131678586453</c:v>
                </c:pt>
                <c:pt idx="2">
                  <c:v>27.650399663441313</c:v>
                </c:pt>
                <c:pt idx="3">
                  <c:v>23.601177955405973</c:v>
                </c:pt>
                <c:pt idx="4">
                  <c:v>18.433599775627542</c:v>
                </c:pt>
                <c:pt idx="5">
                  <c:v>13.304585612116114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98-9640-B1E1-D63EA8FEC3E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6532389902072E-2"/>
                  <c:y val="0.14465663513669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Result!$D$125:$D$127</c:f>
              <c:numCache>
                <c:formatCode>General</c:formatCode>
                <c:ptCount val="3"/>
                <c:pt idx="0" formatCode="0">
                  <c:v>9</c:v>
                </c:pt>
                <c:pt idx="1">
                  <c:v>23</c:v>
                </c:pt>
                <c:pt idx="2">
                  <c:v>39</c:v>
                </c:pt>
              </c:numCache>
            </c:numRef>
          </c:xVal>
          <c:yVal>
            <c:numRef>
              <c:f>Result!$H$125:$H$127</c:f>
              <c:numCache>
                <c:formatCode>0.00</c:formatCode>
                <c:ptCount val="3"/>
                <c:pt idx="0">
                  <c:v>32.432337680549708</c:v>
                </c:pt>
                <c:pt idx="1">
                  <c:v>30.31131678586453</c:v>
                </c:pt>
                <c:pt idx="2">
                  <c:v>27.650399663441313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98-9640-B1E1-D63EA8FEC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Result!$D$140:$D$150</c:f>
              <c:numCache>
                <c:formatCode>General</c:formatCode>
                <c:ptCount val="11"/>
                <c:pt idx="0" formatCode="0">
                  <c:v>18</c:v>
                </c:pt>
                <c:pt idx="1">
                  <c:v>31</c:v>
                </c:pt>
                <c:pt idx="2">
                  <c:v>45</c:v>
                </c:pt>
                <c:pt idx="3">
                  <c:v>58</c:v>
                </c:pt>
                <c:pt idx="4">
                  <c:v>69</c:v>
                </c:pt>
                <c:pt idx="5">
                  <c:v>82</c:v>
                </c:pt>
              </c:numCache>
            </c:numRef>
          </c:xVal>
          <c:yVal>
            <c:numRef>
              <c:f>Result!$H$140:$H$150</c:f>
              <c:numCache>
                <c:formatCode>0.00</c:formatCode>
                <c:ptCount val="11"/>
                <c:pt idx="0">
                  <c:v>24.372458280746034</c:v>
                </c:pt>
                <c:pt idx="1">
                  <c:v>23.485485906604964</c:v>
                </c:pt>
                <c:pt idx="2">
                  <c:v>22.482821483662878</c:v>
                </c:pt>
                <c:pt idx="3">
                  <c:v>20.940260832982748</c:v>
                </c:pt>
                <c:pt idx="4">
                  <c:v>19.590520263637636</c:v>
                </c:pt>
                <c:pt idx="5">
                  <c:v>17.893703547889498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A4-514F-9C4A-2DF9D4FEDA2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Result!$D$140:$D$143</c:f>
              <c:numCache>
                <c:formatCode>General</c:formatCode>
                <c:ptCount val="4"/>
                <c:pt idx="0" formatCode="0">
                  <c:v>18</c:v>
                </c:pt>
                <c:pt idx="1">
                  <c:v>31</c:v>
                </c:pt>
                <c:pt idx="2">
                  <c:v>45</c:v>
                </c:pt>
                <c:pt idx="3">
                  <c:v>58</c:v>
                </c:pt>
              </c:numCache>
            </c:numRef>
          </c:xVal>
          <c:yVal>
            <c:numRef>
              <c:f>Result!$H$140:$H$143</c:f>
              <c:numCache>
                <c:formatCode>0.00</c:formatCode>
                <c:ptCount val="4"/>
                <c:pt idx="0">
                  <c:v>24.372458280746034</c:v>
                </c:pt>
                <c:pt idx="1">
                  <c:v>23.485485906604964</c:v>
                </c:pt>
                <c:pt idx="2">
                  <c:v>22.482821483662878</c:v>
                </c:pt>
                <c:pt idx="3">
                  <c:v>20.940260832982748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A4-514F-9C4A-2DF9D4FED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Result!$D$155:$D$160</c:f>
              <c:numCache>
                <c:formatCode>General</c:formatCode>
                <c:ptCount val="6"/>
                <c:pt idx="0" formatCode="0">
                  <c:v>10</c:v>
                </c:pt>
                <c:pt idx="1">
                  <c:v>22</c:v>
                </c:pt>
                <c:pt idx="2">
                  <c:v>34</c:v>
                </c:pt>
                <c:pt idx="3">
                  <c:v>46</c:v>
                </c:pt>
                <c:pt idx="4">
                  <c:v>57</c:v>
                </c:pt>
                <c:pt idx="5">
                  <c:v>69</c:v>
                </c:pt>
              </c:numCache>
            </c:numRef>
          </c:xVal>
          <c:yVal>
            <c:numRef>
              <c:f>Result!$H$155:$H$160</c:f>
              <c:numCache>
                <c:formatCode>0.00</c:formatCode>
                <c:ptCount val="6"/>
                <c:pt idx="0">
                  <c:v>18.62641985696256</c:v>
                </c:pt>
                <c:pt idx="1">
                  <c:v>18.125087645491515</c:v>
                </c:pt>
                <c:pt idx="2">
                  <c:v>17.585191417753471</c:v>
                </c:pt>
                <c:pt idx="3">
                  <c:v>16.929603141214415</c:v>
                </c:pt>
                <c:pt idx="4">
                  <c:v>16.274014864675362</c:v>
                </c:pt>
                <c:pt idx="5">
                  <c:v>15.464170523068294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45-FD43-8FFB-9BB670270D6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Result!$D$155:$D$160</c:f>
              <c:numCache>
                <c:formatCode>General</c:formatCode>
                <c:ptCount val="6"/>
                <c:pt idx="0" formatCode="0">
                  <c:v>10</c:v>
                </c:pt>
                <c:pt idx="1">
                  <c:v>22</c:v>
                </c:pt>
                <c:pt idx="2">
                  <c:v>34</c:v>
                </c:pt>
                <c:pt idx="3">
                  <c:v>46</c:v>
                </c:pt>
                <c:pt idx="4">
                  <c:v>57</c:v>
                </c:pt>
                <c:pt idx="5">
                  <c:v>69</c:v>
                </c:pt>
              </c:numCache>
            </c:numRef>
          </c:xVal>
          <c:yVal>
            <c:numRef>
              <c:f>Result!$H$155:$H$160</c:f>
              <c:numCache>
                <c:formatCode>0.00</c:formatCode>
                <c:ptCount val="6"/>
                <c:pt idx="0">
                  <c:v>18.62641985696256</c:v>
                </c:pt>
                <c:pt idx="1">
                  <c:v>18.125087645491515</c:v>
                </c:pt>
                <c:pt idx="2">
                  <c:v>17.585191417753471</c:v>
                </c:pt>
                <c:pt idx="3">
                  <c:v>16.929603141214415</c:v>
                </c:pt>
                <c:pt idx="4">
                  <c:v>16.274014864675362</c:v>
                </c:pt>
                <c:pt idx="5">
                  <c:v>15.464170523068294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45-FD43-8FFB-9BB670270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Result!$D$169:$D$174</c:f>
              <c:numCache>
                <c:formatCode>General</c:formatCode>
                <c:ptCount val="6"/>
                <c:pt idx="0" formatCode="0">
                  <c:v>10</c:v>
                </c:pt>
                <c:pt idx="1">
                  <c:v>22</c:v>
                </c:pt>
                <c:pt idx="2">
                  <c:v>35</c:v>
                </c:pt>
                <c:pt idx="3">
                  <c:v>48</c:v>
                </c:pt>
                <c:pt idx="4">
                  <c:v>63</c:v>
                </c:pt>
                <c:pt idx="5">
                  <c:v>77</c:v>
                </c:pt>
              </c:numCache>
            </c:numRef>
          </c:xVal>
          <c:yVal>
            <c:numRef>
              <c:f>Result!$H$169:$H$174</c:f>
              <c:numCache>
                <c:formatCode>0.00</c:formatCode>
                <c:ptCount val="6"/>
                <c:pt idx="0">
                  <c:v>13.227457579582108</c:v>
                </c:pt>
                <c:pt idx="1">
                  <c:v>12.918945449446081</c:v>
                </c:pt>
                <c:pt idx="2">
                  <c:v>12.340485205441032</c:v>
                </c:pt>
                <c:pt idx="3">
                  <c:v>12.147665124106016</c:v>
                </c:pt>
                <c:pt idx="4">
                  <c:v>11.414948815032954</c:v>
                </c:pt>
                <c:pt idx="5">
                  <c:v>11.067872668629926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BD-0745-B10B-22D56302871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Result!$D$169:$D$174</c:f>
              <c:numCache>
                <c:formatCode>General</c:formatCode>
                <c:ptCount val="6"/>
                <c:pt idx="0" formatCode="0">
                  <c:v>10</c:v>
                </c:pt>
                <c:pt idx="1">
                  <c:v>22</c:v>
                </c:pt>
                <c:pt idx="2">
                  <c:v>35</c:v>
                </c:pt>
                <c:pt idx="3">
                  <c:v>48</c:v>
                </c:pt>
                <c:pt idx="4">
                  <c:v>63</c:v>
                </c:pt>
                <c:pt idx="5">
                  <c:v>77</c:v>
                </c:pt>
              </c:numCache>
            </c:numRef>
          </c:xVal>
          <c:yVal>
            <c:numRef>
              <c:f>Result!$H$169:$H$174</c:f>
              <c:numCache>
                <c:formatCode>0.00</c:formatCode>
                <c:ptCount val="6"/>
                <c:pt idx="0">
                  <c:v>13.227457579582108</c:v>
                </c:pt>
                <c:pt idx="1">
                  <c:v>12.918945449446081</c:v>
                </c:pt>
                <c:pt idx="2">
                  <c:v>12.340485205441032</c:v>
                </c:pt>
                <c:pt idx="3">
                  <c:v>12.147665124106016</c:v>
                </c:pt>
                <c:pt idx="4">
                  <c:v>11.414948815032954</c:v>
                </c:pt>
                <c:pt idx="5">
                  <c:v>11.067872668629926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BD-0745-B10B-22D563028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Result!$D$184:$D$189</c:f>
              <c:numCache>
                <c:formatCode>General</c:formatCode>
                <c:ptCount val="6"/>
                <c:pt idx="0" formatCode="0">
                  <c:v>11</c:v>
                </c:pt>
                <c:pt idx="1">
                  <c:v>25</c:v>
                </c:pt>
                <c:pt idx="2">
                  <c:v>39</c:v>
                </c:pt>
                <c:pt idx="3">
                  <c:v>56</c:v>
                </c:pt>
                <c:pt idx="4">
                  <c:v>67</c:v>
                </c:pt>
                <c:pt idx="5">
                  <c:v>80</c:v>
                </c:pt>
              </c:numCache>
            </c:numRef>
          </c:xVal>
          <c:yVal>
            <c:numRef>
              <c:f>Result!$H$184:$H$189</c:f>
              <c:numCache>
                <c:formatCode>0.00</c:formatCode>
                <c:ptCount val="6"/>
                <c:pt idx="0">
                  <c:v>40.831580423503013</c:v>
                </c:pt>
                <c:pt idx="1">
                  <c:v>39.605244706212311</c:v>
                </c:pt>
                <c:pt idx="2">
                  <c:v>36.905763567522079</c:v>
                </c:pt>
                <c:pt idx="3">
                  <c:v>34.476230542700883</c:v>
                </c:pt>
                <c:pt idx="4">
                  <c:v>31.159725143738605</c:v>
                </c:pt>
                <c:pt idx="5">
                  <c:v>28.036039826111345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7F4E-A763-21EDD919894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Result!$D$184:$D$187</c:f>
              <c:numCache>
                <c:formatCode>General</c:formatCode>
                <c:ptCount val="4"/>
                <c:pt idx="0" formatCode="0">
                  <c:v>11</c:v>
                </c:pt>
                <c:pt idx="1">
                  <c:v>25</c:v>
                </c:pt>
                <c:pt idx="2">
                  <c:v>39</c:v>
                </c:pt>
                <c:pt idx="3">
                  <c:v>56</c:v>
                </c:pt>
              </c:numCache>
            </c:numRef>
          </c:xVal>
          <c:yVal>
            <c:numRef>
              <c:f>Result!$H$184:$H$187</c:f>
              <c:numCache>
                <c:formatCode>0.00</c:formatCode>
                <c:ptCount val="4"/>
                <c:pt idx="0">
                  <c:v>40.831580423503013</c:v>
                </c:pt>
                <c:pt idx="1">
                  <c:v>39.605244706212311</c:v>
                </c:pt>
                <c:pt idx="2">
                  <c:v>36.905763567522079</c:v>
                </c:pt>
                <c:pt idx="3">
                  <c:v>34.476230542700883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5A-7F4E-A763-21EDD9198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Result!$D$199:$D$204</c:f>
              <c:numCache>
                <c:formatCode>General</c:formatCode>
                <c:ptCount val="6"/>
                <c:pt idx="0" formatCode="0">
                  <c:v>9</c:v>
                </c:pt>
                <c:pt idx="1">
                  <c:v>22</c:v>
                </c:pt>
                <c:pt idx="2">
                  <c:v>36</c:v>
                </c:pt>
                <c:pt idx="3">
                  <c:v>46</c:v>
                </c:pt>
                <c:pt idx="4">
                  <c:v>61</c:v>
                </c:pt>
                <c:pt idx="5">
                  <c:v>74</c:v>
                </c:pt>
              </c:numCache>
            </c:numRef>
          </c:xVal>
          <c:yVal>
            <c:numRef>
              <c:f>Result!$H$199:$H$204</c:f>
              <c:numCache>
                <c:formatCode>0.00</c:formatCode>
                <c:ptCount val="6"/>
                <c:pt idx="0">
                  <c:v>32.162389566680687</c:v>
                </c:pt>
                <c:pt idx="1">
                  <c:v>31.506801290141631</c:v>
                </c:pt>
                <c:pt idx="2">
                  <c:v>29.308652362922448</c:v>
                </c:pt>
                <c:pt idx="3">
                  <c:v>28.537372037582386</c:v>
                </c:pt>
                <c:pt idx="4">
                  <c:v>25.799326882625156</c:v>
                </c:pt>
                <c:pt idx="5">
                  <c:v>23.601177955405973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A1-2D46-BF97-31281DD262E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Result!$D$199:$D$203</c:f>
              <c:numCache>
                <c:formatCode>General</c:formatCode>
                <c:ptCount val="5"/>
                <c:pt idx="0" formatCode="0">
                  <c:v>9</c:v>
                </c:pt>
                <c:pt idx="1">
                  <c:v>22</c:v>
                </c:pt>
                <c:pt idx="2">
                  <c:v>36</c:v>
                </c:pt>
                <c:pt idx="3">
                  <c:v>46</c:v>
                </c:pt>
                <c:pt idx="4">
                  <c:v>61</c:v>
                </c:pt>
              </c:numCache>
            </c:numRef>
          </c:xVal>
          <c:yVal>
            <c:numRef>
              <c:f>Result!$H$199:$H$203</c:f>
              <c:numCache>
                <c:formatCode>0.00</c:formatCode>
                <c:ptCount val="5"/>
                <c:pt idx="0">
                  <c:v>32.162389566680687</c:v>
                </c:pt>
                <c:pt idx="1">
                  <c:v>31.506801290141631</c:v>
                </c:pt>
                <c:pt idx="2">
                  <c:v>29.308652362922448</c:v>
                </c:pt>
                <c:pt idx="3">
                  <c:v>28.537372037582386</c:v>
                </c:pt>
                <c:pt idx="4">
                  <c:v>25.799326882625156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A1-2D46-BF97-31281DD26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Result!$D$213:$D$218</c:f>
              <c:numCache>
                <c:formatCode>General</c:formatCode>
                <c:ptCount val="6"/>
                <c:pt idx="0" formatCode="0">
                  <c:v>10</c:v>
                </c:pt>
                <c:pt idx="1">
                  <c:v>21</c:v>
                </c:pt>
                <c:pt idx="2">
                  <c:v>34</c:v>
                </c:pt>
                <c:pt idx="3">
                  <c:v>53</c:v>
                </c:pt>
                <c:pt idx="4">
                  <c:v>66</c:v>
                </c:pt>
                <c:pt idx="5">
                  <c:v>80</c:v>
                </c:pt>
              </c:numCache>
            </c:numRef>
          </c:xVal>
          <c:yVal>
            <c:numRef>
              <c:f>Result!$H$213:$H$218</c:f>
              <c:numCache>
                <c:formatCode>0.00</c:formatCode>
                <c:ptCount val="6"/>
                <c:pt idx="0">
                  <c:v>24.256766231945029</c:v>
                </c:pt>
                <c:pt idx="1">
                  <c:v>23.909690085542</c:v>
                </c:pt>
                <c:pt idx="2">
                  <c:v>23.022717711400926</c:v>
                </c:pt>
                <c:pt idx="3">
                  <c:v>20.47749263777871</c:v>
                </c:pt>
                <c:pt idx="4">
                  <c:v>18.317907726826533</c:v>
                </c:pt>
                <c:pt idx="5">
                  <c:v>16.38970691347637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2-4840-81B5-A8D82C6C078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Result!$D$213:$D$216</c:f>
              <c:numCache>
                <c:formatCode>General</c:formatCode>
                <c:ptCount val="4"/>
                <c:pt idx="0" formatCode="0">
                  <c:v>10</c:v>
                </c:pt>
                <c:pt idx="1">
                  <c:v>21</c:v>
                </c:pt>
                <c:pt idx="2">
                  <c:v>34</c:v>
                </c:pt>
                <c:pt idx="3">
                  <c:v>53</c:v>
                </c:pt>
              </c:numCache>
            </c:numRef>
          </c:xVal>
          <c:yVal>
            <c:numRef>
              <c:f>Result!$H$213:$H$216</c:f>
              <c:numCache>
                <c:formatCode>0.00</c:formatCode>
                <c:ptCount val="4"/>
                <c:pt idx="0">
                  <c:v>24.256766231945029</c:v>
                </c:pt>
                <c:pt idx="1">
                  <c:v>23.909690085542</c:v>
                </c:pt>
                <c:pt idx="2">
                  <c:v>23.022717711400926</c:v>
                </c:pt>
                <c:pt idx="3">
                  <c:v>20.47749263777871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52-4840-81B5-A8D82C6C0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Result!$D$227:$D$232</c:f>
              <c:numCache>
                <c:formatCode>General</c:formatCode>
                <c:ptCount val="6"/>
                <c:pt idx="0" formatCode="0">
                  <c:v>11</c:v>
                </c:pt>
                <c:pt idx="1">
                  <c:v>24</c:v>
                </c:pt>
                <c:pt idx="2">
                  <c:v>36</c:v>
                </c:pt>
                <c:pt idx="3">
                  <c:v>50</c:v>
                </c:pt>
                <c:pt idx="4">
                  <c:v>64</c:v>
                </c:pt>
                <c:pt idx="5">
                  <c:v>79</c:v>
                </c:pt>
              </c:numCache>
            </c:numRef>
          </c:xVal>
          <c:yVal>
            <c:numRef>
              <c:f>Result!$H$227:$H$232</c:f>
              <c:numCache>
                <c:formatCode>0.00</c:formatCode>
                <c:ptCount val="6"/>
                <c:pt idx="0">
                  <c:v>19.050624035899595</c:v>
                </c:pt>
                <c:pt idx="1">
                  <c:v>18.472163791894545</c:v>
                </c:pt>
                <c:pt idx="2">
                  <c:v>18.163651661758522</c:v>
                </c:pt>
                <c:pt idx="3">
                  <c:v>16.543962978544382</c:v>
                </c:pt>
                <c:pt idx="4">
                  <c:v>14.345814051325199</c:v>
                </c:pt>
                <c:pt idx="5">
                  <c:v>12.996073481980087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58-4C48-A301-E25E7D1CEDA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Result!$D$227:$D$230</c:f>
              <c:numCache>
                <c:formatCode>General</c:formatCode>
                <c:ptCount val="4"/>
                <c:pt idx="0" formatCode="0">
                  <c:v>11</c:v>
                </c:pt>
                <c:pt idx="1">
                  <c:v>24</c:v>
                </c:pt>
                <c:pt idx="2">
                  <c:v>36</c:v>
                </c:pt>
                <c:pt idx="3">
                  <c:v>50</c:v>
                </c:pt>
              </c:numCache>
            </c:numRef>
          </c:xVal>
          <c:yVal>
            <c:numRef>
              <c:f>Result!$H$227:$H$230</c:f>
              <c:numCache>
                <c:formatCode>0.00</c:formatCode>
                <c:ptCount val="4"/>
                <c:pt idx="0">
                  <c:v>19.050624035899595</c:v>
                </c:pt>
                <c:pt idx="1">
                  <c:v>18.472163791894545</c:v>
                </c:pt>
                <c:pt idx="2">
                  <c:v>18.163651661758522</c:v>
                </c:pt>
                <c:pt idx="3">
                  <c:v>16.543962978544382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58-4C48-A301-E25E7D1CE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Result!$D$242:$D$247</c:f>
              <c:numCache>
                <c:formatCode>General</c:formatCode>
                <c:ptCount val="6"/>
                <c:pt idx="0" formatCode="0">
                  <c:v>10</c:v>
                </c:pt>
                <c:pt idx="1">
                  <c:v>22</c:v>
                </c:pt>
                <c:pt idx="2">
                  <c:v>33</c:v>
                </c:pt>
                <c:pt idx="3">
                  <c:v>46</c:v>
                </c:pt>
                <c:pt idx="4">
                  <c:v>60</c:v>
                </c:pt>
                <c:pt idx="5">
                  <c:v>73</c:v>
                </c:pt>
              </c:numCache>
            </c:numRef>
          </c:xVal>
          <c:yVal>
            <c:numRef>
              <c:f>Result!$H$242:$H$247</c:f>
              <c:numCache>
                <c:formatCode>0.00</c:formatCode>
                <c:ptCount val="6"/>
                <c:pt idx="0">
                  <c:v>12.996073481980087</c:v>
                </c:pt>
                <c:pt idx="1">
                  <c:v>12.687561351844062</c:v>
                </c:pt>
                <c:pt idx="2">
                  <c:v>12.456177254242043</c:v>
                </c:pt>
                <c:pt idx="3">
                  <c:v>11.916281026503997</c:v>
                </c:pt>
                <c:pt idx="4">
                  <c:v>11.337820782498948</c:v>
                </c:pt>
                <c:pt idx="5">
                  <c:v>10.952180619828917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7-B947-BD48-84275B7347D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Result!$D$242:$D$247</c:f>
              <c:numCache>
                <c:formatCode>General</c:formatCode>
                <c:ptCount val="6"/>
                <c:pt idx="0" formatCode="0">
                  <c:v>10</c:v>
                </c:pt>
                <c:pt idx="1">
                  <c:v>22</c:v>
                </c:pt>
                <c:pt idx="2">
                  <c:v>33</c:v>
                </c:pt>
                <c:pt idx="3">
                  <c:v>46</c:v>
                </c:pt>
                <c:pt idx="4">
                  <c:v>60</c:v>
                </c:pt>
                <c:pt idx="5">
                  <c:v>73</c:v>
                </c:pt>
              </c:numCache>
            </c:numRef>
          </c:xVal>
          <c:yVal>
            <c:numRef>
              <c:f>Result!$H$242:$H$247</c:f>
              <c:numCache>
                <c:formatCode>0.00</c:formatCode>
                <c:ptCount val="6"/>
                <c:pt idx="0">
                  <c:v>12.996073481980087</c:v>
                </c:pt>
                <c:pt idx="1">
                  <c:v>12.687561351844062</c:v>
                </c:pt>
                <c:pt idx="2">
                  <c:v>12.456177254242043</c:v>
                </c:pt>
                <c:pt idx="3">
                  <c:v>11.916281026503997</c:v>
                </c:pt>
                <c:pt idx="4">
                  <c:v>11.337820782498948</c:v>
                </c:pt>
                <c:pt idx="5">
                  <c:v>10.952180619828917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C7-B947-BD48-84275B734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Result!$D$257:$D$262</c:f>
              <c:numCache>
                <c:formatCode>General</c:formatCode>
                <c:ptCount val="6"/>
                <c:pt idx="0" formatCode="0">
                  <c:v>11</c:v>
                </c:pt>
                <c:pt idx="1">
                  <c:v>24</c:v>
                </c:pt>
                <c:pt idx="2">
                  <c:v>36</c:v>
                </c:pt>
                <c:pt idx="3">
                  <c:v>50</c:v>
                </c:pt>
                <c:pt idx="4">
                  <c:v>64</c:v>
                </c:pt>
                <c:pt idx="5">
                  <c:v>79</c:v>
                </c:pt>
              </c:numCache>
            </c:numRef>
          </c:xVal>
          <c:yVal>
            <c:numRef>
              <c:f>Result!$H$257:$H$262</c:f>
              <c:numCache>
                <c:formatCode>0.00</c:formatCode>
                <c:ptCount val="6"/>
                <c:pt idx="0">
                  <c:v>6.4401907165895391</c:v>
                </c:pt>
                <c:pt idx="1">
                  <c:v>6.0931145701865095</c:v>
                </c:pt>
                <c:pt idx="2">
                  <c:v>5.8231664563174865</c:v>
                </c:pt>
                <c:pt idx="3">
                  <c:v>5.5532183424484654</c:v>
                </c:pt>
                <c:pt idx="4">
                  <c:v>5.5917823587154682</c:v>
                </c:pt>
                <c:pt idx="5">
                  <c:v>5.3218342448464453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CF-834E-92E5-56E3FD15820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Result!$D$257:$D$262</c:f>
              <c:numCache>
                <c:formatCode>General</c:formatCode>
                <c:ptCount val="6"/>
                <c:pt idx="0" formatCode="0">
                  <c:v>11</c:v>
                </c:pt>
                <c:pt idx="1">
                  <c:v>24</c:v>
                </c:pt>
                <c:pt idx="2">
                  <c:v>36</c:v>
                </c:pt>
                <c:pt idx="3">
                  <c:v>50</c:v>
                </c:pt>
                <c:pt idx="4">
                  <c:v>64</c:v>
                </c:pt>
                <c:pt idx="5">
                  <c:v>79</c:v>
                </c:pt>
              </c:numCache>
            </c:numRef>
          </c:xVal>
          <c:yVal>
            <c:numRef>
              <c:f>Result!$H$257:$H$262</c:f>
              <c:numCache>
                <c:formatCode>0.00</c:formatCode>
                <c:ptCount val="6"/>
                <c:pt idx="0">
                  <c:v>6.4401907165895391</c:v>
                </c:pt>
                <c:pt idx="1">
                  <c:v>6.0931145701865095</c:v>
                </c:pt>
                <c:pt idx="2">
                  <c:v>5.8231664563174865</c:v>
                </c:pt>
                <c:pt idx="3">
                  <c:v>5.5532183424484654</c:v>
                </c:pt>
                <c:pt idx="4">
                  <c:v>5.5917823587154682</c:v>
                </c:pt>
                <c:pt idx="5">
                  <c:v>5.3218342448464453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CF-834E-92E5-56E3FD158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Result!$D$272:$D$277</c:f>
              <c:numCache>
                <c:formatCode>General</c:formatCode>
                <c:ptCount val="6"/>
                <c:pt idx="0" formatCode="0">
                  <c:v>8</c:v>
                </c:pt>
                <c:pt idx="1">
                  <c:v>20</c:v>
                </c:pt>
                <c:pt idx="2">
                  <c:v>31</c:v>
                </c:pt>
                <c:pt idx="3">
                  <c:v>42</c:v>
                </c:pt>
                <c:pt idx="4">
                  <c:v>54</c:v>
                </c:pt>
                <c:pt idx="5">
                  <c:v>66</c:v>
                </c:pt>
              </c:numCache>
            </c:numRef>
          </c:xVal>
          <c:yVal>
            <c:numRef>
              <c:f>Result!$H$272:$H$277</c:f>
              <c:numCache>
                <c:formatCode>0.00</c:formatCode>
                <c:ptCount val="6"/>
                <c:pt idx="0">
                  <c:v>6.7872668629925679</c:v>
                </c:pt>
                <c:pt idx="1">
                  <c:v>6.6715748141915583</c:v>
                </c:pt>
                <c:pt idx="2">
                  <c:v>6.478754732856542</c:v>
                </c:pt>
                <c:pt idx="3">
                  <c:v>6.3244986677885295</c:v>
                </c:pt>
                <c:pt idx="4">
                  <c:v>6.1702426027205162</c:v>
                </c:pt>
                <c:pt idx="5">
                  <c:v>5.9388585051184961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3A-0F4D-B51F-3251C7CF8FA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Result!$D$272:$D$277</c:f>
              <c:numCache>
                <c:formatCode>General</c:formatCode>
                <c:ptCount val="6"/>
                <c:pt idx="0" formatCode="0">
                  <c:v>8</c:v>
                </c:pt>
                <c:pt idx="1">
                  <c:v>20</c:v>
                </c:pt>
                <c:pt idx="2">
                  <c:v>31</c:v>
                </c:pt>
                <c:pt idx="3">
                  <c:v>42</c:v>
                </c:pt>
                <c:pt idx="4">
                  <c:v>54</c:v>
                </c:pt>
                <c:pt idx="5">
                  <c:v>66</c:v>
                </c:pt>
              </c:numCache>
            </c:numRef>
          </c:xVal>
          <c:yVal>
            <c:numRef>
              <c:f>Result!$H$272:$H$277</c:f>
              <c:numCache>
                <c:formatCode>0.00</c:formatCode>
                <c:ptCount val="6"/>
                <c:pt idx="0">
                  <c:v>6.7872668629925679</c:v>
                </c:pt>
                <c:pt idx="1">
                  <c:v>6.6715748141915583</c:v>
                </c:pt>
                <c:pt idx="2">
                  <c:v>6.478754732856542</c:v>
                </c:pt>
                <c:pt idx="3">
                  <c:v>6.3244986677885295</c:v>
                </c:pt>
                <c:pt idx="4">
                  <c:v>6.1702426027205162</c:v>
                </c:pt>
                <c:pt idx="5">
                  <c:v>5.9388585051184961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3A-0F4D-B51F-3251C7CF8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Result!$D$287:$D$292</c:f>
              <c:numCache>
                <c:formatCode>General</c:formatCode>
                <c:ptCount val="6"/>
                <c:pt idx="0" formatCode="0">
                  <c:v>8</c:v>
                </c:pt>
                <c:pt idx="1">
                  <c:v>24</c:v>
                </c:pt>
                <c:pt idx="2">
                  <c:v>43</c:v>
                </c:pt>
                <c:pt idx="3">
                  <c:v>60</c:v>
                </c:pt>
                <c:pt idx="4">
                  <c:v>73</c:v>
                </c:pt>
                <c:pt idx="5">
                  <c:v>88</c:v>
                </c:pt>
              </c:numCache>
            </c:numRef>
          </c:xVal>
          <c:yVal>
            <c:numRef>
              <c:f>Result!$H$287:$H$292</c:f>
              <c:numCache>
                <c:formatCode>0.00</c:formatCode>
                <c:ptCount val="6"/>
                <c:pt idx="0">
                  <c:v>6.8643948955265746</c:v>
                </c:pt>
                <c:pt idx="1">
                  <c:v>6.5944467816575516</c:v>
                </c:pt>
                <c:pt idx="2">
                  <c:v>6.3630626840555324</c:v>
                </c:pt>
                <c:pt idx="3">
                  <c:v>6.0545505539195066</c:v>
                </c:pt>
                <c:pt idx="4">
                  <c:v>5.9388585051184961</c:v>
                </c:pt>
                <c:pt idx="5">
                  <c:v>5.9002944888514932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0D-454A-9199-F32A18E28BE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Result!$D$287:$D$291</c:f>
              <c:numCache>
                <c:formatCode>General</c:formatCode>
                <c:ptCount val="5"/>
                <c:pt idx="0" formatCode="0">
                  <c:v>8</c:v>
                </c:pt>
                <c:pt idx="1">
                  <c:v>24</c:v>
                </c:pt>
                <c:pt idx="2">
                  <c:v>43</c:v>
                </c:pt>
                <c:pt idx="3">
                  <c:v>60</c:v>
                </c:pt>
                <c:pt idx="4">
                  <c:v>73</c:v>
                </c:pt>
              </c:numCache>
            </c:numRef>
          </c:xVal>
          <c:yVal>
            <c:numRef>
              <c:f>Result!$H$287:$H$291</c:f>
              <c:numCache>
                <c:formatCode>0.00</c:formatCode>
                <c:ptCount val="5"/>
                <c:pt idx="0">
                  <c:v>6.8643948955265746</c:v>
                </c:pt>
                <c:pt idx="1">
                  <c:v>6.5944467816575516</c:v>
                </c:pt>
                <c:pt idx="2">
                  <c:v>6.3630626840555324</c:v>
                </c:pt>
                <c:pt idx="3">
                  <c:v>6.0545505539195066</c:v>
                </c:pt>
                <c:pt idx="4">
                  <c:v>5.9388585051184961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0D-454A-9199-F32A18E28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  <c:min val="5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Result!$D$302:$D$307</c:f>
              <c:numCache>
                <c:formatCode>General</c:formatCode>
                <c:ptCount val="6"/>
                <c:pt idx="0" formatCode="0">
                  <c:v>9</c:v>
                </c:pt>
                <c:pt idx="1">
                  <c:v>23</c:v>
                </c:pt>
                <c:pt idx="2">
                  <c:v>38</c:v>
                </c:pt>
                <c:pt idx="3">
                  <c:v>53</c:v>
                </c:pt>
                <c:pt idx="4">
                  <c:v>67</c:v>
                </c:pt>
                <c:pt idx="5">
                  <c:v>83</c:v>
                </c:pt>
              </c:numCache>
            </c:numRef>
          </c:xVal>
          <c:yVal>
            <c:numRef>
              <c:f>Result!$H$302:$H$307</c:f>
              <c:numCache>
                <c:formatCode>0.00</c:formatCode>
                <c:ptCount val="6"/>
                <c:pt idx="0">
                  <c:v>19.089188052166598</c:v>
                </c:pt>
                <c:pt idx="1">
                  <c:v>18.934931987098587</c:v>
                </c:pt>
                <c:pt idx="2">
                  <c:v>18.549291824428554</c:v>
                </c:pt>
                <c:pt idx="3">
                  <c:v>18.27934371055953</c:v>
                </c:pt>
                <c:pt idx="4">
                  <c:v>17.893703547889498</c:v>
                </c:pt>
                <c:pt idx="5">
                  <c:v>17.469499368952462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C8-6E4C-B122-6ADB32DC1F1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Result!$D$302:$D$307</c:f>
              <c:numCache>
                <c:formatCode>General</c:formatCode>
                <c:ptCount val="6"/>
                <c:pt idx="0" formatCode="0">
                  <c:v>9</c:v>
                </c:pt>
                <c:pt idx="1">
                  <c:v>23</c:v>
                </c:pt>
                <c:pt idx="2">
                  <c:v>38</c:v>
                </c:pt>
                <c:pt idx="3">
                  <c:v>53</c:v>
                </c:pt>
                <c:pt idx="4">
                  <c:v>67</c:v>
                </c:pt>
                <c:pt idx="5">
                  <c:v>83</c:v>
                </c:pt>
              </c:numCache>
            </c:numRef>
          </c:xVal>
          <c:yVal>
            <c:numRef>
              <c:f>Result!$H$302:$H$307</c:f>
              <c:numCache>
                <c:formatCode>0.00</c:formatCode>
                <c:ptCount val="6"/>
                <c:pt idx="0">
                  <c:v>19.089188052166598</c:v>
                </c:pt>
                <c:pt idx="1">
                  <c:v>18.934931987098587</c:v>
                </c:pt>
                <c:pt idx="2">
                  <c:v>18.549291824428554</c:v>
                </c:pt>
                <c:pt idx="3">
                  <c:v>18.27934371055953</c:v>
                </c:pt>
                <c:pt idx="4">
                  <c:v>17.893703547889498</c:v>
                </c:pt>
                <c:pt idx="5">
                  <c:v>17.469499368952462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C8-6E4C-B122-6ADB32DC1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Result!$D$317:$D$322</c:f>
              <c:numCache>
                <c:formatCode>General</c:formatCode>
                <c:ptCount val="6"/>
                <c:pt idx="0" formatCode="0">
                  <c:v>9</c:v>
                </c:pt>
                <c:pt idx="1">
                  <c:v>23</c:v>
                </c:pt>
                <c:pt idx="2">
                  <c:v>38</c:v>
                </c:pt>
                <c:pt idx="3">
                  <c:v>53</c:v>
                </c:pt>
                <c:pt idx="4">
                  <c:v>67</c:v>
                </c:pt>
                <c:pt idx="5">
                  <c:v>83</c:v>
                </c:pt>
              </c:numCache>
            </c:numRef>
          </c:xVal>
          <c:yVal>
            <c:numRef>
              <c:f>Result!$H$317:$H$322</c:f>
              <c:numCache>
                <c:formatCode>0.00</c:formatCode>
                <c:ptCount val="6"/>
                <c:pt idx="0">
                  <c:v>14.268686018791193</c:v>
                </c:pt>
                <c:pt idx="1">
                  <c:v>14.152993969990183</c:v>
                </c:pt>
                <c:pt idx="2">
                  <c:v>13.960173888655167</c:v>
                </c:pt>
                <c:pt idx="3">
                  <c:v>13.76735380732015</c:v>
                </c:pt>
                <c:pt idx="4">
                  <c:v>13.574533725985134</c:v>
                </c:pt>
                <c:pt idx="5">
                  <c:v>13.574533725985134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64-3E4D-BCD0-A30126F578E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Result!$D$317:$D$321</c:f>
              <c:numCache>
                <c:formatCode>General</c:formatCode>
                <c:ptCount val="5"/>
                <c:pt idx="0" formatCode="0">
                  <c:v>9</c:v>
                </c:pt>
                <c:pt idx="1">
                  <c:v>23</c:v>
                </c:pt>
                <c:pt idx="2">
                  <c:v>38</c:v>
                </c:pt>
                <c:pt idx="3">
                  <c:v>53</c:v>
                </c:pt>
                <c:pt idx="4">
                  <c:v>67</c:v>
                </c:pt>
              </c:numCache>
            </c:numRef>
          </c:xVal>
          <c:yVal>
            <c:numRef>
              <c:f>Result!$H$317:$H$321</c:f>
              <c:numCache>
                <c:formatCode>0.00</c:formatCode>
                <c:ptCount val="5"/>
                <c:pt idx="0">
                  <c:v>14.268686018791193</c:v>
                </c:pt>
                <c:pt idx="1">
                  <c:v>14.152993969990183</c:v>
                </c:pt>
                <c:pt idx="2">
                  <c:v>13.960173888655167</c:v>
                </c:pt>
                <c:pt idx="3">
                  <c:v>13.76735380732015</c:v>
                </c:pt>
                <c:pt idx="4">
                  <c:v>13.574533725985134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64-3E4D-BCD0-A30126F57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Result!$D$332:$D$337</c:f>
              <c:numCache>
                <c:formatCode>General</c:formatCode>
                <c:ptCount val="6"/>
                <c:pt idx="0" formatCode="0">
                  <c:v>11</c:v>
                </c:pt>
                <c:pt idx="1">
                  <c:v>25</c:v>
                </c:pt>
                <c:pt idx="2">
                  <c:v>40</c:v>
                </c:pt>
                <c:pt idx="3">
                  <c:v>54</c:v>
                </c:pt>
                <c:pt idx="4">
                  <c:v>69</c:v>
                </c:pt>
                <c:pt idx="5">
                  <c:v>84</c:v>
                </c:pt>
              </c:numCache>
            </c:numRef>
          </c:xVal>
          <c:yVal>
            <c:numRef>
              <c:f>Result!$H$332:$H$337</c:f>
              <c:numCache>
                <c:formatCode>0.00</c:formatCode>
                <c:ptCount val="6"/>
                <c:pt idx="0">
                  <c:v>22.868461646332911</c:v>
                </c:pt>
                <c:pt idx="1">
                  <c:v>22.559949516196884</c:v>
                </c:pt>
                <c:pt idx="2">
                  <c:v>22.328565418594867</c:v>
                </c:pt>
                <c:pt idx="3">
                  <c:v>21.904361239657831</c:v>
                </c:pt>
                <c:pt idx="4">
                  <c:v>21.557285093254801</c:v>
                </c:pt>
                <c:pt idx="5">
                  <c:v>20.978824849249751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AC-7547-A956-78A8700425D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Result!$D$332:$D$337</c:f>
              <c:numCache>
                <c:formatCode>General</c:formatCode>
                <c:ptCount val="6"/>
                <c:pt idx="0" formatCode="0">
                  <c:v>11</c:v>
                </c:pt>
                <c:pt idx="1">
                  <c:v>25</c:v>
                </c:pt>
                <c:pt idx="2">
                  <c:v>40</c:v>
                </c:pt>
                <c:pt idx="3">
                  <c:v>54</c:v>
                </c:pt>
                <c:pt idx="4">
                  <c:v>69</c:v>
                </c:pt>
                <c:pt idx="5">
                  <c:v>84</c:v>
                </c:pt>
              </c:numCache>
            </c:numRef>
          </c:xVal>
          <c:yVal>
            <c:numRef>
              <c:f>Result!$H$332:$H$337</c:f>
              <c:numCache>
                <c:formatCode>0.00</c:formatCode>
                <c:ptCount val="6"/>
                <c:pt idx="0">
                  <c:v>22.868461646332911</c:v>
                </c:pt>
                <c:pt idx="1">
                  <c:v>22.559949516196884</c:v>
                </c:pt>
                <c:pt idx="2">
                  <c:v>22.328565418594867</c:v>
                </c:pt>
                <c:pt idx="3">
                  <c:v>21.904361239657831</c:v>
                </c:pt>
                <c:pt idx="4">
                  <c:v>21.557285093254801</c:v>
                </c:pt>
                <c:pt idx="5">
                  <c:v>20.978824849249751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AC-7547-A956-78A870042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Result!$D$347:$D$352</c:f>
              <c:numCache>
                <c:formatCode>General</c:formatCode>
                <c:ptCount val="6"/>
                <c:pt idx="0" formatCode="0">
                  <c:v>9</c:v>
                </c:pt>
                <c:pt idx="1">
                  <c:v>23</c:v>
                </c:pt>
                <c:pt idx="2">
                  <c:v>37</c:v>
                </c:pt>
                <c:pt idx="3">
                  <c:v>52</c:v>
                </c:pt>
                <c:pt idx="4">
                  <c:v>66</c:v>
                </c:pt>
                <c:pt idx="5">
                  <c:v>81</c:v>
                </c:pt>
              </c:numCache>
            </c:numRef>
          </c:xVal>
          <c:yVal>
            <c:numRef>
              <c:f>Result!$H$347:$H$352</c:f>
              <c:numCache>
                <c:formatCode>0.00</c:formatCode>
                <c:ptCount val="6"/>
                <c:pt idx="0">
                  <c:v>9.7952601318188197</c:v>
                </c:pt>
                <c:pt idx="1">
                  <c:v>9.6024400504838034</c:v>
                </c:pt>
                <c:pt idx="2">
                  <c:v>9.4481839854157901</c:v>
                </c:pt>
                <c:pt idx="3">
                  <c:v>9.2167998878137709</c:v>
                </c:pt>
                <c:pt idx="4">
                  <c:v>9.1011078390127604</c:v>
                </c:pt>
                <c:pt idx="5">
                  <c:v>8.9468517739447471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38-D44D-8412-420A42A3F6D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Result!$D$347:$D$352</c:f>
              <c:numCache>
                <c:formatCode>General</c:formatCode>
                <c:ptCount val="6"/>
                <c:pt idx="0" formatCode="0">
                  <c:v>9</c:v>
                </c:pt>
                <c:pt idx="1">
                  <c:v>23</c:v>
                </c:pt>
                <c:pt idx="2">
                  <c:v>37</c:v>
                </c:pt>
                <c:pt idx="3">
                  <c:v>52</c:v>
                </c:pt>
                <c:pt idx="4">
                  <c:v>66</c:v>
                </c:pt>
                <c:pt idx="5">
                  <c:v>81</c:v>
                </c:pt>
              </c:numCache>
            </c:numRef>
          </c:xVal>
          <c:yVal>
            <c:numRef>
              <c:f>Result!$H$347:$H$352</c:f>
              <c:numCache>
                <c:formatCode>0.00</c:formatCode>
                <c:ptCount val="6"/>
                <c:pt idx="0">
                  <c:v>9.7952601318188197</c:v>
                </c:pt>
                <c:pt idx="1">
                  <c:v>9.6024400504838034</c:v>
                </c:pt>
                <c:pt idx="2">
                  <c:v>9.4481839854157901</c:v>
                </c:pt>
                <c:pt idx="3">
                  <c:v>9.2167998878137709</c:v>
                </c:pt>
                <c:pt idx="4">
                  <c:v>9.1011078390127604</c:v>
                </c:pt>
                <c:pt idx="5">
                  <c:v>8.9468517739447471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38-D44D-8412-420A42A3F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Result!$D$362:$D$367</c:f>
              <c:numCache>
                <c:formatCode>General</c:formatCode>
                <c:ptCount val="6"/>
                <c:pt idx="0" formatCode="0">
                  <c:v>9</c:v>
                </c:pt>
                <c:pt idx="1">
                  <c:v>37</c:v>
                </c:pt>
                <c:pt idx="2">
                  <c:v>78</c:v>
                </c:pt>
                <c:pt idx="3">
                  <c:v>122</c:v>
                </c:pt>
                <c:pt idx="4">
                  <c:v>167</c:v>
                </c:pt>
              </c:numCache>
            </c:numRef>
          </c:xVal>
          <c:yVal>
            <c:numRef>
              <c:f>Result!$H$362:$H$367</c:f>
              <c:numCache>
                <c:formatCode>0.00</c:formatCode>
                <c:ptCount val="6"/>
                <c:pt idx="0">
                  <c:v>33.512130136025803</c:v>
                </c:pt>
                <c:pt idx="1">
                  <c:v>33.16505398962277</c:v>
                </c:pt>
                <c:pt idx="2">
                  <c:v>32.89510587575375</c:v>
                </c:pt>
                <c:pt idx="3">
                  <c:v>32.548029729350723</c:v>
                </c:pt>
                <c:pt idx="4">
                  <c:v>32.20095358294769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2F-6945-B3D3-47F7E750402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Result!$D$362:$D$366</c:f>
              <c:numCache>
                <c:formatCode>General</c:formatCode>
                <c:ptCount val="5"/>
                <c:pt idx="0" formatCode="0">
                  <c:v>9</c:v>
                </c:pt>
                <c:pt idx="1">
                  <c:v>37</c:v>
                </c:pt>
                <c:pt idx="2">
                  <c:v>78</c:v>
                </c:pt>
                <c:pt idx="3">
                  <c:v>122</c:v>
                </c:pt>
                <c:pt idx="4">
                  <c:v>167</c:v>
                </c:pt>
              </c:numCache>
            </c:numRef>
          </c:xVal>
          <c:yVal>
            <c:numRef>
              <c:f>Result!$H$362:$H$366</c:f>
              <c:numCache>
                <c:formatCode>0.00</c:formatCode>
                <c:ptCount val="5"/>
                <c:pt idx="0">
                  <c:v>33.512130136025803</c:v>
                </c:pt>
                <c:pt idx="1">
                  <c:v>33.16505398962277</c:v>
                </c:pt>
                <c:pt idx="2">
                  <c:v>32.89510587575375</c:v>
                </c:pt>
                <c:pt idx="3">
                  <c:v>32.548029729350723</c:v>
                </c:pt>
                <c:pt idx="4">
                  <c:v>32.20095358294769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2F-6945-B3D3-47F7E7504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Result!$D$376:$D$380</c:f>
              <c:numCache>
                <c:formatCode>General</c:formatCode>
                <c:ptCount val="5"/>
                <c:pt idx="0" formatCode="0">
                  <c:v>10</c:v>
                </c:pt>
                <c:pt idx="1">
                  <c:v>48</c:v>
                </c:pt>
                <c:pt idx="2">
                  <c:v>94</c:v>
                </c:pt>
                <c:pt idx="3">
                  <c:v>141</c:v>
                </c:pt>
                <c:pt idx="4">
                  <c:v>202</c:v>
                </c:pt>
              </c:numCache>
            </c:numRef>
          </c:xVal>
          <c:yVal>
            <c:numRef>
              <c:f>Result!$H$376:$H$380</c:f>
              <c:numCache>
                <c:formatCode>0.00</c:formatCode>
                <c:ptCount val="5"/>
                <c:pt idx="0">
                  <c:v>29.038704249053428</c:v>
                </c:pt>
                <c:pt idx="1">
                  <c:v>28.575936053849389</c:v>
                </c:pt>
                <c:pt idx="2">
                  <c:v>28.036039826111345</c:v>
                </c:pt>
                <c:pt idx="3">
                  <c:v>27.341887533305286</c:v>
                </c:pt>
                <c:pt idx="4">
                  <c:v>26.3392231103632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E3-F541-86FB-17B6246CD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Result!$D$390:$D$395</c:f>
              <c:numCache>
                <c:formatCode>General</c:formatCode>
                <c:ptCount val="6"/>
                <c:pt idx="0" formatCode="0">
                  <c:v>10</c:v>
                </c:pt>
                <c:pt idx="1">
                  <c:v>94</c:v>
                </c:pt>
                <c:pt idx="2">
                  <c:v>141</c:v>
                </c:pt>
                <c:pt idx="3">
                  <c:v>304</c:v>
                </c:pt>
                <c:pt idx="4">
                  <c:v>412</c:v>
                </c:pt>
                <c:pt idx="5">
                  <c:v>528</c:v>
                </c:pt>
              </c:numCache>
            </c:numRef>
          </c:xVal>
          <c:yVal>
            <c:numRef>
              <c:f>Result!$H$390:$H$395</c:f>
              <c:numCache>
                <c:formatCode>0.00</c:formatCode>
                <c:ptCount val="6"/>
                <c:pt idx="0">
                  <c:v>12.07053709157201</c:v>
                </c:pt>
                <c:pt idx="1">
                  <c:v>11.916281026503997</c:v>
                </c:pt>
                <c:pt idx="2">
                  <c:v>11.723460945168981</c:v>
                </c:pt>
                <c:pt idx="3">
                  <c:v>11.453512831299957</c:v>
                </c:pt>
                <c:pt idx="4">
                  <c:v>11.145000701163932</c:v>
                </c:pt>
                <c:pt idx="5">
                  <c:v>10.797924554760904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B8-9444-BF5B-070ED441D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Result!$D$404:$D$409</c:f>
              <c:numCache>
                <c:formatCode>General</c:formatCode>
                <c:ptCount val="6"/>
                <c:pt idx="0" formatCode="0">
                  <c:v>10</c:v>
                </c:pt>
                <c:pt idx="1">
                  <c:v>88</c:v>
                </c:pt>
                <c:pt idx="2">
                  <c:v>150</c:v>
                </c:pt>
                <c:pt idx="3">
                  <c:v>207</c:v>
                </c:pt>
                <c:pt idx="4">
                  <c:v>274</c:v>
                </c:pt>
              </c:numCache>
            </c:numRef>
          </c:xVal>
          <c:yVal>
            <c:numRef>
              <c:f>Result!$H$404:$H$409</c:f>
              <c:numCache>
                <c:formatCode>0.00</c:formatCode>
                <c:ptCount val="6"/>
                <c:pt idx="0">
                  <c:v>8.5226475950077134</c:v>
                </c:pt>
                <c:pt idx="1">
                  <c:v>7.9056233347356617</c:v>
                </c:pt>
                <c:pt idx="2">
                  <c:v>7.6742392371336425</c:v>
                </c:pt>
                <c:pt idx="3">
                  <c:v>7.4814191557986263</c:v>
                </c:pt>
                <c:pt idx="4">
                  <c:v>7.2114710419296033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34-A24B-88B4-23F90BAD5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Result!$D$419:$D$424</c:f>
              <c:numCache>
                <c:formatCode>General</c:formatCode>
                <c:ptCount val="6"/>
                <c:pt idx="0" formatCode="0">
                  <c:v>12</c:v>
                </c:pt>
                <c:pt idx="1">
                  <c:v>58</c:v>
                </c:pt>
                <c:pt idx="2">
                  <c:v>124</c:v>
                </c:pt>
                <c:pt idx="3">
                  <c:v>184</c:v>
                </c:pt>
                <c:pt idx="4">
                  <c:v>256</c:v>
                </c:pt>
              </c:numCache>
            </c:numRef>
          </c:xVal>
          <c:yVal>
            <c:numRef>
              <c:f>Result!$H$419:$H$424</c:f>
              <c:numCache>
                <c:formatCode>0.00</c:formatCode>
                <c:ptCount val="6"/>
                <c:pt idx="0">
                  <c:v>21.518721076987799</c:v>
                </c:pt>
                <c:pt idx="1">
                  <c:v>21.09451689805076</c:v>
                </c:pt>
                <c:pt idx="2">
                  <c:v>20.554620670312715</c:v>
                </c:pt>
                <c:pt idx="3">
                  <c:v>20.053288458841674</c:v>
                </c:pt>
                <c:pt idx="4">
                  <c:v>19.436264198569624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7E-B34C-AE37-40B82859B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Result!$D$434:$D$439</c:f>
              <c:numCache>
                <c:formatCode>General</c:formatCode>
                <c:ptCount val="6"/>
                <c:pt idx="0" formatCode="0">
                  <c:v>10</c:v>
                </c:pt>
                <c:pt idx="1">
                  <c:v>57</c:v>
                </c:pt>
                <c:pt idx="2">
                  <c:v>118</c:v>
                </c:pt>
                <c:pt idx="3">
                  <c:v>224</c:v>
                </c:pt>
                <c:pt idx="4">
                  <c:v>300</c:v>
                </c:pt>
              </c:numCache>
            </c:numRef>
          </c:xVal>
          <c:yVal>
            <c:numRef>
              <c:f>Result!$H$434:$H$439</c:f>
              <c:numCache>
                <c:formatCode>0.00</c:formatCode>
                <c:ptCount val="6"/>
                <c:pt idx="0">
                  <c:v>8.599775627541721</c:v>
                </c:pt>
                <c:pt idx="1">
                  <c:v>8.3683915299397</c:v>
                </c:pt>
                <c:pt idx="2">
                  <c:v>8.3298275136726971</c:v>
                </c:pt>
                <c:pt idx="3">
                  <c:v>7.9056233347356617</c:v>
                </c:pt>
                <c:pt idx="4">
                  <c:v>7.6742392371336425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D8-F24D-9CA0-9324DC821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Result!$D$449:$D$452</c:f>
              <c:numCache>
                <c:formatCode>General</c:formatCode>
                <c:ptCount val="4"/>
                <c:pt idx="0" formatCode="0">
                  <c:v>12</c:v>
                </c:pt>
                <c:pt idx="1">
                  <c:v>62</c:v>
                </c:pt>
                <c:pt idx="2">
                  <c:v>128</c:v>
                </c:pt>
                <c:pt idx="3">
                  <c:v>198</c:v>
                </c:pt>
              </c:numCache>
            </c:numRef>
          </c:xVal>
          <c:yVal>
            <c:numRef>
              <c:f>Result!$H$449:$H$452</c:f>
              <c:numCache>
                <c:formatCode>0.00</c:formatCode>
                <c:ptCount val="4"/>
                <c:pt idx="0">
                  <c:v>33.550694152292806</c:v>
                </c:pt>
                <c:pt idx="1">
                  <c:v>32.316645631748699</c:v>
                </c:pt>
                <c:pt idx="2">
                  <c:v>30.195624737063522</c:v>
                </c:pt>
                <c:pt idx="3">
                  <c:v>27.380451549572289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6B-1841-90E1-9537C44E5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  <c:min val="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0014509589077"/>
          <c:y val="7.407407407407407E-2"/>
          <c:w val="0.82988869826122358"/>
          <c:h val="0.7500015338989871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Result!$D$464:$D$467</c:f>
              <c:numCache>
                <c:formatCode>General</c:formatCode>
                <c:ptCount val="4"/>
                <c:pt idx="0" formatCode="0">
                  <c:v>9</c:v>
                </c:pt>
                <c:pt idx="1">
                  <c:v>78</c:v>
                </c:pt>
                <c:pt idx="2">
                  <c:v>150</c:v>
                </c:pt>
                <c:pt idx="3">
                  <c:v>223</c:v>
                </c:pt>
              </c:numCache>
            </c:numRef>
          </c:xVal>
          <c:yVal>
            <c:numRef>
              <c:f>Result!$H$464:$H$467</c:f>
              <c:numCache>
                <c:formatCode>0.00</c:formatCode>
                <c:ptCount val="4"/>
                <c:pt idx="0">
                  <c:v>18.819239938297574</c:v>
                </c:pt>
                <c:pt idx="1">
                  <c:v>18.433599775627542</c:v>
                </c:pt>
                <c:pt idx="2">
                  <c:v>17.970831580423503</c:v>
                </c:pt>
                <c:pt idx="3">
                  <c:v>17.508063385219465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7D-3243-9145-9EE2BE133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[Fe2+]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8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612664041994752"/>
                  <c:y val="-4.98578302712160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'Reaction order'!$H$3:$H$26</c:f>
              <c:numCache>
                <c:formatCode>0.0000</c:formatCode>
                <c:ptCount val="24"/>
                <c:pt idx="0">
                  <c:v>1.6095197381451689</c:v>
                </c:pt>
                <c:pt idx="1">
                  <c:v>1.5153681139190465</c:v>
                </c:pt>
                <c:pt idx="2">
                  <c:v>1.3957561958904909</c:v>
                </c:pt>
                <c:pt idx="3">
                  <c:v>1.1906419585179426</c:v>
                </c:pt>
                <c:pt idx="4">
                  <c:v>1.007826577454862</c:v>
                </c:pt>
                <c:pt idx="5">
                  <c:v>1.5987165175331566</c:v>
                </c:pt>
                <c:pt idx="6">
                  <c:v>1.193160052581113</c:v>
                </c:pt>
                <c:pt idx="7">
                  <c:v>1.6843057828854298</c:v>
                </c:pt>
                <c:pt idx="8">
                  <c:v>1.5302975570682289</c:v>
                </c:pt>
                <c:pt idx="9">
                  <c:v>1.4153409187295853</c:v>
                </c:pt>
                <c:pt idx="10">
                  <c:v>1.2852374887209221</c:v>
                </c:pt>
                <c:pt idx="11">
                  <c:v>1.1331354720878797</c:v>
                </c:pt>
                <c:pt idx="12">
                  <c:v>1.6417022047406478</c:v>
                </c:pt>
                <c:pt idx="13">
                  <c:v>1.5321724591255859</c:v>
                </c:pt>
                <c:pt idx="14">
                  <c:v>1.4186686894083647</c:v>
                </c:pt>
                <c:pt idx="15">
                  <c:v>1.3167040823563951</c:v>
                </c:pt>
                <c:pt idx="16">
                  <c:v>1.1279236807012365</c:v>
                </c:pt>
                <c:pt idx="17">
                  <c:v>0.81172874887305124</c:v>
                </c:pt>
                <c:pt idx="18">
                  <c:v>0.84101565450781635</c:v>
                </c:pt>
                <c:pt idx="19">
                  <c:v>0.84282945235012052</c:v>
                </c:pt>
                <c:pt idx="20">
                  <c:v>1.2873948928652612</c:v>
                </c:pt>
                <c:pt idx="21">
                  <c:v>1.1585629524791381</c:v>
                </c:pt>
                <c:pt idx="22">
                  <c:v>1.3659121834782446</c:v>
                </c:pt>
                <c:pt idx="23">
                  <c:v>0.99482029139722028</c:v>
                </c:pt>
              </c:numCache>
            </c:numRef>
          </c:xVal>
          <c:yVal>
            <c:numRef>
              <c:f>'Reaction order'!$J$3:$J$26</c:f>
              <c:numCache>
                <c:formatCode>0.0000</c:formatCode>
                <c:ptCount val="24"/>
                <c:pt idx="0">
                  <c:v>-1.3306779043165273</c:v>
                </c:pt>
                <c:pt idx="1">
                  <c:v>-1.6880756998410327</c:v>
                </c:pt>
                <c:pt idx="2">
                  <c:v>-1.6511297899538226</c:v>
                </c:pt>
                <c:pt idx="3">
                  <c:v>-2.1419251851065217</c:v>
                </c:pt>
                <c:pt idx="4">
                  <c:v>-1.7194069788569617</c:v>
                </c:pt>
                <c:pt idx="5">
                  <c:v>-1.471363052190036</c:v>
                </c:pt>
                <c:pt idx="6">
                  <c:v>-2.0072293803666419</c:v>
                </c:pt>
                <c:pt idx="7">
                  <c:v>-1.0889671728706538</c:v>
                </c:pt>
                <c:pt idx="8">
                  <c:v>-0.79707197218768921</c:v>
                </c:pt>
                <c:pt idx="9">
                  <c:v>-1.0743950762409549</c:v>
                </c:pt>
                <c:pt idx="10">
                  <c:v>-1.2724222741829503</c:v>
                </c:pt>
                <c:pt idx="11">
                  <c:v>-1.4819064515059588</c:v>
                </c:pt>
                <c:pt idx="12">
                  <c:v>-0.72868103509983828</c:v>
                </c:pt>
                <c:pt idx="13">
                  <c:v>-0.87057109941056532</c:v>
                </c:pt>
                <c:pt idx="14">
                  <c:v>-0.93082035940789942</c:v>
                </c:pt>
                <c:pt idx="15">
                  <c:v>-1.0264921611886679</c:v>
                </c:pt>
                <c:pt idx="16">
                  <c:v>-1.4732770272608822</c:v>
                </c:pt>
                <c:pt idx="17">
                  <c:v>-1.8119604873775925</c:v>
                </c:pt>
                <c:pt idx="18">
                  <c:v>-1.834403636058235</c:v>
                </c:pt>
                <c:pt idx="19">
                  <c:v>-1.840603941035039</c:v>
                </c:pt>
                <c:pt idx="20">
                  <c:v>-1.6526126668015311</c:v>
                </c:pt>
                <c:pt idx="21">
                  <c:v>-1.9152356699182886</c:v>
                </c:pt>
                <c:pt idx="22">
                  <c:v>-1.5981744388196322</c:v>
                </c:pt>
                <c:pt idx="23">
                  <c:v>-1.9259804054916352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3F2-C543-BA0F-C8F8E40DE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430048"/>
        <c:axId val="762837488"/>
      </c:scatterChart>
      <c:valAx>
        <c:axId val="766430048"/>
        <c:scaling>
          <c:orientation val="minMax"/>
          <c:min val="0.8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837488"/>
        <c:crosses val="autoZero"/>
        <c:crossBetween val="midCat"/>
      </c:valAx>
      <c:valAx>
        <c:axId val="76283748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43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8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612664041994752"/>
                  <c:y val="-4.98578302712160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'Reaction order'!$B$3:$B$26</c:f>
              <c:numCache>
                <c:formatCode>0.00000</c:formatCode>
                <c:ptCount val="24"/>
                <c:pt idx="0">
                  <c:v>7.7054254302103251</c:v>
                </c:pt>
                <c:pt idx="1">
                  <c:v>7.6410133843212238</c:v>
                </c:pt>
                <c:pt idx="2">
                  <c:v>7.6421845124282983</c:v>
                </c:pt>
                <c:pt idx="3">
                  <c:v>7.6326481835564062</c:v>
                </c:pt>
                <c:pt idx="4">
                  <c:v>7.6351577437858511</c:v>
                </c:pt>
                <c:pt idx="5">
                  <c:v>7.6351577437858511</c:v>
                </c:pt>
                <c:pt idx="6">
                  <c:v>7.6351577437858511</c:v>
                </c:pt>
                <c:pt idx="7">
                  <c:v>7.6878585086042062</c:v>
                </c:pt>
                <c:pt idx="8">
                  <c:v>7.6175908221797322</c:v>
                </c:pt>
                <c:pt idx="9">
                  <c:v>7.6205186424474194</c:v>
                </c:pt>
                <c:pt idx="10">
                  <c:v>7.6322299235181648</c:v>
                </c:pt>
                <c:pt idx="11">
                  <c:v>7.617590822179733</c:v>
                </c:pt>
                <c:pt idx="12">
                  <c:v>7.6468690248565965</c:v>
                </c:pt>
                <c:pt idx="13">
                  <c:v>7.6293021032504784</c:v>
                </c:pt>
                <c:pt idx="14">
                  <c:v>7.6556524856596555</c:v>
                </c:pt>
                <c:pt idx="15">
                  <c:v>7.6878585086042071</c:v>
                </c:pt>
                <c:pt idx="16">
                  <c:v>7.6673637667304027</c:v>
                </c:pt>
                <c:pt idx="17">
                  <c:v>7.7054254302103251</c:v>
                </c:pt>
                <c:pt idx="18">
                  <c:v>7.6820028680688344</c:v>
                </c:pt>
                <c:pt idx="19">
                  <c:v>7.6351577437858511</c:v>
                </c:pt>
                <c:pt idx="20">
                  <c:v>7.6878585086042071</c:v>
                </c:pt>
                <c:pt idx="21">
                  <c:v>7.7054254302103242</c:v>
                </c:pt>
                <c:pt idx="22">
                  <c:v>7.6497968451242828</c:v>
                </c:pt>
                <c:pt idx="23">
                  <c:v>7.6527246653919692</c:v>
                </c:pt>
              </c:numCache>
            </c:numRef>
          </c:xVal>
          <c:yVal>
            <c:numRef>
              <c:f>'Reaction order'!$J$3:$J$26</c:f>
              <c:numCache>
                <c:formatCode>0.0000</c:formatCode>
                <c:ptCount val="24"/>
                <c:pt idx="0">
                  <c:v>-1.3306779043165273</c:v>
                </c:pt>
                <c:pt idx="1">
                  <c:v>-1.6880756998410327</c:v>
                </c:pt>
                <c:pt idx="2">
                  <c:v>-1.6511297899538226</c:v>
                </c:pt>
                <c:pt idx="3">
                  <c:v>-2.1419251851065217</c:v>
                </c:pt>
                <c:pt idx="4">
                  <c:v>-1.7194069788569617</c:v>
                </c:pt>
                <c:pt idx="5">
                  <c:v>-1.471363052190036</c:v>
                </c:pt>
                <c:pt idx="6">
                  <c:v>-2.0072293803666419</c:v>
                </c:pt>
                <c:pt idx="7">
                  <c:v>-1.0889671728706538</c:v>
                </c:pt>
                <c:pt idx="8">
                  <c:v>-0.79707197218768921</c:v>
                </c:pt>
                <c:pt idx="9">
                  <c:v>-1.0743950762409549</c:v>
                </c:pt>
                <c:pt idx="10">
                  <c:v>-1.2724222741829503</c:v>
                </c:pt>
                <c:pt idx="11">
                  <c:v>-1.4819064515059588</c:v>
                </c:pt>
                <c:pt idx="12">
                  <c:v>-0.72868103509983828</c:v>
                </c:pt>
                <c:pt idx="13">
                  <c:v>-0.87057109941056532</c:v>
                </c:pt>
                <c:pt idx="14">
                  <c:v>-0.93082035940789942</c:v>
                </c:pt>
                <c:pt idx="15">
                  <c:v>-1.0264921611886679</c:v>
                </c:pt>
                <c:pt idx="16">
                  <c:v>-1.4732770272608822</c:v>
                </c:pt>
                <c:pt idx="17">
                  <c:v>-1.8119604873775925</c:v>
                </c:pt>
                <c:pt idx="18">
                  <c:v>-1.834403636058235</c:v>
                </c:pt>
                <c:pt idx="19">
                  <c:v>-1.840603941035039</c:v>
                </c:pt>
                <c:pt idx="20">
                  <c:v>-1.6526126668015311</c:v>
                </c:pt>
                <c:pt idx="21">
                  <c:v>-1.9152356699182886</c:v>
                </c:pt>
                <c:pt idx="22">
                  <c:v>-1.5981744388196322</c:v>
                </c:pt>
                <c:pt idx="23">
                  <c:v>-1.9259804054916352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BD-E541-8BB5-74B2A0260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430048"/>
        <c:axId val="762837488"/>
      </c:scatterChart>
      <c:valAx>
        <c:axId val="766430048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837488"/>
        <c:crosses val="autoZero"/>
        <c:crossBetween val="midCat"/>
      </c:valAx>
      <c:valAx>
        <c:axId val="76283748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43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18" Type="http://schemas.openxmlformats.org/officeDocument/2006/relationships/chart" Target="../charts/chart20.xml"/><Relationship Id="rId26" Type="http://schemas.openxmlformats.org/officeDocument/2006/relationships/chart" Target="../charts/chart28.xml"/><Relationship Id="rId3" Type="http://schemas.openxmlformats.org/officeDocument/2006/relationships/chart" Target="../charts/chart5.xml"/><Relationship Id="rId21" Type="http://schemas.openxmlformats.org/officeDocument/2006/relationships/chart" Target="../charts/chart23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17" Type="http://schemas.openxmlformats.org/officeDocument/2006/relationships/chart" Target="../charts/chart19.xml"/><Relationship Id="rId25" Type="http://schemas.openxmlformats.org/officeDocument/2006/relationships/chart" Target="../charts/chart27.xml"/><Relationship Id="rId2" Type="http://schemas.openxmlformats.org/officeDocument/2006/relationships/chart" Target="../charts/chart4.xml"/><Relationship Id="rId16" Type="http://schemas.openxmlformats.org/officeDocument/2006/relationships/chart" Target="../charts/chart18.xml"/><Relationship Id="rId20" Type="http://schemas.openxmlformats.org/officeDocument/2006/relationships/chart" Target="../charts/chart22.xml"/><Relationship Id="rId29" Type="http://schemas.openxmlformats.org/officeDocument/2006/relationships/chart" Target="../charts/chart31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24" Type="http://schemas.openxmlformats.org/officeDocument/2006/relationships/chart" Target="../charts/chart26.xml"/><Relationship Id="rId32" Type="http://schemas.openxmlformats.org/officeDocument/2006/relationships/chart" Target="../charts/chart34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23" Type="http://schemas.openxmlformats.org/officeDocument/2006/relationships/chart" Target="../charts/chart25.xml"/><Relationship Id="rId28" Type="http://schemas.openxmlformats.org/officeDocument/2006/relationships/chart" Target="../charts/chart30.xml"/><Relationship Id="rId10" Type="http://schemas.openxmlformats.org/officeDocument/2006/relationships/chart" Target="../charts/chart12.xml"/><Relationship Id="rId19" Type="http://schemas.openxmlformats.org/officeDocument/2006/relationships/chart" Target="../charts/chart21.xml"/><Relationship Id="rId31" Type="http://schemas.openxmlformats.org/officeDocument/2006/relationships/chart" Target="../charts/chart33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Relationship Id="rId22" Type="http://schemas.openxmlformats.org/officeDocument/2006/relationships/chart" Target="../charts/chart24.xml"/><Relationship Id="rId27" Type="http://schemas.openxmlformats.org/officeDocument/2006/relationships/chart" Target="../charts/chart29.xml"/><Relationship Id="rId30" Type="http://schemas.openxmlformats.org/officeDocument/2006/relationships/chart" Target="../charts/chart3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187324</xdr:rowOff>
    </xdr:from>
    <xdr:to>
      <xdr:col>4</xdr:col>
      <xdr:colOff>831056</xdr:colOff>
      <xdr:row>23</xdr:row>
      <xdr:rowOff>88106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4BEDFF-F1AC-654A-BB9A-FBD87394E1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21</xdr:row>
      <xdr:rowOff>190500</xdr:rowOff>
    </xdr:from>
    <xdr:to>
      <xdr:col>5</xdr:col>
      <xdr:colOff>158172</xdr:colOff>
      <xdr:row>35</xdr:row>
      <xdr:rowOff>155936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65D28-B112-D746-8D69-DA3A7610E5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15875</xdr:colOff>
      <xdr:row>1</xdr:row>
      <xdr:rowOff>9522</xdr:rowOff>
    </xdr:from>
    <xdr:to>
      <xdr:col>20</xdr:col>
      <xdr:colOff>386291</xdr:colOff>
      <xdr:row>14</xdr:row>
      <xdr:rowOff>138639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20483A-D1DB-754E-B55A-58C22BEBE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54429</xdr:colOff>
      <xdr:row>16</xdr:row>
      <xdr:rowOff>54429</xdr:rowOff>
    </xdr:from>
    <xdr:to>
      <xdr:col>20</xdr:col>
      <xdr:colOff>424845</xdr:colOff>
      <xdr:row>29</xdr:row>
      <xdr:rowOff>183547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FF844E8-F0F0-E54D-B6C5-F068B2E6B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101600</xdr:colOff>
      <xdr:row>32</xdr:row>
      <xdr:rowOff>12700</xdr:rowOff>
    </xdr:from>
    <xdr:to>
      <xdr:col>20</xdr:col>
      <xdr:colOff>472016</xdr:colOff>
      <xdr:row>45</xdr:row>
      <xdr:rowOff>141818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0C3B574-57C1-1540-B660-051181A581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47</xdr:row>
      <xdr:rowOff>0</xdr:rowOff>
    </xdr:from>
    <xdr:to>
      <xdr:col>20</xdr:col>
      <xdr:colOff>370416</xdr:colOff>
      <xdr:row>60</xdr:row>
      <xdr:rowOff>129117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2431DD0-B01C-AE4D-B0B7-6854DF67B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15875</xdr:colOff>
      <xdr:row>62</xdr:row>
      <xdr:rowOff>9522</xdr:rowOff>
    </xdr:from>
    <xdr:to>
      <xdr:col>20</xdr:col>
      <xdr:colOff>386291</xdr:colOff>
      <xdr:row>75</xdr:row>
      <xdr:rowOff>138639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9EF59EA-90C8-5C41-BBE9-5F4C2BCC3C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15875</xdr:colOff>
      <xdr:row>76</xdr:row>
      <xdr:rowOff>9522</xdr:rowOff>
    </xdr:from>
    <xdr:to>
      <xdr:col>20</xdr:col>
      <xdr:colOff>386291</xdr:colOff>
      <xdr:row>89</xdr:row>
      <xdr:rowOff>138639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B2CEDB2-6F0B-9A41-BD9A-C75AA8B15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91</xdr:row>
      <xdr:rowOff>0</xdr:rowOff>
    </xdr:from>
    <xdr:to>
      <xdr:col>20</xdr:col>
      <xdr:colOff>370416</xdr:colOff>
      <xdr:row>104</xdr:row>
      <xdr:rowOff>129117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AA91C61-7948-EA4E-938D-F0C185131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106</xdr:row>
      <xdr:rowOff>0</xdr:rowOff>
    </xdr:from>
    <xdr:to>
      <xdr:col>20</xdr:col>
      <xdr:colOff>370416</xdr:colOff>
      <xdr:row>119</xdr:row>
      <xdr:rowOff>129117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A78F65F-30AE-E548-8723-A53B06A8CF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0</xdr:colOff>
      <xdr:row>121</xdr:row>
      <xdr:rowOff>0</xdr:rowOff>
    </xdr:from>
    <xdr:to>
      <xdr:col>20</xdr:col>
      <xdr:colOff>370416</xdr:colOff>
      <xdr:row>134</xdr:row>
      <xdr:rowOff>129117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8684B3-F232-A74E-871F-0488277CB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136</xdr:row>
      <xdr:rowOff>0</xdr:rowOff>
    </xdr:from>
    <xdr:to>
      <xdr:col>20</xdr:col>
      <xdr:colOff>370416</xdr:colOff>
      <xdr:row>149</xdr:row>
      <xdr:rowOff>129117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42D766-96A8-354A-A32F-4B1E71FD9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151</xdr:row>
      <xdr:rowOff>0</xdr:rowOff>
    </xdr:from>
    <xdr:to>
      <xdr:col>20</xdr:col>
      <xdr:colOff>370416</xdr:colOff>
      <xdr:row>164</xdr:row>
      <xdr:rowOff>129117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ED9DF3-D107-1444-BBFB-7F430DA25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0</xdr:colOff>
      <xdr:row>165</xdr:row>
      <xdr:rowOff>0</xdr:rowOff>
    </xdr:from>
    <xdr:to>
      <xdr:col>20</xdr:col>
      <xdr:colOff>370416</xdr:colOff>
      <xdr:row>178</xdr:row>
      <xdr:rowOff>129117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0E990A-81FA-7746-97DA-917E0806D8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0</xdr:colOff>
      <xdr:row>180</xdr:row>
      <xdr:rowOff>0</xdr:rowOff>
    </xdr:from>
    <xdr:to>
      <xdr:col>20</xdr:col>
      <xdr:colOff>370416</xdr:colOff>
      <xdr:row>193</xdr:row>
      <xdr:rowOff>129117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DF9C93-40A9-5344-9B98-DFE0176CD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0</xdr:colOff>
      <xdr:row>195</xdr:row>
      <xdr:rowOff>0</xdr:rowOff>
    </xdr:from>
    <xdr:to>
      <xdr:col>20</xdr:col>
      <xdr:colOff>370416</xdr:colOff>
      <xdr:row>208</xdr:row>
      <xdr:rowOff>129117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D3BA3A1-4B1B-064D-908F-9D5A99B674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14</xdr:col>
      <xdr:colOff>0</xdr:colOff>
      <xdr:row>209</xdr:row>
      <xdr:rowOff>0</xdr:rowOff>
    </xdr:from>
    <xdr:to>
      <xdr:col>20</xdr:col>
      <xdr:colOff>370416</xdr:colOff>
      <xdr:row>222</xdr:row>
      <xdr:rowOff>129117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FB501F7-D4EC-4E4B-BE91-62BFE6C350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0</xdr:colOff>
      <xdr:row>223</xdr:row>
      <xdr:rowOff>0</xdr:rowOff>
    </xdr:from>
    <xdr:to>
      <xdr:col>20</xdr:col>
      <xdr:colOff>370416</xdr:colOff>
      <xdr:row>236</xdr:row>
      <xdr:rowOff>129117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3BD26B6-2252-394A-8C32-95065BDAB5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0</xdr:colOff>
      <xdr:row>238</xdr:row>
      <xdr:rowOff>0</xdr:rowOff>
    </xdr:from>
    <xdr:to>
      <xdr:col>20</xdr:col>
      <xdr:colOff>370416</xdr:colOff>
      <xdr:row>251</xdr:row>
      <xdr:rowOff>129117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0725177-43E9-8842-9134-18BBC4EF99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14</xdr:col>
      <xdr:colOff>0</xdr:colOff>
      <xdr:row>253</xdr:row>
      <xdr:rowOff>0</xdr:rowOff>
    </xdr:from>
    <xdr:to>
      <xdr:col>20</xdr:col>
      <xdr:colOff>370416</xdr:colOff>
      <xdr:row>266</xdr:row>
      <xdr:rowOff>129117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0E9BF19-EE82-594B-8A4F-CB7524C3D6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14</xdr:col>
      <xdr:colOff>0</xdr:colOff>
      <xdr:row>268</xdr:row>
      <xdr:rowOff>0</xdr:rowOff>
    </xdr:from>
    <xdr:to>
      <xdr:col>20</xdr:col>
      <xdr:colOff>370416</xdr:colOff>
      <xdr:row>281</xdr:row>
      <xdr:rowOff>129117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209BD34-1542-1948-A5D9-E3DABD36B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14</xdr:col>
      <xdr:colOff>0</xdr:colOff>
      <xdr:row>283</xdr:row>
      <xdr:rowOff>0</xdr:rowOff>
    </xdr:from>
    <xdr:to>
      <xdr:col>20</xdr:col>
      <xdr:colOff>370416</xdr:colOff>
      <xdr:row>296</xdr:row>
      <xdr:rowOff>129117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B3CA1EDB-9324-F840-B396-86ADBDC084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14</xdr:col>
      <xdr:colOff>0</xdr:colOff>
      <xdr:row>298</xdr:row>
      <xdr:rowOff>0</xdr:rowOff>
    </xdr:from>
    <xdr:to>
      <xdr:col>20</xdr:col>
      <xdr:colOff>370416</xdr:colOff>
      <xdr:row>311</xdr:row>
      <xdr:rowOff>129117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55389368-03BE-B948-B132-DF277F00CD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14</xdr:col>
      <xdr:colOff>0</xdr:colOff>
      <xdr:row>313</xdr:row>
      <xdr:rowOff>0</xdr:rowOff>
    </xdr:from>
    <xdr:to>
      <xdr:col>20</xdr:col>
      <xdr:colOff>370416</xdr:colOff>
      <xdr:row>326</xdr:row>
      <xdr:rowOff>129117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21F1188-9E72-7646-9345-915FA6FD63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14</xdr:col>
      <xdr:colOff>0</xdr:colOff>
      <xdr:row>328</xdr:row>
      <xdr:rowOff>0</xdr:rowOff>
    </xdr:from>
    <xdr:to>
      <xdr:col>20</xdr:col>
      <xdr:colOff>370416</xdr:colOff>
      <xdr:row>341</xdr:row>
      <xdr:rowOff>129117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843A687-3EE8-734E-9954-1B2EF11FBD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14</xdr:col>
      <xdr:colOff>0</xdr:colOff>
      <xdr:row>343</xdr:row>
      <xdr:rowOff>0</xdr:rowOff>
    </xdr:from>
    <xdr:to>
      <xdr:col>20</xdr:col>
      <xdr:colOff>370416</xdr:colOff>
      <xdr:row>356</xdr:row>
      <xdr:rowOff>129117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84725CCE-7FCE-FE48-89EF-3F28392C4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14</xdr:col>
      <xdr:colOff>0</xdr:colOff>
      <xdr:row>358</xdr:row>
      <xdr:rowOff>0</xdr:rowOff>
    </xdr:from>
    <xdr:to>
      <xdr:col>20</xdr:col>
      <xdr:colOff>370416</xdr:colOff>
      <xdr:row>371</xdr:row>
      <xdr:rowOff>129117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FD510C97-9857-BF44-A886-45A448F67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14</xdr:col>
      <xdr:colOff>0</xdr:colOff>
      <xdr:row>372</xdr:row>
      <xdr:rowOff>0</xdr:rowOff>
    </xdr:from>
    <xdr:to>
      <xdr:col>20</xdr:col>
      <xdr:colOff>370416</xdr:colOff>
      <xdr:row>385</xdr:row>
      <xdr:rowOff>129117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21592EF-054D-CD4D-9C52-BF2F6BDAF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14</xdr:col>
      <xdr:colOff>0</xdr:colOff>
      <xdr:row>386</xdr:row>
      <xdr:rowOff>0</xdr:rowOff>
    </xdr:from>
    <xdr:to>
      <xdr:col>20</xdr:col>
      <xdr:colOff>370416</xdr:colOff>
      <xdr:row>399</xdr:row>
      <xdr:rowOff>129117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6DA276CD-B651-D147-9DB2-09BFCBA11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14</xdr:col>
      <xdr:colOff>0</xdr:colOff>
      <xdr:row>400</xdr:row>
      <xdr:rowOff>0</xdr:rowOff>
    </xdr:from>
    <xdr:to>
      <xdr:col>20</xdr:col>
      <xdr:colOff>370416</xdr:colOff>
      <xdr:row>413</xdr:row>
      <xdr:rowOff>129117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C6EE4728-C180-1142-90B5-B6DE3F0386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</xdr:col>
      <xdr:colOff>0</xdr:colOff>
      <xdr:row>415</xdr:row>
      <xdr:rowOff>0</xdr:rowOff>
    </xdr:from>
    <xdr:to>
      <xdr:col>20</xdr:col>
      <xdr:colOff>370416</xdr:colOff>
      <xdr:row>428</xdr:row>
      <xdr:rowOff>129117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436DCABB-DB8F-D74B-8A52-854CC5C12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</xdr:col>
      <xdr:colOff>0</xdr:colOff>
      <xdr:row>430</xdr:row>
      <xdr:rowOff>0</xdr:rowOff>
    </xdr:from>
    <xdr:to>
      <xdr:col>20</xdr:col>
      <xdr:colOff>370416</xdr:colOff>
      <xdr:row>443</xdr:row>
      <xdr:rowOff>129117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5100DE78-997D-824F-B98B-4CEEAC1AD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14</xdr:col>
      <xdr:colOff>0</xdr:colOff>
      <xdr:row>445</xdr:row>
      <xdr:rowOff>0</xdr:rowOff>
    </xdr:from>
    <xdr:to>
      <xdr:col>20</xdr:col>
      <xdr:colOff>370416</xdr:colOff>
      <xdr:row>458</xdr:row>
      <xdr:rowOff>129117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9D272736-2D6F-C945-B331-CEDC02C7B1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14</xdr:col>
      <xdr:colOff>0</xdr:colOff>
      <xdr:row>460</xdr:row>
      <xdr:rowOff>0</xdr:rowOff>
    </xdr:from>
    <xdr:to>
      <xdr:col>20</xdr:col>
      <xdr:colOff>370416</xdr:colOff>
      <xdr:row>473</xdr:row>
      <xdr:rowOff>129117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D9681968-9D32-3A46-A917-32F7C6A4B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4</xdr:row>
      <xdr:rowOff>73026</xdr:rowOff>
    </xdr:from>
    <xdr:to>
      <xdr:col>16</xdr:col>
      <xdr:colOff>582084</xdr:colOff>
      <xdr:row>18</xdr:row>
      <xdr:rowOff>1059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CF18E2-DBDA-C260-AC84-BC3A135CA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243417</xdr:colOff>
      <xdr:row>20</xdr:row>
      <xdr:rowOff>0</xdr:rowOff>
    </xdr:from>
    <xdr:to>
      <xdr:col>16</xdr:col>
      <xdr:colOff>635001</xdr:colOff>
      <xdr:row>34</xdr:row>
      <xdr:rowOff>129117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30366A-4F8A-7F42-A195-AF60BCB47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chem.ncbi.nlm.nih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EED3-40A6-B84B-983C-E8B68DF6BAC7}">
  <dimension ref="B2:K123"/>
  <sheetViews>
    <sheetView zoomScaleNormal="100" workbookViewId="0">
      <selection activeCell="J8" sqref="J8"/>
    </sheetView>
  </sheetViews>
  <sheetFormatPr baseColWidth="10" defaultColWidth="8.83203125" defaultRowHeight="15" x14ac:dyDescent="0.2"/>
  <cols>
    <col min="1" max="1" width="8.83203125" style="49"/>
    <col min="2" max="2" width="34.5" style="49" customWidth="1"/>
    <col min="3" max="3" width="15.33203125" style="49" customWidth="1"/>
    <col min="4" max="4" width="14.5" style="49" customWidth="1"/>
    <col min="5" max="5" width="20" style="49" customWidth="1"/>
    <col min="6" max="6" width="20.33203125" style="49" customWidth="1"/>
    <col min="7" max="7" width="15.5" style="49" customWidth="1"/>
    <col min="8" max="8" width="14.5" style="49" customWidth="1"/>
    <col min="9" max="9" width="15.5" style="49" customWidth="1"/>
    <col min="10" max="10" width="15.1640625" style="49" customWidth="1"/>
    <col min="11" max="16384" width="8.83203125" style="49"/>
  </cols>
  <sheetData>
    <row r="2" spans="2:11" x14ac:dyDescent="0.2">
      <c r="B2" s="48" t="s">
        <v>0</v>
      </c>
    </row>
    <row r="4" spans="2:11" x14ac:dyDescent="0.2">
      <c r="B4" s="48" t="s">
        <v>1</v>
      </c>
      <c r="C4" s="50"/>
      <c r="F4" s="48" t="s">
        <v>2</v>
      </c>
      <c r="G4" s="50"/>
      <c r="I4" s="48" t="s">
        <v>208</v>
      </c>
      <c r="J4" s="50"/>
    </row>
    <row r="5" spans="2:11" x14ac:dyDescent="0.2">
      <c r="B5" s="49" t="s">
        <v>3</v>
      </c>
      <c r="C5" s="60" t="s">
        <v>4</v>
      </c>
      <c r="D5" s="49" t="s">
        <v>5</v>
      </c>
      <c r="F5" s="49" t="s">
        <v>3</v>
      </c>
      <c r="G5" s="60" t="s">
        <v>4</v>
      </c>
      <c r="H5" s="49" t="s">
        <v>5</v>
      </c>
      <c r="I5" s="49" t="s">
        <v>3</v>
      </c>
      <c r="J5" s="60" t="s">
        <v>4</v>
      </c>
      <c r="K5" s="49" t="s">
        <v>5</v>
      </c>
    </row>
    <row r="6" spans="2:11" x14ac:dyDescent="0.2">
      <c r="B6" s="49" t="s">
        <v>6</v>
      </c>
      <c r="C6" s="49">
        <f>100*0.01/17.822</f>
        <v>5.6110425317023906E-2</v>
      </c>
      <c r="D6" s="49" t="s">
        <v>5</v>
      </c>
      <c r="F6" s="49" t="s">
        <v>6</v>
      </c>
      <c r="G6" s="49">
        <f>50*4/17.822</f>
        <v>11.222085063404782</v>
      </c>
      <c r="H6" s="49" t="s">
        <v>5</v>
      </c>
      <c r="I6" s="49" t="s">
        <v>6</v>
      </c>
      <c r="J6" s="49">
        <f>152.2819*0.1/17.822</f>
        <v>0.85446021770845038</v>
      </c>
      <c r="K6" s="49" t="s">
        <v>5</v>
      </c>
    </row>
    <row r="7" spans="2:11" x14ac:dyDescent="0.2">
      <c r="B7" s="49" t="s">
        <v>7</v>
      </c>
      <c r="C7" s="49">
        <f>100-C6</f>
        <v>99.94388957468297</v>
      </c>
      <c r="D7" s="49" t="s">
        <v>5</v>
      </c>
      <c r="F7" s="49" t="s">
        <v>7</v>
      </c>
      <c r="G7" s="49">
        <f>50-G6</f>
        <v>38.777914936595216</v>
      </c>
      <c r="H7" s="49" t="s">
        <v>5</v>
      </c>
      <c r="I7" s="49" t="s">
        <v>7</v>
      </c>
      <c r="J7" s="49">
        <f>152.2819-J6</f>
        <v>151.42743978229154</v>
      </c>
      <c r="K7" s="49" t="s">
        <v>5</v>
      </c>
    </row>
    <row r="9" spans="2:11" x14ac:dyDescent="0.2">
      <c r="B9" s="48" t="s">
        <v>8</v>
      </c>
      <c r="C9" s="50" t="s">
        <v>9</v>
      </c>
      <c r="E9" s="49" t="s">
        <v>10</v>
      </c>
    </row>
    <row r="10" spans="2:11" x14ac:dyDescent="0.2">
      <c r="B10" s="49" t="s">
        <v>11</v>
      </c>
      <c r="C10" s="49">
        <f>0.03*514.442*C11/1000</f>
        <v>1.5433259999999998</v>
      </c>
      <c r="D10" s="49" t="s">
        <v>12</v>
      </c>
      <c r="E10" s="49">
        <v>1.5426</v>
      </c>
      <c r="F10" s="49" t="s">
        <v>12</v>
      </c>
    </row>
    <row r="11" spans="2:11" x14ac:dyDescent="0.2">
      <c r="B11" s="49" t="s">
        <v>7</v>
      </c>
      <c r="C11" s="49">
        <v>100</v>
      </c>
      <c r="D11" s="49" t="s">
        <v>5</v>
      </c>
      <c r="E11" s="49">
        <v>100.1604</v>
      </c>
      <c r="F11" s="49" t="s">
        <v>12</v>
      </c>
    </row>
    <row r="13" spans="2:11" ht="17" thickBot="1" x14ac:dyDescent="0.25">
      <c r="B13" s="1" t="s">
        <v>13</v>
      </c>
      <c r="C13"/>
      <c r="D13"/>
      <c r="E13"/>
      <c r="F13"/>
    </row>
    <row r="14" spans="2:11" ht="16" x14ac:dyDescent="0.2">
      <c r="B14" t="s">
        <v>14</v>
      </c>
      <c r="C14" s="53">
        <v>198.81</v>
      </c>
      <c r="D14" t="s">
        <v>15</v>
      </c>
      <c r="E14"/>
      <c r="F14"/>
    </row>
    <row r="15" spans="2:11" ht="16" x14ac:dyDescent="0.2">
      <c r="B15" t="s">
        <v>16</v>
      </c>
      <c r="C15" s="54">
        <v>0.1</v>
      </c>
      <c r="D15" t="s">
        <v>17</v>
      </c>
      <c r="E15"/>
      <c r="F15"/>
    </row>
    <row r="16" spans="2:11" ht="16" x14ac:dyDescent="0.2">
      <c r="B16" t="s">
        <v>18</v>
      </c>
      <c r="C16" s="54">
        <v>2.5000000000000001E-3</v>
      </c>
      <c r="D16" t="s">
        <v>19</v>
      </c>
      <c r="E16"/>
      <c r="F16"/>
    </row>
    <row r="17" spans="2:10" ht="17" thickBot="1" x14ac:dyDescent="0.25">
      <c r="B17" t="s">
        <v>20</v>
      </c>
      <c r="C17" s="55">
        <v>4</v>
      </c>
      <c r="D17" t="s">
        <v>19</v>
      </c>
      <c r="E17"/>
      <c r="F17"/>
      <c r="I17" s="49">
        <f>(2500*5/200)*250/5</f>
        <v>3125</v>
      </c>
    </row>
    <row r="18" spans="2:10" ht="16" x14ac:dyDescent="0.2">
      <c r="B18"/>
      <c r="C18"/>
      <c r="D18"/>
      <c r="E18"/>
      <c r="F18"/>
      <c r="I18" s="49">
        <f>(2500*5)/(3000*5/250)</f>
        <v>208.33333333333334</v>
      </c>
    </row>
    <row r="19" spans="2:10" ht="17" thickBot="1" x14ac:dyDescent="0.25">
      <c r="B19"/>
      <c r="C19" t="s">
        <v>21</v>
      </c>
      <c r="D19"/>
      <c r="E19" t="s">
        <v>10</v>
      </c>
      <c r="F19"/>
    </row>
    <row r="20" spans="2:10" ht="16" x14ac:dyDescent="0.2">
      <c r="B20" t="s">
        <v>22</v>
      </c>
      <c r="C20" s="56">
        <f>C16*C14*C15</f>
        <v>4.9702500000000004E-2</v>
      </c>
      <c r="D20" t="s">
        <v>12</v>
      </c>
      <c r="E20" s="56">
        <v>6.5000000000000002E-2</v>
      </c>
      <c r="F20" t="s">
        <v>12</v>
      </c>
    </row>
    <row r="21" spans="2:10" ht="16" x14ac:dyDescent="0.2">
      <c r="B21" t="s">
        <v>23</v>
      </c>
      <c r="C21" s="54">
        <f>0.01*C15*1000/C17</f>
        <v>0.25</v>
      </c>
      <c r="D21" t="s">
        <v>5</v>
      </c>
      <c r="E21" s="57">
        <f>0.01*E23/C17</f>
        <v>0.32694532468185705</v>
      </c>
      <c r="F21" t="s">
        <v>5</v>
      </c>
    </row>
    <row r="22" spans="2:10" ht="17" thickBot="1" x14ac:dyDescent="0.25">
      <c r="B22" t="s">
        <v>24</v>
      </c>
      <c r="C22" s="55">
        <f>(C15*1000)-C21</f>
        <v>99.75</v>
      </c>
      <c r="D22" t="s">
        <v>5</v>
      </c>
      <c r="E22" s="58">
        <f>E23-E21</f>
        <v>130.45118454806098</v>
      </c>
      <c r="F22" t="s">
        <v>5</v>
      </c>
    </row>
    <row r="23" spans="2:10" ht="16" x14ac:dyDescent="0.2">
      <c r="B23" t="s">
        <v>25</v>
      </c>
      <c r="C23">
        <f>C21+C22</f>
        <v>100</v>
      </c>
      <c r="D23" t="s">
        <v>5</v>
      </c>
      <c r="E23" s="16">
        <f>(E20/C14/C16)*1000</f>
        <v>130.77812987274282</v>
      </c>
      <c r="F23" t="s">
        <v>5</v>
      </c>
    </row>
    <row r="26" spans="2:10" x14ac:dyDescent="0.2">
      <c r="B26" s="48" t="s">
        <v>26</v>
      </c>
      <c r="C26" s="49" t="s">
        <v>27</v>
      </c>
      <c r="E26" s="49" t="s">
        <v>28</v>
      </c>
      <c r="F26" s="49" t="s">
        <v>29</v>
      </c>
      <c r="H26" s="49" t="s">
        <v>30</v>
      </c>
    </row>
    <row r="27" spans="2:10" x14ac:dyDescent="0.2">
      <c r="B27" s="48">
        <v>1</v>
      </c>
      <c r="C27" s="49">
        <v>2500</v>
      </c>
      <c r="D27" s="49" t="s">
        <v>31</v>
      </c>
      <c r="E27" s="49">
        <v>6</v>
      </c>
      <c r="F27" s="49">
        <v>0</v>
      </c>
      <c r="H27" s="49" t="s">
        <v>32</v>
      </c>
      <c r="I27" s="49">
        <f>C27*5/305</f>
        <v>40.983606557377051</v>
      </c>
      <c r="J27" s="49" t="s">
        <v>31</v>
      </c>
    </row>
    <row r="28" spans="2:10" x14ac:dyDescent="0.2">
      <c r="B28" s="48">
        <v>2</v>
      </c>
      <c r="C28" s="49">
        <v>2000</v>
      </c>
      <c r="D28" s="49" t="s">
        <v>31</v>
      </c>
      <c r="E28" s="49">
        <f>C28*6/$C$27</f>
        <v>4.8</v>
      </c>
      <c r="F28" s="49">
        <f>$E$27-E28</f>
        <v>1.2000000000000002</v>
      </c>
      <c r="H28" s="49" t="s">
        <v>32</v>
      </c>
      <c r="I28" s="49">
        <f t="shared" ref="I28:I30" si="0">C28*5/305</f>
        <v>32.786885245901637</v>
      </c>
      <c r="J28" s="49" t="s">
        <v>31</v>
      </c>
    </row>
    <row r="29" spans="2:10" x14ac:dyDescent="0.2">
      <c r="B29" s="48">
        <v>3</v>
      </c>
      <c r="C29" s="49">
        <v>1500</v>
      </c>
      <c r="D29" s="49" t="s">
        <v>31</v>
      </c>
      <c r="E29" s="49">
        <f>C29*6/$C$27</f>
        <v>3.6</v>
      </c>
      <c r="F29" s="49">
        <f t="shared" ref="F29:F30" si="1">$E$27-E29</f>
        <v>2.4</v>
      </c>
      <c r="H29" s="49" t="s">
        <v>32</v>
      </c>
      <c r="I29" s="49">
        <f t="shared" si="0"/>
        <v>24.590163934426229</v>
      </c>
      <c r="J29" s="49" t="s">
        <v>31</v>
      </c>
    </row>
    <row r="30" spans="2:10" ht="17" customHeight="1" x14ac:dyDescent="0.2">
      <c r="B30" s="51">
        <v>4</v>
      </c>
      <c r="C30" s="59">
        <v>1000</v>
      </c>
      <c r="D30" s="49" t="s">
        <v>31</v>
      </c>
      <c r="E30" s="49">
        <f>C30*6/$C$27</f>
        <v>2.4</v>
      </c>
      <c r="F30" s="49">
        <f t="shared" si="1"/>
        <v>3.6</v>
      </c>
      <c r="H30" s="49" t="s">
        <v>32</v>
      </c>
      <c r="I30" s="49">
        <f t="shared" si="0"/>
        <v>16.393442622950818</v>
      </c>
      <c r="J30" s="49" t="s">
        <v>31</v>
      </c>
    </row>
    <row r="39" spans="2:10" ht="33" customHeight="1" x14ac:dyDescent="0.2">
      <c r="B39" s="51"/>
      <c r="C39" s="52"/>
      <c r="D39" s="52"/>
      <c r="E39" s="52"/>
      <c r="F39" s="52"/>
      <c r="G39" s="52"/>
      <c r="H39" s="52"/>
      <c r="I39" s="52"/>
      <c r="J39" s="52"/>
    </row>
    <row r="48" spans="2:10" ht="33" customHeight="1" x14ac:dyDescent="0.2">
      <c r="B48" s="51"/>
      <c r="C48" s="52"/>
      <c r="D48" s="52"/>
      <c r="E48" s="52"/>
      <c r="F48" s="52"/>
      <c r="G48" s="52"/>
      <c r="H48" s="52"/>
      <c r="I48" s="52"/>
      <c r="J48" s="52"/>
    </row>
    <row r="57" spans="2:10" ht="33" customHeight="1" x14ac:dyDescent="0.2">
      <c r="B57" s="51"/>
      <c r="C57" s="52"/>
      <c r="D57" s="52"/>
      <c r="E57" s="52"/>
      <c r="F57" s="52"/>
      <c r="G57" s="52"/>
      <c r="H57" s="52"/>
      <c r="I57" s="52"/>
      <c r="J57" s="52"/>
    </row>
    <row r="66" spans="2:10" ht="33" customHeight="1" x14ac:dyDescent="0.2">
      <c r="B66" s="51"/>
      <c r="C66" s="52"/>
      <c r="D66" s="52"/>
      <c r="E66" s="52"/>
      <c r="F66" s="52"/>
      <c r="G66" s="52"/>
      <c r="H66" s="52"/>
      <c r="I66" s="52"/>
      <c r="J66" s="52"/>
    </row>
    <row r="75" spans="2:10" x14ac:dyDescent="0.2">
      <c r="B75" s="48"/>
    </row>
    <row r="76" spans="2:10" x14ac:dyDescent="0.2">
      <c r="B76" s="51"/>
      <c r="C76" s="52"/>
      <c r="D76" s="52"/>
      <c r="E76" s="52"/>
      <c r="F76" s="52"/>
      <c r="G76" s="52"/>
      <c r="H76" s="52"/>
      <c r="I76" s="52"/>
      <c r="J76" s="52"/>
    </row>
    <row r="85" spans="2:10" x14ac:dyDescent="0.2">
      <c r="B85" s="51"/>
      <c r="C85" s="52"/>
      <c r="D85" s="52"/>
      <c r="E85" s="52"/>
      <c r="F85" s="52"/>
      <c r="G85" s="52"/>
      <c r="H85" s="52"/>
      <c r="I85" s="52"/>
      <c r="J85" s="52"/>
    </row>
    <row r="94" spans="2:10" x14ac:dyDescent="0.2">
      <c r="B94" s="51"/>
      <c r="C94" s="52"/>
      <c r="D94" s="52"/>
      <c r="E94" s="52"/>
      <c r="F94" s="52"/>
      <c r="G94" s="52"/>
      <c r="H94" s="52"/>
      <c r="I94" s="52"/>
      <c r="J94" s="52"/>
    </row>
    <row r="103" spans="2:10" x14ac:dyDescent="0.2">
      <c r="B103" s="51"/>
      <c r="C103" s="52"/>
      <c r="D103" s="52"/>
      <c r="E103" s="52"/>
      <c r="F103" s="52"/>
      <c r="G103" s="52"/>
      <c r="H103" s="52"/>
      <c r="I103" s="52"/>
      <c r="J103" s="52"/>
    </row>
    <row r="112" spans="2:10" x14ac:dyDescent="0.2">
      <c r="B112" s="51"/>
      <c r="C112" s="52"/>
      <c r="D112" s="52"/>
      <c r="E112" s="52"/>
      <c r="F112" s="52"/>
      <c r="G112" s="52"/>
      <c r="H112" s="52"/>
      <c r="I112" s="52"/>
      <c r="J112" s="52"/>
    </row>
    <row r="113" s="49" customFormat="1" x14ac:dyDescent="0.2"/>
    <row r="114" s="49" customFormat="1" x14ac:dyDescent="0.2"/>
    <row r="115" s="49" customFormat="1" x14ac:dyDescent="0.2"/>
    <row r="116" s="49" customFormat="1" x14ac:dyDescent="0.2"/>
    <row r="117" s="49" customFormat="1" x14ac:dyDescent="0.2"/>
    <row r="118" s="49" customFormat="1" x14ac:dyDescent="0.2"/>
    <row r="119" s="49" customFormat="1" x14ac:dyDescent="0.2"/>
    <row r="120" s="49" customFormat="1" x14ac:dyDescent="0.2"/>
    <row r="121" s="49" customFormat="1" x14ac:dyDescent="0.2"/>
    <row r="122" s="49" customFormat="1" x14ac:dyDescent="0.2"/>
    <row r="123" s="49" customFormat="1" x14ac:dyDescent="0.2"/>
  </sheetData>
  <phoneticPr fontId="10" type="noConversion"/>
  <hyperlinks>
    <hyperlink ref="C9" r:id="rId1" location="query=C20H12N4Na2O6S2" tooltip="Find all compounds that have this formula" display="https://pubchem.ncbi.nlm.nih.gov/ - query=C20H12N4Na2O6S2" xr:uid="{3E8D6B63-35EE-044B-8ED1-DD31C2487D3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8CAB-263B-4B48-9F6E-B0764CF79C36}">
  <dimension ref="B2:I47"/>
  <sheetViews>
    <sheetView zoomScale="130" zoomScaleNormal="130" workbookViewId="0">
      <selection activeCell="K33" sqref="K33"/>
    </sheetView>
  </sheetViews>
  <sheetFormatPr baseColWidth="10" defaultColWidth="11" defaultRowHeight="16" x14ac:dyDescent="0.2"/>
  <cols>
    <col min="2" max="2" width="14.5" customWidth="1"/>
    <col min="4" max="4" width="12.5" customWidth="1"/>
    <col min="5" max="5" width="11" customWidth="1"/>
  </cols>
  <sheetData>
    <row r="2" spans="2:5" x14ac:dyDescent="0.2">
      <c r="B2" s="1" t="s">
        <v>33</v>
      </c>
    </row>
    <row r="3" spans="2:5" s="4" customFormat="1" x14ac:dyDescent="0.2">
      <c r="B3" s="2">
        <v>45124</v>
      </c>
      <c r="C3" s="3"/>
      <c r="D3" s="3"/>
      <c r="E3" s="3"/>
    </row>
    <row r="4" spans="2:5" s="1" customFormat="1" x14ac:dyDescent="0.2">
      <c r="B4" s="5"/>
      <c r="C4" s="6"/>
      <c r="D4" s="6"/>
      <c r="E4" s="6"/>
    </row>
    <row r="5" spans="2:5" s="4" customFormat="1" ht="17" thickBot="1" x14ac:dyDescent="0.25">
      <c r="B5" s="6" t="s">
        <v>34</v>
      </c>
      <c r="C5" s="6" t="s">
        <v>35</v>
      </c>
      <c r="D5" s="3"/>
      <c r="E5" s="3"/>
    </row>
    <row r="6" spans="2:5" s="4" customFormat="1" x14ac:dyDescent="0.2">
      <c r="B6" s="7">
        <v>4</v>
      </c>
      <c r="C6" s="8">
        <v>155</v>
      </c>
      <c r="D6" s="3"/>
      <c r="E6" s="3"/>
    </row>
    <row r="7" spans="2:5" s="4" customFormat="1" x14ac:dyDescent="0.2">
      <c r="B7" s="9">
        <v>7</v>
      </c>
      <c r="C7" s="10">
        <v>-20</v>
      </c>
      <c r="D7" s="3"/>
      <c r="E7" s="3"/>
    </row>
    <row r="8" spans="2:5" s="4" customFormat="1" x14ac:dyDescent="0.2">
      <c r="B8" s="9">
        <v>10</v>
      </c>
      <c r="C8" s="10">
        <v>-184</v>
      </c>
      <c r="D8" s="3"/>
      <c r="E8" s="3"/>
    </row>
    <row r="9" spans="2:5" s="4" customFormat="1" ht="17" thickBot="1" x14ac:dyDescent="0.25">
      <c r="B9" s="11">
        <v>12</v>
      </c>
      <c r="C9" s="12">
        <v>-303</v>
      </c>
      <c r="D9" s="3"/>
      <c r="E9" s="3"/>
    </row>
    <row r="10" spans="2:5" x14ac:dyDescent="0.2">
      <c r="B10" s="13"/>
      <c r="C10" s="13"/>
      <c r="D10" s="13"/>
      <c r="E10" s="13"/>
    </row>
    <row r="26" spans="2:9" x14ac:dyDescent="0.2">
      <c r="B26" s="1" t="s">
        <v>36</v>
      </c>
      <c r="C26" s="14"/>
      <c r="D26" s="14"/>
      <c r="G26" s="1"/>
      <c r="H26" s="14"/>
      <c r="I26" s="14"/>
    </row>
    <row r="27" spans="2:9" x14ac:dyDescent="0.2">
      <c r="B27" t="s">
        <v>37</v>
      </c>
      <c r="C27" s="14" t="s">
        <v>38</v>
      </c>
      <c r="D27" s="15" cm="1">
        <f t="array" ref="D27:E31">LINEST(C6:C9,B6:B9,,TRUE)</f>
        <v>-56.925170068027199</v>
      </c>
      <c r="E27">
        <v>381.6326530612244</v>
      </c>
      <c r="H27" s="14"/>
      <c r="I27" s="15"/>
    </row>
    <row r="28" spans="2:9" x14ac:dyDescent="0.2">
      <c r="B28" t="s">
        <v>39</v>
      </c>
      <c r="C28" s="14" t="s">
        <v>40</v>
      </c>
      <c r="D28" s="15">
        <v>0.60095409048592097</v>
      </c>
      <c r="E28">
        <v>5.2819044394842569</v>
      </c>
      <c r="H28" s="14"/>
      <c r="I28" s="15"/>
    </row>
    <row r="29" spans="2:9" x14ac:dyDescent="0.2">
      <c r="B29" t="s">
        <v>41</v>
      </c>
      <c r="C29" s="14" t="s">
        <v>42</v>
      </c>
      <c r="D29" s="14">
        <v>0.99977715283100999</v>
      </c>
      <c r="E29">
        <v>3.6430905620828593</v>
      </c>
      <c r="H29" s="14"/>
      <c r="I29" s="14"/>
    </row>
    <row r="30" spans="2:9" x14ac:dyDescent="0.2">
      <c r="B30" t="s">
        <v>43</v>
      </c>
      <c r="C30" s="14" t="s">
        <v>44</v>
      </c>
      <c r="D30" s="14">
        <v>8972.7606355716453</v>
      </c>
      <c r="E30">
        <v>2</v>
      </c>
      <c r="H30" s="14"/>
      <c r="I30" s="14"/>
    </row>
    <row r="31" spans="2:9" x14ac:dyDescent="0.2">
      <c r="B31" t="s">
        <v>45</v>
      </c>
      <c r="C31" s="14" t="s">
        <v>46</v>
      </c>
      <c r="D31" s="14">
        <v>119087.45578231293</v>
      </c>
      <c r="E31">
        <v>26.544217687074408</v>
      </c>
      <c r="H31" s="14"/>
      <c r="I31" s="14"/>
    </row>
    <row r="32" spans="2:9" x14ac:dyDescent="0.2">
      <c r="B32" s="13"/>
      <c r="C32" s="13"/>
      <c r="D32" s="13"/>
      <c r="E32" s="13"/>
    </row>
    <row r="33" spans="2:9" x14ac:dyDescent="0.2">
      <c r="B33" s="13"/>
      <c r="D33" s="13"/>
      <c r="E33" s="13"/>
      <c r="F33" s="13"/>
    </row>
    <row r="34" spans="2:9" x14ac:dyDescent="0.2">
      <c r="C34" s="28"/>
      <c r="F34">
        <v>50</v>
      </c>
      <c r="G34">
        <v>40</v>
      </c>
      <c r="H34">
        <v>30</v>
      </c>
      <c r="I34">
        <v>20</v>
      </c>
    </row>
    <row r="35" spans="2:9" x14ac:dyDescent="0.2">
      <c r="B35" t="s">
        <v>47</v>
      </c>
      <c r="C35" s="17">
        <v>7.5</v>
      </c>
      <c r="D35" s="17"/>
      <c r="E35" s="17" t="s">
        <v>48</v>
      </c>
      <c r="F35" s="16">
        <v>-58</v>
      </c>
      <c r="G35" s="16">
        <v>-82</v>
      </c>
      <c r="H35" s="17">
        <v>-81</v>
      </c>
      <c r="I35" s="17">
        <v>-82</v>
      </c>
    </row>
    <row r="36" spans="2:9" x14ac:dyDescent="0.2">
      <c r="B36" t="s">
        <v>49</v>
      </c>
      <c r="C36">
        <f>(C35*D27)+E27</f>
        <v>-45.306122448979579</v>
      </c>
      <c r="E36" s="17" t="s">
        <v>34</v>
      </c>
      <c r="F36">
        <f>(F35-$E$27)/$D$27</f>
        <v>7.7229923518164441</v>
      </c>
      <c r="G36">
        <f>(G35-$E$27)/$D$27</f>
        <v>8.1445984703632881</v>
      </c>
      <c r="H36">
        <f t="shared" ref="H36:I36" si="0">(H35-$E$27)/$D$27</f>
        <v>8.12703154875717</v>
      </c>
      <c r="I36">
        <f t="shared" si="0"/>
        <v>8.1445984703632881</v>
      </c>
    </row>
    <row r="37" spans="2:9" x14ac:dyDescent="0.2">
      <c r="B37" s="13"/>
      <c r="D37" s="13"/>
      <c r="E37" s="17"/>
      <c r="F37" s="17"/>
    </row>
    <row r="38" spans="2:9" x14ac:dyDescent="0.2">
      <c r="E38" s="17" t="s">
        <v>50</v>
      </c>
      <c r="F38">
        <v>50</v>
      </c>
    </row>
    <row r="39" spans="2:9" x14ac:dyDescent="0.2">
      <c r="C39" s="17"/>
      <c r="D39" s="17"/>
      <c r="E39" s="17" t="s">
        <v>51</v>
      </c>
      <c r="F39">
        <v>250</v>
      </c>
    </row>
    <row r="41" spans="2:9" x14ac:dyDescent="0.2">
      <c r="B41" s="13"/>
      <c r="D41" s="13"/>
      <c r="E41" s="17"/>
    </row>
    <row r="42" spans="2:9" x14ac:dyDescent="0.2">
      <c r="E42" s="17"/>
    </row>
    <row r="43" spans="2:9" x14ac:dyDescent="0.2">
      <c r="C43" s="17"/>
      <c r="D43" s="17"/>
      <c r="E43" s="17"/>
    </row>
    <row r="45" spans="2:9" x14ac:dyDescent="0.2">
      <c r="B45" s="13"/>
      <c r="D45" s="13"/>
      <c r="E45" s="17"/>
    </row>
    <row r="46" spans="2:9" x14ac:dyDescent="0.2">
      <c r="E46" s="17"/>
    </row>
    <row r="47" spans="2:9" x14ac:dyDescent="0.2">
      <c r="C47" s="17"/>
      <c r="D47" s="17"/>
      <c r="E47" s="17"/>
    </row>
  </sheetData>
  <phoneticPr fontId="1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CF60-344D-194A-8BA5-3BFBF2DA4B00}">
  <dimension ref="B2:BN59"/>
  <sheetViews>
    <sheetView zoomScaleNormal="100" workbookViewId="0">
      <selection activeCell="B13" sqref="B13"/>
    </sheetView>
  </sheetViews>
  <sheetFormatPr baseColWidth="10" defaultColWidth="11" defaultRowHeight="16" x14ac:dyDescent="0.2"/>
  <cols>
    <col min="3" max="3" width="13.83203125" customWidth="1"/>
    <col min="5" max="5" width="12.5" customWidth="1"/>
    <col min="6" max="6" width="11.6640625" customWidth="1"/>
    <col min="8" max="8" width="16.83203125" customWidth="1"/>
    <col min="9" max="9" width="12" customWidth="1"/>
    <col min="17" max="17" width="12.5" customWidth="1"/>
    <col min="22" max="22" width="12.5" customWidth="1"/>
    <col min="27" max="27" width="12.33203125" customWidth="1"/>
    <col min="32" max="32" width="12" customWidth="1"/>
    <col min="37" max="37" width="12" customWidth="1"/>
    <col min="42" max="42" width="12.33203125" customWidth="1"/>
    <col min="47" max="47" width="12" customWidth="1"/>
    <col min="52" max="52" width="12" customWidth="1"/>
    <col min="57" max="57" width="12" customWidth="1"/>
    <col min="62" max="62" width="11.6640625" customWidth="1"/>
  </cols>
  <sheetData>
    <row r="2" spans="2:66" x14ac:dyDescent="0.2">
      <c r="B2" s="1" t="s">
        <v>52</v>
      </c>
    </row>
    <row r="3" spans="2:66" ht="45" customHeight="1" x14ac:dyDescent="0.2">
      <c r="B3" s="18"/>
      <c r="C3" s="19" t="s">
        <v>53</v>
      </c>
      <c r="D3" s="19" t="s">
        <v>54</v>
      </c>
      <c r="E3" s="19" t="s">
        <v>55</v>
      </c>
      <c r="F3" s="19" t="s">
        <v>56</v>
      </c>
      <c r="G3" s="19" t="s">
        <v>57</v>
      </c>
      <c r="H3" s="19" t="s">
        <v>58</v>
      </c>
    </row>
    <row r="4" spans="2:66" s="4" customFormat="1" ht="17" thickBot="1" x14ac:dyDescent="0.25">
      <c r="B4"/>
      <c r="C4" t="s">
        <v>59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N4" s="20"/>
      <c r="O4" s="20"/>
      <c r="P4" s="20"/>
      <c r="Q4" s="21"/>
      <c r="R4" s="20"/>
      <c r="S4" s="20"/>
      <c r="T4" s="20"/>
      <c r="U4" s="20"/>
      <c r="V4" s="21"/>
      <c r="W4" s="20"/>
      <c r="X4" s="20"/>
      <c r="Y4" s="20"/>
      <c r="Z4" s="20"/>
      <c r="AA4" s="21"/>
      <c r="AB4" s="20"/>
      <c r="AC4" s="20"/>
      <c r="AD4" s="20"/>
      <c r="AE4" s="20"/>
      <c r="AF4" s="21"/>
      <c r="AG4" s="22"/>
      <c r="AH4" s="20"/>
      <c r="AI4" s="20"/>
      <c r="AJ4" s="20"/>
      <c r="AK4" s="21"/>
      <c r="AL4" s="22"/>
      <c r="AM4" s="20"/>
      <c r="AN4" s="20"/>
      <c r="AO4" s="20"/>
      <c r="AP4" s="21"/>
      <c r="AQ4" s="20"/>
      <c r="AR4" s="20"/>
      <c r="AS4" s="20"/>
      <c r="AT4" s="20"/>
      <c r="AU4" s="21"/>
      <c r="AV4" s="22"/>
      <c r="AW4" s="20"/>
      <c r="AX4" s="20"/>
      <c r="AY4" s="20"/>
      <c r="AZ4" s="21"/>
      <c r="BA4" s="22"/>
      <c r="BB4" s="20"/>
      <c r="BC4" s="20"/>
      <c r="BD4" s="20"/>
      <c r="BE4" s="21"/>
      <c r="BF4" s="22"/>
      <c r="BG4" s="20"/>
      <c r="BH4" s="20"/>
      <c r="BI4" s="20"/>
      <c r="BJ4" s="21"/>
      <c r="BK4" s="23"/>
      <c r="BL4" s="23"/>
      <c r="BM4" s="23"/>
      <c r="BN4" s="20"/>
    </row>
    <row r="5" spans="2:66" s="1" customFormat="1" x14ac:dyDescent="0.2">
      <c r="B5" t="s">
        <v>61</v>
      </c>
      <c r="C5" s="29">
        <v>0</v>
      </c>
      <c r="D5" s="30">
        <v>0</v>
      </c>
      <c r="E5" s="31">
        <v>5000</v>
      </c>
      <c r="F5" s="31">
        <v>1000</v>
      </c>
      <c r="G5" s="31">
        <v>100</v>
      </c>
      <c r="H5" s="32">
        <f>SUM(D5:G5)</f>
        <v>6100</v>
      </c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</row>
    <row r="6" spans="2:66" s="4" customFormat="1" x14ac:dyDescent="0.2">
      <c r="B6" t="s">
        <v>62</v>
      </c>
      <c r="C6" s="33">
        <v>10</v>
      </c>
      <c r="D6" s="25">
        <f>C6*$H$5/2000</f>
        <v>30.5</v>
      </c>
      <c r="E6" s="25">
        <f>$H$5-D6-F6-G6</f>
        <v>4969.5</v>
      </c>
      <c r="F6">
        <v>1000</v>
      </c>
      <c r="G6">
        <v>100</v>
      </c>
      <c r="H6" s="34">
        <f t="shared" ref="H6:H10" si="0">SUM(D6:G6)</f>
        <v>6100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26"/>
      <c r="AC6" s="3"/>
      <c r="AD6" s="3"/>
      <c r="AE6" s="3"/>
      <c r="AF6" s="3"/>
      <c r="AG6" s="26"/>
      <c r="AH6" s="3"/>
      <c r="AI6" s="3"/>
      <c r="AJ6" s="3"/>
      <c r="AK6" s="3"/>
      <c r="AL6" s="26"/>
      <c r="AM6" s="3"/>
      <c r="AN6" s="3"/>
      <c r="AO6" s="3"/>
      <c r="AP6" s="3"/>
      <c r="AQ6" s="26"/>
      <c r="AR6" s="3"/>
      <c r="AS6" s="3"/>
      <c r="AT6" s="3"/>
      <c r="AU6" s="3"/>
      <c r="AV6" s="26"/>
      <c r="AW6" s="3"/>
      <c r="AX6" s="3"/>
      <c r="AY6" s="3"/>
      <c r="AZ6" s="3"/>
      <c r="BA6" s="26"/>
      <c r="BB6" s="3"/>
      <c r="BC6" s="3"/>
      <c r="BD6" s="3"/>
      <c r="BE6" s="3"/>
      <c r="BF6" s="26"/>
      <c r="BG6" s="3"/>
      <c r="BH6" s="3"/>
      <c r="BI6" s="3"/>
      <c r="BJ6" s="3"/>
      <c r="BK6" s="26"/>
      <c r="BL6" s="3"/>
      <c r="BM6" s="3"/>
      <c r="BN6" s="3"/>
    </row>
    <row r="7" spans="2:66" s="4" customFormat="1" x14ac:dyDescent="0.2">
      <c r="B7" t="s">
        <v>63</v>
      </c>
      <c r="C7" s="33">
        <v>20</v>
      </c>
      <c r="D7" s="25">
        <f t="shared" ref="D7:D10" si="1">C7*$H$5/2000</f>
        <v>61</v>
      </c>
      <c r="E7" s="25">
        <f>$H$5-D7-F7-G7</f>
        <v>4939</v>
      </c>
      <c r="F7">
        <v>1000</v>
      </c>
      <c r="G7">
        <v>100</v>
      </c>
      <c r="H7" s="34">
        <f t="shared" si="0"/>
        <v>6100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2:66" s="4" customFormat="1" x14ac:dyDescent="0.2">
      <c r="B8" t="s">
        <v>64</v>
      </c>
      <c r="C8" s="33">
        <v>30</v>
      </c>
      <c r="D8" s="25">
        <f t="shared" si="1"/>
        <v>91.5</v>
      </c>
      <c r="E8" s="25">
        <f>$H$5-D8-F8-G8</f>
        <v>4908.5</v>
      </c>
      <c r="F8">
        <v>1000</v>
      </c>
      <c r="G8">
        <v>100</v>
      </c>
      <c r="H8" s="34">
        <f t="shared" si="0"/>
        <v>6100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2:66" s="4" customFormat="1" x14ac:dyDescent="0.2">
      <c r="B9" t="s">
        <v>65</v>
      </c>
      <c r="C9" s="33">
        <v>40</v>
      </c>
      <c r="D9" s="25">
        <f t="shared" si="1"/>
        <v>122</v>
      </c>
      <c r="E9" s="25">
        <f>$H$5-D9-F9-G9</f>
        <v>4878</v>
      </c>
      <c r="F9">
        <v>1000</v>
      </c>
      <c r="G9">
        <v>100</v>
      </c>
      <c r="H9" s="34">
        <f t="shared" si="0"/>
        <v>6100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2:66" s="4" customFormat="1" ht="17" thickBot="1" x14ac:dyDescent="0.25">
      <c r="B10" t="s">
        <v>66</v>
      </c>
      <c r="C10" s="35">
        <v>50</v>
      </c>
      <c r="D10" s="36">
        <f t="shared" si="1"/>
        <v>152.5</v>
      </c>
      <c r="E10" s="36">
        <f>$H$5-D10-F10-G10</f>
        <v>4847.5</v>
      </c>
      <c r="F10" s="37">
        <v>1000</v>
      </c>
      <c r="G10" s="37">
        <v>100</v>
      </c>
      <c r="H10" s="38">
        <f t="shared" si="0"/>
        <v>6100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2:66" s="4" customFormat="1" x14ac:dyDescent="0.2">
      <c r="B11"/>
      <c r="C11"/>
      <c r="D11" s="25"/>
      <c r="E11" s="25"/>
      <c r="F11"/>
      <c r="G11"/>
      <c r="H11" s="1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2:66" s="4" customFormat="1" x14ac:dyDescent="0.2">
      <c r="B12" s="1" t="s">
        <v>67</v>
      </c>
      <c r="C12"/>
      <c r="D12"/>
      <c r="E12"/>
      <c r="F12"/>
      <c r="G12" s="18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2:66" s="4" customFormat="1" x14ac:dyDescent="0.2">
      <c r="B13" s="27">
        <v>45063</v>
      </c>
      <c r="F13" s="21"/>
      <c r="G13"/>
      <c r="H1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2:66" x14ac:dyDescent="0.2">
      <c r="B14" s="1" t="s">
        <v>68</v>
      </c>
      <c r="C14" s="1"/>
      <c r="D14" s="1"/>
      <c r="E14" s="1"/>
      <c r="F14" s="24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</row>
    <row r="15" spans="2:66" ht="19" thickBot="1" x14ac:dyDescent="0.35">
      <c r="B15" s="3"/>
      <c r="C15" s="3" t="s">
        <v>69</v>
      </c>
      <c r="D15" s="3" t="s">
        <v>70</v>
      </c>
      <c r="E15" s="3" t="s">
        <v>71</v>
      </c>
      <c r="F15" s="3"/>
      <c r="I15" s="46"/>
    </row>
    <row r="16" spans="2:66" x14ac:dyDescent="0.2">
      <c r="B16" s="3" t="s">
        <v>72</v>
      </c>
      <c r="C16" s="29">
        <v>0</v>
      </c>
      <c r="D16" s="31">
        <v>5.6000000000000001E-2</v>
      </c>
      <c r="E16" s="39">
        <f>D16-$D$16</f>
        <v>0</v>
      </c>
      <c r="F16" s="3"/>
    </row>
    <row r="17" spans="2:9" ht="40" x14ac:dyDescent="0.4">
      <c r="B17" s="3" t="s">
        <v>62</v>
      </c>
      <c r="C17" s="33">
        <v>10</v>
      </c>
      <c r="D17">
        <v>0.29399999999999998</v>
      </c>
      <c r="E17" s="40">
        <f t="shared" ref="E17:E21" si="2">D17-$D$16</f>
        <v>0.23799999999999999</v>
      </c>
      <c r="F17" s="3"/>
      <c r="I17" s="47"/>
    </row>
    <row r="18" spans="2:9" x14ac:dyDescent="0.2">
      <c r="B18" s="3" t="s">
        <v>63</v>
      </c>
      <c r="C18" s="33">
        <v>20</v>
      </c>
      <c r="D18">
        <v>0.54400000000000004</v>
      </c>
      <c r="E18" s="40">
        <f t="shared" si="2"/>
        <v>0.48800000000000004</v>
      </c>
      <c r="F18" s="3"/>
    </row>
    <row r="19" spans="2:9" x14ac:dyDescent="0.2">
      <c r="B19" s="3" t="s">
        <v>64</v>
      </c>
      <c r="C19" s="33">
        <v>30</v>
      </c>
      <c r="D19">
        <v>0.89500000000000002</v>
      </c>
      <c r="E19" s="40">
        <f t="shared" si="2"/>
        <v>0.83899999999999997</v>
      </c>
      <c r="F19" s="3"/>
    </row>
    <row r="20" spans="2:9" x14ac:dyDescent="0.2">
      <c r="B20" s="3" t="s">
        <v>65</v>
      </c>
      <c r="C20" s="33">
        <v>40</v>
      </c>
      <c r="D20">
        <v>1.0900000000000001</v>
      </c>
      <c r="E20" s="40">
        <f t="shared" si="2"/>
        <v>1.034</v>
      </c>
      <c r="F20" s="3"/>
      <c r="G20" s="3"/>
      <c r="H20" s="3"/>
    </row>
    <row r="21" spans="2:9" ht="17" thickBot="1" x14ac:dyDescent="0.25">
      <c r="B21" s="3" t="s">
        <v>66</v>
      </c>
      <c r="C21" s="35">
        <v>50</v>
      </c>
      <c r="D21" s="37">
        <v>1.335</v>
      </c>
      <c r="E21" s="41">
        <f t="shared" si="2"/>
        <v>1.2789999999999999</v>
      </c>
      <c r="F21" s="3"/>
      <c r="G21" s="3"/>
      <c r="H21" s="3"/>
    </row>
    <row r="22" spans="2:9" x14ac:dyDescent="0.2">
      <c r="F22" s="28"/>
      <c r="G22" s="28"/>
      <c r="H22" s="28"/>
    </row>
    <row r="23" spans="2:9" x14ac:dyDescent="0.2">
      <c r="B23" s="28"/>
    </row>
    <row r="24" spans="2:9" x14ac:dyDescent="0.2">
      <c r="B24" s="28"/>
    </row>
    <row r="25" spans="2:9" x14ac:dyDescent="0.2">
      <c r="B25" s="28"/>
    </row>
    <row r="26" spans="2:9" x14ac:dyDescent="0.2">
      <c r="B26" s="28"/>
    </row>
    <row r="27" spans="2:9" x14ac:dyDescent="0.2">
      <c r="B27" s="28"/>
    </row>
    <row r="28" spans="2:9" x14ac:dyDescent="0.2">
      <c r="B28" s="28"/>
    </row>
    <row r="38" spans="2:5" x14ac:dyDescent="0.2">
      <c r="B38" s="1" t="s">
        <v>36</v>
      </c>
    </row>
    <row r="39" spans="2:5" x14ac:dyDescent="0.2">
      <c r="B39" t="s">
        <v>37</v>
      </c>
      <c r="C39" t="s">
        <v>38</v>
      </c>
      <c r="D39" s="28" cm="1">
        <f t="array" ref="D39:E43">LINEST(E16:E21,C16:C21,FALSE,TRUE)</f>
        <v>2.5930909090909091E-2</v>
      </c>
      <c r="E39">
        <v>0</v>
      </c>
    </row>
    <row r="40" spans="2:5" x14ac:dyDescent="0.2">
      <c r="B40" t="s">
        <v>39</v>
      </c>
      <c r="C40" t="s">
        <v>40</v>
      </c>
      <c r="D40">
        <v>4.4475715353419008E-4</v>
      </c>
      <c r="E40" t="e">
        <v>#N/A</v>
      </c>
    </row>
    <row r="41" spans="2:5" x14ac:dyDescent="0.2">
      <c r="B41" t="s">
        <v>41</v>
      </c>
      <c r="C41" t="s">
        <v>42</v>
      </c>
      <c r="D41">
        <v>0.99853126963788552</v>
      </c>
      <c r="E41">
        <v>3.2984073291652337E-2</v>
      </c>
    </row>
    <row r="42" spans="2:5" x14ac:dyDescent="0.2">
      <c r="B42" t="s">
        <v>43</v>
      </c>
      <c r="C42" t="s">
        <v>44</v>
      </c>
      <c r="D42">
        <v>3399.3008362690698</v>
      </c>
      <c r="E42">
        <v>5</v>
      </c>
    </row>
    <row r="43" spans="2:5" x14ac:dyDescent="0.2">
      <c r="B43" t="s">
        <v>45</v>
      </c>
      <c r="C43" t="s">
        <v>46</v>
      </c>
      <c r="D43">
        <v>3.6982662545454539</v>
      </c>
      <c r="E43">
        <v>5.4397454545454648E-3</v>
      </c>
    </row>
    <row r="45" spans="2:5" x14ac:dyDescent="0.2">
      <c r="B45" s="1"/>
    </row>
    <row r="46" spans="2:5" x14ac:dyDescent="0.2">
      <c r="C46" s="3"/>
      <c r="D46" s="3"/>
      <c r="E46" s="3"/>
    </row>
    <row r="47" spans="2:5" x14ac:dyDescent="0.2">
      <c r="E47" s="14"/>
    </row>
    <row r="48" spans="2:5" x14ac:dyDescent="0.2">
      <c r="E48" s="14"/>
    </row>
    <row r="49" spans="3:5" x14ac:dyDescent="0.2">
      <c r="E49" s="14"/>
    </row>
    <row r="50" spans="3:5" x14ac:dyDescent="0.2">
      <c r="E50" s="14"/>
    </row>
    <row r="51" spans="3:5" x14ac:dyDescent="0.2">
      <c r="E51" s="14"/>
    </row>
    <row r="52" spans="3:5" x14ac:dyDescent="0.2">
      <c r="E52" s="14"/>
    </row>
    <row r="53" spans="3:5" x14ac:dyDescent="0.2">
      <c r="E53" s="14"/>
    </row>
    <row r="54" spans="3:5" x14ac:dyDescent="0.2">
      <c r="E54" s="14"/>
    </row>
    <row r="55" spans="3:5" x14ac:dyDescent="0.2">
      <c r="E55" s="14"/>
    </row>
    <row r="56" spans="3:5" x14ac:dyDescent="0.2">
      <c r="E56" s="14"/>
    </row>
    <row r="57" spans="3:5" x14ac:dyDescent="0.2">
      <c r="C57" s="14"/>
      <c r="E57" s="14"/>
    </row>
    <row r="58" spans="3:5" x14ac:dyDescent="0.2">
      <c r="E58" s="14"/>
    </row>
    <row r="59" spans="3:5" x14ac:dyDescent="0.2">
      <c r="E59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C395-91A1-314E-8626-4754EE921516}">
  <dimension ref="B2:Y473"/>
  <sheetViews>
    <sheetView tabSelected="1" topLeftCell="A443" zoomScaleNormal="100" workbookViewId="0">
      <selection activeCell="F470" sqref="F470"/>
    </sheetView>
  </sheetViews>
  <sheetFormatPr baseColWidth="10" defaultColWidth="8.83203125" defaultRowHeight="16" x14ac:dyDescent="0.2"/>
  <cols>
    <col min="2" max="2" width="10.1640625" customWidth="1"/>
    <col min="3" max="3" width="20.5" customWidth="1"/>
    <col min="4" max="5" width="23.1640625" customWidth="1"/>
    <col min="6" max="6" width="10" customWidth="1"/>
    <col min="7" max="7" width="12.5" customWidth="1"/>
    <col min="8" max="8" width="11.6640625" customWidth="1"/>
    <col min="9" max="9" width="9.1640625" customWidth="1"/>
    <col min="10" max="10" width="17.1640625" customWidth="1"/>
    <col min="11" max="11" width="12.5" customWidth="1"/>
    <col min="12" max="12" width="12.83203125" bestFit="1" customWidth="1"/>
    <col min="14" max="14" width="10.6640625" customWidth="1"/>
    <col min="23" max="23" width="12.83203125" bestFit="1" customWidth="1"/>
    <col min="24" max="24" width="13.5" bestFit="1" customWidth="1"/>
  </cols>
  <sheetData>
    <row r="2" spans="2:25" x14ac:dyDescent="0.2">
      <c r="B2" t="s">
        <v>73</v>
      </c>
      <c r="C2" s="1" t="s">
        <v>74</v>
      </c>
      <c r="D2" t="s">
        <v>75</v>
      </c>
      <c r="F2" s="17">
        <f>AVERAGE(K5:K11)</f>
        <v>7.7054254302103251</v>
      </c>
      <c r="G2" t="s">
        <v>76</v>
      </c>
      <c r="H2">
        <f>STDEV(K5:K11)</f>
        <v>0</v>
      </c>
      <c r="V2" t="s">
        <v>36</v>
      </c>
    </row>
    <row r="3" spans="2:25" x14ac:dyDescent="0.2"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71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34</v>
      </c>
      <c r="N3" t="s">
        <v>87</v>
      </c>
      <c r="V3" t="s">
        <v>37</v>
      </c>
      <c r="W3" t="s">
        <v>38</v>
      </c>
      <c r="X3" cm="1">
        <f t="array" ref="X3:Y7">LINEST(H5:H9,D5:D9,,TRUE)</f>
        <v>-4.6700560788711737E-2</v>
      </c>
      <c r="Y3">
        <v>40.693002785362388</v>
      </c>
    </row>
    <row r="4" spans="2:25" x14ac:dyDescent="0.2">
      <c r="B4" t="s">
        <v>88</v>
      </c>
      <c r="C4" s="44"/>
      <c r="D4" s="16"/>
      <c r="E4" s="16"/>
      <c r="H4" s="17"/>
      <c r="I4" s="17"/>
      <c r="J4">
        <v>-59</v>
      </c>
      <c r="K4" s="17">
        <f>(J4-'pH-Potential calibration'!$E$27)/'pH-Potential calibration'!$D$27</f>
        <v>7.7405592734225621</v>
      </c>
      <c r="V4" t="s">
        <v>39</v>
      </c>
      <c r="W4" t="s">
        <v>40</v>
      </c>
      <c r="X4">
        <v>4.8025989106945579E-3</v>
      </c>
      <c r="Y4">
        <v>0.20388149557638036</v>
      </c>
    </row>
    <row r="5" spans="2:25" x14ac:dyDescent="0.2">
      <c r="B5" s="4">
        <v>1</v>
      </c>
      <c r="C5" s="43" t="s">
        <v>89</v>
      </c>
      <c r="D5" s="16">
        <v>9</v>
      </c>
      <c r="E5" s="16">
        <f>D5-$D$5</f>
        <v>0</v>
      </c>
      <c r="F5">
        <v>1.099</v>
      </c>
      <c r="G5" s="14">
        <f>F5-'Calibration standard'!$D$16</f>
        <v>1.0429999999999999</v>
      </c>
      <c r="H5" s="17">
        <f>G5/'Calibration standard'!$D$39</f>
        <v>40.222268966484364</v>
      </c>
      <c r="I5" s="17">
        <f>LN(H5)</f>
        <v>3.6944207966390401</v>
      </c>
      <c r="J5">
        <v>-57</v>
      </c>
      <c r="K5" s="17">
        <f>(J5-'pH-Potential calibration'!$E$27)/'pH-Potential calibration'!$D$27</f>
        <v>7.7054254302103251</v>
      </c>
      <c r="L5" s="25">
        <f t="shared" ref="L5:L14" si="0">H5*100/$H$5</f>
        <v>100</v>
      </c>
      <c r="V5" t="s">
        <v>41</v>
      </c>
      <c r="W5" t="s">
        <v>42</v>
      </c>
      <c r="X5">
        <v>0.96924860072992014</v>
      </c>
      <c r="Y5">
        <v>0.22351441863851168</v>
      </c>
    </row>
    <row r="6" spans="2:25" x14ac:dyDescent="0.2">
      <c r="B6" s="4">
        <v>2</v>
      </c>
      <c r="C6" s="43" t="s">
        <v>90</v>
      </c>
      <c r="D6">
        <v>21</v>
      </c>
      <c r="E6" s="16">
        <f t="shared" ref="E6:E14" si="1">D6-$D$5</f>
        <v>12</v>
      </c>
      <c r="F6">
        <v>1.0900000000000001</v>
      </c>
      <c r="G6" s="14">
        <f>F6-'Calibration standard'!$D$16</f>
        <v>1.034</v>
      </c>
      <c r="H6" s="17">
        <f>G6/'Calibration standard'!$D$39</f>
        <v>39.875192820081338</v>
      </c>
      <c r="I6" s="17">
        <f t="shared" ref="I6:I10" si="2">LN(H6)</f>
        <v>3.6857543967066424</v>
      </c>
      <c r="J6">
        <v>-57</v>
      </c>
      <c r="K6" s="17">
        <f>(J6-'pH-Potential calibration'!$E$27)/'pH-Potential calibration'!$D$27</f>
        <v>7.7054254302103251</v>
      </c>
      <c r="L6" s="25">
        <f t="shared" si="0"/>
        <v>99.137104506232035</v>
      </c>
      <c r="V6" t="s">
        <v>43</v>
      </c>
      <c r="W6" t="s">
        <v>44</v>
      </c>
      <c r="X6">
        <v>94.556536327077296</v>
      </c>
      <c r="Y6">
        <v>3</v>
      </c>
    </row>
    <row r="7" spans="2:25" x14ac:dyDescent="0.2">
      <c r="B7" s="4">
        <v>3</v>
      </c>
      <c r="C7" s="43" t="s">
        <v>91</v>
      </c>
      <c r="D7">
        <v>36</v>
      </c>
      <c r="E7" s="16">
        <f t="shared" si="1"/>
        <v>27</v>
      </c>
      <c r="F7">
        <v>1.0609999999999999</v>
      </c>
      <c r="G7" s="14">
        <f>F7-'Calibration standard'!$D$16</f>
        <v>1.0049999999999999</v>
      </c>
      <c r="H7" s="17">
        <f>G7/'Calibration standard'!$D$39</f>
        <v>38.75683634833824</v>
      </c>
      <c r="I7" s="17">
        <f t="shared" si="2"/>
        <v>3.6573071621314437</v>
      </c>
      <c r="J7">
        <v>-57</v>
      </c>
      <c r="K7" s="17">
        <f>(J7-'pH-Potential calibration'!$E$27)/'pH-Potential calibration'!$D$27</f>
        <v>7.7054254302103251</v>
      </c>
      <c r="L7" s="25">
        <f t="shared" si="0"/>
        <v>96.356663470757425</v>
      </c>
      <c r="V7" t="s">
        <v>45</v>
      </c>
      <c r="W7" t="s">
        <v>46</v>
      </c>
      <c r="X7">
        <v>4.7239211907050294</v>
      </c>
      <c r="Y7">
        <v>0.14987608601793559</v>
      </c>
    </row>
    <row r="8" spans="2:25" x14ac:dyDescent="0.2">
      <c r="B8" s="4">
        <v>4</v>
      </c>
      <c r="C8" s="43" t="s">
        <v>92</v>
      </c>
      <c r="D8">
        <v>52</v>
      </c>
      <c r="E8" s="16">
        <f t="shared" si="1"/>
        <v>43</v>
      </c>
      <c r="F8">
        <v>1.054</v>
      </c>
      <c r="G8" s="14">
        <f>F8-'Calibration standard'!$D$16</f>
        <v>0.998</v>
      </c>
      <c r="H8" s="17">
        <f>G8/'Calibration standard'!$D$39</f>
        <v>38.48688823446922</v>
      </c>
      <c r="I8" s="17">
        <f t="shared" si="2"/>
        <v>3.6503176179497316</v>
      </c>
      <c r="J8">
        <v>-57</v>
      </c>
      <c r="K8" s="17">
        <f>(J8-'pH-Potential calibration'!$E$27)/'pH-Potential calibration'!$D$27</f>
        <v>7.7054254302103251</v>
      </c>
      <c r="L8" s="25">
        <f t="shared" si="0"/>
        <v>95.685522531160117</v>
      </c>
      <c r="V8" t="s">
        <v>93</v>
      </c>
      <c r="X8">
        <f>-X3</f>
        <v>4.6700560788711737E-2</v>
      </c>
    </row>
    <row r="9" spans="2:25" x14ac:dyDescent="0.2">
      <c r="B9" s="4">
        <v>5</v>
      </c>
      <c r="C9" s="43" t="s">
        <v>94</v>
      </c>
      <c r="D9">
        <v>67</v>
      </c>
      <c r="E9" s="16">
        <f t="shared" si="1"/>
        <v>58</v>
      </c>
      <c r="F9">
        <v>1.028</v>
      </c>
      <c r="G9" s="14">
        <f>F9-'Calibration standard'!$D$16</f>
        <v>0.97199999999999998</v>
      </c>
      <c r="H9" s="17">
        <f>G9/'Calibration standard'!$D$39</f>
        <v>37.48422381152713</v>
      </c>
      <c r="I9" s="17">
        <f t="shared" si="2"/>
        <v>3.6239201460987065</v>
      </c>
      <c r="J9">
        <v>-57</v>
      </c>
      <c r="K9" s="17">
        <f>(J9-'pH-Potential calibration'!$E$27)/'pH-Potential calibration'!$D$27</f>
        <v>7.7054254302103251</v>
      </c>
      <c r="L9" s="25">
        <f t="shared" si="0"/>
        <v>93.192713326941501</v>
      </c>
    </row>
    <row r="10" spans="2:25" x14ac:dyDescent="0.2">
      <c r="B10" s="4">
        <v>6</v>
      </c>
      <c r="C10" s="43" t="s">
        <v>95</v>
      </c>
      <c r="D10">
        <v>86</v>
      </c>
      <c r="E10" s="16">
        <f t="shared" si="1"/>
        <v>77</v>
      </c>
      <c r="F10">
        <v>0.98699999999999999</v>
      </c>
      <c r="G10" s="14">
        <f>F10-'Calibration standard'!$D$16</f>
        <v>0.93099999999999994</v>
      </c>
      <c r="H10" s="17">
        <f>G10/'Calibration standard'!$D$39</f>
        <v>35.903099144579997</v>
      </c>
      <c r="I10" s="17">
        <f t="shared" si="2"/>
        <v>3.5808236189153346</v>
      </c>
      <c r="J10">
        <v>-57</v>
      </c>
      <c r="K10" s="17">
        <f>(J10-'pH-Potential calibration'!$E$27)/'pH-Potential calibration'!$D$27</f>
        <v>7.7054254302103251</v>
      </c>
      <c r="L10" s="25">
        <f t="shared" si="0"/>
        <v>89.261744966442933</v>
      </c>
    </row>
    <row r="11" spans="2:25" x14ac:dyDescent="0.2">
      <c r="B11" s="4">
        <v>7</v>
      </c>
      <c r="C11" s="43" t="s">
        <v>96</v>
      </c>
      <c r="D11">
        <v>108</v>
      </c>
      <c r="E11" s="16">
        <f t="shared" si="1"/>
        <v>99</v>
      </c>
      <c r="F11">
        <v>0.92700000000000005</v>
      </c>
      <c r="G11" s="14">
        <f>F11-'Calibration standard'!$D$16</f>
        <v>0.871</v>
      </c>
      <c r="H11" s="17">
        <f>G11/'Calibration standard'!$D$39</f>
        <v>33.589258168559809</v>
      </c>
      <c r="I11" s="17">
        <f t="shared" ref="I11:I14" si="3">LN(H11)</f>
        <v>3.5142063184907704</v>
      </c>
      <c r="J11">
        <v>-57</v>
      </c>
      <c r="K11" s="17">
        <f>(J11-'pH-Potential calibration'!$E$27)/'pH-Potential calibration'!$D$27</f>
        <v>7.7054254302103251</v>
      </c>
      <c r="L11" s="25">
        <f t="shared" si="0"/>
        <v>83.509108341323099</v>
      </c>
    </row>
    <row r="12" spans="2:25" x14ac:dyDescent="0.2">
      <c r="B12" s="4">
        <v>8</v>
      </c>
      <c r="C12" s="43" t="s">
        <v>97</v>
      </c>
      <c r="D12">
        <f>120+19</f>
        <v>139</v>
      </c>
      <c r="E12" s="16">
        <f t="shared" si="1"/>
        <v>130</v>
      </c>
      <c r="F12">
        <v>0.81899999999999995</v>
      </c>
      <c r="G12" s="14">
        <f>F12-'Calibration standard'!$D$16</f>
        <v>0.7629999999999999</v>
      </c>
      <c r="H12" s="17">
        <f>G12/'Calibration standard'!$D$39</f>
        <v>29.424344411723457</v>
      </c>
      <c r="I12" s="17">
        <f t="shared" si="3"/>
        <v>3.3818223729227244</v>
      </c>
      <c r="J12">
        <v>-57</v>
      </c>
      <c r="K12" s="17">
        <f>(J12-'pH-Potential calibration'!$E$27)/'pH-Potential calibration'!$D$27</f>
        <v>7.7054254302103251</v>
      </c>
      <c r="L12" s="25">
        <f t="shared" si="0"/>
        <v>73.154362416107361</v>
      </c>
    </row>
    <row r="13" spans="2:25" x14ac:dyDescent="0.2">
      <c r="B13" s="4">
        <v>9</v>
      </c>
      <c r="C13" s="43" t="s">
        <v>98</v>
      </c>
      <c r="D13">
        <f>180-4</f>
        <v>176</v>
      </c>
      <c r="E13" s="16">
        <f t="shared" si="1"/>
        <v>167</v>
      </c>
      <c r="F13">
        <v>0.64800000000000002</v>
      </c>
      <c r="G13" s="14">
        <f>F13-'Calibration standard'!$D$16</f>
        <v>0.59199999999999997</v>
      </c>
      <c r="H13" s="17">
        <f>G13/'Calibration standard'!$D$39</f>
        <v>22.829897630065908</v>
      </c>
      <c r="I13" s="17">
        <f t="shared" si="3"/>
        <v>3.1280709765222734</v>
      </c>
      <c r="J13">
        <v>-57</v>
      </c>
      <c r="K13" s="17">
        <f>(J13-'pH-Potential calibration'!$E$27)/'pH-Potential calibration'!$D$27</f>
        <v>7.7054254302103251</v>
      </c>
      <c r="L13" s="25">
        <f t="shared" si="0"/>
        <v>56.75934803451581</v>
      </c>
    </row>
    <row r="14" spans="2:25" x14ac:dyDescent="0.2">
      <c r="B14" s="4">
        <v>10</v>
      </c>
      <c r="C14" s="43" t="s">
        <v>99</v>
      </c>
      <c r="D14">
        <f>180+35</f>
        <v>215</v>
      </c>
      <c r="E14" s="16">
        <f t="shared" si="1"/>
        <v>206</v>
      </c>
      <c r="F14">
        <v>0.46899999999999997</v>
      </c>
      <c r="G14" s="14">
        <f>F14-'Calibration standard'!$D$16</f>
        <v>0.41299999999999998</v>
      </c>
      <c r="H14" s="17">
        <f>G14/'Calibration standard'!$D$39</f>
        <v>15.92693871827233</v>
      </c>
      <c r="I14" s="17">
        <f t="shared" si="3"/>
        <v>2.7680119345993002</v>
      </c>
      <c r="J14">
        <v>-57</v>
      </c>
      <c r="K14" s="17">
        <f>(J14-'pH-Potential calibration'!$E$27)/'pH-Potential calibration'!$D$27</f>
        <v>7.7054254302103251</v>
      </c>
      <c r="L14" s="25">
        <f t="shared" si="0"/>
        <v>39.597315436241608</v>
      </c>
    </row>
    <row r="15" spans="2:25" x14ac:dyDescent="0.2">
      <c r="B15" s="4"/>
      <c r="D15" s="43"/>
      <c r="E15" s="43"/>
      <c r="K15" s="17"/>
    </row>
    <row r="16" spans="2:25" x14ac:dyDescent="0.2">
      <c r="C16" s="42"/>
      <c r="G16" s="14"/>
      <c r="H16" s="17"/>
      <c r="I16" s="17"/>
      <c r="K16" s="17"/>
    </row>
    <row r="17" spans="2:25" x14ac:dyDescent="0.2">
      <c r="B17" t="s">
        <v>100</v>
      </c>
      <c r="C17" s="1" t="s">
        <v>101</v>
      </c>
      <c r="D17" t="s">
        <v>75</v>
      </c>
      <c r="F17" s="17">
        <f>AVERAGE(K20:K29)</f>
        <v>7.6410133843212238</v>
      </c>
      <c r="G17" t="s">
        <v>76</v>
      </c>
      <c r="H17">
        <f>STDEV(K20:K29)</f>
        <v>1.0142266918125314E-2</v>
      </c>
      <c r="V17" t="s">
        <v>36</v>
      </c>
    </row>
    <row r="18" spans="2:25" x14ac:dyDescent="0.2">
      <c r="B18" t="s">
        <v>77</v>
      </c>
      <c r="C18" t="s">
        <v>78</v>
      </c>
      <c r="D18" t="s">
        <v>79</v>
      </c>
      <c r="F18" t="s">
        <v>81</v>
      </c>
      <c r="G18" t="s">
        <v>71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  <c r="M18" t="s">
        <v>34</v>
      </c>
      <c r="N18" t="s">
        <v>87</v>
      </c>
      <c r="V18" t="s">
        <v>37</v>
      </c>
      <c r="W18" t="s">
        <v>38</v>
      </c>
      <c r="X18" cm="1">
        <f t="array" ref="X18:Y22">LINEST(H20:H29,D20:D29,,TRUE)</f>
        <v>-2.0508046814920734E-2</v>
      </c>
      <c r="Y18">
        <v>32.761827093302635</v>
      </c>
    </row>
    <row r="19" spans="2:25" x14ac:dyDescent="0.2">
      <c r="B19" t="s">
        <v>88</v>
      </c>
      <c r="C19" s="45"/>
      <c r="D19" s="16">
        <f>(C19-$C$19)*86400</f>
        <v>0</v>
      </c>
      <c r="E19" s="16"/>
      <c r="H19" s="17"/>
      <c r="I19" s="17"/>
      <c r="J19">
        <v>-59</v>
      </c>
      <c r="K19" s="17">
        <f>(J19-'pH-Potential calibration'!$E$27)/'pH-Potential calibration'!$D$27</f>
        <v>7.7405592734225621</v>
      </c>
      <c r="V19" t="s">
        <v>39</v>
      </c>
      <c r="W19" t="s">
        <v>40</v>
      </c>
      <c r="X19">
        <v>1.0328797280271199E-3</v>
      </c>
      <c r="Y19">
        <v>9.0023630818042835E-2</v>
      </c>
    </row>
    <row r="20" spans="2:25" x14ac:dyDescent="0.2">
      <c r="B20" s="4">
        <v>1</v>
      </c>
      <c r="C20" s="43" t="s">
        <v>102</v>
      </c>
      <c r="D20" s="16">
        <v>12</v>
      </c>
      <c r="E20" s="16">
        <f>D20-$D$20</f>
        <v>0</v>
      </c>
      <c r="F20">
        <v>0.89600000000000002</v>
      </c>
      <c r="G20" s="14">
        <f>F20-'Calibration standard'!$D$16</f>
        <v>0.84</v>
      </c>
      <c r="H20" s="17">
        <f>G20/'Calibration standard'!$D$39</f>
        <v>32.393773664282705</v>
      </c>
      <c r="I20" s="17">
        <f>LN(H20)</f>
        <v>3.4779662334756267</v>
      </c>
      <c r="J20">
        <v>-54</v>
      </c>
      <c r="K20" s="17">
        <f>(J20-'pH-Potential calibration'!$E$27)/'pH-Potential calibration'!$D$27</f>
        <v>7.6527246653919692</v>
      </c>
      <c r="L20" s="25">
        <f t="shared" ref="L20:L25" si="4">H20*100/$H$20</f>
        <v>100</v>
      </c>
      <c r="V20" t="s">
        <v>41</v>
      </c>
      <c r="W20" t="s">
        <v>42</v>
      </c>
      <c r="X20">
        <v>0.98011085592495872</v>
      </c>
      <c r="Y20">
        <v>0.14335872036074312</v>
      </c>
    </row>
    <row r="21" spans="2:25" x14ac:dyDescent="0.2">
      <c r="B21" s="4">
        <v>2</v>
      </c>
      <c r="C21" s="43" t="s">
        <v>103</v>
      </c>
      <c r="D21">
        <v>23</v>
      </c>
      <c r="E21" s="16">
        <f t="shared" ref="E21:E29" si="5">D21-$D$20</f>
        <v>11</v>
      </c>
      <c r="F21">
        <v>0.89500000000000002</v>
      </c>
      <c r="G21" s="14">
        <f>F21-'Calibration standard'!$D$16</f>
        <v>0.83899999999999997</v>
      </c>
      <c r="H21" s="17">
        <f>G21/'Calibration standard'!$D$39</f>
        <v>32.355209648015702</v>
      </c>
      <c r="I21" s="17">
        <f t="shared" ref="I21:I25" si="6">LN(H21)</f>
        <v>3.4767750481054738</v>
      </c>
      <c r="K21" s="17"/>
      <c r="L21" s="25">
        <f t="shared" si="4"/>
        <v>99.88095238095238</v>
      </c>
      <c r="V21" t="s">
        <v>43</v>
      </c>
      <c r="W21" t="s">
        <v>44</v>
      </c>
      <c r="X21">
        <v>394.22947603055195</v>
      </c>
      <c r="Y21">
        <v>8</v>
      </c>
    </row>
    <row r="22" spans="2:25" x14ac:dyDescent="0.2">
      <c r="B22" s="4">
        <v>3</v>
      </c>
      <c r="C22" s="43" t="s">
        <v>91</v>
      </c>
      <c r="D22">
        <v>36</v>
      </c>
      <c r="E22" s="16">
        <f t="shared" si="5"/>
        <v>24</v>
      </c>
      <c r="F22">
        <v>0.88800000000000001</v>
      </c>
      <c r="G22" s="14">
        <f>F22-'Calibration standard'!$D$16</f>
        <v>0.83199999999999996</v>
      </c>
      <c r="H22" s="17">
        <f>G22/'Calibration standard'!$D$39</f>
        <v>32.085261534146682</v>
      </c>
      <c r="I22" s="17">
        <f t="shared" si="6"/>
        <v>3.4683967824594761</v>
      </c>
      <c r="K22" s="17"/>
      <c r="L22" s="25">
        <f t="shared" si="4"/>
        <v>99.047619047619051</v>
      </c>
      <c r="V22" t="s">
        <v>45</v>
      </c>
      <c r="W22" t="s">
        <v>46</v>
      </c>
      <c r="X22">
        <v>8.1020948729140763</v>
      </c>
      <c r="Y22">
        <v>0.16441378162775797</v>
      </c>
    </row>
    <row r="23" spans="2:25" x14ac:dyDescent="0.2">
      <c r="B23" s="4">
        <v>4</v>
      </c>
      <c r="C23" s="43" t="s">
        <v>104</v>
      </c>
      <c r="D23">
        <v>50</v>
      </c>
      <c r="E23" s="16">
        <f t="shared" si="5"/>
        <v>38</v>
      </c>
      <c r="F23">
        <v>0.878</v>
      </c>
      <c r="G23" s="14">
        <f>F23-'Calibration standard'!$D$16</f>
        <v>0.82199999999999995</v>
      </c>
      <c r="H23" s="17">
        <f>G23/'Calibration standard'!$D$39</f>
        <v>31.699621371476649</v>
      </c>
      <c r="I23" s="17">
        <f t="shared" si="6"/>
        <v>3.4563047366944475</v>
      </c>
      <c r="K23" s="17"/>
      <c r="L23" s="25">
        <f t="shared" si="4"/>
        <v>97.857142857142875</v>
      </c>
      <c r="V23" t="s">
        <v>93</v>
      </c>
      <c r="X23">
        <f>-X18</f>
        <v>2.0508046814920734E-2</v>
      </c>
    </row>
    <row r="24" spans="2:25" x14ac:dyDescent="0.2">
      <c r="B24" s="4">
        <v>5</v>
      </c>
      <c r="C24" s="43" t="s">
        <v>105</v>
      </c>
      <c r="D24">
        <v>65</v>
      </c>
      <c r="E24" s="16">
        <f t="shared" si="5"/>
        <v>53</v>
      </c>
      <c r="F24">
        <v>0.86599999999999999</v>
      </c>
      <c r="G24" s="14">
        <f>F24-'Calibration standard'!$D$16</f>
        <v>0.80999999999999994</v>
      </c>
      <c r="H24" s="17">
        <f>G24/'Calibration standard'!$D$39</f>
        <v>31.236853176272611</v>
      </c>
      <c r="I24" s="17">
        <f t="shared" si="6"/>
        <v>3.441598589304752</v>
      </c>
      <c r="J24">
        <v>-53</v>
      </c>
      <c r="K24" s="17">
        <f>(J24-'pH-Potential calibration'!$E$27)/'pH-Potential calibration'!$D$27</f>
        <v>7.6351577437858511</v>
      </c>
      <c r="L24" s="25">
        <f t="shared" si="4"/>
        <v>96.428571428571445</v>
      </c>
    </row>
    <row r="25" spans="2:25" x14ac:dyDescent="0.2">
      <c r="B25" s="4">
        <v>6</v>
      </c>
      <c r="C25" s="43" t="s">
        <v>106</v>
      </c>
      <c r="D25">
        <v>81</v>
      </c>
      <c r="E25" s="16">
        <f t="shared" si="5"/>
        <v>69</v>
      </c>
      <c r="F25">
        <v>0.86699999999999999</v>
      </c>
      <c r="G25" s="14">
        <f>F25-'Calibration standard'!$D$16</f>
        <v>0.81099999999999994</v>
      </c>
      <c r="H25" s="17">
        <f>G25/'Calibration standard'!$D$39</f>
        <v>31.275417192539614</v>
      </c>
      <c r="I25" s="17">
        <f t="shared" si="6"/>
        <v>3.4428323957536806</v>
      </c>
      <c r="K25" s="17"/>
      <c r="L25" s="25">
        <f t="shared" si="4"/>
        <v>96.547619047619051</v>
      </c>
    </row>
    <row r="26" spans="2:25" x14ac:dyDescent="0.2">
      <c r="B26" s="4">
        <v>7</v>
      </c>
      <c r="C26" s="43" t="s">
        <v>107</v>
      </c>
      <c r="D26">
        <v>95</v>
      </c>
      <c r="E26" s="16">
        <f t="shared" si="5"/>
        <v>83</v>
      </c>
      <c r="F26">
        <v>0.85899999999999999</v>
      </c>
      <c r="G26" s="14">
        <f>F26-'Calibration standard'!$D$16</f>
        <v>0.80299999999999994</v>
      </c>
      <c r="H26" s="17">
        <f>G26/'Calibration standard'!$D$39</f>
        <v>30.966905062403587</v>
      </c>
      <c r="I26" s="17">
        <f t="shared" ref="I26:I29" si="7">LN(H26)</f>
        <v>3.4329190555850291</v>
      </c>
      <c r="K26" s="17"/>
      <c r="L26" s="25">
        <f t="shared" ref="L26:L29" si="8">H26*100/$H$20</f>
        <v>95.595238095238102</v>
      </c>
    </row>
    <row r="27" spans="2:25" x14ac:dyDescent="0.2">
      <c r="B27" s="4">
        <v>8</v>
      </c>
      <c r="C27" s="43" t="s">
        <v>108</v>
      </c>
      <c r="D27">
        <f>60+52</f>
        <v>112</v>
      </c>
      <c r="E27" s="16">
        <f t="shared" si="5"/>
        <v>100</v>
      </c>
      <c r="F27">
        <v>0.84499999999999997</v>
      </c>
      <c r="G27" s="14">
        <f>F27-'Calibration standard'!$D$16</f>
        <v>0.78899999999999992</v>
      </c>
      <c r="H27" s="17">
        <f>G27/'Calibration standard'!$D$39</f>
        <v>30.427008834665543</v>
      </c>
      <c r="I27" s="17">
        <f t="shared" si="7"/>
        <v>3.4153306624841417</v>
      </c>
      <c r="K27" s="17"/>
      <c r="L27" s="25">
        <f t="shared" si="8"/>
        <v>93.928571428571445</v>
      </c>
    </row>
    <row r="28" spans="2:25" x14ac:dyDescent="0.2">
      <c r="B28" s="4">
        <v>9</v>
      </c>
      <c r="C28" s="43" t="s">
        <v>109</v>
      </c>
      <c r="D28">
        <v>129</v>
      </c>
      <c r="E28" s="16">
        <f t="shared" si="5"/>
        <v>117</v>
      </c>
      <c r="F28">
        <v>0.84</v>
      </c>
      <c r="G28" s="14">
        <f>F28-'Calibration standard'!$D$16</f>
        <v>0.78399999999999992</v>
      </c>
      <c r="H28" s="17">
        <f>G28/'Calibration standard'!$D$39</f>
        <v>30.234188753330525</v>
      </c>
      <c r="I28" s="17">
        <f t="shared" si="7"/>
        <v>3.4089733619886755</v>
      </c>
      <c r="K28" s="17"/>
      <c r="L28" s="25">
        <f t="shared" si="8"/>
        <v>93.333333333333329</v>
      </c>
    </row>
    <row r="29" spans="2:25" x14ac:dyDescent="0.2">
      <c r="B29" s="4">
        <v>10</v>
      </c>
      <c r="C29" s="43" t="s">
        <v>110</v>
      </c>
      <c r="D29">
        <f>120+30</f>
        <v>150</v>
      </c>
      <c r="E29" s="16">
        <f t="shared" si="5"/>
        <v>138</v>
      </c>
      <c r="F29">
        <v>0.82099999999999995</v>
      </c>
      <c r="G29" s="14">
        <f>F29-'Calibration standard'!$D$16</f>
        <v>0.7649999999999999</v>
      </c>
      <c r="H29" s="17">
        <f>G29/'Calibration standard'!$D$39</f>
        <v>29.501472444257463</v>
      </c>
      <c r="I29" s="17">
        <f t="shared" si="7"/>
        <v>3.3844401754648032</v>
      </c>
      <c r="J29">
        <v>-53</v>
      </c>
      <c r="K29" s="17">
        <f>(J29-'pH-Potential calibration'!$E$27)/'pH-Potential calibration'!$D$27</f>
        <v>7.6351577437858511</v>
      </c>
      <c r="L29" s="25">
        <f t="shared" si="8"/>
        <v>91.071428571428569</v>
      </c>
    </row>
    <row r="30" spans="2:25" x14ac:dyDescent="0.2">
      <c r="D30" s="43"/>
      <c r="E30" s="43"/>
    </row>
    <row r="31" spans="2:25" x14ac:dyDescent="0.2">
      <c r="C31" s="42"/>
      <c r="G31" s="14"/>
      <c r="H31" s="17"/>
      <c r="I31" s="17"/>
      <c r="K31" s="17"/>
    </row>
    <row r="32" spans="2:25" x14ac:dyDescent="0.2">
      <c r="B32" s="4"/>
      <c r="C32" s="17"/>
      <c r="D32" s="16"/>
      <c r="E32" s="16"/>
      <c r="G32" s="14"/>
      <c r="H32" s="17"/>
      <c r="I32" s="17"/>
      <c r="K32" s="17"/>
    </row>
    <row r="33" spans="2:25" x14ac:dyDescent="0.2">
      <c r="B33" t="s">
        <v>111</v>
      </c>
      <c r="C33" s="1" t="s">
        <v>112</v>
      </c>
      <c r="D33" t="s">
        <v>75</v>
      </c>
      <c r="F33" s="17">
        <f>AVERAGE(K36:K44)</f>
        <v>7.6421845124282983</v>
      </c>
      <c r="G33" t="s">
        <v>76</v>
      </c>
      <c r="H33">
        <f>STDEV(K36:K44)</f>
        <v>9.621799229595742E-3</v>
      </c>
      <c r="V33" t="s">
        <v>36</v>
      </c>
    </row>
    <row r="34" spans="2:25" x14ac:dyDescent="0.2">
      <c r="B34" t="s">
        <v>77</v>
      </c>
      <c r="C34" t="s">
        <v>78</v>
      </c>
      <c r="D34" t="s">
        <v>79</v>
      </c>
      <c r="F34" t="s">
        <v>81</v>
      </c>
      <c r="G34" t="s">
        <v>71</v>
      </c>
      <c r="H34" t="s">
        <v>82</v>
      </c>
      <c r="I34" t="s">
        <v>83</v>
      </c>
      <c r="J34" t="s">
        <v>84</v>
      </c>
      <c r="K34" t="s">
        <v>85</v>
      </c>
      <c r="L34" t="s">
        <v>113</v>
      </c>
      <c r="M34" t="s">
        <v>34</v>
      </c>
      <c r="N34" t="s">
        <v>87</v>
      </c>
      <c r="V34" t="s">
        <v>37</v>
      </c>
      <c r="W34" t="s">
        <v>38</v>
      </c>
      <c r="X34" cm="1">
        <f t="array" ref="X34:Y38">LINEST(H36:H45,D36:D45,,TRUE)</f>
        <v>-2.2329048141156889E-2</v>
      </c>
      <c r="Y34">
        <v>24.874605163921874</v>
      </c>
    </row>
    <row r="35" spans="2:25" x14ac:dyDescent="0.2">
      <c r="B35" t="s">
        <v>88</v>
      </c>
      <c r="C35" s="44"/>
      <c r="D35" s="16">
        <f>(C35-$C$35)*86400</f>
        <v>0</v>
      </c>
      <c r="E35" s="16"/>
      <c r="H35" s="17"/>
      <c r="I35" s="17"/>
      <c r="J35">
        <v>-59</v>
      </c>
      <c r="K35" s="17">
        <f>(J35-'pH-Potential calibration'!$E$27)/'pH-Potential calibration'!$D$27</f>
        <v>7.7405592734225621</v>
      </c>
      <c r="V35" t="s">
        <v>39</v>
      </c>
      <c r="W35" t="s">
        <v>40</v>
      </c>
      <c r="X35">
        <v>2.0312992849592874E-3</v>
      </c>
      <c r="Y35">
        <v>0.19810011303676833</v>
      </c>
    </row>
    <row r="36" spans="2:25" x14ac:dyDescent="0.2">
      <c r="B36" s="4">
        <v>1</v>
      </c>
      <c r="C36" s="43" t="s">
        <v>89</v>
      </c>
      <c r="D36" s="16">
        <v>9</v>
      </c>
      <c r="E36" s="16">
        <f>D36-$D$36</f>
        <v>0</v>
      </c>
      <c r="F36">
        <v>0.68500000000000005</v>
      </c>
      <c r="G36" s="14">
        <f>F36-'Calibration standard'!$D$16</f>
        <v>0.629</v>
      </c>
      <c r="H36" s="17">
        <f>G36/'Calibration standard'!$D$39</f>
        <v>24.256766231945029</v>
      </c>
      <c r="I36" s="17">
        <f>LN(H36)</f>
        <v>3.1886955983387084</v>
      </c>
      <c r="J36">
        <v>-54</v>
      </c>
      <c r="K36" s="17">
        <f>(J36-'pH-Potential calibration'!$E$27)/'pH-Potential calibration'!$D$27</f>
        <v>7.6527246653919692</v>
      </c>
      <c r="L36" s="25">
        <f t="shared" ref="L36:L41" si="9">H36*100/$H$36</f>
        <v>100</v>
      </c>
      <c r="V36" t="s">
        <v>41</v>
      </c>
      <c r="W36" t="s">
        <v>42</v>
      </c>
      <c r="X36">
        <v>0.93790505124469781</v>
      </c>
      <c r="Y36">
        <v>0.34010101616778521</v>
      </c>
    </row>
    <row r="37" spans="2:25" x14ac:dyDescent="0.2">
      <c r="B37" s="4">
        <v>2</v>
      </c>
      <c r="C37" s="43" t="s">
        <v>103</v>
      </c>
      <c r="D37">
        <v>23</v>
      </c>
      <c r="E37" s="16">
        <f t="shared" ref="E37:E45" si="10">D37-$D$36</f>
        <v>14</v>
      </c>
      <c r="F37">
        <v>0.68300000000000005</v>
      </c>
      <c r="G37" s="14">
        <f>F37-'Calibration standard'!$D$16</f>
        <v>0.627</v>
      </c>
      <c r="H37" s="17">
        <f>G37/'Calibration standard'!$D$39</f>
        <v>24.179638199411023</v>
      </c>
      <c r="I37" s="17">
        <f t="shared" ref="I37:I41" si="11">LN(H37)</f>
        <v>3.1855108822711884</v>
      </c>
      <c r="K37" s="17"/>
      <c r="L37" s="25">
        <f t="shared" si="9"/>
        <v>99.682034976152636</v>
      </c>
      <c r="V37" t="s">
        <v>43</v>
      </c>
      <c r="W37" t="s">
        <v>44</v>
      </c>
      <c r="X37">
        <v>120.83495614958368</v>
      </c>
      <c r="Y37">
        <v>8</v>
      </c>
    </row>
    <row r="38" spans="2:25" x14ac:dyDescent="0.2">
      <c r="B38" s="4">
        <v>3</v>
      </c>
      <c r="C38" s="43" t="s">
        <v>91</v>
      </c>
      <c r="D38">
        <v>36</v>
      </c>
      <c r="E38" s="16">
        <f t="shared" si="10"/>
        <v>27</v>
      </c>
      <c r="F38">
        <v>0.67900000000000005</v>
      </c>
      <c r="G38" s="14">
        <f>F38-'Calibration standard'!$D$16</f>
        <v>0.623</v>
      </c>
      <c r="H38" s="17">
        <f>G38/'Calibration standard'!$D$39</f>
        <v>24.025382134343008</v>
      </c>
      <c r="I38" s="17">
        <f t="shared" si="11"/>
        <v>3.179110860425721</v>
      </c>
      <c r="K38" s="17"/>
      <c r="L38" s="25">
        <f t="shared" si="9"/>
        <v>99.046104928457865</v>
      </c>
      <c r="V38" t="s">
        <v>45</v>
      </c>
      <c r="W38" t="s">
        <v>46</v>
      </c>
      <c r="X38">
        <v>13.976822437183138</v>
      </c>
      <c r="Y38">
        <v>0.92534960958688073</v>
      </c>
    </row>
    <row r="39" spans="2:25" x14ac:dyDescent="0.2">
      <c r="B39" s="4">
        <v>4</v>
      </c>
      <c r="C39" s="43" t="s">
        <v>92</v>
      </c>
      <c r="D39">
        <v>52</v>
      </c>
      <c r="E39" s="16">
        <f t="shared" si="10"/>
        <v>43</v>
      </c>
      <c r="F39">
        <v>0.67400000000000004</v>
      </c>
      <c r="G39" s="14">
        <f>F39-'Calibration standard'!$D$16</f>
        <v>0.61799999999999999</v>
      </c>
      <c r="H39" s="17">
        <f>G39/'Calibration standard'!$D$39</f>
        <v>23.832562053007994</v>
      </c>
      <c r="I39" s="17">
        <f t="shared" si="11"/>
        <v>3.1710527990959583</v>
      </c>
      <c r="K39" s="17"/>
      <c r="L39" s="25">
        <f t="shared" si="9"/>
        <v>98.25119236883944</v>
      </c>
      <c r="V39" t="s">
        <v>93</v>
      </c>
      <c r="X39">
        <f>-X34</f>
        <v>2.2329048141156889E-2</v>
      </c>
    </row>
    <row r="40" spans="2:25" x14ac:dyDescent="0.2">
      <c r="B40" s="4">
        <v>5</v>
      </c>
      <c r="C40" s="43" t="s">
        <v>94</v>
      </c>
      <c r="D40">
        <v>67</v>
      </c>
      <c r="E40" s="16">
        <f t="shared" si="10"/>
        <v>58</v>
      </c>
      <c r="F40">
        <v>0.66900000000000004</v>
      </c>
      <c r="G40" s="14">
        <f>F40-'Calibration standard'!$D$16</f>
        <v>0.61299999999999999</v>
      </c>
      <c r="H40" s="17">
        <f>G40/'Calibration standard'!$D$39</f>
        <v>23.639741971672976</v>
      </c>
      <c r="I40" s="17">
        <f t="shared" si="11"/>
        <v>3.1629292775744791</v>
      </c>
      <c r="K40" s="17"/>
      <c r="L40" s="25">
        <f t="shared" si="9"/>
        <v>97.456279809220973</v>
      </c>
    </row>
    <row r="41" spans="2:25" x14ac:dyDescent="0.2">
      <c r="B41" s="4">
        <v>6</v>
      </c>
      <c r="C41" s="43" t="s">
        <v>106</v>
      </c>
      <c r="D41">
        <v>81</v>
      </c>
      <c r="E41" s="16">
        <f t="shared" si="10"/>
        <v>72</v>
      </c>
      <c r="F41">
        <v>0.65900000000000003</v>
      </c>
      <c r="G41" s="14">
        <f>F41-'Calibration standard'!$D$16</f>
        <v>0.60299999999999998</v>
      </c>
      <c r="H41" s="17">
        <f>G41/'Calibration standard'!$D$39</f>
        <v>23.254101809002943</v>
      </c>
      <c r="I41" s="17">
        <f t="shared" si="11"/>
        <v>3.1464815383654532</v>
      </c>
      <c r="J41">
        <v>-54</v>
      </c>
      <c r="K41" s="17">
        <f>(J41-'pH-Potential calibration'!$E$27)/'pH-Potential calibration'!$D$27</f>
        <v>7.6527246653919692</v>
      </c>
      <c r="L41" s="25">
        <f t="shared" si="9"/>
        <v>95.866454689984081</v>
      </c>
    </row>
    <row r="42" spans="2:25" x14ac:dyDescent="0.2">
      <c r="B42" s="4">
        <v>7</v>
      </c>
      <c r="C42" s="43" t="s">
        <v>114</v>
      </c>
      <c r="D42">
        <v>98</v>
      </c>
      <c r="E42" s="16">
        <f t="shared" si="10"/>
        <v>89</v>
      </c>
      <c r="F42">
        <v>0.65200000000000002</v>
      </c>
      <c r="G42" s="14">
        <f>F42-'Calibration standard'!$D$16</f>
        <v>0.59599999999999997</v>
      </c>
      <c r="H42" s="17">
        <f>G42/'Calibration standard'!$D$39</f>
        <v>22.984153695133919</v>
      </c>
      <c r="I42" s="17">
        <f t="shared" ref="I42:I45" si="12">LN(H42)</f>
        <v>3.1348050087036174</v>
      </c>
      <c r="J42">
        <v>-53</v>
      </c>
      <c r="K42" s="17">
        <f>(J42-'pH-Potential calibration'!$E$27)/'pH-Potential calibration'!$D$27</f>
        <v>7.6351577437858511</v>
      </c>
      <c r="L42" s="25">
        <f t="shared" ref="L42:L45" si="13">H42*100/$H$36</f>
        <v>94.753577106518264</v>
      </c>
    </row>
    <row r="43" spans="2:25" x14ac:dyDescent="0.2">
      <c r="B43" s="4">
        <v>8</v>
      </c>
      <c r="C43" s="43" t="s">
        <v>115</v>
      </c>
      <c r="D43">
        <v>127</v>
      </c>
      <c r="E43" s="16">
        <f t="shared" si="10"/>
        <v>118</v>
      </c>
      <c r="F43">
        <v>0.63300000000000001</v>
      </c>
      <c r="G43" s="14">
        <f>F43-'Calibration standard'!$D$16</f>
        <v>0.57699999999999996</v>
      </c>
      <c r="H43" s="17">
        <f>G43/'Calibration standard'!$D$39</f>
        <v>22.251437386060861</v>
      </c>
      <c r="I43" s="17">
        <f t="shared" si="12"/>
        <v>3.1024066081463673</v>
      </c>
      <c r="J43">
        <v>-53</v>
      </c>
      <c r="K43" s="17">
        <f>(J43-'pH-Potential calibration'!$E$27)/'pH-Potential calibration'!$D$27</f>
        <v>7.6351577437858511</v>
      </c>
      <c r="L43" s="25">
        <f t="shared" si="13"/>
        <v>91.732909379968206</v>
      </c>
    </row>
    <row r="44" spans="2:25" x14ac:dyDescent="0.2">
      <c r="B44" s="4">
        <v>9</v>
      </c>
      <c r="C44" s="43" t="s">
        <v>116</v>
      </c>
      <c r="D44">
        <v>146</v>
      </c>
      <c r="E44" s="16">
        <f t="shared" si="10"/>
        <v>137</v>
      </c>
      <c r="F44">
        <v>0.622</v>
      </c>
      <c r="G44" s="14">
        <f>F44-'Calibration standard'!$D$16</f>
        <v>0.56599999999999995</v>
      </c>
      <c r="H44" s="17">
        <f>G44/'Calibration standard'!$D$39</f>
        <v>21.827233207123822</v>
      </c>
      <c r="I44" s="17">
        <f t="shared" si="12"/>
        <v>3.0831584198414506</v>
      </c>
      <c r="J44">
        <v>-53</v>
      </c>
      <c r="K44" s="17">
        <f>(J44-'pH-Potential calibration'!$E$27)/'pH-Potential calibration'!$D$27</f>
        <v>7.6351577437858511</v>
      </c>
      <c r="L44" s="25">
        <f t="shared" si="13"/>
        <v>89.984101748807618</v>
      </c>
    </row>
    <row r="45" spans="2:25" x14ac:dyDescent="0.2">
      <c r="B45" s="4">
        <v>10</v>
      </c>
      <c r="C45" s="43" t="s">
        <v>117</v>
      </c>
      <c r="D45">
        <v>180</v>
      </c>
      <c r="E45" s="16">
        <f t="shared" si="10"/>
        <v>171</v>
      </c>
      <c r="F45">
        <v>0.57999999999999996</v>
      </c>
      <c r="G45" s="14">
        <f>F45-'Calibration standard'!$D$16</f>
        <v>0.52399999999999991</v>
      </c>
      <c r="H45" s="17">
        <f>G45/'Calibration standard'!$D$39</f>
        <v>20.207544523909686</v>
      </c>
      <c r="I45" s="17">
        <f t="shared" si="12"/>
        <v>3.0060560259593094</v>
      </c>
      <c r="J45">
        <v>-53</v>
      </c>
      <c r="K45" s="17">
        <f>(J45-'pH-Potential calibration'!$E$27)/'pH-Potential calibration'!$D$27</f>
        <v>7.6351577437858511</v>
      </c>
      <c r="L45" s="25">
        <f t="shared" si="13"/>
        <v>83.306836248012701</v>
      </c>
    </row>
    <row r="46" spans="2:25" x14ac:dyDescent="0.2">
      <c r="D46" s="43"/>
      <c r="E46" s="43"/>
    </row>
    <row r="47" spans="2:25" x14ac:dyDescent="0.2">
      <c r="C47" s="42"/>
      <c r="G47" s="14"/>
      <c r="H47" s="17"/>
      <c r="I47" s="17"/>
      <c r="K47" s="17"/>
    </row>
    <row r="48" spans="2:25" x14ac:dyDescent="0.2">
      <c r="B48" t="s">
        <v>140</v>
      </c>
      <c r="C48" s="1" t="s">
        <v>118</v>
      </c>
      <c r="D48" t="s">
        <v>75</v>
      </c>
      <c r="F48" s="17">
        <f>AVERAGE(K51:K60)</f>
        <v>7.6326481835564062</v>
      </c>
      <c r="G48" t="s">
        <v>76</v>
      </c>
      <c r="H48">
        <f>STDEV(K51:K60)</f>
        <v>1.2122327584049512E-2</v>
      </c>
      <c r="V48" t="s">
        <v>36</v>
      </c>
    </row>
    <row r="49" spans="2:25" x14ac:dyDescent="0.2">
      <c r="B49" t="s">
        <v>77</v>
      </c>
      <c r="C49" t="s">
        <v>78</v>
      </c>
      <c r="D49" t="s">
        <v>79</v>
      </c>
      <c r="F49" t="s">
        <v>81</v>
      </c>
      <c r="G49" t="s">
        <v>71</v>
      </c>
      <c r="H49" t="s">
        <v>82</v>
      </c>
      <c r="I49" t="s">
        <v>83</v>
      </c>
      <c r="J49" t="s">
        <v>84</v>
      </c>
      <c r="K49" t="s">
        <v>85</v>
      </c>
      <c r="L49" t="s">
        <v>113</v>
      </c>
      <c r="M49" t="s">
        <v>34</v>
      </c>
      <c r="N49" t="s">
        <v>87</v>
      </c>
      <c r="V49" t="s">
        <v>37</v>
      </c>
      <c r="W49" t="s">
        <v>38</v>
      </c>
      <c r="X49" cm="1">
        <f t="array" ref="X49:Y53">LINEST(H51:H60,D51:D60,,TRUE)</f>
        <v>-7.212317133802942E-3</v>
      </c>
      <c r="Y49">
        <v>15.511077169495994</v>
      </c>
    </row>
    <row r="50" spans="2:25" x14ac:dyDescent="0.2">
      <c r="B50" t="s">
        <v>88</v>
      </c>
      <c r="C50" s="44"/>
      <c r="D50" s="16"/>
      <c r="E50" s="16"/>
      <c r="H50" s="17"/>
      <c r="I50" s="17"/>
      <c r="J50">
        <v>-59</v>
      </c>
      <c r="K50" s="17">
        <f>(J50-'pH-Potential calibration'!$E$27)/'pH-Potential calibration'!$D$27</f>
        <v>7.7405592734225621</v>
      </c>
      <c r="V50" t="s">
        <v>39</v>
      </c>
      <c r="W50" t="s">
        <v>40</v>
      </c>
      <c r="X50">
        <v>3.7248402569723912E-4</v>
      </c>
      <c r="Y50">
        <v>3.6408860699956046E-2</v>
      </c>
    </row>
    <row r="51" spans="2:25" x14ac:dyDescent="0.2">
      <c r="B51" s="4">
        <v>1</v>
      </c>
      <c r="C51" s="43" t="s">
        <v>89</v>
      </c>
      <c r="D51" s="16">
        <v>9</v>
      </c>
      <c r="E51" s="16">
        <f>D51-$D$36</f>
        <v>0</v>
      </c>
      <c r="F51">
        <v>0.45600000000000002</v>
      </c>
      <c r="G51" s="14">
        <f>F51-'Calibration standard'!$D$16</f>
        <v>0.4</v>
      </c>
      <c r="H51" s="17">
        <f>G51/'Calibration standard'!$D$39</f>
        <v>15.425606506801291</v>
      </c>
      <c r="I51" s="17">
        <f>LN(H51)</f>
        <v>2.7360288887462496</v>
      </c>
      <c r="J51">
        <v>-54</v>
      </c>
      <c r="K51" s="17">
        <f>(J51-'pH-Potential calibration'!$E$27)/'pH-Potential calibration'!$D$27</f>
        <v>7.6527246653919692</v>
      </c>
      <c r="L51" s="25">
        <f>H51*100/$H$51</f>
        <v>100</v>
      </c>
      <c r="V51" t="s">
        <v>41</v>
      </c>
      <c r="W51" t="s">
        <v>42</v>
      </c>
      <c r="X51">
        <v>0.97910770590738405</v>
      </c>
      <c r="Y51">
        <v>5.9853558571507905E-2</v>
      </c>
    </row>
    <row r="52" spans="2:25" x14ac:dyDescent="0.2">
      <c r="B52" s="4">
        <v>2</v>
      </c>
      <c r="C52" s="43" t="s">
        <v>90</v>
      </c>
      <c r="D52">
        <v>21</v>
      </c>
      <c r="E52" s="16">
        <f t="shared" ref="E52:E60" si="14">D52-$D$36</f>
        <v>12</v>
      </c>
      <c r="F52">
        <v>0.45400000000000001</v>
      </c>
      <c r="G52" s="14">
        <f>F52-'Calibration standard'!$D$16</f>
        <v>0.39800000000000002</v>
      </c>
      <c r="H52" s="17">
        <f>G52/'Calibration standard'!$D$39</f>
        <v>15.348478474267285</v>
      </c>
      <c r="I52" s="17">
        <f t="shared" ref="I52:I60" si="15">LN(H52)</f>
        <v>2.7310163469227056</v>
      </c>
      <c r="K52" s="17"/>
      <c r="L52" s="25">
        <f t="shared" ref="L52:L59" si="16">H52*100/$H$51</f>
        <v>99.5</v>
      </c>
      <c r="V52" t="s">
        <v>43</v>
      </c>
      <c r="W52" t="s">
        <v>44</v>
      </c>
      <c r="X52">
        <v>374.91630227565417</v>
      </c>
      <c r="Y52">
        <v>8</v>
      </c>
    </row>
    <row r="53" spans="2:25" x14ac:dyDescent="0.2">
      <c r="B53" s="4">
        <v>3</v>
      </c>
      <c r="C53" s="43" t="s">
        <v>119</v>
      </c>
      <c r="D53">
        <v>37</v>
      </c>
      <c r="E53" s="16">
        <f t="shared" si="14"/>
        <v>28</v>
      </c>
      <c r="F53">
        <v>0.45200000000000001</v>
      </c>
      <c r="G53" s="14">
        <f>F53-'Calibration standard'!$D$16</f>
        <v>0.39600000000000002</v>
      </c>
      <c r="H53" s="17">
        <f>G53/'Calibration standard'!$D$39</f>
        <v>15.271350441733277</v>
      </c>
      <c r="I53" s="17">
        <f t="shared" si="15"/>
        <v>2.725978552892748</v>
      </c>
      <c r="J53">
        <v>-53</v>
      </c>
      <c r="K53" s="17">
        <f>(J53-'pH-Potential calibration'!$E$27)/'pH-Potential calibration'!$D$27</f>
        <v>7.6351577437858511</v>
      </c>
      <c r="L53" s="25">
        <f t="shared" si="16"/>
        <v>99</v>
      </c>
      <c r="V53" t="s">
        <v>45</v>
      </c>
      <c r="W53" t="s">
        <v>46</v>
      </c>
      <c r="X53">
        <v>1.3431183348425151</v>
      </c>
      <c r="Y53">
        <v>2.8659587789383417E-2</v>
      </c>
    </row>
    <row r="54" spans="2:25" x14ac:dyDescent="0.2">
      <c r="B54" s="4">
        <v>4</v>
      </c>
      <c r="C54" s="43" t="s">
        <v>120</v>
      </c>
      <c r="D54">
        <v>57</v>
      </c>
      <c r="E54" s="16">
        <f t="shared" si="14"/>
        <v>48</v>
      </c>
      <c r="F54">
        <v>0.44600000000000001</v>
      </c>
      <c r="G54" s="14">
        <f>F54-'Calibration standard'!$D$16</f>
        <v>0.39</v>
      </c>
      <c r="H54" s="17">
        <f>G54/'Calibration standard'!$D$39</f>
        <v>15.039966344131258</v>
      </c>
      <c r="I54" s="17">
        <f t="shared" si="15"/>
        <v>2.7107110807619597</v>
      </c>
      <c r="K54" s="17"/>
      <c r="L54" s="25">
        <f t="shared" si="16"/>
        <v>97.5</v>
      </c>
      <c r="V54" t="s">
        <v>93</v>
      </c>
      <c r="X54">
        <f>-X49</f>
        <v>7.212317133802942E-3</v>
      </c>
    </row>
    <row r="55" spans="2:25" x14ac:dyDescent="0.2">
      <c r="B55" s="4">
        <v>5</v>
      </c>
      <c r="C55" s="43" t="s">
        <v>121</v>
      </c>
      <c r="D55">
        <v>73</v>
      </c>
      <c r="E55" s="16">
        <f t="shared" si="14"/>
        <v>64</v>
      </c>
      <c r="F55">
        <v>0.44600000000000001</v>
      </c>
      <c r="G55" s="14">
        <f>F55-'Calibration standard'!$D$16</f>
        <v>0.39</v>
      </c>
      <c r="H55" s="17">
        <f>G55/'Calibration standard'!$D$39</f>
        <v>15.039966344131258</v>
      </c>
      <c r="I55" s="17">
        <f t="shared" si="15"/>
        <v>2.7107110807619597</v>
      </c>
      <c r="J55">
        <v>-53</v>
      </c>
      <c r="K55" s="17">
        <f>(J55-'pH-Potential calibration'!$E$27)/'pH-Potential calibration'!$D$27</f>
        <v>7.6351577437858511</v>
      </c>
      <c r="L55" s="25">
        <f t="shared" si="16"/>
        <v>97.5</v>
      </c>
    </row>
    <row r="56" spans="2:25" x14ac:dyDescent="0.2">
      <c r="B56" s="4">
        <v>6</v>
      </c>
      <c r="C56" s="43" t="s">
        <v>122</v>
      </c>
      <c r="D56">
        <v>88</v>
      </c>
      <c r="E56" s="16">
        <f t="shared" si="14"/>
        <v>79</v>
      </c>
      <c r="F56">
        <v>0.44400000000000001</v>
      </c>
      <c r="G56" s="14">
        <f>F56-'Calibration standard'!$D$16</f>
        <v>0.38800000000000001</v>
      </c>
      <c r="H56" s="17">
        <f>G56/'Calibration standard'!$D$39</f>
        <v>14.962838311597253</v>
      </c>
      <c r="I56" s="17">
        <f t="shared" si="15"/>
        <v>2.7055696812615411</v>
      </c>
      <c r="J56">
        <v>-53</v>
      </c>
      <c r="K56" s="17">
        <f>(J56-'pH-Potential calibration'!$E$27)/'pH-Potential calibration'!$D$27</f>
        <v>7.6351577437858511</v>
      </c>
      <c r="L56" s="25">
        <f t="shared" si="16"/>
        <v>97</v>
      </c>
    </row>
    <row r="57" spans="2:25" x14ac:dyDescent="0.2">
      <c r="B57" s="4">
        <v>7</v>
      </c>
      <c r="C57" s="43" t="s">
        <v>123</v>
      </c>
      <c r="D57">
        <f>60+51</f>
        <v>111</v>
      </c>
      <c r="E57" s="16">
        <f t="shared" si="14"/>
        <v>102</v>
      </c>
      <c r="F57">
        <v>0.436</v>
      </c>
      <c r="G57" s="14">
        <f>F57-'Calibration standard'!$D$16</f>
        <v>0.38</v>
      </c>
      <c r="H57" s="17">
        <f>G57/'Calibration standard'!$D$39</f>
        <v>14.654326181461226</v>
      </c>
      <c r="I57" s="17">
        <f t="shared" si="15"/>
        <v>2.684735594358699</v>
      </c>
      <c r="K57" s="17"/>
      <c r="L57" s="25">
        <f t="shared" si="16"/>
        <v>95</v>
      </c>
    </row>
    <row r="58" spans="2:25" x14ac:dyDescent="0.2">
      <c r="B58" s="4">
        <v>8</v>
      </c>
      <c r="C58" s="43" t="s">
        <v>124</v>
      </c>
      <c r="D58">
        <v>128</v>
      </c>
      <c r="E58" s="16">
        <f t="shared" si="14"/>
        <v>119</v>
      </c>
      <c r="F58">
        <v>0.435</v>
      </c>
      <c r="G58" s="14">
        <f>F58-'Calibration standard'!$D$16</f>
        <v>0.379</v>
      </c>
      <c r="H58" s="17">
        <f>G58/'Calibration standard'!$D$39</f>
        <v>14.615762165194223</v>
      </c>
      <c r="I58" s="17">
        <f t="shared" si="15"/>
        <v>2.6821005467206942</v>
      </c>
      <c r="J58">
        <v>-53</v>
      </c>
      <c r="K58" s="17">
        <f>(J58-'pH-Potential calibration'!$E$27)/'pH-Potential calibration'!$D$27</f>
        <v>7.6351577437858511</v>
      </c>
      <c r="L58" s="25">
        <f t="shared" si="16"/>
        <v>94.75</v>
      </c>
    </row>
    <row r="59" spans="2:25" x14ac:dyDescent="0.2">
      <c r="B59" s="4">
        <v>9</v>
      </c>
      <c r="C59" s="43" t="s">
        <v>125</v>
      </c>
      <c r="D59">
        <f>120+24</f>
        <v>144</v>
      </c>
      <c r="E59" s="16">
        <f t="shared" si="14"/>
        <v>135</v>
      </c>
      <c r="F59">
        <v>0.42899999999999999</v>
      </c>
      <c r="G59" s="14">
        <f>F59-'Calibration standard'!$D$16</f>
        <v>0.373</v>
      </c>
      <c r="H59" s="17">
        <f>G59/'Calibration standard'!$D$39</f>
        <v>14.384378067592202</v>
      </c>
      <c r="I59" s="17">
        <f t="shared" si="15"/>
        <v>2.6661427612820829</v>
      </c>
      <c r="J59">
        <v>-52</v>
      </c>
      <c r="K59" s="17">
        <f>(J59-'pH-Potential calibration'!$E$27)/'pH-Potential calibration'!$D$27</f>
        <v>7.6175908221797322</v>
      </c>
      <c r="L59" s="25">
        <f t="shared" si="16"/>
        <v>93.249999999999986</v>
      </c>
    </row>
    <row r="60" spans="2:25" x14ac:dyDescent="0.2">
      <c r="B60" s="4">
        <v>10</v>
      </c>
      <c r="C60" s="43" t="s">
        <v>126</v>
      </c>
      <c r="D60">
        <f>120+47</f>
        <v>167</v>
      </c>
      <c r="E60" s="16">
        <f t="shared" si="14"/>
        <v>158</v>
      </c>
      <c r="F60">
        <v>0.42799999999999999</v>
      </c>
      <c r="G60" s="14">
        <f>F60-'Calibration standard'!$D$16</f>
        <v>0.372</v>
      </c>
      <c r="H60" s="17">
        <f>G60/'Calibration standard'!$D$39</f>
        <v>14.345814051325199</v>
      </c>
      <c r="I60" s="17">
        <f t="shared" si="15"/>
        <v>2.6634581959114141</v>
      </c>
      <c r="J60">
        <v>-52</v>
      </c>
      <c r="K60" s="17">
        <f>(J60-'pH-Potential calibration'!$E$27)/'pH-Potential calibration'!$D$27</f>
        <v>7.6175908221797322</v>
      </c>
      <c r="L60" s="25">
        <f>H60*100/$H$51</f>
        <v>92.999999999999986</v>
      </c>
    </row>
    <row r="61" spans="2:25" x14ac:dyDescent="0.2">
      <c r="D61" s="43"/>
      <c r="E61" s="43"/>
    </row>
    <row r="62" spans="2:25" x14ac:dyDescent="0.2">
      <c r="C62" s="42"/>
      <c r="G62" s="14"/>
      <c r="H62" s="17"/>
      <c r="I62" s="17"/>
      <c r="K62" s="17"/>
    </row>
    <row r="63" spans="2:25" x14ac:dyDescent="0.2">
      <c r="B63" t="s">
        <v>73</v>
      </c>
      <c r="C63" s="1" t="s">
        <v>127</v>
      </c>
      <c r="D63" t="s">
        <v>75</v>
      </c>
      <c r="F63" s="17">
        <f>AVERAGE(K66:K71)</f>
        <v>7.6351577437858511</v>
      </c>
      <c r="G63" t="s">
        <v>76</v>
      </c>
      <c r="H63">
        <f>STDEV(K66:K71)</f>
        <v>0</v>
      </c>
      <c r="V63" t="s">
        <v>36</v>
      </c>
    </row>
    <row r="64" spans="2:25" x14ac:dyDescent="0.2">
      <c r="B64" t="s">
        <v>77</v>
      </c>
      <c r="C64" t="s">
        <v>78</v>
      </c>
      <c r="D64" t="s">
        <v>79</v>
      </c>
      <c r="E64" t="s">
        <v>80</v>
      </c>
      <c r="F64" t="s">
        <v>81</v>
      </c>
      <c r="G64" t="s">
        <v>71</v>
      </c>
      <c r="H64" t="s">
        <v>82</v>
      </c>
      <c r="I64" t="s">
        <v>83</v>
      </c>
      <c r="J64" t="s">
        <v>84</v>
      </c>
      <c r="K64" t="s">
        <v>85</v>
      </c>
      <c r="L64" t="s">
        <v>86</v>
      </c>
      <c r="M64" t="s">
        <v>34</v>
      </c>
      <c r="N64" t="s">
        <v>87</v>
      </c>
      <c r="V64" t="s">
        <v>37</v>
      </c>
      <c r="W64" t="s">
        <v>38</v>
      </c>
      <c r="X64" cm="1">
        <f t="array" ref="X64:Y68">LINEST(H66:H70,D66:D70,,TRUE)</f>
        <v>-1.9080643668093918E-2</v>
      </c>
      <c r="Y64">
        <v>10.181847251704554</v>
      </c>
    </row>
    <row r="65" spans="2:25" x14ac:dyDescent="0.2">
      <c r="B65" t="s">
        <v>88</v>
      </c>
      <c r="C65" s="44"/>
      <c r="D65" s="16"/>
      <c r="E65" s="16"/>
      <c r="H65" s="17"/>
      <c r="I65" s="17"/>
      <c r="J65">
        <v>-56</v>
      </c>
      <c r="K65" s="17">
        <f>(J65-'pH-Potential calibration'!$E$27)/'pH-Potential calibration'!$D$27</f>
        <v>7.6878585086042062</v>
      </c>
      <c r="V65" t="s">
        <v>39</v>
      </c>
      <c r="W65" t="s">
        <v>40</v>
      </c>
      <c r="X65">
        <v>8.893873587419919E-4</v>
      </c>
      <c r="Y65">
        <v>3.342487615358232E-2</v>
      </c>
    </row>
    <row r="66" spans="2:25" x14ac:dyDescent="0.2">
      <c r="B66" s="4">
        <v>1</v>
      </c>
      <c r="C66" s="43" t="s">
        <v>141</v>
      </c>
      <c r="D66" s="16">
        <v>10</v>
      </c>
      <c r="E66" s="16">
        <f>D66-$D$66</f>
        <v>0</v>
      </c>
      <c r="F66">
        <v>0.315</v>
      </c>
      <c r="G66" s="14">
        <f>F66-'Calibration standard'!$D$16</f>
        <v>0.25900000000000001</v>
      </c>
      <c r="H66" s="17">
        <f>G66/'Calibration standard'!$D$39</f>
        <v>9.988080213153836</v>
      </c>
      <c r="I66" s="17">
        <f>LN(H66)</f>
        <v>2.3013924033378057</v>
      </c>
      <c r="J66">
        <v>-53</v>
      </c>
      <c r="K66" s="17">
        <f>(J66-'pH-Potential calibration'!$E$27)/'pH-Potential calibration'!$D$27</f>
        <v>7.6351577437858511</v>
      </c>
      <c r="L66" s="25">
        <f>H66*100/$H$66</f>
        <v>100</v>
      </c>
      <c r="M66">
        <v>0.313</v>
      </c>
      <c r="V66" t="s">
        <v>41</v>
      </c>
      <c r="W66" t="s">
        <v>42</v>
      </c>
      <c r="X66">
        <v>0.99352416830178991</v>
      </c>
      <c r="Y66">
        <v>3.3481624710831888E-2</v>
      </c>
    </row>
    <row r="67" spans="2:25" x14ac:dyDescent="0.2">
      <c r="B67" s="4">
        <v>2</v>
      </c>
      <c r="C67" s="43" t="s">
        <v>90</v>
      </c>
      <c r="D67">
        <v>21</v>
      </c>
      <c r="E67" s="16">
        <f t="shared" ref="E67:E75" si="17">D67-$D$66</f>
        <v>11</v>
      </c>
      <c r="F67">
        <v>0.309</v>
      </c>
      <c r="G67" s="14">
        <f>F67-'Calibration standard'!$D$16</f>
        <v>0.253</v>
      </c>
      <c r="H67" s="17">
        <f>G67/'Calibration standard'!$D$39</f>
        <v>9.7566961155518168</v>
      </c>
      <c r="I67" s="17">
        <f t="shared" ref="I67:I75" si="18">LN(H67)</f>
        <v>2.2779538303657878</v>
      </c>
      <c r="K67" s="17"/>
      <c r="L67" s="25">
        <f t="shared" ref="L67:L75" si="19">H67*100/$H$66</f>
        <v>97.683397683397686</v>
      </c>
      <c r="M67">
        <v>0.30599999999999999</v>
      </c>
      <c r="V67" t="s">
        <v>43</v>
      </c>
      <c r="W67" t="s">
        <v>44</v>
      </c>
      <c r="X67">
        <v>460.26095856216227</v>
      </c>
      <c r="Y67">
        <v>3</v>
      </c>
    </row>
    <row r="68" spans="2:25" x14ac:dyDescent="0.2">
      <c r="B68" s="4">
        <v>3</v>
      </c>
      <c r="C68" s="43" t="s">
        <v>159</v>
      </c>
      <c r="D68">
        <v>34</v>
      </c>
      <c r="E68" s="16">
        <f t="shared" si="17"/>
        <v>24</v>
      </c>
      <c r="F68">
        <v>0.30399999999999999</v>
      </c>
      <c r="G68" s="14">
        <f>F68-'Calibration standard'!$D$16</f>
        <v>0.248</v>
      </c>
      <c r="H68" s="17">
        <f>G68/'Calibration standard'!$D$39</f>
        <v>9.5638760342168005</v>
      </c>
      <c r="I68" s="17">
        <f t="shared" si="18"/>
        <v>2.2579930878032499</v>
      </c>
      <c r="K68" s="17"/>
      <c r="L68" s="25">
        <f t="shared" si="19"/>
        <v>95.752895752895753</v>
      </c>
      <c r="M68">
        <v>0.30099999999999999</v>
      </c>
      <c r="V68" t="s">
        <v>45</v>
      </c>
      <c r="W68" t="s">
        <v>46</v>
      </c>
      <c r="X68">
        <v>0.51596136846424856</v>
      </c>
      <c r="Y68">
        <v>3.363057579830965E-3</v>
      </c>
    </row>
    <row r="69" spans="2:25" x14ac:dyDescent="0.2">
      <c r="B69" s="4">
        <v>4</v>
      </c>
      <c r="C69" s="43" t="s">
        <v>160</v>
      </c>
      <c r="D69">
        <v>46</v>
      </c>
      <c r="E69" s="16">
        <f t="shared" si="17"/>
        <v>36</v>
      </c>
      <c r="F69">
        <v>0.29799999999999999</v>
      </c>
      <c r="G69" s="14">
        <f>F69-'Calibration standard'!$D$16</f>
        <v>0.24199999999999999</v>
      </c>
      <c r="H69" s="17">
        <f>G69/'Calibration standard'!$D$39</f>
        <v>9.3324919366147796</v>
      </c>
      <c r="I69" s="17">
        <f t="shared" si="18"/>
        <v>2.2335020677949542</v>
      </c>
      <c r="J69">
        <v>-53</v>
      </c>
      <c r="K69" s="17">
        <f>(J69-'pH-Potential calibration'!$E$27)/'pH-Potential calibration'!$D$27</f>
        <v>7.6351577437858511</v>
      </c>
      <c r="L69" s="25">
        <f t="shared" si="19"/>
        <v>93.436293436293425</v>
      </c>
      <c r="M69">
        <v>0.3</v>
      </c>
      <c r="V69" t="s">
        <v>93</v>
      </c>
      <c r="X69">
        <f>-X64</f>
        <v>1.9080643668093918E-2</v>
      </c>
    </row>
    <row r="70" spans="2:25" x14ac:dyDescent="0.2">
      <c r="B70" s="4">
        <v>5</v>
      </c>
      <c r="C70" s="43" t="s">
        <v>120</v>
      </c>
      <c r="D70">
        <v>57</v>
      </c>
      <c r="E70" s="16">
        <f t="shared" si="17"/>
        <v>47</v>
      </c>
      <c r="F70">
        <v>0.29099999999999998</v>
      </c>
      <c r="G70" s="14">
        <f>F70-'Calibration standard'!$D$16</f>
        <v>0.23499999999999999</v>
      </c>
      <c r="H70" s="17">
        <f>G70/'Calibration standard'!$D$39</f>
        <v>9.0625438227457575</v>
      </c>
      <c r="I70" s="17">
        <f t="shared" si="18"/>
        <v>2.2041498557824264</v>
      </c>
      <c r="K70" s="17"/>
      <c r="L70" s="25">
        <f t="shared" si="19"/>
        <v>90.733590733590717</v>
      </c>
      <c r="M70">
        <v>0.28999999999999998</v>
      </c>
    </row>
    <row r="71" spans="2:25" x14ac:dyDescent="0.2">
      <c r="B71" s="4">
        <v>6</v>
      </c>
      <c r="C71" s="43" t="s">
        <v>132</v>
      </c>
      <c r="D71">
        <v>69</v>
      </c>
      <c r="E71" s="16">
        <f t="shared" si="17"/>
        <v>59</v>
      </c>
      <c r="F71">
        <v>0.28599999999999998</v>
      </c>
      <c r="G71" s="14">
        <f>F71-'Calibration standard'!$D$16</f>
        <v>0.22999999999999998</v>
      </c>
      <c r="H71" s="17">
        <f>G71/'Calibration standard'!$D$39</f>
        <v>8.8697237414107413</v>
      </c>
      <c r="I71" s="17">
        <f t="shared" si="18"/>
        <v>2.182643650561463</v>
      </c>
      <c r="K71" s="17"/>
      <c r="L71" s="25">
        <f t="shared" si="19"/>
        <v>88.803088803088798</v>
      </c>
      <c r="M71">
        <v>0.28399999999999997</v>
      </c>
    </row>
    <row r="72" spans="2:25" x14ac:dyDescent="0.2">
      <c r="B72" s="4">
        <v>7</v>
      </c>
      <c r="C72" s="43" t="s">
        <v>150</v>
      </c>
      <c r="D72">
        <v>83</v>
      </c>
      <c r="E72" s="16">
        <f t="shared" si="17"/>
        <v>73</v>
      </c>
      <c r="F72">
        <v>0.27700000000000002</v>
      </c>
      <c r="G72" s="14">
        <f>F72-'Calibration standard'!$D$16</f>
        <v>0.22100000000000003</v>
      </c>
      <c r="H72" s="17">
        <f>G72/'Calibration standard'!$D$39</f>
        <v>8.5226475950077134</v>
      </c>
      <c r="I72" s="17">
        <f t="shared" si="18"/>
        <v>2.1427270431560204</v>
      </c>
      <c r="K72" s="17"/>
      <c r="L72" s="25">
        <f t="shared" si="19"/>
        <v>85.328185328185327</v>
      </c>
      <c r="M72">
        <v>0.27800000000000002</v>
      </c>
    </row>
    <row r="73" spans="2:25" x14ac:dyDescent="0.2">
      <c r="B73" s="4">
        <v>8</v>
      </c>
      <c r="C73" s="43" t="s">
        <v>161</v>
      </c>
      <c r="D73">
        <v>96</v>
      </c>
      <c r="E73" s="16">
        <f t="shared" si="17"/>
        <v>86</v>
      </c>
      <c r="F73">
        <v>0.27600000000000002</v>
      </c>
      <c r="G73" s="14">
        <f>F73-'Calibration standard'!$D$16</f>
        <v>0.22000000000000003</v>
      </c>
      <c r="H73" s="17">
        <f>G73/'Calibration standard'!$D$39</f>
        <v>8.4840835787407105</v>
      </c>
      <c r="I73" s="17">
        <f t="shared" si="18"/>
        <v>2.1381918879906294</v>
      </c>
      <c r="K73" s="17"/>
      <c r="L73" s="25">
        <f t="shared" si="19"/>
        <v>84.942084942084946</v>
      </c>
      <c r="M73">
        <v>0.27300000000000002</v>
      </c>
    </row>
    <row r="74" spans="2:25" x14ac:dyDescent="0.2">
      <c r="B74" s="4">
        <v>9</v>
      </c>
      <c r="C74" s="43" t="s">
        <v>162</v>
      </c>
      <c r="D74">
        <v>109</v>
      </c>
      <c r="E74" s="16">
        <f t="shared" si="17"/>
        <v>99</v>
      </c>
      <c r="F74">
        <v>0.26600000000000001</v>
      </c>
      <c r="G74" s="14">
        <f>F74-'Calibration standard'!$D$16</f>
        <v>0.21000000000000002</v>
      </c>
      <c r="H74" s="17">
        <f>G74/'Calibration standard'!$D$39</f>
        <v>8.098443416070678</v>
      </c>
      <c r="I74" s="17">
        <f t="shared" si="18"/>
        <v>2.0916718723557364</v>
      </c>
      <c r="K74" s="17"/>
      <c r="L74" s="25">
        <f t="shared" si="19"/>
        <v>81.081081081081081</v>
      </c>
      <c r="M74">
        <v>0.26500000000000001</v>
      </c>
    </row>
    <row r="75" spans="2:25" x14ac:dyDescent="0.2">
      <c r="B75" s="4">
        <v>10</v>
      </c>
      <c r="C75" s="43" t="s">
        <v>163</v>
      </c>
      <c r="D75">
        <v>131</v>
      </c>
      <c r="E75" s="16">
        <f t="shared" si="17"/>
        <v>121</v>
      </c>
      <c r="F75">
        <v>0.25600000000000001</v>
      </c>
      <c r="G75" s="14">
        <f>F75-'Calibration standard'!$D$16</f>
        <v>0.2</v>
      </c>
      <c r="H75" s="17">
        <f>G75/'Calibration standard'!$D$39</f>
        <v>7.7128032534006454</v>
      </c>
      <c r="I75" s="17">
        <f t="shared" si="18"/>
        <v>2.0428817081863042</v>
      </c>
      <c r="J75">
        <v>-53</v>
      </c>
      <c r="K75" s="17">
        <f>(J75-'pH-Potential calibration'!$E$27)/'pH-Potential calibration'!$D$27</f>
        <v>7.6351577437858511</v>
      </c>
      <c r="L75" s="25">
        <f t="shared" si="19"/>
        <v>77.220077220077215</v>
      </c>
      <c r="M75">
        <v>0.255</v>
      </c>
    </row>
    <row r="76" spans="2:25" x14ac:dyDescent="0.2">
      <c r="B76" s="4"/>
      <c r="D76" s="43"/>
      <c r="E76" s="43"/>
      <c r="K76" s="17"/>
    </row>
    <row r="77" spans="2:25" x14ac:dyDescent="0.2">
      <c r="B77" t="s">
        <v>73</v>
      </c>
      <c r="C77" s="1" t="s">
        <v>128</v>
      </c>
      <c r="D77" t="s">
        <v>75</v>
      </c>
      <c r="F77" s="17">
        <f>AVERAGE(K80:K85)</f>
        <v>7.6351577437858511</v>
      </c>
      <c r="G77" t="s">
        <v>76</v>
      </c>
      <c r="H77">
        <v>0</v>
      </c>
      <c r="V77" t="s">
        <v>36</v>
      </c>
    </row>
    <row r="78" spans="2:25" x14ac:dyDescent="0.2">
      <c r="B78" t="s">
        <v>77</v>
      </c>
      <c r="C78" t="s">
        <v>78</v>
      </c>
      <c r="D78" t="s">
        <v>79</v>
      </c>
      <c r="E78" t="s">
        <v>80</v>
      </c>
      <c r="F78" t="s">
        <v>81</v>
      </c>
      <c r="G78" t="s">
        <v>71</v>
      </c>
      <c r="H78" t="s">
        <v>82</v>
      </c>
      <c r="I78" t="s">
        <v>83</v>
      </c>
      <c r="J78" t="s">
        <v>84</v>
      </c>
      <c r="K78" t="s">
        <v>85</v>
      </c>
      <c r="L78" t="s">
        <v>86</v>
      </c>
      <c r="M78" t="s">
        <v>34</v>
      </c>
      <c r="N78" t="s">
        <v>87</v>
      </c>
      <c r="V78" t="s">
        <v>37</v>
      </c>
      <c r="W78" t="s">
        <v>38</v>
      </c>
      <c r="X78" cm="1">
        <f t="array" ref="X78:Y82">LINEST(H80:H89,D80:D89,,TRUE)</f>
        <v>-3.3778234610352544E-2</v>
      </c>
      <c r="Y78">
        <v>39.693237026140039</v>
      </c>
    </row>
    <row r="79" spans="2:25" x14ac:dyDescent="0.2">
      <c r="B79" t="s">
        <v>88</v>
      </c>
      <c r="C79" s="44"/>
      <c r="D79" s="16"/>
      <c r="E79" s="16"/>
      <c r="H79" s="17"/>
      <c r="I79" s="17"/>
      <c r="J79">
        <v>-55</v>
      </c>
      <c r="K79" s="17">
        <f>(J79-'pH-Potential calibration'!$E$27)/'pH-Potential calibration'!$D$27</f>
        <v>7.6702915869980881</v>
      </c>
      <c r="V79" t="s">
        <v>39</v>
      </c>
      <c r="W79" t="s">
        <v>40</v>
      </c>
      <c r="X79">
        <v>2.453444338479484E-3</v>
      </c>
      <c r="Y79">
        <v>0.17342224715775628</v>
      </c>
    </row>
    <row r="80" spans="2:25" x14ac:dyDescent="0.2">
      <c r="B80" s="4">
        <v>1</v>
      </c>
      <c r="C80" s="43" t="s">
        <v>89</v>
      </c>
      <c r="D80" s="16">
        <v>9</v>
      </c>
      <c r="E80" s="16">
        <f>D80-$D$5</f>
        <v>0</v>
      </c>
      <c r="F80">
        <v>1.069</v>
      </c>
      <c r="G80" s="14">
        <f>F80-'Calibration standard'!$D$16</f>
        <v>1.0129999999999999</v>
      </c>
      <c r="H80" s="17">
        <f>G80/'Calibration standard'!$D$39</f>
        <v>39.065348478474263</v>
      </c>
      <c r="I80" s="17">
        <f>LN(H80)</f>
        <v>3.6652358458869512</v>
      </c>
      <c r="J80">
        <v>-53</v>
      </c>
      <c r="K80" s="17">
        <f>(J80-'pH-Potential calibration'!$E$27)/'pH-Potential calibration'!$D$27</f>
        <v>7.6351577437858511</v>
      </c>
      <c r="L80" s="25">
        <f>H80*100/$H$80</f>
        <v>100</v>
      </c>
      <c r="V80" t="s">
        <v>41</v>
      </c>
      <c r="W80" t="s">
        <v>42</v>
      </c>
      <c r="X80">
        <v>0.95950371618170882</v>
      </c>
      <c r="Y80">
        <v>0.24868293837656616</v>
      </c>
    </row>
    <row r="81" spans="2:25" x14ac:dyDescent="0.2">
      <c r="B81" s="4">
        <v>2</v>
      </c>
      <c r="C81" s="43" t="s">
        <v>103</v>
      </c>
      <c r="D81">
        <v>23</v>
      </c>
      <c r="E81" s="16">
        <f t="shared" ref="E81:E89" si="20">D81-$D$5</f>
        <v>14</v>
      </c>
      <c r="F81">
        <v>1.0640000000000001</v>
      </c>
      <c r="G81" s="14">
        <f>F81-'Calibration standard'!$D$16</f>
        <v>1.008</v>
      </c>
      <c r="H81" s="17">
        <f>G81/'Calibration standard'!$D$39</f>
        <v>38.872528397139249</v>
      </c>
      <c r="I81" s="17">
        <f t="shared" ref="I81:I89" si="21">LN(H81)</f>
        <v>3.6602877902695816</v>
      </c>
      <c r="K81" s="17"/>
      <c r="L81" s="25">
        <f t="shared" ref="L81:L89" si="22">H81*100/$H$80</f>
        <v>99.506416584402771</v>
      </c>
      <c r="V81" t="s">
        <v>43</v>
      </c>
      <c r="W81" t="s">
        <v>44</v>
      </c>
      <c r="X81">
        <v>189.54899081348819</v>
      </c>
      <c r="Y81">
        <v>8</v>
      </c>
    </row>
    <row r="82" spans="2:25" x14ac:dyDescent="0.2">
      <c r="B82" s="4">
        <v>3</v>
      </c>
      <c r="C82" s="43" t="s">
        <v>129</v>
      </c>
      <c r="D82">
        <v>38</v>
      </c>
      <c r="E82" s="16">
        <f t="shared" si="20"/>
        <v>29</v>
      </c>
      <c r="F82">
        <v>1.0529999999999999</v>
      </c>
      <c r="G82" s="14">
        <f>F82-'Calibration standard'!$D$16</f>
        <v>0.99699999999999989</v>
      </c>
      <c r="H82" s="17">
        <f>G82/'Calibration standard'!$D$39</f>
        <v>38.44832421820221</v>
      </c>
      <c r="I82" s="17">
        <f t="shared" si="21"/>
        <v>3.6493151116001057</v>
      </c>
      <c r="K82" s="17"/>
      <c r="L82" s="25">
        <f t="shared" si="22"/>
        <v>98.420533070088837</v>
      </c>
      <c r="V82" t="s">
        <v>45</v>
      </c>
      <c r="W82" t="s">
        <v>46</v>
      </c>
      <c r="X82">
        <v>11.722316876469588</v>
      </c>
      <c r="Y82">
        <v>0.49474563071682404</v>
      </c>
    </row>
    <row r="83" spans="2:25" x14ac:dyDescent="0.2">
      <c r="B83" s="4">
        <v>4</v>
      </c>
      <c r="C83" s="43" t="s">
        <v>130</v>
      </c>
      <c r="D83">
        <v>48</v>
      </c>
      <c r="E83" s="16">
        <f t="shared" si="20"/>
        <v>39</v>
      </c>
      <c r="F83">
        <v>1.046</v>
      </c>
      <c r="G83" s="14">
        <f>F83-'Calibration standard'!$D$16</f>
        <v>0.99</v>
      </c>
      <c r="H83" s="17">
        <f>G83/'Calibration standard'!$D$39</f>
        <v>38.178376104333189</v>
      </c>
      <c r="I83" s="17">
        <f t="shared" si="21"/>
        <v>3.6422692847669031</v>
      </c>
      <c r="K83" s="17"/>
      <c r="L83" s="25">
        <f t="shared" si="22"/>
        <v>97.729516288252711</v>
      </c>
      <c r="V83" t="s">
        <v>93</v>
      </c>
      <c r="X83">
        <f>-X78</f>
        <v>3.3778234610352544E-2</v>
      </c>
    </row>
    <row r="84" spans="2:25" x14ac:dyDescent="0.2">
      <c r="B84" s="4">
        <v>5</v>
      </c>
      <c r="C84" s="43" t="s">
        <v>131</v>
      </c>
      <c r="D84">
        <v>59</v>
      </c>
      <c r="E84" s="16">
        <f t="shared" si="20"/>
        <v>50</v>
      </c>
      <c r="F84">
        <v>1.04</v>
      </c>
      <c r="G84" s="14">
        <f>F84-'Calibration standard'!$D$16</f>
        <v>0.98399999999999999</v>
      </c>
      <c r="H84" s="17">
        <f>G84/'Calibration standard'!$D$39</f>
        <v>37.946992006731172</v>
      </c>
      <c r="I84" s="17">
        <f t="shared" si="21"/>
        <v>3.6361902386905212</v>
      </c>
      <c r="K84" s="17"/>
      <c r="L84" s="25">
        <f t="shared" si="22"/>
        <v>97.137216189536034</v>
      </c>
    </row>
    <row r="85" spans="2:25" x14ac:dyDescent="0.2">
      <c r="B85" s="4">
        <v>6</v>
      </c>
      <c r="C85" s="43" t="s">
        <v>132</v>
      </c>
      <c r="D85">
        <v>69</v>
      </c>
      <c r="E85" s="16">
        <f t="shared" si="20"/>
        <v>60</v>
      </c>
      <c r="F85">
        <v>1.03</v>
      </c>
      <c r="G85" s="14">
        <f>F85-'Calibration standard'!$D$16</f>
        <v>0.97399999999999998</v>
      </c>
      <c r="H85" s="17">
        <f>G85/'Calibration standard'!$D$39</f>
        <v>37.561351844061143</v>
      </c>
      <c r="I85" s="17">
        <f t="shared" si="21"/>
        <v>3.625975645280803</v>
      </c>
      <c r="K85" s="17"/>
      <c r="L85" s="25">
        <f t="shared" si="22"/>
        <v>96.150049358341576</v>
      </c>
    </row>
    <row r="86" spans="2:25" x14ac:dyDescent="0.2">
      <c r="B86" s="4">
        <v>7</v>
      </c>
      <c r="C86" s="43" t="s">
        <v>106</v>
      </c>
      <c r="D86">
        <v>81</v>
      </c>
      <c r="E86" s="16">
        <f t="shared" si="20"/>
        <v>72</v>
      </c>
      <c r="F86">
        <v>1.02</v>
      </c>
      <c r="G86" s="14">
        <f>F86-'Calibration standard'!$D$16</f>
        <v>0.96399999999999997</v>
      </c>
      <c r="H86" s="17">
        <f>G86/'Calibration standard'!$D$39</f>
        <v>37.175711681391107</v>
      </c>
      <c r="I86" s="17">
        <f t="shared" si="21"/>
        <v>3.615655636248813</v>
      </c>
      <c r="K86" s="17"/>
      <c r="L86" s="25">
        <f t="shared" si="22"/>
        <v>95.16288252714709</v>
      </c>
    </row>
    <row r="87" spans="2:25" x14ac:dyDescent="0.2">
      <c r="B87" s="4">
        <v>8</v>
      </c>
      <c r="C87" s="43" t="s">
        <v>133</v>
      </c>
      <c r="D87">
        <v>91</v>
      </c>
      <c r="E87" s="16">
        <f t="shared" si="20"/>
        <v>82</v>
      </c>
      <c r="F87">
        <v>1.01</v>
      </c>
      <c r="G87" s="14">
        <f>F87-'Calibration standard'!$D$16</f>
        <v>0.95399999999999996</v>
      </c>
      <c r="H87" s="17">
        <f>G87/'Calibration standard'!$D$39</f>
        <v>36.790071518721078</v>
      </c>
      <c r="I87" s="17">
        <f t="shared" si="21"/>
        <v>3.6052280130865544</v>
      </c>
      <c r="K87" s="17"/>
      <c r="L87" s="25">
        <f t="shared" si="22"/>
        <v>94.175715695952633</v>
      </c>
    </row>
    <row r="88" spans="2:25" x14ac:dyDescent="0.2">
      <c r="B88" s="4">
        <v>9</v>
      </c>
      <c r="C88" s="43" t="s">
        <v>134</v>
      </c>
      <c r="D88">
        <v>101</v>
      </c>
      <c r="E88" s="16">
        <f t="shared" si="20"/>
        <v>92</v>
      </c>
      <c r="F88">
        <v>0.98699999999999999</v>
      </c>
      <c r="G88" s="14">
        <f>F88-'Calibration standard'!$D$16</f>
        <v>0.93099999999999994</v>
      </c>
      <c r="H88" s="17">
        <f>G88/'Calibration standard'!$D$39</f>
        <v>35.903099144579997</v>
      </c>
      <c r="I88" s="17">
        <f t="shared" si="21"/>
        <v>3.5808236189153346</v>
      </c>
      <c r="K88" s="17"/>
      <c r="L88" s="25">
        <f t="shared" si="22"/>
        <v>91.905231984205329</v>
      </c>
    </row>
    <row r="89" spans="2:25" x14ac:dyDescent="0.2">
      <c r="B89" s="4">
        <v>10</v>
      </c>
      <c r="C89" s="43" t="s">
        <v>123</v>
      </c>
      <c r="D89">
        <v>111</v>
      </c>
      <c r="E89" s="16">
        <f t="shared" si="20"/>
        <v>102</v>
      </c>
      <c r="F89">
        <v>0.98199999999999998</v>
      </c>
      <c r="G89" s="14">
        <f>F89-'Calibration standard'!$D$16</f>
        <v>0.92599999999999993</v>
      </c>
      <c r="H89" s="17">
        <f>G89/'Calibration standard'!$D$39</f>
        <v>35.710279063244982</v>
      </c>
      <c r="I89" s="17">
        <f t="shared" si="21"/>
        <v>3.5754385762844469</v>
      </c>
      <c r="J89">
        <v>-53</v>
      </c>
      <c r="K89" s="17">
        <f>(J89-'pH-Potential calibration'!$E$27)/'pH-Potential calibration'!$D$27</f>
        <v>7.6351577437858511</v>
      </c>
      <c r="L89" s="25">
        <f t="shared" si="22"/>
        <v>91.411648568608101</v>
      </c>
    </row>
    <row r="90" spans="2:25" x14ac:dyDescent="0.2">
      <c r="B90" s="4"/>
      <c r="D90" s="43"/>
      <c r="E90" s="43"/>
      <c r="K90" s="17"/>
    </row>
    <row r="92" spans="2:25" x14ac:dyDescent="0.2">
      <c r="B92" t="s">
        <v>140</v>
      </c>
      <c r="C92" s="1" t="s">
        <v>139</v>
      </c>
      <c r="D92" t="s">
        <v>75</v>
      </c>
      <c r="F92" s="17">
        <f>AVERAGE(K95:K103)</f>
        <v>7.6351577437858511</v>
      </c>
      <c r="G92" t="s">
        <v>76</v>
      </c>
      <c r="H92">
        <f>STDEV(K95:K103)</f>
        <v>0</v>
      </c>
      <c r="V92" t="s">
        <v>36</v>
      </c>
    </row>
    <row r="93" spans="2:25" x14ac:dyDescent="0.2">
      <c r="B93" t="s">
        <v>77</v>
      </c>
      <c r="C93" t="s">
        <v>78</v>
      </c>
      <c r="D93" t="s">
        <v>79</v>
      </c>
      <c r="F93" t="s">
        <v>81</v>
      </c>
      <c r="G93" t="s">
        <v>71</v>
      </c>
      <c r="H93" t="s">
        <v>82</v>
      </c>
      <c r="I93" t="s">
        <v>83</v>
      </c>
      <c r="J93" t="s">
        <v>84</v>
      </c>
      <c r="K93" t="s">
        <v>85</v>
      </c>
      <c r="L93" t="s">
        <v>113</v>
      </c>
      <c r="M93" t="s">
        <v>34</v>
      </c>
      <c r="N93" t="s">
        <v>87</v>
      </c>
      <c r="V93" t="s">
        <v>37</v>
      </c>
      <c r="W93" t="s">
        <v>38</v>
      </c>
      <c r="X93" cm="1">
        <f t="array" ref="X93:Y97">LINEST(H95:H103,D95:D103,,TRUE)</f>
        <v>-9.8349151999389661E-3</v>
      </c>
      <c r="Y93">
        <v>15.601273579415324</v>
      </c>
    </row>
    <row r="94" spans="2:25" x14ac:dyDescent="0.2">
      <c r="B94" t="s">
        <v>88</v>
      </c>
      <c r="C94" s="44"/>
      <c r="D94" s="16"/>
      <c r="E94" s="16"/>
      <c r="H94" s="17"/>
      <c r="I94" s="17"/>
      <c r="J94">
        <v>-55</v>
      </c>
      <c r="K94" s="17">
        <f>(J94-'pH-Potential calibration'!$E$27)/'pH-Potential calibration'!$D$27</f>
        <v>7.6702915869980881</v>
      </c>
      <c r="V94" t="s">
        <v>39</v>
      </c>
      <c r="W94" t="s">
        <v>40</v>
      </c>
      <c r="X94">
        <v>5.9377620355005069E-4</v>
      </c>
      <c r="Y94">
        <v>4.5472041759016653E-2</v>
      </c>
    </row>
    <row r="95" spans="2:25" x14ac:dyDescent="0.2">
      <c r="B95" s="4">
        <v>1</v>
      </c>
      <c r="C95" s="43" t="s">
        <v>141</v>
      </c>
      <c r="D95" s="16">
        <v>10</v>
      </c>
      <c r="E95" s="16">
        <f>D95-$D$95</f>
        <v>0</v>
      </c>
      <c r="F95">
        <v>0.45600000000000002</v>
      </c>
      <c r="G95" s="14">
        <f>F95-'Calibration standard'!$D$16</f>
        <v>0.4</v>
      </c>
      <c r="H95" s="17">
        <f>G95/'Calibration standard'!$D$39</f>
        <v>15.425606506801291</v>
      </c>
      <c r="I95" s="17">
        <f>LN(H95)</f>
        <v>2.7360288887462496</v>
      </c>
      <c r="J95">
        <v>-53</v>
      </c>
      <c r="K95" s="17">
        <f>(J95-'pH-Potential calibration'!$E$27)/'pH-Potential calibration'!$D$27</f>
        <v>7.6351577437858511</v>
      </c>
      <c r="L95" s="25">
        <f>H95*100/$H$95</f>
        <v>100</v>
      </c>
      <c r="V95" t="s">
        <v>41</v>
      </c>
      <c r="W95" t="s">
        <v>42</v>
      </c>
      <c r="X95">
        <v>0.97511943767639719</v>
      </c>
      <c r="Y95">
        <v>6.8512500154071426E-2</v>
      </c>
    </row>
    <row r="96" spans="2:25" x14ac:dyDescent="0.2">
      <c r="B96" s="4">
        <v>2</v>
      </c>
      <c r="C96" s="43" t="s">
        <v>103</v>
      </c>
      <c r="D96">
        <v>23</v>
      </c>
      <c r="E96" s="16">
        <f t="shared" ref="E96:E99" si="23">D96-$D$95</f>
        <v>13</v>
      </c>
      <c r="F96">
        <v>0.45500000000000002</v>
      </c>
      <c r="G96" s="14">
        <f>F96-'Calibration standard'!$D$16</f>
        <v>0.39900000000000002</v>
      </c>
      <c r="H96" s="17">
        <f>G96/'Calibration standard'!$D$39</f>
        <v>15.387042490534288</v>
      </c>
      <c r="I96" s="17">
        <f t="shared" ref="I96:I99" si="24">LN(H96)</f>
        <v>2.7335257585281312</v>
      </c>
      <c r="K96" s="17"/>
      <c r="L96" s="25">
        <f t="shared" ref="L96:L99" si="25">H96*100/$H$95</f>
        <v>99.75</v>
      </c>
      <c r="V96" t="s">
        <v>43</v>
      </c>
      <c r="W96" t="s">
        <v>44</v>
      </c>
      <c r="X96">
        <v>274.34412353532224</v>
      </c>
      <c r="Y96">
        <v>7</v>
      </c>
    </row>
    <row r="97" spans="2:25" x14ac:dyDescent="0.2">
      <c r="B97" s="4">
        <v>3</v>
      </c>
      <c r="C97" s="43" t="s">
        <v>142</v>
      </c>
      <c r="D97">
        <v>35</v>
      </c>
      <c r="E97" s="16">
        <f t="shared" si="23"/>
        <v>25</v>
      </c>
      <c r="F97">
        <v>0.45400000000000001</v>
      </c>
      <c r="G97" s="14">
        <f>F97-'Calibration standard'!$D$16</f>
        <v>0.39800000000000002</v>
      </c>
      <c r="H97" s="17">
        <f>G97/'Calibration standard'!$D$39</f>
        <v>15.348478474267285</v>
      </c>
      <c r="I97" s="17">
        <f t="shared" si="24"/>
        <v>2.7310163469227056</v>
      </c>
      <c r="K97" s="17"/>
      <c r="L97" s="25">
        <f t="shared" si="25"/>
        <v>99.5</v>
      </c>
      <c r="V97" t="s">
        <v>45</v>
      </c>
      <c r="W97" t="s">
        <v>46</v>
      </c>
      <c r="X97">
        <v>1.2877610766282928</v>
      </c>
      <c r="Y97">
        <v>3.2857738741531459E-2</v>
      </c>
    </row>
    <row r="98" spans="2:25" x14ac:dyDescent="0.2">
      <c r="B98" s="4">
        <v>4</v>
      </c>
      <c r="C98" s="43" t="s">
        <v>130</v>
      </c>
      <c r="D98">
        <v>48</v>
      </c>
      <c r="E98" s="16">
        <f t="shared" si="23"/>
        <v>38</v>
      </c>
      <c r="F98">
        <v>0.44700000000000001</v>
      </c>
      <c r="G98" s="14">
        <f>F98-'Calibration standard'!$D$16</f>
        <v>0.39100000000000001</v>
      </c>
      <c r="H98" s="17">
        <f>G98/'Calibration standard'!$D$39</f>
        <v>15.078530360398261</v>
      </c>
      <c r="I98" s="17">
        <f t="shared" si="24"/>
        <v>2.7132719016236333</v>
      </c>
      <c r="J98">
        <v>-53</v>
      </c>
      <c r="K98" s="17">
        <f>(J98-'pH-Potential calibration'!$E$27)/'pH-Potential calibration'!$D$27</f>
        <v>7.6351577437858511</v>
      </c>
      <c r="L98" s="25">
        <f t="shared" si="25"/>
        <v>97.749999999999986</v>
      </c>
      <c r="V98" t="s">
        <v>93</v>
      </c>
      <c r="X98">
        <f>-X93</f>
        <v>9.8349151999389661E-3</v>
      </c>
    </row>
    <row r="99" spans="2:25" x14ac:dyDescent="0.2">
      <c r="B99" s="4">
        <v>5</v>
      </c>
      <c r="C99" s="43" t="s">
        <v>131</v>
      </c>
      <c r="D99">
        <v>59</v>
      </c>
      <c r="E99" s="16">
        <f t="shared" si="23"/>
        <v>49</v>
      </c>
      <c r="F99">
        <v>0.44700000000000001</v>
      </c>
      <c r="G99" s="14">
        <f>F99-'Calibration standard'!$D$16</f>
        <v>0.39100000000000001</v>
      </c>
      <c r="H99" s="17">
        <f>G99/'Calibration standard'!$D$39</f>
        <v>15.078530360398261</v>
      </c>
      <c r="I99" s="17">
        <f t="shared" si="24"/>
        <v>2.7132719016236333</v>
      </c>
      <c r="K99" s="17"/>
      <c r="L99" s="25">
        <f t="shared" si="25"/>
        <v>97.749999999999986</v>
      </c>
    </row>
    <row r="100" spans="2:25" x14ac:dyDescent="0.2">
      <c r="B100" s="4">
        <v>7</v>
      </c>
      <c r="C100" s="43" t="s">
        <v>95</v>
      </c>
      <c r="D100">
        <v>86</v>
      </c>
      <c r="E100" s="16">
        <f>D100-$D$95</f>
        <v>76</v>
      </c>
      <c r="F100">
        <v>0.438</v>
      </c>
      <c r="G100" s="14">
        <f>F100-'Calibration standard'!$D$16</f>
        <v>0.38200000000000001</v>
      </c>
      <c r="H100" s="17">
        <f>G100/'Calibration standard'!$D$39</f>
        <v>14.731454213995232</v>
      </c>
      <c r="I100" s="17">
        <f>LN(H100)</f>
        <v>2.6899849502448427</v>
      </c>
      <c r="K100" s="17"/>
      <c r="L100" s="25">
        <f>H100*100/$H$95</f>
        <v>95.5</v>
      </c>
    </row>
    <row r="101" spans="2:25" x14ac:dyDescent="0.2">
      <c r="B101" s="4">
        <v>8</v>
      </c>
      <c r="C101" s="43" t="s">
        <v>143</v>
      </c>
      <c r="D101">
        <v>99</v>
      </c>
      <c r="E101" s="16">
        <f>D101-$D$95</f>
        <v>89</v>
      </c>
      <c r="F101">
        <v>0.437</v>
      </c>
      <c r="G101" s="14">
        <f>F101-'Calibration standard'!$D$16</f>
        <v>0.38100000000000001</v>
      </c>
      <c r="H101" s="17">
        <f>G101/'Calibration standard'!$D$39</f>
        <v>14.692890197728229</v>
      </c>
      <c r="I101" s="17">
        <f>LN(H101)</f>
        <v>2.6873637167649687</v>
      </c>
      <c r="K101" s="17"/>
      <c r="L101" s="25">
        <f>H101*100/$H$95</f>
        <v>95.25</v>
      </c>
    </row>
    <row r="102" spans="2:25" x14ac:dyDescent="0.2">
      <c r="B102" s="4">
        <v>9</v>
      </c>
      <c r="C102" s="43" t="s">
        <v>123</v>
      </c>
      <c r="D102">
        <f>60+51</f>
        <v>111</v>
      </c>
      <c r="E102" s="16">
        <f>D102-$D$95</f>
        <v>101</v>
      </c>
      <c r="F102">
        <v>0.43</v>
      </c>
      <c r="G102" s="14">
        <f>F102-'Calibration standard'!$D$16</f>
        <v>0.374</v>
      </c>
      <c r="H102" s="17">
        <f>G102/'Calibration standard'!$D$39</f>
        <v>14.422942083859207</v>
      </c>
      <c r="I102" s="17">
        <f>LN(H102)</f>
        <v>2.6688201390527997</v>
      </c>
      <c r="J102">
        <v>-53</v>
      </c>
      <c r="K102" s="17">
        <f>(J102-'pH-Potential calibration'!$E$27)/'pH-Potential calibration'!$D$27</f>
        <v>7.6351577437858511</v>
      </c>
      <c r="L102" s="25">
        <f>H102*100/$H$95</f>
        <v>93.5</v>
      </c>
    </row>
    <row r="103" spans="2:25" x14ac:dyDescent="0.2">
      <c r="B103" s="4">
        <v>10</v>
      </c>
      <c r="C103" s="43" t="s">
        <v>144</v>
      </c>
      <c r="D103">
        <f>125</f>
        <v>125</v>
      </c>
      <c r="E103" s="16">
        <f>D103-$D$95</f>
        <v>115</v>
      </c>
      <c r="F103">
        <v>0.42899999999999999</v>
      </c>
      <c r="G103" s="14">
        <f>F103-'Calibration standard'!$D$16</f>
        <v>0.373</v>
      </c>
      <c r="H103" s="17">
        <f>G103/'Calibration standard'!$D$39</f>
        <v>14.384378067592202</v>
      </c>
      <c r="I103" s="17">
        <f>LN(H103)</f>
        <v>2.6661427612820829</v>
      </c>
      <c r="J103">
        <v>-53</v>
      </c>
      <c r="K103" s="17">
        <f>(J103-'pH-Potential calibration'!$E$27)/'pH-Potential calibration'!$D$27</f>
        <v>7.6351577437858511</v>
      </c>
      <c r="L103" s="25">
        <f>H103*100/$H$95</f>
        <v>93.249999999999986</v>
      </c>
    </row>
    <row r="105" spans="2:25" x14ac:dyDescent="0.2">
      <c r="D105" s="43"/>
      <c r="E105" s="43"/>
    </row>
    <row r="107" spans="2:25" x14ac:dyDescent="0.2">
      <c r="B107" t="s">
        <v>146</v>
      </c>
      <c r="C107" s="1" t="s">
        <v>145</v>
      </c>
      <c r="D107" t="s">
        <v>75</v>
      </c>
      <c r="F107" s="17">
        <f>AVERAGE(K110:K117)</f>
        <v>7.6878585086042062</v>
      </c>
      <c r="G107" t="s">
        <v>76</v>
      </c>
      <c r="H107">
        <f>STDEV(K110:K117)</f>
        <v>0</v>
      </c>
      <c r="V107" t="s">
        <v>36</v>
      </c>
    </row>
    <row r="108" spans="2:25" x14ac:dyDescent="0.2">
      <c r="B108" t="s">
        <v>77</v>
      </c>
      <c r="C108" t="s">
        <v>78</v>
      </c>
      <c r="D108" t="s">
        <v>79</v>
      </c>
      <c r="F108" t="s">
        <v>81</v>
      </c>
      <c r="G108" t="s">
        <v>71</v>
      </c>
      <c r="H108" t="s">
        <v>82</v>
      </c>
      <c r="I108" t="s">
        <v>83</v>
      </c>
      <c r="J108" t="s">
        <v>84</v>
      </c>
      <c r="K108" t="s">
        <v>85</v>
      </c>
      <c r="L108" t="s">
        <v>113</v>
      </c>
      <c r="M108" t="s">
        <v>34</v>
      </c>
      <c r="N108" t="s">
        <v>87</v>
      </c>
      <c r="V108" t="s">
        <v>37</v>
      </c>
      <c r="W108" t="s">
        <v>38</v>
      </c>
      <c r="X108" cm="1">
        <f t="array" ref="X108:Y112">LINEST(H110:H115,D110:D115,,TRUE)</f>
        <v>-8.147658676117403E-2</v>
      </c>
      <c r="Y108">
        <v>48.339903921460518</v>
      </c>
    </row>
    <row r="109" spans="2:25" x14ac:dyDescent="0.2">
      <c r="B109" t="s">
        <v>88</v>
      </c>
      <c r="C109" s="44"/>
      <c r="D109" s="16"/>
      <c r="E109" s="16"/>
      <c r="H109" s="17"/>
      <c r="I109" s="17"/>
      <c r="J109">
        <v>-59</v>
      </c>
      <c r="K109" s="17">
        <f>(J109-'pH-Potential calibration'!$E$27)/'pH-Potential calibration'!$D$27</f>
        <v>7.7405592734225621</v>
      </c>
      <c r="V109" t="s">
        <v>39</v>
      </c>
      <c r="W109" t="s">
        <v>40</v>
      </c>
      <c r="X109">
        <v>6.4194340342781037E-3</v>
      </c>
      <c r="Y109">
        <v>0.3712002228525797</v>
      </c>
    </row>
    <row r="110" spans="2:25" x14ac:dyDescent="0.2">
      <c r="B110" s="4">
        <v>1</v>
      </c>
      <c r="C110" s="43" t="s">
        <v>147</v>
      </c>
      <c r="D110" s="16">
        <v>27</v>
      </c>
      <c r="E110" s="16">
        <f>D110-$D$110</f>
        <v>0</v>
      </c>
      <c r="F110">
        <v>1.244</v>
      </c>
      <c r="G110" s="14">
        <f>F110-'Calibration standard'!$D$16</f>
        <v>1.1879999999999999</v>
      </c>
      <c r="H110" s="17">
        <f>G110/'Calibration standard'!$D$39</f>
        <v>45.814051325199827</v>
      </c>
      <c r="I110" s="17">
        <f>LN(H110)</f>
        <v>3.8245908415608576</v>
      </c>
      <c r="J110">
        <v>-56</v>
      </c>
      <c r="K110" s="17">
        <f>(J110-'pH-Potential calibration'!$E$27)/'pH-Potential calibration'!$D$27</f>
        <v>7.6878585086042062</v>
      </c>
      <c r="L110" s="25">
        <f>H110*100/$H$110</f>
        <v>100</v>
      </c>
      <c r="V110" t="s">
        <v>41</v>
      </c>
      <c r="W110" t="s">
        <v>42</v>
      </c>
      <c r="X110">
        <v>0.97577098722359923</v>
      </c>
      <c r="Y110">
        <v>0.29636194000520422</v>
      </c>
    </row>
    <row r="111" spans="2:25" x14ac:dyDescent="0.2">
      <c r="B111" s="4">
        <v>2</v>
      </c>
      <c r="C111" s="43" t="s">
        <v>129</v>
      </c>
      <c r="D111">
        <v>38</v>
      </c>
      <c r="E111" s="16">
        <f t="shared" ref="E111:E119" si="26">D111-$D$110</f>
        <v>11</v>
      </c>
      <c r="F111">
        <v>1.232</v>
      </c>
      <c r="G111" s="14">
        <f>F111-'Calibration standard'!$D$16</f>
        <v>1.1759999999999999</v>
      </c>
      <c r="H111" s="17">
        <f>G111/'Calibration standard'!$D$39</f>
        <v>45.351283129995792</v>
      </c>
      <c r="I111" s="17">
        <f t="shared" ref="I111:I119" si="27">LN(H111)</f>
        <v>3.8144384700968397</v>
      </c>
      <c r="K111" s="17"/>
      <c r="L111" s="25">
        <f t="shared" ref="L111:L119" si="28">H111*100/$H$110</f>
        <v>98.98989898989899</v>
      </c>
      <c r="V111" t="s">
        <v>43</v>
      </c>
      <c r="W111" t="s">
        <v>44</v>
      </c>
      <c r="X111">
        <v>161.09133231775866</v>
      </c>
      <c r="Y111">
        <v>4</v>
      </c>
    </row>
    <row r="112" spans="2:25" x14ac:dyDescent="0.2">
      <c r="B112" s="4">
        <v>3</v>
      </c>
      <c r="C112" s="43" t="s">
        <v>104</v>
      </c>
      <c r="D112">
        <v>50</v>
      </c>
      <c r="E112" s="16">
        <f t="shared" si="26"/>
        <v>23</v>
      </c>
      <c r="F112">
        <v>1.2090000000000001</v>
      </c>
      <c r="G112" s="14">
        <f>F112-'Calibration standard'!$D$16</f>
        <v>1.153</v>
      </c>
      <c r="H112" s="17">
        <f>G112/'Calibration standard'!$D$39</f>
        <v>44.464310755854719</v>
      </c>
      <c r="I112" s="17">
        <f t="shared" si="27"/>
        <v>3.7946868619073268</v>
      </c>
      <c r="K112" s="17"/>
      <c r="L112" s="25">
        <f t="shared" si="28"/>
        <v>97.05387205387207</v>
      </c>
      <c r="V112" t="s">
        <v>45</v>
      </c>
      <c r="W112" t="s">
        <v>46</v>
      </c>
      <c r="X112">
        <v>14.148716070821884</v>
      </c>
      <c r="Y112">
        <v>0.35132159793459311</v>
      </c>
    </row>
    <row r="113" spans="2:25" x14ac:dyDescent="0.2">
      <c r="B113" s="4">
        <v>4</v>
      </c>
      <c r="C113" s="43" t="s">
        <v>148</v>
      </c>
      <c r="D113">
        <v>60</v>
      </c>
      <c r="E113" s="16">
        <f t="shared" si="26"/>
        <v>33</v>
      </c>
      <c r="F113">
        <v>1.1879999999999999</v>
      </c>
      <c r="G113" s="14">
        <f>F113-'Calibration standard'!$D$16</f>
        <v>1.1319999999999999</v>
      </c>
      <c r="H113" s="17">
        <f>G113/'Calibration standard'!$D$39</f>
        <v>43.654466414247644</v>
      </c>
      <c r="I113" s="17">
        <f t="shared" si="27"/>
        <v>3.776305600401396</v>
      </c>
      <c r="K113" s="17"/>
      <c r="L113" s="25">
        <f t="shared" si="28"/>
        <v>95.28619528619528</v>
      </c>
      <c r="V113" t="s">
        <v>93</v>
      </c>
      <c r="X113">
        <f>-X108</f>
        <v>8.147658676117403E-2</v>
      </c>
    </row>
    <row r="114" spans="2:25" x14ac:dyDescent="0.2">
      <c r="B114" s="4">
        <v>5</v>
      </c>
      <c r="C114" s="43" t="s">
        <v>149</v>
      </c>
      <c r="D114">
        <v>70</v>
      </c>
      <c r="E114" s="16">
        <f t="shared" si="26"/>
        <v>43</v>
      </c>
      <c r="F114">
        <v>1.1659999999999999</v>
      </c>
      <c r="G114" s="14">
        <f>F114-'Calibration standard'!$D$16</f>
        <v>1.1099999999999999</v>
      </c>
      <c r="H114" s="17">
        <f>G114/'Calibration standard'!$D$39</f>
        <v>42.806058056373573</v>
      </c>
      <c r="I114" s="17">
        <f t="shared" si="27"/>
        <v>3.7566796359446473</v>
      </c>
      <c r="J114">
        <v>-56</v>
      </c>
      <c r="K114" s="17">
        <f>(J114-'pH-Potential calibration'!$E$27)/'pH-Potential calibration'!$D$27</f>
        <v>7.6878585086042062</v>
      </c>
      <c r="L114" s="25">
        <f t="shared" si="28"/>
        <v>93.434343434343432</v>
      </c>
    </row>
    <row r="115" spans="2:25" x14ac:dyDescent="0.2">
      <c r="B115" s="4">
        <v>6</v>
      </c>
      <c r="C115" s="43" t="s">
        <v>150</v>
      </c>
      <c r="D115">
        <v>83</v>
      </c>
      <c r="E115" s="16">
        <f t="shared" si="26"/>
        <v>56</v>
      </c>
      <c r="F115">
        <v>1.125</v>
      </c>
      <c r="G115" s="14">
        <f>F115-'Calibration standard'!$D$16</f>
        <v>1.069</v>
      </c>
      <c r="H115" s="17">
        <f>G115/'Calibration standard'!$D$39</f>
        <v>41.224933389426447</v>
      </c>
      <c r="I115" s="17">
        <f t="shared" si="27"/>
        <v>3.719043252663313</v>
      </c>
      <c r="K115" s="17"/>
      <c r="L115" s="25">
        <f t="shared" si="28"/>
        <v>89.983164983164997</v>
      </c>
    </row>
    <row r="116" spans="2:25" x14ac:dyDescent="0.2">
      <c r="B116" s="4">
        <v>7</v>
      </c>
      <c r="C116" s="43" t="s">
        <v>151</v>
      </c>
      <c r="D116">
        <v>94</v>
      </c>
      <c r="E116" s="16">
        <f t="shared" si="26"/>
        <v>67</v>
      </c>
      <c r="F116">
        <v>1.0900000000000001</v>
      </c>
      <c r="G116" s="14">
        <f>F116-'Calibration standard'!$D$16</f>
        <v>1.034</v>
      </c>
      <c r="H116" s="17">
        <f>G116/'Calibration standard'!$D$39</f>
        <v>39.875192820081338</v>
      </c>
      <c r="I116" s="17">
        <f t="shared" si="27"/>
        <v>3.6857543967066424</v>
      </c>
      <c r="K116" s="17"/>
      <c r="L116" s="25">
        <f t="shared" si="28"/>
        <v>87.037037037037052</v>
      </c>
    </row>
    <row r="117" spans="2:25" x14ac:dyDescent="0.2">
      <c r="B117" s="4">
        <v>8</v>
      </c>
      <c r="C117" s="43" t="s">
        <v>152</v>
      </c>
      <c r="D117">
        <v>107</v>
      </c>
      <c r="E117" s="16">
        <f t="shared" si="26"/>
        <v>80</v>
      </c>
      <c r="F117">
        <v>1.04</v>
      </c>
      <c r="G117" s="14">
        <f>F117-'Calibration standard'!$D$16</f>
        <v>0.98399999999999999</v>
      </c>
      <c r="H117" s="17">
        <f>G117/'Calibration standard'!$D$39</f>
        <v>37.946992006731172</v>
      </c>
      <c r="I117" s="17">
        <f t="shared" si="27"/>
        <v>3.6361902386905212</v>
      </c>
      <c r="K117" s="17"/>
      <c r="L117" s="25">
        <f t="shared" si="28"/>
        <v>82.828282828282823</v>
      </c>
    </row>
    <row r="118" spans="2:25" x14ac:dyDescent="0.2">
      <c r="B118" s="4">
        <v>9</v>
      </c>
      <c r="C118" s="43" t="s">
        <v>154</v>
      </c>
      <c r="D118">
        <v>120</v>
      </c>
      <c r="E118" s="16">
        <f t="shared" si="26"/>
        <v>93</v>
      </c>
      <c r="F118">
        <v>0.98299999999999998</v>
      </c>
      <c r="G118" s="14">
        <f>F118-'Calibration standard'!$D$16</f>
        <v>0.92699999999999994</v>
      </c>
      <c r="H118" s="17">
        <f>G118/'Calibration standard'!$D$39</f>
        <v>35.748843079511985</v>
      </c>
      <c r="I118" s="17">
        <f t="shared" si="27"/>
        <v>3.5765179072041229</v>
      </c>
      <c r="K118" s="17"/>
      <c r="L118" s="25">
        <f t="shared" si="28"/>
        <v>78.030303030303031</v>
      </c>
    </row>
    <row r="119" spans="2:25" x14ac:dyDescent="0.2">
      <c r="B119" s="4">
        <v>10</v>
      </c>
      <c r="C119" s="43" t="s">
        <v>153</v>
      </c>
      <c r="D119">
        <v>137</v>
      </c>
      <c r="E119" s="16">
        <f t="shared" si="26"/>
        <v>110</v>
      </c>
      <c r="F119">
        <v>0.89900000000000002</v>
      </c>
      <c r="G119" s="14">
        <f>F119-'Calibration standard'!$D$16</f>
        <v>0.84299999999999997</v>
      </c>
      <c r="H119" s="17">
        <f>G119/'Calibration standard'!$D$39</f>
        <v>32.509465713083721</v>
      </c>
      <c r="I119" s="17">
        <f t="shared" si="27"/>
        <v>3.4815312996401233</v>
      </c>
      <c r="J119">
        <v>-56</v>
      </c>
      <c r="K119" s="17">
        <f>(J119-'pH-Potential calibration'!$E$27)/'pH-Potential calibration'!$D$27</f>
        <v>7.6878585086042062</v>
      </c>
      <c r="L119" s="25">
        <f t="shared" si="28"/>
        <v>70.959595959595973</v>
      </c>
    </row>
    <row r="122" spans="2:25" x14ac:dyDescent="0.2">
      <c r="B122" t="s">
        <v>169</v>
      </c>
      <c r="C122" s="1" t="s">
        <v>157</v>
      </c>
      <c r="D122" t="s">
        <v>75</v>
      </c>
      <c r="F122" s="17">
        <f>AVERAGE(K125:K127)</f>
        <v>7.6175908221797322</v>
      </c>
      <c r="G122" t="s">
        <v>76</v>
      </c>
      <c r="H122">
        <f>STDEV(K125:K127)</f>
        <v>0</v>
      </c>
      <c r="V122" t="s">
        <v>36</v>
      </c>
    </row>
    <row r="123" spans="2:25" x14ac:dyDescent="0.2">
      <c r="B123" t="s">
        <v>77</v>
      </c>
      <c r="C123" t="s">
        <v>78</v>
      </c>
      <c r="D123" t="s">
        <v>79</v>
      </c>
      <c r="F123" t="s">
        <v>81</v>
      </c>
      <c r="G123" t="s">
        <v>71</v>
      </c>
      <c r="H123" t="s">
        <v>82</v>
      </c>
      <c r="I123" t="s">
        <v>83</v>
      </c>
      <c r="J123" t="s">
        <v>84</v>
      </c>
      <c r="K123" t="s">
        <v>85</v>
      </c>
      <c r="L123" t="s">
        <v>113</v>
      </c>
      <c r="M123" t="s">
        <v>34</v>
      </c>
      <c r="N123" t="s">
        <v>87</v>
      </c>
      <c r="V123" t="s">
        <v>37</v>
      </c>
      <c r="W123" t="s">
        <v>38</v>
      </c>
      <c r="X123" cm="1">
        <f t="array" ref="X123:Y127">LINEST(H125:H127,D125:D127,,TRUE)</f>
        <v>-0.15956146967279278</v>
      </c>
      <c r="Y123">
        <v>33.907639492207949</v>
      </c>
    </row>
    <row r="124" spans="2:25" x14ac:dyDescent="0.2">
      <c r="B124" t="s">
        <v>88</v>
      </c>
      <c r="C124" s="44"/>
      <c r="D124" s="16"/>
      <c r="E124" s="16"/>
      <c r="H124" s="17"/>
      <c r="I124" s="17"/>
      <c r="J124">
        <v>-58</v>
      </c>
      <c r="K124" s="17">
        <f>(J124-'pH-Potential calibration'!$E$27)/'pH-Potential calibration'!$D$27</f>
        <v>7.7229923518164441</v>
      </c>
      <c r="V124" t="s">
        <v>39</v>
      </c>
      <c r="W124" t="s">
        <v>40</v>
      </c>
      <c r="X124">
        <v>4.2487839161087634E-3</v>
      </c>
      <c r="Y124">
        <v>0.1132389260456062</v>
      </c>
    </row>
    <row r="125" spans="2:25" x14ac:dyDescent="0.2">
      <c r="B125" s="4">
        <v>1</v>
      </c>
      <c r="C125" s="43" t="s">
        <v>89</v>
      </c>
      <c r="D125" s="16">
        <v>9</v>
      </c>
      <c r="E125" s="16">
        <f>D125-$D$125</f>
        <v>0</v>
      </c>
      <c r="F125">
        <v>0.89700000000000002</v>
      </c>
      <c r="G125" s="14">
        <f>F125-'Calibration standard'!$D$16</f>
        <v>0.84099999999999997</v>
      </c>
      <c r="H125" s="17">
        <f>G125/'Calibration standard'!$D$39</f>
        <v>32.432337680549708</v>
      </c>
      <c r="I125" s="17">
        <f>LN(H125)</f>
        <v>3.4791560016112157</v>
      </c>
      <c r="J125">
        <v>-52</v>
      </c>
      <c r="K125" s="17">
        <f>(J125-'pH-Potential calibration'!$E$27)/'pH-Potential calibration'!$D$27</f>
        <v>7.6175908221797322</v>
      </c>
      <c r="L125" s="25">
        <f>H125*100/$H$125</f>
        <v>100</v>
      </c>
      <c r="V125" t="s">
        <v>41</v>
      </c>
      <c r="W125" t="s">
        <v>42</v>
      </c>
      <c r="X125">
        <v>0.9992914583108734</v>
      </c>
      <c r="Y125">
        <v>9.0197056055691505E-2</v>
      </c>
    </row>
    <row r="126" spans="2:25" x14ac:dyDescent="0.2">
      <c r="B126" s="4">
        <v>2</v>
      </c>
      <c r="C126" s="43" t="s">
        <v>103</v>
      </c>
      <c r="D126">
        <v>23</v>
      </c>
      <c r="E126" s="16">
        <f t="shared" ref="E126:E130" si="29">D126-$D$125</f>
        <v>14</v>
      </c>
      <c r="F126">
        <v>0.84199999999999997</v>
      </c>
      <c r="G126" s="14">
        <f>F126-'Calibration standard'!$D$16</f>
        <v>0.78599999999999992</v>
      </c>
      <c r="H126" s="17">
        <f>G126/'Calibration standard'!$D$39</f>
        <v>30.31131678586453</v>
      </c>
      <c r="I126" s="17">
        <f t="shared" ref="I126:I129" si="30">LN(H126)</f>
        <v>3.411521134067474</v>
      </c>
      <c r="J126">
        <v>-52</v>
      </c>
      <c r="K126" s="17">
        <f>(J126-'pH-Potential calibration'!$E$27)/'pH-Potential calibration'!$D$27</f>
        <v>7.6175908221797322</v>
      </c>
      <c r="L126" s="25">
        <f t="shared" ref="L126:L130" si="31">H126*100/$H$125</f>
        <v>93.460166468489888</v>
      </c>
      <c r="V126" t="s">
        <v>43</v>
      </c>
      <c r="W126" t="s">
        <v>44</v>
      </c>
      <c r="X126">
        <v>1410.3495583198617</v>
      </c>
      <c r="Y126">
        <v>1</v>
      </c>
    </row>
    <row r="127" spans="2:25" x14ac:dyDescent="0.2">
      <c r="B127" s="4">
        <v>3</v>
      </c>
      <c r="C127" s="43" t="s">
        <v>170</v>
      </c>
      <c r="D127">
        <v>39</v>
      </c>
      <c r="E127" s="16">
        <f t="shared" si="29"/>
        <v>30</v>
      </c>
      <c r="F127">
        <v>0.77300000000000002</v>
      </c>
      <c r="G127" s="14">
        <f>F127-'Calibration standard'!$D$16</f>
        <v>0.71699999999999997</v>
      </c>
      <c r="H127" s="17">
        <f>G127/'Calibration standard'!$D$39</f>
        <v>27.650399663441313</v>
      </c>
      <c r="I127" s="17">
        <f t="shared" si="30"/>
        <v>3.319640182237888</v>
      </c>
      <c r="J127">
        <v>-52</v>
      </c>
      <c r="K127" s="17">
        <f>(J127-'pH-Potential calibration'!$E$27)/'pH-Potential calibration'!$D$27</f>
        <v>7.6175908221797322</v>
      </c>
      <c r="L127" s="25">
        <f t="shared" si="31"/>
        <v>85.255648038049955</v>
      </c>
      <c r="V127" t="s">
        <v>45</v>
      </c>
      <c r="W127" t="s">
        <v>46</v>
      </c>
      <c r="X127">
        <v>11.473911413599797</v>
      </c>
      <c r="Y127">
        <v>8.1355089211135549E-3</v>
      </c>
    </row>
    <row r="128" spans="2:25" x14ac:dyDescent="0.2">
      <c r="B128" s="4">
        <v>4</v>
      </c>
      <c r="C128" s="43" t="s">
        <v>171</v>
      </c>
      <c r="D128">
        <v>58</v>
      </c>
      <c r="E128" s="16">
        <f t="shared" si="29"/>
        <v>49</v>
      </c>
      <c r="F128">
        <v>0.66800000000000004</v>
      </c>
      <c r="G128" s="14">
        <f>F128-'Calibration standard'!$D$16</f>
        <v>0.61199999999999999</v>
      </c>
      <c r="H128" s="17">
        <f>G128/'Calibration standard'!$D$39</f>
        <v>23.601177955405973</v>
      </c>
      <c r="I128" s="17">
        <f t="shared" si="30"/>
        <v>3.1612966241505935</v>
      </c>
      <c r="J128">
        <v>-52</v>
      </c>
      <c r="K128" s="17">
        <f>(J128-'pH-Potential calibration'!$E$27)/'pH-Potential calibration'!$D$27</f>
        <v>7.6175908221797322</v>
      </c>
      <c r="L128" s="25">
        <f t="shared" si="31"/>
        <v>72.770511296076108</v>
      </c>
      <c r="V128" t="s">
        <v>93</v>
      </c>
      <c r="X128">
        <f>-X123</f>
        <v>0.15956146967279278</v>
      </c>
    </row>
    <row r="129" spans="2:25" x14ac:dyDescent="0.2">
      <c r="B129" s="4">
        <v>5</v>
      </c>
      <c r="C129" s="43" t="s">
        <v>172</v>
      </c>
      <c r="D129">
        <v>80</v>
      </c>
      <c r="E129" s="16">
        <f t="shared" si="29"/>
        <v>71</v>
      </c>
      <c r="F129">
        <v>0.53400000000000003</v>
      </c>
      <c r="G129" s="14">
        <f>F129-'Calibration standard'!$D$16</f>
        <v>0.47800000000000004</v>
      </c>
      <c r="H129" s="17">
        <f>G129/'Calibration standard'!$D$39</f>
        <v>18.433599775627542</v>
      </c>
      <c r="I129" s="17">
        <f t="shared" si="30"/>
        <v>2.9141750741297239</v>
      </c>
      <c r="J129">
        <v>-52</v>
      </c>
      <c r="K129" s="17">
        <f>(J129-'pH-Potential calibration'!$E$27)/'pH-Potential calibration'!$D$27</f>
        <v>7.6175908221797322</v>
      </c>
      <c r="L129" s="25">
        <f t="shared" si="31"/>
        <v>56.837098692033301</v>
      </c>
    </row>
    <row r="130" spans="2:25" x14ac:dyDescent="0.2">
      <c r="B130" s="4">
        <v>7</v>
      </c>
      <c r="C130" s="43" t="s">
        <v>173</v>
      </c>
      <c r="D130">
        <v>103</v>
      </c>
      <c r="E130" s="16">
        <f t="shared" si="29"/>
        <v>94</v>
      </c>
      <c r="F130">
        <v>0.40100000000000002</v>
      </c>
      <c r="G130" s="14">
        <f>F130-'Calibration standard'!$D$16</f>
        <v>0.34500000000000003</v>
      </c>
      <c r="H130" s="17">
        <f>G130/'Calibration standard'!$D$39</f>
        <v>13.304585612116114</v>
      </c>
      <c r="I130" s="17">
        <f>LN(H130)</f>
        <v>2.5881087586696276</v>
      </c>
      <c r="J130">
        <v>-52</v>
      </c>
      <c r="K130" s="17">
        <f>(J130-'pH-Potential calibration'!$E$27)/'pH-Potential calibration'!$D$27</f>
        <v>7.6175908221797322</v>
      </c>
      <c r="L130" s="25">
        <f t="shared" si="31"/>
        <v>41.022592152199771</v>
      </c>
    </row>
    <row r="131" spans="2:25" x14ac:dyDescent="0.2">
      <c r="B131" s="4"/>
      <c r="C131" s="43"/>
      <c r="E131" s="16"/>
      <c r="G131" s="14"/>
      <c r="H131" s="17"/>
      <c r="I131" s="17"/>
      <c r="K131" s="17"/>
      <c r="L131" s="25"/>
    </row>
    <row r="132" spans="2:25" x14ac:dyDescent="0.2">
      <c r="B132" s="4"/>
      <c r="C132" s="43"/>
      <c r="E132" s="16"/>
      <c r="G132" s="14"/>
      <c r="H132" s="17"/>
      <c r="I132" s="17"/>
      <c r="K132" s="17"/>
      <c r="L132" s="25"/>
    </row>
    <row r="133" spans="2:25" x14ac:dyDescent="0.2">
      <c r="B133" s="4"/>
      <c r="C133" s="43"/>
      <c r="E133" s="16"/>
      <c r="G133" s="14"/>
      <c r="H133" s="17"/>
      <c r="I133" s="17"/>
      <c r="K133" s="17"/>
      <c r="L133" s="25"/>
    </row>
    <row r="135" spans="2:25" x14ac:dyDescent="0.2">
      <c r="D135" s="43"/>
      <c r="E135" s="43"/>
    </row>
    <row r="137" spans="2:25" x14ac:dyDescent="0.2">
      <c r="B137" t="s">
        <v>174</v>
      </c>
      <c r="C137" s="1" t="s">
        <v>158</v>
      </c>
      <c r="D137" t="s">
        <v>75</v>
      </c>
      <c r="F137" s="17">
        <f>AVERAGE(K140:K149)</f>
        <v>7.6205186424474194</v>
      </c>
      <c r="G137" t="s">
        <v>76</v>
      </c>
      <c r="H137">
        <f>STDEV(K140:K149)</f>
        <v>7.1716657144107587E-3</v>
      </c>
      <c r="V137" t="s">
        <v>36</v>
      </c>
    </row>
    <row r="138" spans="2:25" x14ac:dyDescent="0.2">
      <c r="B138" t="s">
        <v>77</v>
      </c>
      <c r="C138" t="s">
        <v>78</v>
      </c>
      <c r="D138" t="s">
        <v>79</v>
      </c>
      <c r="F138" t="s">
        <v>81</v>
      </c>
      <c r="G138" t="s">
        <v>71</v>
      </c>
      <c r="H138" t="s">
        <v>82</v>
      </c>
      <c r="I138" t="s">
        <v>83</v>
      </c>
      <c r="J138" t="s">
        <v>84</v>
      </c>
      <c r="K138" t="s">
        <v>85</v>
      </c>
      <c r="L138" t="s">
        <v>113</v>
      </c>
      <c r="M138" t="s">
        <v>34</v>
      </c>
      <c r="N138" t="s">
        <v>87</v>
      </c>
      <c r="V138" t="s">
        <v>37</v>
      </c>
      <c r="W138" t="s">
        <v>38</v>
      </c>
      <c r="X138" cm="1">
        <f t="array" ref="X138:Y142">LINEST(H140:H143,D140:D143,,TRUE)</f>
        <v>-8.4256792779354453E-2</v>
      </c>
      <c r="Y138">
        <v>26.022014751614623</v>
      </c>
    </row>
    <row r="139" spans="2:25" x14ac:dyDescent="0.2">
      <c r="B139" t="s">
        <v>88</v>
      </c>
      <c r="C139" s="44"/>
      <c r="D139" s="16"/>
      <c r="E139" s="16"/>
      <c r="H139" s="17"/>
      <c r="I139" s="17"/>
      <c r="J139">
        <v>-57</v>
      </c>
      <c r="K139" s="17">
        <f>(J139-'pH-Potential calibration'!$E$27)/'pH-Potential calibration'!$D$27</f>
        <v>7.7054254302103251</v>
      </c>
      <c r="V139" t="s">
        <v>39</v>
      </c>
      <c r="W139" t="s">
        <v>40</v>
      </c>
      <c r="X139">
        <v>8.3432296398740745E-3</v>
      </c>
      <c r="Y139">
        <v>0.34079820826157359</v>
      </c>
    </row>
    <row r="140" spans="2:25" x14ac:dyDescent="0.2">
      <c r="B140" s="4">
        <v>1</v>
      </c>
      <c r="C140" s="43" t="s">
        <v>175</v>
      </c>
      <c r="D140" s="16">
        <v>18</v>
      </c>
      <c r="E140" s="16">
        <f t="shared" ref="E140:E145" si="32">D140-$D$110</f>
        <v>-9</v>
      </c>
      <c r="F140">
        <v>0.68799999999999994</v>
      </c>
      <c r="G140" s="14">
        <f>F140-'Calibration standard'!$D$16</f>
        <v>0.6319999999999999</v>
      </c>
      <c r="H140" s="17">
        <f>G140/'Calibration standard'!$D$39</f>
        <v>24.372458280746034</v>
      </c>
      <c r="I140" s="17">
        <f t="shared" ref="I140:I145" si="33">LN(H140)</f>
        <v>3.1934537357851251</v>
      </c>
      <c r="J140">
        <v>-53</v>
      </c>
      <c r="K140" s="17">
        <f>(J140-'pH-Potential calibration'!$E$27)/'pH-Potential calibration'!$D$27</f>
        <v>7.6351577437858511</v>
      </c>
      <c r="L140" s="25">
        <f t="shared" ref="L140:L145" si="34">H140*100/$H$140</f>
        <v>100.00000000000001</v>
      </c>
      <c r="V140" t="s">
        <v>41</v>
      </c>
      <c r="W140" t="s">
        <v>42</v>
      </c>
      <c r="X140">
        <v>0.98076668050554217</v>
      </c>
      <c r="Y140">
        <v>0.250018626865397</v>
      </c>
    </row>
    <row r="141" spans="2:25" x14ac:dyDescent="0.2">
      <c r="B141" s="4">
        <v>2</v>
      </c>
      <c r="C141" s="43" t="s">
        <v>176</v>
      </c>
      <c r="D141">
        <v>31</v>
      </c>
      <c r="E141" s="16">
        <f t="shared" si="32"/>
        <v>4</v>
      </c>
      <c r="F141">
        <v>0.66500000000000004</v>
      </c>
      <c r="G141" s="14">
        <f>F141-'Calibration standard'!$D$16</f>
        <v>0.60899999999999999</v>
      </c>
      <c r="H141" s="17">
        <f>G141/'Calibration standard'!$D$39</f>
        <v>23.485485906604964</v>
      </c>
      <c r="I141" s="17">
        <f t="shared" si="33"/>
        <v>3.1563826093481646</v>
      </c>
      <c r="J141">
        <v>-52</v>
      </c>
      <c r="K141" s="17">
        <f>(J141-'pH-Potential calibration'!$E$27)/'pH-Potential calibration'!$D$27</f>
        <v>7.6175908221797322</v>
      </c>
      <c r="L141" s="25">
        <f t="shared" si="34"/>
        <v>96.360759493670898</v>
      </c>
      <c r="V141" t="s">
        <v>43</v>
      </c>
      <c r="W141" t="s">
        <v>44</v>
      </c>
      <c r="X141">
        <v>101.98621000271463</v>
      </c>
      <c r="Y141">
        <v>2</v>
      </c>
    </row>
    <row r="142" spans="2:25" x14ac:dyDescent="0.2">
      <c r="B142" s="4">
        <v>3</v>
      </c>
      <c r="C142" s="43" t="s">
        <v>177</v>
      </c>
      <c r="D142">
        <v>45</v>
      </c>
      <c r="E142" s="16">
        <f t="shared" si="32"/>
        <v>18</v>
      </c>
      <c r="F142">
        <v>0.63900000000000001</v>
      </c>
      <c r="G142" s="14">
        <f>F142-'Calibration standard'!$D$16</f>
        <v>0.58299999999999996</v>
      </c>
      <c r="H142" s="17">
        <f>G142/'Calibration standard'!$D$39</f>
        <v>22.482821483662878</v>
      </c>
      <c r="I142" s="17">
        <f t="shared" si="33"/>
        <v>3.1127515279887601</v>
      </c>
      <c r="J142">
        <v>-52</v>
      </c>
      <c r="K142" s="17">
        <f>(J142-'pH-Potential calibration'!$E$27)/'pH-Potential calibration'!$D$27</f>
        <v>7.6175908221797322</v>
      </c>
      <c r="L142" s="25">
        <f t="shared" si="34"/>
        <v>92.24683544303798</v>
      </c>
      <c r="V142" t="s">
        <v>45</v>
      </c>
      <c r="W142" t="s">
        <v>46</v>
      </c>
      <c r="X142">
        <v>6.375088002257848</v>
      </c>
      <c r="Y142">
        <v>0.12501862755931725</v>
      </c>
    </row>
    <row r="143" spans="2:25" x14ac:dyDescent="0.2">
      <c r="B143" s="4">
        <v>4</v>
      </c>
      <c r="C143" s="43" t="s">
        <v>171</v>
      </c>
      <c r="D143">
        <v>58</v>
      </c>
      <c r="E143" s="16">
        <f t="shared" si="32"/>
        <v>31</v>
      </c>
      <c r="F143">
        <v>0.59899999999999998</v>
      </c>
      <c r="G143" s="14">
        <f>F143-'Calibration standard'!$D$16</f>
        <v>0.54299999999999993</v>
      </c>
      <c r="H143" s="17">
        <f>G143/'Calibration standard'!$D$39</f>
        <v>20.940260832982748</v>
      </c>
      <c r="I143" s="17">
        <f t="shared" si="33"/>
        <v>3.0416736615722031</v>
      </c>
      <c r="J143">
        <v>-52</v>
      </c>
      <c r="K143" s="17">
        <f>(J143-'pH-Potential calibration'!$E$27)/'pH-Potential calibration'!$D$27</f>
        <v>7.6175908221797322</v>
      </c>
      <c r="L143" s="25">
        <f t="shared" si="34"/>
        <v>85.917721518987349</v>
      </c>
      <c r="V143" t="s">
        <v>93</v>
      </c>
      <c r="X143">
        <f>-X138</f>
        <v>8.4256792779354453E-2</v>
      </c>
    </row>
    <row r="144" spans="2:25" x14ac:dyDescent="0.2">
      <c r="B144" s="4">
        <v>5</v>
      </c>
      <c r="C144" s="43" t="s">
        <v>132</v>
      </c>
      <c r="D144">
        <v>69</v>
      </c>
      <c r="E144" s="16">
        <f t="shared" si="32"/>
        <v>42</v>
      </c>
      <c r="F144">
        <v>0.56399999999999995</v>
      </c>
      <c r="G144" s="14">
        <f>F144-'Calibration standard'!$D$16</f>
        <v>0.5079999999999999</v>
      </c>
      <c r="H144" s="17">
        <f>G144/'Calibration standard'!$D$39</f>
        <v>19.590520263637636</v>
      </c>
      <c r="I144" s="17">
        <f t="shared" si="33"/>
        <v>2.9750457892167494</v>
      </c>
      <c r="J144">
        <v>-52</v>
      </c>
      <c r="K144" s="17">
        <f>(J144-'pH-Potential calibration'!$E$27)/'pH-Potential calibration'!$D$27</f>
        <v>7.6175908221797322</v>
      </c>
      <c r="L144" s="25">
        <f t="shared" si="34"/>
        <v>80.379746835443044</v>
      </c>
    </row>
    <row r="145" spans="2:25" x14ac:dyDescent="0.2">
      <c r="B145" s="4">
        <v>6</v>
      </c>
      <c r="C145" s="43" t="s">
        <v>178</v>
      </c>
      <c r="D145">
        <v>82</v>
      </c>
      <c r="E145" s="16">
        <f t="shared" si="32"/>
        <v>55</v>
      </c>
      <c r="F145">
        <v>0.52</v>
      </c>
      <c r="G145" s="14">
        <f>F145-'Calibration standard'!$D$16</f>
        <v>0.46400000000000002</v>
      </c>
      <c r="H145" s="17">
        <f>G145/'Calibration standard'!$D$39</f>
        <v>17.893703547889498</v>
      </c>
      <c r="I145" s="17">
        <f t="shared" si="33"/>
        <v>2.8844488938645232</v>
      </c>
      <c r="J145">
        <v>-52</v>
      </c>
      <c r="K145" s="17">
        <f>(J145-'pH-Potential calibration'!$E$27)/'pH-Potential calibration'!$D$27</f>
        <v>7.6175908221797322</v>
      </c>
      <c r="L145" s="25">
        <f t="shared" si="34"/>
        <v>73.417721518987364</v>
      </c>
    </row>
    <row r="147" spans="2:25" x14ac:dyDescent="0.2">
      <c r="B147" s="4"/>
      <c r="C147" s="43"/>
      <c r="E147" s="16"/>
      <c r="G147" s="14"/>
      <c r="H147" s="17"/>
      <c r="I147" s="17"/>
      <c r="K147" s="17"/>
      <c r="L147" s="25"/>
    </row>
    <row r="148" spans="2:25" x14ac:dyDescent="0.2">
      <c r="B148" s="4"/>
      <c r="C148" s="43"/>
      <c r="E148" s="16"/>
      <c r="G148" s="14"/>
      <c r="H148" s="17"/>
      <c r="I148" s="17"/>
      <c r="K148" s="17"/>
      <c r="L148" s="25"/>
    </row>
    <row r="149" spans="2:25" x14ac:dyDescent="0.2">
      <c r="B149" s="4"/>
      <c r="C149" s="43"/>
      <c r="E149" s="16"/>
      <c r="G149" s="14"/>
      <c r="H149" s="17"/>
      <c r="I149" s="17"/>
      <c r="K149" s="17"/>
      <c r="L149" s="25"/>
    </row>
    <row r="152" spans="2:25" x14ac:dyDescent="0.2">
      <c r="B152" t="s">
        <v>180</v>
      </c>
      <c r="C152" s="1" t="s">
        <v>179</v>
      </c>
      <c r="D152" t="s">
        <v>75</v>
      </c>
      <c r="F152" s="17">
        <f>AVERAGE(K155:K160)</f>
        <v>7.6322299235181648</v>
      </c>
      <c r="G152" t="s">
        <v>76</v>
      </c>
      <c r="H152">
        <f>STDEV(K155:K160)</f>
        <v>7.1716657144107578E-3</v>
      </c>
      <c r="V152" t="s">
        <v>36</v>
      </c>
    </row>
    <row r="153" spans="2:25" x14ac:dyDescent="0.2">
      <c r="B153" t="s">
        <v>77</v>
      </c>
      <c r="C153" t="s">
        <v>78</v>
      </c>
      <c r="D153" t="s">
        <v>79</v>
      </c>
      <c r="F153" t="s">
        <v>81</v>
      </c>
      <c r="G153" t="s">
        <v>71</v>
      </c>
      <c r="H153" t="s">
        <v>82</v>
      </c>
      <c r="I153" t="s">
        <v>83</v>
      </c>
      <c r="J153" t="s">
        <v>84</v>
      </c>
      <c r="K153" t="s">
        <v>85</v>
      </c>
      <c r="L153" t="s">
        <v>113</v>
      </c>
      <c r="M153" t="s">
        <v>34</v>
      </c>
      <c r="N153" t="s">
        <v>87</v>
      </c>
      <c r="V153" t="s">
        <v>37</v>
      </c>
      <c r="W153" t="s">
        <v>38</v>
      </c>
      <c r="X153" cm="1">
        <f t="array" ref="X153:Y157">LINEST(H155:H160,D155:D160,,TRUE)</f>
        <v>-5.3404484319176014E-2</v>
      </c>
      <c r="Y153">
        <v>19.285792452854917</v>
      </c>
    </row>
    <row r="154" spans="2:25" x14ac:dyDescent="0.2">
      <c r="B154" t="s">
        <v>88</v>
      </c>
      <c r="C154" s="44"/>
      <c r="D154" s="16"/>
      <c r="E154" s="16"/>
      <c r="H154" s="17"/>
      <c r="I154" s="17"/>
      <c r="J154">
        <v>-55</v>
      </c>
      <c r="K154" s="17">
        <f>(J154-'pH-Potential calibration'!$E$27)/'pH-Potential calibration'!$D$27</f>
        <v>7.6702915869980881</v>
      </c>
      <c r="V154" t="s">
        <v>39</v>
      </c>
      <c r="W154" t="s">
        <v>40</v>
      </c>
      <c r="X154">
        <v>2.4657657070613188E-3</v>
      </c>
      <c r="Y154">
        <v>0.10965497875569478</v>
      </c>
    </row>
    <row r="155" spans="2:25" x14ac:dyDescent="0.2">
      <c r="B155" s="4">
        <v>1</v>
      </c>
      <c r="C155" s="43" t="s">
        <v>141</v>
      </c>
      <c r="D155" s="16">
        <v>10</v>
      </c>
      <c r="E155" s="16">
        <f>D155-$D$155</f>
        <v>0</v>
      </c>
      <c r="F155">
        <v>0.53900000000000003</v>
      </c>
      <c r="G155" s="14">
        <f>F155-'Calibration standard'!$D$16</f>
        <v>0.48300000000000004</v>
      </c>
      <c r="H155" s="17">
        <f>G155/'Calibration standard'!$D$39</f>
        <v>18.62641985696256</v>
      </c>
      <c r="I155" s="17">
        <f>LN(H155)</f>
        <v>2.9245809952908406</v>
      </c>
      <c r="J155">
        <v>-53</v>
      </c>
      <c r="K155" s="17">
        <f>(J155-'pH-Potential calibration'!$E$27)/'pH-Potential calibration'!$D$27</f>
        <v>7.6351577437858511</v>
      </c>
      <c r="L155" s="25">
        <f>H155*100/$H$155</f>
        <v>100</v>
      </c>
      <c r="V155" t="s">
        <v>41</v>
      </c>
      <c r="W155" t="s">
        <v>42</v>
      </c>
      <c r="X155">
        <v>0.99154486538971842</v>
      </c>
      <c r="Y155">
        <v>0.12143322417271454</v>
      </c>
    </row>
    <row r="156" spans="2:25" x14ac:dyDescent="0.2">
      <c r="B156" s="4">
        <v>2</v>
      </c>
      <c r="C156" s="43" t="s">
        <v>181</v>
      </c>
      <c r="D156">
        <v>22</v>
      </c>
      <c r="E156" s="16">
        <f t="shared" ref="E156:E160" si="35">D156-$D$155</f>
        <v>12</v>
      </c>
      <c r="F156">
        <v>0.52600000000000002</v>
      </c>
      <c r="G156" s="14">
        <f>F156-'Calibration standard'!$D$16</f>
        <v>0.47000000000000003</v>
      </c>
      <c r="H156" s="17">
        <f>G156/'Calibration standard'!$D$39</f>
        <v>18.125087645491515</v>
      </c>
      <c r="I156" s="17">
        <f t="shared" ref="I156:I160" si="36">LN(H156)</f>
        <v>2.8972970363423718</v>
      </c>
      <c r="J156">
        <v>-53</v>
      </c>
      <c r="K156" s="17">
        <f>(J156-'pH-Potential calibration'!$E$27)/'pH-Potential calibration'!$D$27</f>
        <v>7.6351577437858511</v>
      </c>
      <c r="L156" s="25">
        <f t="shared" ref="L156:L160" si="37">H156*100/$H$155</f>
        <v>97.308488612836427</v>
      </c>
      <c r="V156" t="s">
        <v>43</v>
      </c>
      <c r="W156" t="s">
        <v>44</v>
      </c>
      <c r="X156">
        <v>469.08531257869714</v>
      </c>
      <c r="Y156">
        <v>4</v>
      </c>
    </row>
    <row r="157" spans="2:25" x14ac:dyDescent="0.2">
      <c r="B157" s="4">
        <v>3</v>
      </c>
      <c r="C157" s="43" t="s">
        <v>159</v>
      </c>
      <c r="D157">
        <v>34</v>
      </c>
      <c r="E157" s="16">
        <f t="shared" si="35"/>
        <v>24</v>
      </c>
      <c r="F157">
        <v>0.51200000000000001</v>
      </c>
      <c r="G157" s="14">
        <f>F157-'Calibration standard'!$D$16</f>
        <v>0.45600000000000002</v>
      </c>
      <c r="H157" s="17">
        <f>G157/'Calibration standard'!$D$39</f>
        <v>17.585191417753471</v>
      </c>
      <c r="I157" s="17">
        <f t="shared" si="36"/>
        <v>2.8670571511526539</v>
      </c>
      <c r="J157">
        <v>-53</v>
      </c>
      <c r="K157" s="17">
        <f>(J157-'pH-Potential calibration'!$E$27)/'pH-Potential calibration'!$D$27</f>
        <v>7.6351577437858511</v>
      </c>
      <c r="L157" s="25">
        <f t="shared" si="37"/>
        <v>94.409937888198755</v>
      </c>
      <c r="V157" t="s">
        <v>45</v>
      </c>
      <c r="W157" t="s">
        <v>46</v>
      </c>
      <c r="X157">
        <v>6.9171451222364713</v>
      </c>
      <c r="Y157">
        <v>5.8984111731922972E-2</v>
      </c>
    </row>
    <row r="158" spans="2:25" x14ac:dyDescent="0.2">
      <c r="B158" s="4">
        <v>4</v>
      </c>
      <c r="C158" s="43" t="s">
        <v>160</v>
      </c>
      <c r="D158">
        <v>46</v>
      </c>
      <c r="E158" s="16">
        <f t="shared" si="35"/>
        <v>36</v>
      </c>
      <c r="F158">
        <v>0.495</v>
      </c>
      <c r="G158" s="14">
        <f>F158-'Calibration standard'!$D$16</f>
        <v>0.439</v>
      </c>
      <c r="H158" s="17">
        <f>G158/'Calibration standard'!$D$39</f>
        <v>16.929603141214415</v>
      </c>
      <c r="I158" s="17">
        <f t="shared" si="36"/>
        <v>2.829063754713439</v>
      </c>
      <c r="J158">
        <v>-53</v>
      </c>
      <c r="K158" s="17">
        <f>(J158-'pH-Potential calibration'!$E$27)/'pH-Potential calibration'!$D$27</f>
        <v>7.6351577437858511</v>
      </c>
      <c r="L158" s="25">
        <f t="shared" si="37"/>
        <v>90.89026915113871</v>
      </c>
      <c r="V158" t="s">
        <v>93</v>
      </c>
      <c r="X158">
        <f>-X153</f>
        <v>5.3404484319176014E-2</v>
      </c>
    </row>
    <row r="159" spans="2:25" x14ac:dyDescent="0.2">
      <c r="B159" s="4">
        <v>5</v>
      </c>
      <c r="C159" s="43" t="s">
        <v>120</v>
      </c>
      <c r="D159">
        <v>57</v>
      </c>
      <c r="E159" s="16">
        <f t="shared" si="35"/>
        <v>47</v>
      </c>
      <c r="F159">
        <v>0.47799999999999998</v>
      </c>
      <c r="G159" s="14">
        <f>F159-'Calibration standard'!$D$16</f>
        <v>0.42199999999999999</v>
      </c>
      <c r="H159" s="17">
        <f>G159/'Calibration standard'!$D$39</f>
        <v>16.274014864675362</v>
      </c>
      <c r="I159" s="17">
        <f t="shared" si="36"/>
        <v>2.7895696556742795</v>
      </c>
      <c r="J159">
        <v>-53</v>
      </c>
      <c r="K159" s="17">
        <f>(J159-'pH-Potential calibration'!$E$27)/'pH-Potential calibration'!$D$27</f>
        <v>7.6351577437858511</v>
      </c>
      <c r="L159" s="25">
        <f t="shared" si="37"/>
        <v>87.370600414078666</v>
      </c>
    </row>
    <row r="160" spans="2:25" x14ac:dyDescent="0.2">
      <c r="B160" s="4">
        <v>6</v>
      </c>
      <c r="C160" s="43" t="s">
        <v>132</v>
      </c>
      <c r="D160">
        <v>69</v>
      </c>
      <c r="E160" s="16">
        <f t="shared" si="35"/>
        <v>59</v>
      </c>
      <c r="F160">
        <v>0.45700000000000002</v>
      </c>
      <c r="G160" s="14">
        <f>F160-'Calibration standard'!$D$16</f>
        <v>0.40100000000000002</v>
      </c>
      <c r="H160" s="17">
        <f>G160/'Calibration standard'!$D$39</f>
        <v>15.464170523068294</v>
      </c>
      <c r="I160" s="17">
        <f t="shared" si="36"/>
        <v>2.7385257689448368</v>
      </c>
      <c r="J160">
        <v>-52</v>
      </c>
      <c r="K160" s="17">
        <f>(J160-'pH-Potential calibration'!$E$27)/'pH-Potential calibration'!$D$27</f>
        <v>7.6175908221797322</v>
      </c>
      <c r="L160" s="25">
        <f t="shared" si="37"/>
        <v>83.02277432712215</v>
      </c>
    </row>
    <row r="161" spans="2:25" x14ac:dyDescent="0.2">
      <c r="B161" s="4"/>
      <c r="C161" s="43"/>
      <c r="E161" s="16"/>
      <c r="G161" s="14"/>
      <c r="H161" s="17"/>
      <c r="I161" s="17"/>
      <c r="K161" s="17"/>
      <c r="L161" s="25"/>
    </row>
    <row r="162" spans="2:25" x14ac:dyDescent="0.2">
      <c r="B162" s="4"/>
      <c r="C162" s="43"/>
      <c r="E162" s="16"/>
      <c r="G162" s="14"/>
      <c r="H162" s="17"/>
      <c r="I162" s="17"/>
      <c r="K162" s="17"/>
      <c r="L162" s="25"/>
    </row>
    <row r="163" spans="2:25" x14ac:dyDescent="0.2">
      <c r="B163" s="4"/>
      <c r="C163" s="43"/>
      <c r="E163" s="16"/>
      <c r="G163" s="14"/>
      <c r="H163" s="17"/>
      <c r="I163" s="17"/>
      <c r="K163" s="17"/>
      <c r="L163" s="25"/>
    </row>
    <row r="164" spans="2:25" x14ac:dyDescent="0.2">
      <c r="B164" s="4"/>
      <c r="C164" s="43"/>
      <c r="E164" s="16"/>
      <c r="G164" s="14"/>
      <c r="H164" s="17"/>
      <c r="I164" s="17"/>
      <c r="K164" s="17"/>
      <c r="L164" s="25"/>
    </row>
    <row r="166" spans="2:25" x14ac:dyDescent="0.2">
      <c r="B166" t="s">
        <v>183</v>
      </c>
      <c r="C166" s="1" t="s">
        <v>182</v>
      </c>
      <c r="D166" t="s">
        <v>75</v>
      </c>
      <c r="F166" s="17">
        <f>AVERAGE(K169:K174)</f>
        <v>7.617590822179733</v>
      </c>
      <c r="G166" t="s">
        <v>76</v>
      </c>
      <c r="H166">
        <f>STDEV(K169:K174)</f>
        <v>9.7295071111809874E-16</v>
      </c>
      <c r="V166" t="s">
        <v>36</v>
      </c>
    </row>
    <row r="167" spans="2:25" x14ac:dyDescent="0.2">
      <c r="B167" t="s">
        <v>77</v>
      </c>
      <c r="C167" t="s">
        <v>78</v>
      </c>
      <c r="D167" t="s">
        <v>79</v>
      </c>
      <c r="F167" t="s">
        <v>81</v>
      </c>
      <c r="G167" t="s">
        <v>71</v>
      </c>
      <c r="H167" t="s">
        <v>82</v>
      </c>
      <c r="I167" t="s">
        <v>83</v>
      </c>
      <c r="J167" t="s">
        <v>84</v>
      </c>
      <c r="K167" t="s">
        <v>85</v>
      </c>
      <c r="L167" t="s">
        <v>113</v>
      </c>
      <c r="M167" t="s">
        <v>34</v>
      </c>
      <c r="N167" t="s">
        <v>87</v>
      </c>
      <c r="V167" t="s">
        <v>37</v>
      </c>
      <c r="W167" t="s">
        <v>38</v>
      </c>
      <c r="X167" cm="1">
        <f t="array" ref="X167:Y171">LINEST(H169:H174,D169:D174,,TRUE)</f>
        <v>-3.2968071886680272E-2</v>
      </c>
      <c r="Y167">
        <v>13.587372195556933</v>
      </c>
    </row>
    <row r="168" spans="2:25" x14ac:dyDescent="0.2">
      <c r="B168" t="s">
        <v>88</v>
      </c>
      <c r="C168" s="44"/>
      <c r="D168" s="16"/>
      <c r="E168" s="16"/>
      <c r="H168" s="17"/>
      <c r="I168" s="17"/>
      <c r="J168">
        <v>-54</v>
      </c>
      <c r="K168" s="17">
        <f>(J168-'pH-Potential calibration'!$E$27)/'pH-Potential calibration'!$D$27</f>
        <v>7.6527246653919692</v>
      </c>
      <c r="V168" t="s">
        <v>39</v>
      </c>
      <c r="W168" t="s">
        <v>40</v>
      </c>
      <c r="X168">
        <v>1.8329724196249413E-3</v>
      </c>
      <c r="Y168">
        <v>8.8575756786946819E-2</v>
      </c>
    </row>
    <row r="169" spans="2:25" x14ac:dyDescent="0.2">
      <c r="B169" s="4">
        <v>1</v>
      </c>
      <c r="C169" s="43" t="s">
        <v>141</v>
      </c>
      <c r="D169" s="16">
        <v>10</v>
      </c>
      <c r="E169" s="16">
        <f>D169-$D$169</f>
        <v>0</v>
      </c>
      <c r="F169">
        <v>0.39900000000000002</v>
      </c>
      <c r="G169" s="14">
        <f>F169-'Calibration standard'!$D$16</f>
        <v>0.34300000000000003</v>
      </c>
      <c r="H169" s="17">
        <f>G169/'Calibration standard'!$D$39</f>
        <v>13.227457579582108</v>
      </c>
      <c r="I169" s="17">
        <f>LN(H169)</f>
        <v>2.5822947888042078</v>
      </c>
      <c r="J169">
        <v>-52</v>
      </c>
      <c r="K169" s="17">
        <f>(J169-'pH-Potential calibration'!$E$27)/'pH-Potential calibration'!$D$27</f>
        <v>7.6175908221797322</v>
      </c>
      <c r="L169" s="25">
        <f>H169*100/$H$169</f>
        <v>100</v>
      </c>
      <c r="V169" t="s">
        <v>41</v>
      </c>
      <c r="W169" t="s">
        <v>42</v>
      </c>
      <c r="X169">
        <v>0.98778628597287643</v>
      </c>
      <c r="Y169">
        <v>0.10325835013413676</v>
      </c>
    </row>
    <row r="170" spans="2:25" x14ac:dyDescent="0.2">
      <c r="B170" s="4">
        <v>2</v>
      </c>
      <c r="C170" s="43" t="s">
        <v>181</v>
      </c>
      <c r="D170">
        <v>22</v>
      </c>
      <c r="E170" s="16">
        <f t="shared" ref="E170:E172" si="38">D170-$D$169</f>
        <v>12</v>
      </c>
      <c r="F170">
        <v>0.39100000000000001</v>
      </c>
      <c r="G170" s="14">
        <f>F170-'Calibration standard'!$D$16</f>
        <v>0.33500000000000002</v>
      </c>
      <c r="H170" s="17">
        <f>G170/'Calibration standard'!$D$39</f>
        <v>12.918945449446081</v>
      </c>
      <c r="I170" s="17">
        <f t="shared" ref="I170:I172" si="39">LN(H170)</f>
        <v>2.5586948734633341</v>
      </c>
      <c r="J170">
        <v>-52</v>
      </c>
      <c r="K170" s="17">
        <f>(J170-'pH-Potential calibration'!$E$27)/'pH-Potential calibration'!$D$27</f>
        <v>7.6175908221797322</v>
      </c>
      <c r="L170" s="25">
        <f t="shared" ref="L170:L172" si="40">H170*100/$H$169</f>
        <v>97.667638483965007</v>
      </c>
      <c r="V170" t="s">
        <v>43</v>
      </c>
      <c r="W170" t="s">
        <v>44</v>
      </c>
      <c r="X170">
        <v>323.50070872111468</v>
      </c>
      <c r="Y170">
        <v>4</v>
      </c>
    </row>
    <row r="171" spans="2:25" x14ac:dyDescent="0.2">
      <c r="B171" s="4">
        <v>3</v>
      </c>
      <c r="C171" s="43" t="s">
        <v>142</v>
      </c>
      <c r="D171">
        <v>35</v>
      </c>
      <c r="E171" s="16">
        <f t="shared" si="38"/>
        <v>25</v>
      </c>
      <c r="F171">
        <v>0.376</v>
      </c>
      <c r="G171" s="14">
        <f>F171-'Calibration standard'!$D$16</f>
        <v>0.32</v>
      </c>
      <c r="H171" s="17">
        <f>G171/'Calibration standard'!$D$39</f>
        <v>12.340485205441032</v>
      </c>
      <c r="I171" s="17">
        <f t="shared" si="39"/>
        <v>2.5128853374320399</v>
      </c>
      <c r="J171">
        <v>-52</v>
      </c>
      <c r="K171" s="17">
        <f>(J171-'pH-Potential calibration'!$E$27)/'pH-Potential calibration'!$D$27</f>
        <v>7.6175908221797322</v>
      </c>
      <c r="L171" s="25">
        <f t="shared" si="40"/>
        <v>93.294460641399411</v>
      </c>
      <c r="V171" t="s">
        <v>45</v>
      </c>
      <c r="W171" t="s">
        <v>46</v>
      </c>
      <c r="X171">
        <v>3.4492573598169951</v>
      </c>
      <c r="Y171">
        <v>4.2649147489695921E-2</v>
      </c>
    </row>
    <row r="172" spans="2:25" x14ac:dyDescent="0.2">
      <c r="B172" s="4">
        <v>4</v>
      </c>
      <c r="C172" s="43" t="s">
        <v>130</v>
      </c>
      <c r="D172">
        <v>48</v>
      </c>
      <c r="E172" s="16">
        <f t="shared" si="38"/>
        <v>38</v>
      </c>
      <c r="F172">
        <v>0.371</v>
      </c>
      <c r="G172" s="14">
        <f>F172-'Calibration standard'!$D$16</f>
        <v>0.315</v>
      </c>
      <c r="H172" s="17">
        <f>G172/'Calibration standard'!$D$39</f>
        <v>12.147665124106016</v>
      </c>
      <c r="I172" s="17">
        <f t="shared" si="39"/>
        <v>2.4971369804639005</v>
      </c>
      <c r="J172">
        <v>-52</v>
      </c>
      <c r="K172" s="17">
        <f>(J172-'pH-Potential calibration'!$E$27)/'pH-Potential calibration'!$D$27</f>
        <v>7.6175908221797322</v>
      </c>
      <c r="L172" s="25">
        <f t="shared" si="40"/>
        <v>91.836734693877531</v>
      </c>
      <c r="V172" t="s">
        <v>93</v>
      </c>
      <c r="X172">
        <f>-X167</f>
        <v>3.2968071886680272E-2</v>
      </c>
    </row>
    <row r="173" spans="2:25" x14ac:dyDescent="0.2">
      <c r="B173" s="4">
        <v>5</v>
      </c>
      <c r="C173" s="43" t="s">
        <v>184</v>
      </c>
      <c r="D173">
        <v>63</v>
      </c>
      <c r="E173" s="16">
        <f>D173-$D$169</f>
        <v>53</v>
      </c>
      <c r="F173">
        <v>0.35199999999999998</v>
      </c>
      <c r="G173" s="14">
        <f>F173-'Calibration standard'!$D$16</f>
        <v>0.29599999999999999</v>
      </c>
      <c r="H173" s="17">
        <f>G173/'Calibration standard'!$D$39</f>
        <v>11.414948815032954</v>
      </c>
      <c r="I173" s="17">
        <f>LN(H173)</f>
        <v>2.434923795962328</v>
      </c>
      <c r="J173">
        <v>-52</v>
      </c>
      <c r="K173" s="17">
        <f>(J173-'pH-Potential calibration'!$E$27)/'pH-Potential calibration'!$D$27</f>
        <v>7.6175908221797322</v>
      </c>
      <c r="L173" s="25">
        <f>H173*100/$H$169</f>
        <v>86.297376093294446</v>
      </c>
    </row>
    <row r="174" spans="2:25" x14ac:dyDescent="0.2">
      <c r="B174" s="4">
        <v>6</v>
      </c>
      <c r="C174" s="43" t="s">
        <v>185</v>
      </c>
      <c r="D174">
        <v>77</v>
      </c>
      <c r="E174" s="16">
        <f>D174-$D$169</f>
        <v>67</v>
      </c>
      <c r="F174">
        <v>0.34300000000000003</v>
      </c>
      <c r="G174" s="14">
        <f>F174-'Calibration standard'!$D$16</f>
        <v>0.28700000000000003</v>
      </c>
      <c r="H174" s="17">
        <f>G174/'Calibration standard'!$D$39</f>
        <v>11.067872668629926</v>
      </c>
      <c r="I174" s="17">
        <f>LN(H174)</f>
        <v>2.4040465573978889</v>
      </c>
      <c r="J174">
        <v>-52</v>
      </c>
      <c r="K174" s="17">
        <f>(J174-'pH-Potential calibration'!$E$27)/'pH-Potential calibration'!$D$27</f>
        <v>7.6175908221797322</v>
      </c>
      <c r="L174" s="25">
        <f>H174*100/$H$169</f>
        <v>83.673469387755091</v>
      </c>
    </row>
    <row r="175" spans="2:25" x14ac:dyDescent="0.2">
      <c r="B175" s="4"/>
      <c r="C175" s="43"/>
      <c r="E175" s="16"/>
      <c r="G175" s="14"/>
      <c r="H175" s="17"/>
      <c r="I175" s="17"/>
      <c r="K175" s="17"/>
      <c r="L175" s="25"/>
    </row>
    <row r="176" spans="2:25" x14ac:dyDescent="0.2">
      <c r="B176" s="4"/>
      <c r="C176" s="17">
        <f>2*2000/251.3</f>
        <v>15.917230401910066</v>
      </c>
      <c r="E176" s="16"/>
      <c r="G176" s="14"/>
      <c r="H176" s="17"/>
      <c r="I176" s="17"/>
      <c r="K176" s="17"/>
      <c r="L176" s="25"/>
    </row>
    <row r="177" spans="2:25" x14ac:dyDescent="0.2">
      <c r="B177" s="4"/>
      <c r="C177" s="17">
        <f>C176*5/6.1</f>
        <v>13.046910165500055</v>
      </c>
      <c r="E177" s="16"/>
      <c r="G177" s="14"/>
      <c r="H177" s="17"/>
      <c r="I177" s="17"/>
      <c r="K177" s="17"/>
      <c r="L177" s="25"/>
    </row>
    <row r="178" spans="2:25" x14ac:dyDescent="0.2">
      <c r="B178" s="4"/>
      <c r="C178" s="43"/>
      <c r="E178" s="16"/>
      <c r="G178" s="14"/>
      <c r="H178" s="17"/>
      <c r="I178" s="17"/>
      <c r="K178" s="17"/>
      <c r="L178" s="25"/>
    </row>
    <row r="181" spans="2:25" x14ac:dyDescent="0.2">
      <c r="B181" t="s">
        <v>187</v>
      </c>
      <c r="C181" s="1" t="s">
        <v>186</v>
      </c>
      <c r="D181" t="s">
        <v>75</v>
      </c>
      <c r="F181" s="17">
        <f>AVERAGE(K184:K189)</f>
        <v>7.6468690248565965</v>
      </c>
      <c r="G181" t="s">
        <v>76</v>
      </c>
      <c r="H181">
        <f>STDEV(K184:K189)</f>
        <v>1.4343331428821082E-2</v>
      </c>
      <c r="V181" t="s">
        <v>36</v>
      </c>
    </row>
    <row r="182" spans="2:25" x14ac:dyDescent="0.2">
      <c r="B182" t="s">
        <v>77</v>
      </c>
      <c r="C182" t="s">
        <v>78</v>
      </c>
      <c r="D182" t="s">
        <v>79</v>
      </c>
      <c r="F182" t="s">
        <v>81</v>
      </c>
      <c r="G182" t="s">
        <v>71</v>
      </c>
      <c r="H182" t="s">
        <v>82</v>
      </c>
      <c r="I182" t="s">
        <v>83</v>
      </c>
      <c r="J182" t="s">
        <v>84</v>
      </c>
      <c r="K182" t="s">
        <v>85</v>
      </c>
      <c r="L182" t="s">
        <v>113</v>
      </c>
      <c r="M182" t="s">
        <v>34</v>
      </c>
      <c r="N182" t="s">
        <v>87</v>
      </c>
      <c r="V182" t="s">
        <v>37</v>
      </c>
      <c r="W182" t="s">
        <v>38</v>
      </c>
      <c r="X182" cm="1">
        <f t="array" ref="X182:Y186">LINEST(H184:H189,D184:D189,,TRUE)</f>
        <v>-0.18677509453654759</v>
      </c>
      <c r="Y182">
        <v>43.823010081824734</v>
      </c>
    </row>
    <row r="183" spans="2:25" x14ac:dyDescent="0.2">
      <c r="B183" t="s">
        <v>88</v>
      </c>
      <c r="C183" s="44"/>
      <c r="D183" s="16"/>
      <c r="E183" s="16"/>
      <c r="H183" s="17"/>
      <c r="I183" s="17"/>
      <c r="J183">
        <v>-57</v>
      </c>
      <c r="K183" s="17">
        <f>(J183-'pH-Potential calibration'!$E$27)/'pH-Potential calibration'!$D$27</f>
        <v>7.7054254302103251</v>
      </c>
      <c r="V183" t="s">
        <v>39</v>
      </c>
      <c r="W183" t="s">
        <v>40</v>
      </c>
      <c r="X183">
        <v>1.5291342563942819E-2</v>
      </c>
      <c r="Y183">
        <v>0.79681443516131589</v>
      </c>
    </row>
    <row r="184" spans="2:25" x14ac:dyDescent="0.2">
      <c r="B184" s="4">
        <v>1</v>
      </c>
      <c r="C184" s="43" t="s">
        <v>188</v>
      </c>
      <c r="D184" s="16">
        <v>11</v>
      </c>
      <c r="E184" s="16">
        <f>D184-$D$184</f>
        <v>0</v>
      </c>
      <c r="F184">
        <v>1.1148</v>
      </c>
      <c r="G184" s="14">
        <f>F184-'Calibration standard'!$D$16</f>
        <v>1.0588</v>
      </c>
      <c r="H184" s="17">
        <f>G184/'Calibration standard'!$D$39</f>
        <v>40.831580423503013</v>
      </c>
      <c r="I184" s="17">
        <f>LN(H184)</f>
        <v>3.709455811991214</v>
      </c>
      <c r="J184">
        <v>-55</v>
      </c>
      <c r="K184" s="17">
        <f>(J184-'pH-Potential calibration'!$E$27)/'pH-Potential calibration'!$D$27</f>
        <v>7.6702915869980881</v>
      </c>
      <c r="L184" s="25">
        <f>H184*100/$H$184</f>
        <v>100</v>
      </c>
      <c r="V184" t="s">
        <v>41</v>
      </c>
      <c r="W184" t="s">
        <v>42</v>
      </c>
      <c r="X184">
        <v>0.97388904375782648</v>
      </c>
      <c r="Y184">
        <v>0.89311564404466137</v>
      </c>
    </row>
    <row r="185" spans="2:25" x14ac:dyDescent="0.2">
      <c r="B185" s="4">
        <v>2</v>
      </c>
      <c r="C185" s="43" t="s">
        <v>189</v>
      </c>
      <c r="D185">
        <v>25</v>
      </c>
      <c r="E185" s="16">
        <f t="shared" ref="E185:E189" si="41">D185-$D$184</f>
        <v>14</v>
      </c>
      <c r="F185">
        <v>1.083</v>
      </c>
      <c r="G185" s="14">
        <f>F185-'Calibration standard'!$D$16</f>
        <v>1.0269999999999999</v>
      </c>
      <c r="H185" s="17">
        <f>G185/'Calibration standard'!$D$39</f>
        <v>39.605244706212311</v>
      </c>
      <c r="I185" s="17">
        <f t="shared" ref="I185:I189" si="42">LN(H185)</f>
        <v>3.6789615515668257</v>
      </c>
      <c r="J185">
        <v>-54</v>
      </c>
      <c r="K185" s="17">
        <f>(J185-'pH-Potential calibration'!$E$27)/'pH-Potential calibration'!$D$27</f>
        <v>7.6527246653919692</v>
      </c>
      <c r="L185" s="25">
        <f t="shared" ref="L185:L189" si="43">H185*100/$H$184</f>
        <v>96.996599924442762</v>
      </c>
      <c r="V185" t="s">
        <v>43</v>
      </c>
      <c r="W185" t="s">
        <v>44</v>
      </c>
      <c r="X185">
        <v>149.19239796891597</v>
      </c>
      <c r="Y185">
        <v>4</v>
      </c>
    </row>
    <row r="186" spans="2:25" x14ac:dyDescent="0.2">
      <c r="B186" s="4">
        <v>3</v>
      </c>
      <c r="C186" s="43" t="s">
        <v>170</v>
      </c>
      <c r="D186">
        <v>39</v>
      </c>
      <c r="E186" s="16">
        <f t="shared" si="41"/>
        <v>28</v>
      </c>
      <c r="F186">
        <v>1.0129999999999999</v>
      </c>
      <c r="G186" s="14">
        <f>F186-'Calibration standard'!$D$16</f>
        <v>0.95699999999999985</v>
      </c>
      <c r="H186" s="17">
        <f>G186/'Calibration standard'!$D$39</f>
        <v>36.905763567522079</v>
      </c>
      <c r="I186" s="17">
        <f t="shared" si="42"/>
        <v>3.6083677330912218</v>
      </c>
      <c r="J186">
        <v>-54</v>
      </c>
      <c r="K186" s="17">
        <f>(J186-'pH-Potential calibration'!$E$27)/'pH-Potential calibration'!$D$27</f>
        <v>7.6527246653919692</v>
      </c>
      <c r="L186" s="25">
        <f t="shared" si="43"/>
        <v>90.38534189648658</v>
      </c>
      <c r="V186" t="s">
        <v>45</v>
      </c>
      <c r="W186" t="s">
        <v>46</v>
      </c>
      <c r="X186">
        <v>119.0041448003736</v>
      </c>
      <c r="Y186">
        <v>3.1906222145492409</v>
      </c>
    </row>
    <row r="187" spans="2:25" x14ac:dyDescent="0.2">
      <c r="B187" s="4">
        <v>4</v>
      </c>
      <c r="C187" s="43" t="s">
        <v>190</v>
      </c>
      <c r="D187">
        <v>56</v>
      </c>
      <c r="E187" s="16">
        <f t="shared" si="41"/>
        <v>45</v>
      </c>
      <c r="F187">
        <v>0.95</v>
      </c>
      <c r="G187" s="14">
        <f>F187-'Calibration standard'!$D$16</f>
        <v>0.89399999999999991</v>
      </c>
      <c r="H187" s="17">
        <f>G187/'Calibration standard'!$D$39</f>
        <v>34.476230542700883</v>
      </c>
      <c r="I187" s="17">
        <f t="shared" si="42"/>
        <v>3.5402701168117816</v>
      </c>
      <c r="J187">
        <v>-53</v>
      </c>
      <c r="K187" s="17">
        <f>(J187-'pH-Potential calibration'!$E$27)/'pH-Potential calibration'!$D$27</f>
        <v>7.6351577437858511</v>
      </c>
      <c r="L187" s="25">
        <f t="shared" si="43"/>
        <v>84.435209671326035</v>
      </c>
      <c r="V187" t="s">
        <v>93</v>
      </c>
      <c r="X187">
        <f>-X182</f>
        <v>0.18677509453654759</v>
      </c>
    </row>
    <row r="188" spans="2:25" x14ac:dyDescent="0.2">
      <c r="B188" s="4">
        <v>5</v>
      </c>
      <c r="C188" s="43" t="s">
        <v>94</v>
      </c>
      <c r="D188">
        <v>67</v>
      </c>
      <c r="E188" s="16">
        <f t="shared" si="41"/>
        <v>56</v>
      </c>
      <c r="F188">
        <v>0.86399999999999999</v>
      </c>
      <c r="G188" s="14">
        <f>F188-'Calibration standard'!$D$16</f>
        <v>0.80799999999999994</v>
      </c>
      <c r="H188" s="17">
        <f>G188/'Calibration standard'!$D$39</f>
        <v>31.159725143738605</v>
      </c>
      <c r="I188" s="17">
        <f t="shared" si="42"/>
        <v>3.4391264001593629</v>
      </c>
      <c r="J188">
        <v>-53</v>
      </c>
      <c r="K188" s="17">
        <f>(J188-'pH-Potential calibration'!$E$27)/'pH-Potential calibration'!$D$27</f>
        <v>7.6351577437858511</v>
      </c>
      <c r="L188" s="25">
        <f t="shared" si="43"/>
        <v>76.312806951265586</v>
      </c>
    </row>
    <row r="189" spans="2:25" x14ac:dyDescent="0.2">
      <c r="B189" s="4">
        <v>6</v>
      </c>
      <c r="C189" s="43" t="s">
        <v>172</v>
      </c>
      <c r="D189">
        <v>80</v>
      </c>
      <c r="E189" s="16">
        <f t="shared" si="41"/>
        <v>69</v>
      </c>
      <c r="F189">
        <v>0.78300000000000003</v>
      </c>
      <c r="G189" s="14">
        <f>F189-'Calibration standard'!$D$16</f>
        <v>0.72699999999999998</v>
      </c>
      <c r="H189" s="17">
        <f>G189/'Calibration standard'!$D$39</f>
        <v>28.036039826111345</v>
      </c>
      <c r="I189" s="17">
        <f t="shared" si="42"/>
        <v>3.3334908191717871</v>
      </c>
      <c r="J189">
        <v>-53</v>
      </c>
      <c r="K189" s="17">
        <f>(J189-'pH-Potential calibration'!$E$27)/'pH-Potential calibration'!$D$27</f>
        <v>7.6351577437858511</v>
      </c>
      <c r="L189" s="25">
        <f t="shared" si="43"/>
        <v>68.662636947487727</v>
      </c>
    </row>
    <row r="190" spans="2:25" x14ac:dyDescent="0.2">
      <c r="B190" s="4"/>
      <c r="C190" s="43"/>
      <c r="E190" s="16"/>
      <c r="G190" s="14"/>
      <c r="H190" s="17"/>
      <c r="I190" s="17"/>
      <c r="K190" s="17"/>
      <c r="L190" s="25"/>
    </row>
    <row r="191" spans="2:25" x14ac:dyDescent="0.2">
      <c r="B191" s="4"/>
      <c r="C191" s="43"/>
      <c r="E191" s="16"/>
      <c r="G191" s="14"/>
      <c r="H191" s="17"/>
      <c r="I191" s="17"/>
      <c r="K191" s="17"/>
      <c r="L191" s="25"/>
    </row>
    <row r="192" spans="2:25" x14ac:dyDescent="0.2">
      <c r="B192" s="4"/>
      <c r="C192" s="43"/>
      <c r="E192" s="16"/>
      <c r="G192" s="14"/>
      <c r="H192" s="17"/>
      <c r="I192" s="17"/>
      <c r="K192" s="17"/>
      <c r="L192" s="25"/>
    </row>
    <row r="193" spans="2:25" x14ac:dyDescent="0.2">
      <c r="B193" s="4"/>
      <c r="C193" s="43"/>
      <c r="E193" s="16"/>
      <c r="G193" s="14"/>
      <c r="H193" s="17"/>
      <c r="I193" s="17"/>
      <c r="K193" s="17"/>
      <c r="L193" s="25"/>
    </row>
    <row r="196" spans="2:25" x14ac:dyDescent="0.2">
      <c r="B196" t="s">
        <v>169</v>
      </c>
      <c r="C196" s="1" t="s">
        <v>193</v>
      </c>
      <c r="D196" t="s">
        <v>75</v>
      </c>
      <c r="F196" s="17">
        <f>AVERAGE(K199:K204)</f>
        <v>7.6293021032504784</v>
      </c>
      <c r="G196" t="s">
        <v>76</v>
      </c>
      <c r="H196">
        <f>STDEV(K199:K204)</f>
        <v>9.0715193099506573E-3</v>
      </c>
      <c r="V196" t="s">
        <v>36</v>
      </c>
    </row>
    <row r="197" spans="2:25" x14ac:dyDescent="0.2">
      <c r="B197" t="s">
        <v>77</v>
      </c>
      <c r="C197" t="s">
        <v>78</v>
      </c>
      <c r="D197" t="s">
        <v>79</v>
      </c>
      <c r="F197" t="s">
        <v>81</v>
      </c>
      <c r="G197" t="s">
        <v>71</v>
      </c>
      <c r="H197" t="s">
        <v>82</v>
      </c>
      <c r="I197" t="s">
        <v>83</v>
      </c>
      <c r="J197" t="s">
        <v>84</v>
      </c>
      <c r="K197" t="s">
        <v>85</v>
      </c>
      <c r="L197" t="s">
        <v>113</v>
      </c>
      <c r="M197" t="s">
        <v>34</v>
      </c>
      <c r="N197" t="s">
        <v>87</v>
      </c>
      <c r="V197" t="s">
        <v>37</v>
      </c>
      <c r="W197" t="s">
        <v>38</v>
      </c>
      <c r="X197" cm="1">
        <f t="array" ref="X197:Y201">LINEST(H199:H204,D199:D204,,TRUE)</f>
        <v>-0.13471901554984916</v>
      </c>
      <c r="Y197">
        <v>34.054339325286811</v>
      </c>
    </row>
    <row r="198" spans="2:25" x14ac:dyDescent="0.2">
      <c r="B198" t="s">
        <v>88</v>
      </c>
      <c r="C198" s="44"/>
      <c r="D198" s="16"/>
      <c r="E198" s="16"/>
      <c r="H198" s="17"/>
      <c r="I198" s="17"/>
      <c r="J198">
        <v>-58</v>
      </c>
      <c r="K198" s="17">
        <f>(J198-'pH-Potential calibration'!$E$27)/'pH-Potential calibration'!$D$27</f>
        <v>7.7229923518164441</v>
      </c>
      <c r="V198" t="s">
        <v>39</v>
      </c>
      <c r="W198" t="s">
        <v>40</v>
      </c>
      <c r="X198">
        <v>1.0720784065171176E-2</v>
      </c>
      <c r="Y198">
        <v>0.5023538708496067</v>
      </c>
    </row>
    <row r="199" spans="2:25" x14ac:dyDescent="0.2">
      <c r="B199" s="4">
        <v>1</v>
      </c>
      <c r="C199" s="43" t="s">
        <v>89</v>
      </c>
      <c r="D199" s="16">
        <v>9</v>
      </c>
      <c r="E199" s="16">
        <f>D199-$D$199</f>
        <v>0</v>
      </c>
      <c r="F199">
        <v>0.89</v>
      </c>
      <c r="G199" s="14">
        <f>F199-'Calibration standard'!$D$16</f>
        <v>0.83399999999999996</v>
      </c>
      <c r="H199" s="17">
        <f>G199/'Calibration standard'!$D$39</f>
        <v>32.162389566680687</v>
      </c>
      <c r="I199" s="17">
        <f>LN(H199)</f>
        <v>3.4707977439970144</v>
      </c>
      <c r="J199">
        <v>-53</v>
      </c>
      <c r="K199" s="17">
        <f>(J199-'pH-Potential calibration'!$E$27)/'pH-Potential calibration'!$D$27</f>
        <v>7.6351577437858511</v>
      </c>
      <c r="L199" s="25">
        <f>H199*100/$H$199</f>
        <v>100</v>
      </c>
      <c r="V199" t="s">
        <v>41</v>
      </c>
      <c r="W199" t="s">
        <v>42</v>
      </c>
      <c r="X199">
        <v>0.97529464342695948</v>
      </c>
      <c r="Y199">
        <v>0.57964983689140226</v>
      </c>
    </row>
    <row r="200" spans="2:25" x14ac:dyDescent="0.2">
      <c r="B200" s="4">
        <v>2</v>
      </c>
      <c r="C200" s="43" t="s">
        <v>181</v>
      </c>
      <c r="D200">
        <v>22</v>
      </c>
      <c r="E200" s="16">
        <f t="shared" ref="E200:E204" si="44">D200-$D$199</f>
        <v>13</v>
      </c>
      <c r="F200">
        <v>0.873</v>
      </c>
      <c r="G200" s="14">
        <f>F200-'Calibration standard'!$D$16</f>
        <v>0.81699999999999995</v>
      </c>
      <c r="H200" s="17">
        <f>G200/'Calibration standard'!$D$39</f>
        <v>31.506801290141631</v>
      </c>
      <c r="I200" s="17">
        <f t="shared" ref="I200:I204" si="45">LN(H200)</f>
        <v>3.4502034364982705</v>
      </c>
      <c r="J200">
        <v>-53</v>
      </c>
      <c r="K200" s="17">
        <f>(J200-'pH-Potential calibration'!$E$27)/'pH-Potential calibration'!$D$27</f>
        <v>7.6351577437858511</v>
      </c>
      <c r="L200" s="25">
        <f t="shared" ref="L200:L204" si="46">H200*100/$H$199</f>
        <v>97.961630695443631</v>
      </c>
      <c r="V200" t="s">
        <v>43</v>
      </c>
      <c r="W200" t="s">
        <v>44</v>
      </c>
      <c r="X200">
        <v>157.90820756519497</v>
      </c>
      <c r="Y200">
        <v>4</v>
      </c>
    </row>
    <row r="201" spans="2:25" x14ac:dyDescent="0.2">
      <c r="B201" s="4">
        <v>3</v>
      </c>
      <c r="C201" s="43" t="s">
        <v>91</v>
      </c>
      <c r="D201">
        <v>36</v>
      </c>
      <c r="E201" s="16">
        <f t="shared" si="44"/>
        <v>27</v>
      </c>
      <c r="F201">
        <v>0.81599999999999995</v>
      </c>
      <c r="G201" s="14">
        <f>F201-'Calibration standard'!$D$16</f>
        <v>0.7599999999999999</v>
      </c>
      <c r="H201" s="17">
        <f>G201/'Calibration standard'!$D$39</f>
        <v>29.308652362922448</v>
      </c>
      <c r="I201" s="17">
        <f t="shared" si="45"/>
        <v>3.3778827749186444</v>
      </c>
      <c r="J201">
        <v>-53</v>
      </c>
      <c r="K201" s="17">
        <f>(J201-'pH-Potential calibration'!$E$27)/'pH-Potential calibration'!$D$27</f>
        <v>7.6351577437858511</v>
      </c>
      <c r="L201" s="25">
        <f t="shared" si="46"/>
        <v>91.127098321342928</v>
      </c>
      <c r="V201" t="s">
        <v>45</v>
      </c>
      <c r="W201" t="s">
        <v>46</v>
      </c>
      <c r="X201">
        <v>53.056199777272958</v>
      </c>
      <c r="Y201">
        <v>1.343975733632917</v>
      </c>
    </row>
    <row r="202" spans="2:25" x14ac:dyDescent="0.2">
      <c r="B202" s="4">
        <v>4</v>
      </c>
      <c r="C202" s="43" t="s">
        <v>160</v>
      </c>
      <c r="D202">
        <v>46</v>
      </c>
      <c r="E202" s="16">
        <f t="shared" si="44"/>
        <v>37</v>
      </c>
      <c r="F202">
        <v>0.79600000000000004</v>
      </c>
      <c r="G202" s="14">
        <f>F202-'Calibration standard'!$D$16</f>
        <v>0.74</v>
      </c>
      <c r="H202" s="17">
        <f>G202/'Calibration standard'!$D$39</f>
        <v>28.537372037582386</v>
      </c>
      <c r="I202" s="17">
        <f t="shared" si="45"/>
        <v>3.3512145278364831</v>
      </c>
      <c r="J202">
        <v>-53</v>
      </c>
      <c r="K202" s="17">
        <f>(J202-'pH-Potential calibration'!$E$27)/'pH-Potential calibration'!$D$27</f>
        <v>7.6351577437858511</v>
      </c>
      <c r="L202" s="25">
        <f t="shared" si="46"/>
        <v>88.729016786570753</v>
      </c>
      <c r="V202" t="s">
        <v>93</v>
      </c>
      <c r="X202">
        <f>-X197</f>
        <v>0.13471901554984916</v>
      </c>
    </row>
    <row r="203" spans="2:25" x14ac:dyDescent="0.2">
      <c r="B203" s="4">
        <v>5</v>
      </c>
      <c r="C203" s="43" t="s">
        <v>191</v>
      </c>
      <c r="D203">
        <v>61</v>
      </c>
      <c r="E203" s="16">
        <f t="shared" si="44"/>
        <v>52</v>
      </c>
      <c r="F203">
        <v>0.72499999999999998</v>
      </c>
      <c r="G203" s="14">
        <f>F203-'Calibration standard'!$D$16</f>
        <v>0.66899999999999993</v>
      </c>
      <c r="H203" s="17">
        <f>G203/'Calibration standard'!$D$39</f>
        <v>25.799326882625156</v>
      </c>
      <c r="I203" s="17">
        <f t="shared" si="45"/>
        <v>3.2503484017664959</v>
      </c>
      <c r="J203">
        <v>-52</v>
      </c>
      <c r="K203" s="17">
        <f>(J203-'pH-Potential calibration'!$E$27)/'pH-Potential calibration'!$D$27</f>
        <v>7.6175908221797322</v>
      </c>
      <c r="L203" s="25">
        <f t="shared" si="46"/>
        <v>80.2158273381295</v>
      </c>
    </row>
    <row r="204" spans="2:25" x14ac:dyDescent="0.2">
      <c r="B204" s="4">
        <v>6</v>
      </c>
      <c r="C204" s="43" t="s">
        <v>192</v>
      </c>
      <c r="D204">
        <v>74</v>
      </c>
      <c r="E204" s="16">
        <f t="shared" si="44"/>
        <v>65</v>
      </c>
      <c r="F204">
        <v>0.66800000000000004</v>
      </c>
      <c r="G204" s="14">
        <f>F204-'Calibration standard'!$D$16</f>
        <v>0.61199999999999999</v>
      </c>
      <c r="H204" s="17">
        <f>G204/'Calibration standard'!$D$39</f>
        <v>23.601177955405973</v>
      </c>
      <c r="I204" s="17">
        <f t="shared" si="45"/>
        <v>3.1612966241505935</v>
      </c>
      <c r="J204">
        <v>-52</v>
      </c>
      <c r="K204" s="17">
        <f>(J204-'pH-Potential calibration'!$E$27)/'pH-Potential calibration'!$D$27</f>
        <v>7.6175908221797322</v>
      </c>
      <c r="L204" s="25">
        <f t="shared" si="46"/>
        <v>73.381294964028783</v>
      </c>
    </row>
    <row r="205" spans="2:25" x14ac:dyDescent="0.2">
      <c r="B205" s="4"/>
      <c r="C205" s="43"/>
      <c r="E205" s="16"/>
      <c r="G205" s="14"/>
      <c r="H205" s="17"/>
      <c r="I205" s="17"/>
      <c r="K205" s="17"/>
      <c r="L205" s="25"/>
    </row>
    <row r="206" spans="2:25" x14ac:dyDescent="0.2">
      <c r="B206" s="4"/>
      <c r="C206" s="43"/>
      <c r="E206" s="16"/>
      <c r="G206" s="14"/>
      <c r="H206" s="17"/>
      <c r="I206" s="17"/>
      <c r="K206" s="17"/>
      <c r="L206" s="25"/>
    </row>
    <row r="207" spans="2:25" x14ac:dyDescent="0.2">
      <c r="B207" s="4"/>
      <c r="C207" s="43"/>
      <c r="E207" s="16"/>
      <c r="G207" s="14"/>
      <c r="H207" s="17"/>
      <c r="I207" s="17"/>
      <c r="K207" s="17"/>
      <c r="L207" s="25"/>
    </row>
    <row r="208" spans="2:25" x14ac:dyDescent="0.2">
      <c r="B208" s="4"/>
      <c r="C208" s="43"/>
      <c r="E208" s="16"/>
      <c r="G208" s="14"/>
      <c r="H208" s="17"/>
      <c r="I208" s="17"/>
      <c r="K208" s="17"/>
      <c r="L208" s="25"/>
    </row>
    <row r="210" spans="2:25" x14ac:dyDescent="0.2">
      <c r="B210" t="s">
        <v>198</v>
      </c>
      <c r="C210" s="1" t="s">
        <v>194</v>
      </c>
      <c r="D210" t="s">
        <v>75</v>
      </c>
      <c r="F210" s="17">
        <f>AVERAGE(K213:K218)</f>
        <v>7.6556524856596555</v>
      </c>
      <c r="G210" t="s">
        <v>76</v>
      </c>
      <c r="H210">
        <f>STDEV(K213:K218)</f>
        <v>7.1716657144107578E-3</v>
      </c>
      <c r="V210" t="s">
        <v>36</v>
      </c>
    </row>
    <row r="211" spans="2:25" x14ac:dyDescent="0.2">
      <c r="B211" t="s">
        <v>77</v>
      </c>
      <c r="C211" t="s">
        <v>78</v>
      </c>
      <c r="D211" t="s">
        <v>79</v>
      </c>
      <c r="F211" t="s">
        <v>81</v>
      </c>
      <c r="G211" t="s">
        <v>71</v>
      </c>
      <c r="H211" t="s">
        <v>82</v>
      </c>
      <c r="I211" t="s">
        <v>83</v>
      </c>
      <c r="J211" t="s">
        <v>84</v>
      </c>
      <c r="K211" t="s">
        <v>85</v>
      </c>
      <c r="L211" t="s">
        <v>113</v>
      </c>
      <c r="M211" t="s">
        <v>34</v>
      </c>
      <c r="N211" t="s">
        <v>87</v>
      </c>
      <c r="V211" t="s">
        <v>37</v>
      </c>
      <c r="W211" t="s">
        <v>38</v>
      </c>
      <c r="X211" cm="1">
        <f t="array" ref="X211:Y215">LINEST(H213:H218,D213:D218,,TRUE)</f>
        <v>-0.11726803300939791</v>
      </c>
      <c r="Y211">
        <v>26.222173670241773</v>
      </c>
    </row>
    <row r="212" spans="2:25" x14ac:dyDescent="0.2">
      <c r="B212" t="s">
        <v>88</v>
      </c>
      <c r="C212" s="44"/>
      <c r="D212" s="16"/>
      <c r="E212" s="16"/>
      <c r="H212" s="17"/>
      <c r="I212" s="17"/>
      <c r="J212">
        <v>-60</v>
      </c>
      <c r="K212" s="17">
        <f>(J212-'pH-Potential calibration'!$E$27)/'pH-Potential calibration'!$D$27</f>
        <v>7.7581261950286811</v>
      </c>
      <c r="V212" t="s">
        <v>39</v>
      </c>
      <c r="W212" t="s">
        <v>40</v>
      </c>
      <c r="X212">
        <v>1.0870204517644774E-2</v>
      </c>
      <c r="Y212">
        <v>0.54823633385464554</v>
      </c>
    </row>
    <row r="213" spans="2:25" x14ac:dyDescent="0.2">
      <c r="B213" s="4">
        <v>1</v>
      </c>
      <c r="C213" s="43" t="s">
        <v>141</v>
      </c>
      <c r="D213" s="16">
        <v>10</v>
      </c>
      <c r="E213" s="16">
        <f>D213-$D$213</f>
        <v>0</v>
      </c>
      <c r="F213">
        <v>0.68500000000000005</v>
      </c>
      <c r="G213" s="14">
        <f>F213-'Calibration standard'!$D$16</f>
        <v>0.629</v>
      </c>
      <c r="H213" s="17">
        <f>G213/'Calibration standard'!$D$39</f>
        <v>24.256766231945029</v>
      </c>
      <c r="I213" s="17">
        <f>LN(H213)</f>
        <v>3.1886955983387084</v>
      </c>
      <c r="J213">
        <v>-55</v>
      </c>
      <c r="K213" s="17">
        <f>(J213-'pH-Potential calibration'!$E$27)/'pH-Potential calibration'!$D$27</f>
        <v>7.6702915869980881</v>
      </c>
      <c r="L213" s="25">
        <f>H213*100/$H$213</f>
        <v>100</v>
      </c>
      <c r="V213" t="s">
        <v>41</v>
      </c>
      <c r="W213" t="s">
        <v>42</v>
      </c>
      <c r="X213">
        <v>0.96677229568715561</v>
      </c>
      <c r="Y213">
        <v>0.65636595619157379</v>
      </c>
    </row>
    <row r="214" spans="2:25" x14ac:dyDescent="0.2">
      <c r="B214" s="4">
        <v>2</v>
      </c>
      <c r="C214" s="43" t="s">
        <v>90</v>
      </c>
      <c r="D214">
        <v>21</v>
      </c>
      <c r="E214" s="16">
        <f t="shared" ref="E214:E218" si="47">D214-$D$213</f>
        <v>11</v>
      </c>
      <c r="F214">
        <v>0.67600000000000005</v>
      </c>
      <c r="G214" s="14">
        <f>F214-'Calibration standard'!$D$16</f>
        <v>0.62</v>
      </c>
      <c r="H214" s="17">
        <f>G214/'Calibration standard'!$D$39</f>
        <v>23.909690085542</v>
      </c>
      <c r="I214" s="17">
        <f t="shared" ref="I214:I218" si="48">LN(H214)</f>
        <v>3.174283819677405</v>
      </c>
      <c r="J214">
        <v>-54</v>
      </c>
      <c r="K214" s="17">
        <f>(J214-'pH-Potential calibration'!$E$27)/'pH-Potential calibration'!$D$27</f>
        <v>7.6527246653919692</v>
      </c>
      <c r="L214" s="25">
        <f t="shared" ref="L214:L218" si="49">H214*100/$H$213</f>
        <v>98.569157392686805</v>
      </c>
      <c r="V214" t="s">
        <v>43</v>
      </c>
      <c r="W214" t="s">
        <v>44</v>
      </c>
      <c r="X214">
        <v>116.38147331333313</v>
      </c>
      <c r="Y214">
        <v>4</v>
      </c>
    </row>
    <row r="215" spans="2:25" x14ac:dyDescent="0.2">
      <c r="B215" s="4">
        <v>3</v>
      </c>
      <c r="C215" s="43" t="s">
        <v>159</v>
      </c>
      <c r="D215">
        <v>34</v>
      </c>
      <c r="E215" s="16">
        <f t="shared" si="47"/>
        <v>24</v>
      </c>
      <c r="F215">
        <v>0.65300000000000002</v>
      </c>
      <c r="G215" s="14">
        <f>F215-'Calibration standard'!$D$16</f>
        <v>0.59699999999999998</v>
      </c>
      <c r="H215" s="17">
        <f>G215/'Calibration standard'!$D$39</f>
        <v>23.022717711400926</v>
      </c>
      <c r="I215" s="17">
        <f t="shared" si="48"/>
        <v>3.1364814550308697</v>
      </c>
      <c r="J215">
        <v>-54</v>
      </c>
      <c r="K215" s="17">
        <f>(J215-'pH-Potential calibration'!$E$27)/'pH-Potential calibration'!$D$27</f>
        <v>7.6527246653919692</v>
      </c>
      <c r="L215" s="25">
        <f t="shared" si="49"/>
        <v>94.912559618441961</v>
      </c>
      <c r="V215" t="s">
        <v>45</v>
      </c>
      <c r="W215" t="s">
        <v>46</v>
      </c>
      <c r="X215">
        <v>50.139032049246758</v>
      </c>
      <c r="Y215">
        <v>1.7232650737891158</v>
      </c>
    </row>
    <row r="216" spans="2:25" x14ac:dyDescent="0.2">
      <c r="B216" s="4">
        <v>4</v>
      </c>
      <c r="C216" s="43" t="s">
        <v>195</v>
      </c>
      <c r="D216">
        <v>53</v>
      </c>
      <c r="E216" s="16">
        <f t="shared" si="47"/>
        <v>43</v>
      </c>
      <c r="F216">
        <v>0.58699999999999997</v>
      </c>
      <c r="G216" s="14">
        <f>F216-'Calibration standard'!$D$16</f>
        <v>0.53099999999999992</v>
      </c>
      <c r="H216" s="17">
        <f>G216/'Calibration standard'!$D$39</f>
        <v>20.47749263777871</v>
      </c>
      <c r="I216" s="17">
        <f t="shared" si="48"/>
        <v>3.0193263628802063</v>
      </c>
      <c r="J216">
        <v>-54</v>
      </c>
      <c r="K216" s="17">
        <f>(J216-'pH-Potential calibration'!$E$27)/'pH-Potential calibration'!$D$27</f>
        <v>7.6527246653919692</v>
      </c>
      <c r="L216" s="25">
        <f t="shared" si="49"/>
        <v>84.419713831478518</v>
      </c>
      <c r="V216" t="s">
        <v>93</v>
      </c>
      <c r="X216">
        <f>-X211</f>
        <v>0.11726803300939791</v>
      </c>
    </row>
    <row r="217" spans="2:25" x14ac:dyDescent="0.2">
      <c r="B217" s="4">
        <v>5</v>
      </c>
      <c r="C217" s="43" t="s">
        <v>196</v>
      </c>
      <c r="D217">
        <v>66</v>
      </c>
      <c r="E217" s="16">
        <f t="shared" si="47"/>
        <v>56</v>
      </c>
      <c r="F217">
        <v>0.53100000000000003</v>
      </c>
      <c r="G217" s="14">
        <f>F217-'Calibration standard'!$D$16</f>
        <v>0.47500000000000003</v>
      </c>
      <c r="H217" s="17">
        <f>G217/'Calibration standard'!$D$39</f>
        <v>18.317907726826533</v>
      </c>
      <c r="I217" s="17">
        <f t="shared" si="48"/>
        <v>2.9078791456729087</v>
      </c>
      <c r="J217">
        <v>-54</v>
      </c>
      <c r="K217" s="17">
        <f>(J217-'pH-Potential calibration'!$E$27)/'pH-Potential calibration'!$D$27</f>
        <v>7.6527246653919692</v>
      </c>
      <c r="L217" s="25">
        <f t="shared" si="49"/>
        <v>75.516693163751995</v>
      </c>
    </row>
    <row r="218" spans="2:25" x14ac:dyDescent="0.2">
      <c r="B218" s="4">
        <v>6</v>
      </c>
      <c r="C218" s="43" t="s">
        <v>172</v>
      </c>
      <c r="D218">
        <v>80</v>
      </c>
      <c r="E218" s="16">
        <f t="shared" si="47"/>
        <v>70</v>
      </c>
      <c r="F218">
        <v>0.48099999999999998</v>
      </c>
      <c r="G218" s="14">
        <f>F218-'Calibration standard'!$D$16</f>
        <v>0.42499999999999999</v>
      </c>
      <c r="H218" s="17">
        <f>G218/'Calibration standard'!$D$39</f>
        <v>16.38970691347637</v>
      </c>
      <c r="I218" s="17">
        <f t="shared" si="48"/>
        <v>2.7966535105626846</v>
      </c>
      <c r="J218">
        <v>-54</v>
      </c>
      <c r="K218" s="17">
        <f>(J218-'pH-Potential calibration'!$E$27)/'pH-Potential calibration'!$D$27</f>
        <v>7.6527246653919692</v>
      </c>
      <c r="L218" s="25">
        <f t="shared" si="49"/>
        <v>67.567567567567565</v>
      </c>
    </row>
    <row r="219" spans="2:25" x14ac:dyDescent="0.2">
      <c r="B219" s="4"/>
      <c r="C219" s="43"/>
      <c r="E219" s="16"/>
      <c r="G219" s="14"/>
      <c r="H219" s="17"/>
      <c r="I219" s="17"/>
      <c r="K219" s="17"/>
      <c r="L219" s="25"/>
    </row>
    <row r="220" spans="2:25" x14ac:dyDescent="0.2">
      <c r="B220" s="4"/>
      <c r="C220" s="43"/>
      <c r="E220" s="16"/>
      <c r="G220" s="14"/>
      <c r="H220" s="17"/>
      <c r="I220" s="17"/>
      <c r="K220" s="17"/>
      <c r="L220" s="25"/>
    </row>
    <row r="221" spans="2:25" x14ac:dyDescent="0.2">
      <c r="B221" s="4"/>
      <c r="C221" s="43"/>
      <c r="E221" s="16"/>
      <c r="G221" s="14"/>
      <c r="H221" s="17"/>
      <c r="I221" s="17"/>
      <c r="K221" s="17"/>
      <c r="L221" s="25"/>
    </row>
    <row r="222" spans="2:25" x14ac:dyDescent="0.2">
      <c r="B222" s="4"/>
      <c r="C222" s="43"/>
      <c r="E222" s="16"/>
      <c r="G222" s="14"/>
      <c r="H222" s="17"/>
      <c r="I222" s="17"/>
      <c r="K222" s="17"/>
      <c r="L222" s="25"/>
    </row>
    <row r="224" spans="2:25" x14ac:dyDescent="0.2">
      <c r="B224" t="s">
        <v>180</v>
      </c>
      <c r="C224" s="1" t="s">
        <v>197</v>
      </c>
      <c r="D224" t="s">
        <v>75</v>
      </c>
      <c r="F224" s="17">
        <f>AVERAGE(K227:K232)</f>
        <v>7.6878585086042071</v>
      </c>
      <c r="G224" t="s">
        <v>76</v>
      </c>
      <c r="H224">
        <f>STDEV(K227:K232)</f>
        <v>9.7295071111809874E-16</v>
      </c>
      <c r="V224" t="s">
        <v>36</v>
      </c>
    </row>
    <row r="225" spans="2:25" x14ac:dyDescent="0.2">
      <c r="B225" t="s">
        <v>77</v>
      </c>
      <c r="C225" t="s">
        <v>78</v>
      </c>
      <c r="D225" t="s">
        <v>79</v>
      </c>
      <c r="F225" t="s">
        <v>81</v>
      </c>
      <c r="G225" t="s">
        <v>71</v>
      </c>
      <c r="H225" t="s">
        <v>82</v>
      </c>
      <c r="I225" t="s">
        <v>83</v>
      </c>
      <c r="J225" t="s">
        <v>84</v>
      </c>
      <c r="K225" t="s">
        <v>85</v>
      </c>
      <c r="L225" t="s">
        <v>113</v>
      </c>
      <c r="M225" t="s">
        <v>34</v>
      </c>
      <c r="N225" t="s">
        <v>87</v>
      </c>
      <c r="V225" t="s">
        <v>37</v>
      </c>
      <c r="W225" t="s">
        <v>38</v>
      </c>
      <c r="X225" cm="1">
        <f t="array" ref="X225:Y229">LINEST(H227:H232,D227:D232,,TRUE)</f>
        <v>-9.4082281129300671E-2</v>
      </c>
      <c r="Y225">
        <v>20.73500203658962</v>
      </c>
    </row>
    <row r="226" spans="2:25" x14ac:dyDescent="0.2">
      <c r="B226" t="s">
        <v>88</v>
      </c>
      <c r="C226" s="44"/>
      <c r="D226" s="16"/>
      <c r="E226" s="16"/>
      <c r="H226" s="17"/>
      <c r="I226" s="17"/>
      <c r="J226">
        <v>-60</v>
      </c>
      <c r="K226" s="17">
        <f>(J226-'pH-Potential calibration'!$E$27)/'pH-Potential calibration'!$D$27</f>
        <v>7.7581261950286811</v>
      </c>
      <c r="V226" t="s">
        <v>39</v>
      </c>
      <c r="W226" t="s">
        <v>40</v>
      </c>
      <c r="X226">
        <v>1.1084517581607679E-2</v>
      </c>
      <c r="Y226">
        <v>0.55107631657688172</v>
      </c>
    </row>
    <row r="227" spans="2:25" x14ac:dyDescent="0.2">
      <c r="B227" s="4">
        <v>1</v>
      </c>
      <c r="C227" s="43" t="s">
        <v>188</v>
      </c>
      <c r="D227" s="16">
        <v>11</v>
      </c>
      <c r="E227" s="16">
        <f>D227-$D$227</f>
        <v>0</v>
      </c>
      <c r="F227">
        <v>0.55000000000000004</v>
      </c>
      <c r="G227" s="14">
        <f>F227-'Calibration standard'!$D$16</f>
        <v>0.49400000000000005</v>
      </c>
      <c r="H227" s="17">
        <f>G227/'Calibration standard'!$D$39</f>
        <v>19.050624035899595</v>
      </c>
      <c r="I227" s="17">
        <f>LN(H227)</f>
        <v>2.9470998588261903</v>
      </c>
      <c r="J227">
        <v>-56</v>
      </c>
      <c r="K227" s="17">
        <f>(J227-'pH-Potential calibration'!$E$27)/'pH-Potential calibration'!$D$27</f>
        <v>7.6878585086042062</v>
      </c>
      <c r="L227" s="25">
        <f>H227*100/$H$227</f>
        <v>100</v>
      </c>
      <c r="V227" t="s">
        <v>41</v>
      </c>
      <c r="W227" t="s">
        <v>42</v>
      </c>
      <c r="X227">
        <v>0.94739706897356923</v>
      </c>
      <c r="Y227">
        <v>0.62840514596440145</v>
      </c>
    </row>
    <row r="228" spans="2:25" x14ac:dyDescent="0.2">
      <c r="B228" s="4">
        <v>2</v>
      </c>
      <c r="C228" s="43" t="s">
        <v>199</v>
      </c>
      <c r="D228">
        <v>24</v>
      </c>
      <c r="E228" s="16">
        <f t="shared" ref="E228:E232" si="50">D228-$D$227</f>
        <v>13</v>
      </c>
      <c r="F228">
        <v>0.53500000000000003</v>
      </c>
      <c r="G228" s="14">
        <f>F228-'Calibration standard'!$D$16</f>
        <v>0.47900000000000004</v>
      </c>
      <c r="H228" s="17">
        <f>G228/'Calibration standard'!$D$39</f>
        <v>18.472163791894545</v>
      </c>
      <c r="I228" s="17">
        <f t="shared" ref="I228:I232" si="51">LN(H228)</f>
        <v>2.9162649390491828</v>
      </c>
      <c r="J228">
        <v>-56</v>
      </c>
      <c r="K228" s="17">
        <f>(J228-'pH-Potential calibration'!$E$27)/'pH-Potential calibration'!$D$27</f>
        <v>7.6878585086042062</v>
      </c>
      <c r="L228" s="25">
        <f t="shared" ref="L228:L232" si="52">H228*100/$H$227</f>
        <v>96.963562753036427</v>
      </c>
      <c r="V228" t="s">
        <v>43</v>
      </c>
      <c r="W228" t="s">
        <v>44</v>
      </c>
      <c r="X228">
        <v>72.041390126914493</v>
      </c>
      <c r="Y228">
        <v>4</v>
      </c>
    </row>
    <row r="229" spans="2:25" x14ac:dyDescent="0.2">
      <c r="B229" s="4">
        <v>3</v>
      </c>
      <c r="C229" s="43" t="s">
        <v>91</v>
      </c>
      <c r="D229">
        <v>36</v>
      </c>
      <c r="E229" s="16">
        <f t="shared" si="50"/>
        <v>25</v>
      </c>
      <c r="F229">
        <v>0.52700000000000002</v>
      </c>
      <c r="G229" s="14">
        <f>F229-'Calibration standard'!$D$16</f>
        <v>0.47100000000000003</v>
      </c>
      <c r="H229" s="17">
        <f>G229/'Calibration standard'!$D$39</f>
        <v>18.163651661758522</v>
      </c>
      <c r="I229" s="17">
        <f t="shared" si="51"/>
        <v>2.8994224356546856</v>
      </c>
      <c r="J229">
        <v>-56</v>
      </c>
      <c r="K229" s="17">
        <f>(J229-'pH-Potential calibration'!$E$27)/'pH-Potential calibration'!$D$27</f>
        <v>7.6878585086042062</v>
      </c>
      <c r="L229" s="25">
        <f t="shared" si="52"/>
        <v>95.344129554655879</v>
      </c>
      <c r="V229" t="s">
        <v>45</v>
      </c>
      <c r="W229" t="s">
        <v>46</v>
      </c>
      <c r="X229">
        <v>28.448642650691756</v>
      </c>
      <c r="Y229">
        <v>1.579572109898163</v>
      </c>
    </row>
    <row r="230" spans="2:25" x14ac:dyDescent="0.2">
      <c r="B230" s="4">
        <v>4</v>
      </c>
      <c r="C230" s="43" t="s">
        <v>104</v>
      </c>
      <c r="D230">
        <v>50</v>
      </c>
      <c r="E230" s="16">
        <f t="shared" si="50"/>
        <v>39</v>
      </c>
      <c r="F230">
        <v>0.48499999999999999</v>
      </c>
      <c r="G230" s="14">
        <f>F230-'Calibration standard'!$D$16</f>
        <v>0.42899999999999999</v>
      </c>
      <c r="H230" s="17">
        <f>G230/'Calibration standard'!$D$39</f>
        <v>16.543962978544382</v>
      </c>
      <c r="I230" s="17">
        <f t="shared" si="51"/>
        <v>2.8060212605662844</v>
      </c>
      <c r="J230">
        <v>-56</v>
      </c>
      <c r="K230" s="17">
        <f>(J230-'pH-Potential calibration'!$E$27)/'pH-Potential calibration'!$D$27</f>
        <v>7.6878585086042062</v>
      </c>
      <c r="L230" s="25">
        <f t="shared" si="52"/>
        <v>86.842105263157876</v>
      </c>
      <c r="V230" t="s">
        <v>93</v>
      </c>
      <c r="X230">
        <f>-X225</f>
        <v>9.4082281129300671E-2</v>
      </c>
    </row>
    <row r="231" spans="2:25" x14ac:dyDescent="0.2">
      <c r="B231" s="4">
        <v>5</v>
      </c>
      <c r="C231" s="43" t="s">
        <v>200</v>
      </c>
      <c r="D231">
        <v>64</v>
      </c>
      <c r="E231" s="16">
        <f t="shared" si="50"/>
        <v>53</v>
      </c>
      <c r="F231">
        <v>0.42799999999999999</v>
      </c>
      <c r="G231" s="14">
        <f>F231-'Calibration standard'!$D$16</f>
        <v>0.372</v>
      </c>
      <c r="H231" s="17">
        <f>G231/'Calibration standard'!$D$39</f>
        <v>14.345814051325199</v>
      </c>
      <c r="I231" s="17">
        <f t="shared" si="51"/>
        <v>2.6634581959114141</v>
      </c>
      <c r="J231">
        <v>-56</v>
      </c>
      <c r="K231" s="17">
        <f>(J231-'pH-Potential calibration'!$E$27)/'pH-Potential calibration'!$D$27</f>
        <v>7.6878585086042062</v>
      </c>
      <c r="L231" s="25">
        <f t="shared" si="52"/>
        <v>75.303643724696343</v>
      </c>
    </row>
    <row r="232" spans="2:25" x14ac:dyDescent="0.2">
      <c r="B232" s="4">
        <v>6</v>
      </c>
      <c r="C232" s="43" t="s">
        <v>201</v>
      </c>
      <c r="D232">
        <v>79</v>
      </c>
      <c r="E232" s="16">
        <f t="shared" si="50"/>
        <v>68</v>
      </c>
      <c r="F232">
        <v>0.39300000000000002</v>
      </c>
      <c r="G232" s="14">
        <f>F232-'Calibration standard'!$D$16</f>
        <v>0.33700000000000002</v>
      </c>
      <c r="H232" s="17">
        <f>G232/'Calibration standard'!$D$39</f>
        <v>12.996073481980087</v>
      </c>
      <c r="I232" s="17">
        <f t="shared" si="51"/>
        <v>2.5646472719906295</v>
      </c>
      <c r="J232">
        <v>-56</v>
      </c>
      <c r="K232" s="17">
        <f>(J232-'pH-Potential calibration'!$E$27)/'pH-Potential calibration'!$D$27</f>
        <v>7.6878585086042062</v>
      </c>
      <c r="L232" s="25">
        <f t="shared" si="52"/>
        <v>68.218623481781364</v>
      </c>
    </row>
    <row r="233" spans="2:25" x14ac:dyDescent="0.2">
      <c r="B233" s="4"/>
      <c r="C233" s="43"/>
      <c r="E233" s="16"/>
      <c r="G233" s="14"/>
      <c r="H233" s="17"/>
      <c r="I233" s="17"/>
      <c r="K233" s="17"/>
      <c r="L233" s="25"/>
    </row>
    <row r="234" spans="2:25" x14ac:dyDescent="0.2">
      <c r="B234" s="4"/>
      <c r="C234" s="43"/>
      <c r="D234">
        <f>2*2000/251.25</f>
        <v>15.920398009950249</v>
      </c>
      <c r="E234" s="16"/>
      <c r="G234" s="14"/>
      <c r="H234" s="17"/>
      <c r="I234" s="17"/>
      <c r="K234" s="17"/>
      <c r="L234" s="25"/>
    </row>
    <row r="235" spans="2:25" x14ac:dyDescent="0.2">
      <c r="B235" s="4"/>
      <c r="C235" s="43"/>
      <c r="D235">
        <f>D234*5/6.1</f>
        <v>13.049506565532992</v>
      </c>
      <c r="E235" s="16"/>
      <c r="G235" s="14"/>
      <c r="H235" s="17"/>
      <c r="I235" s="17"/>
      <c r="K235" s="17"/>
      <c r="L235" s="25"/>
    </row>
    <row r="236" spans="2:25" x14ac:dyDescent="0.2">
      <c r="B236" s="4"/>
      <c r="C236" s="43"/>
      <c r="E236" s="16"/>
      <c r="G236" s="14"/>
      <c r="H236" s="17"/>
      <c r="I236" s="17"/>
      <c r="K236" s="17"/>
      <c r="L236" s="25"/>
    </row>
    <row r="239" spans="2:25" x14ac:dyDescent="0.2">
      <c r="B239" t="s">
        <v>183</v>
      </c>
      <c r="C239" s="1" t="s">
        <v>202</v>
      </c>
      <c r="D239" t="s">
        <v>75</v>
      </c>
      <c r="F239" s="17">
        <f>AVERAGE(K242:K247)</f>
        <v>7.6673637667304027</v>
      </c>
      <c r="G239" t="s">
        <v>76</v>
      </c>
      <c r="H239">
        <f>STDEV(K242:K247)</f>
        <v>7.1716657144107587E-3</v>
      </c>
      <c r="V239" t="s">
        <v>36</v>
      </c>
    </row>
    <row r="240" spans="2:25" x14ac:dyDescent="0.2">
      <c r="B240" t="s">
        <v>77</v>
      </c>
      <c r="C240" t="s">
        <v>78</v>
      </c>
      <c r="D240" t="s">
        <v>79</v>
      </c>
      <c r="F240" t="s">
        <v>81</v>
      </c>
      <c r="G240" t="s">
        <v>71</v>
      </c>
      <c r="H240" t="s">
        <v>82</v>
      </c>
      <c r="I240" t="s">
        <v>83</v>
      </c>
      <c r="J240" t="s">
        <v>84</v>
      </c>
      <c r="K240" t="s">
        <v>85</v>
      </c>
      <c r="L240" t="s">
        <v>113</v>
      </c>
      <c r="M240" t="s">
        <v>34</v>
      </c>
      <c r="N240" t="s">
        <v>87</v>
      </c>
      <c r="V240" t="s">
        <v>37</v>
      </c>
      <c r="W240" t="s">
        <v>38</v>
      </c>
      <c r="X240" cm="1">
        <f t="array" ref="X240:Y244">LINEST(H242:H247,D242:D247,,TRUE)</f>
        <v>-3.3629698421249049E-2</v>
      </c>
      <c r="Y240">
        <v>13.425290155280472</v>
      </c>
    </row>
    <row r="241" spans="2:25" x14ac:dyDescent="0.2">
      <c r="B241" t="s">
        <v>88</v>
      </c>
      <c r="C241" s="44"/>
      <c r="D241" s="16"/>
      <c r="E241" s="16"/>
      <c r="H241" s="17"/>
      <c r="I241" s="17"/>
      <c r="J241">
        <v>-58</v>
      </c>
      <c r="K241" s="17">
        <f>(J241-'pH-Potential calibration'!$E$27)/'pH-Potential calibration'!$D$27</f>
        <v>7.7229923518164441</v>
      </c>
      <c r="V241" t="s">
        <v>39</v>
      </c>
      <c r="W241" t="s">
        <v>40</v>
      </c>
      <c r="X241">
        <v>1.7705562807900084E-3</v>
      </c>
      <c r="Y241">
        <v>8.1516124022114847E-2</v>
      </c>
    </row>
    <row r="242" spans="2:25" x14ac:dyDescent="0.2">
      <c r="B242" s="4">
        <v>1</v>
      </c>
      <c r="C242" s="43" t="s">
        <v>141</v>
      </c>
      <c r="D242" s="16">
        <v>10</v>
      </c>
      <c r="E242" s="16">
        <f>D242-$D$242</f>
        <v>0</v>
      </c>
      <c r="F242">
        <v>0.39300000000000002</v>
      </c>
      <c r="G242" s="14">
        <f>F242-'Calibration standard'!$D$16</f>
        <v>0.33700000000000002</v>
      </c>
      <c r="H242" s="17">
        <f>G242/'Calibration standard'!$D$39</f>
        <v>12.996073481980087</v>
      </c>
      <c r="I242" s="17">
        <f>LN(H242)</f>
        <v>2.5646472719906295</v>
      </c>
      <c r="J242">
        <v>-55</v>
      </c>
      <c r="K242" s="17">
        <f>(J242-'pH-Potential calibration'!$E$27)/'pH-Potential calibration'!$D$27</f>
        <v>7.6702915869980881</v>
      </c>
      <c r="L242" s="25">
        <f>H242*100/$H$242</f>
        <v>99.999999999999986</v>
      </c>
      <c r="V242" t="s">
        <v>41</v>
      </c>
      <c r="W242" t="s">
        <v>42</v>
      </c>
      <c r="X242">
        <v>0.98903408744575472</v>
      </c>
      <c r="Y242">
        <v>9.3610925272871376E-2</v>
      </c>
    </row>
    <row r="243" spans="2:25" x14ac:dyDescent="0.2">
      <c r="B243" s="4">
        <v>2</v>
      </c>
      <c r="C243" s="43" t="s">
        <v>181</v>
      </c>
      <c r="D243">
        <v>22</v>
      </c>
      <c r="E243" s="16">
        <f t="shared" ref="E243:E247" si="53">D243-$D$242</f>
        <v>12</v>
      </c>
      <c r="F243">
        <v>0.38500000000000001</v>
      </c>
      <c r="G243" s="14">
        <f>F243-'Calibration standard'!$D$16</f>
        <v>0.32900000000000001</v>
      </c>
      <c r="H243" s="17">
        <f>G243/'Calibration standard'!$D$39</f>
        <v>12.687561351844062</v>
      </c>
      <c r="I243" s="17">
        <f t="shared" ref="I243:I247" si="54">LN(H243)</f>
        <v>2.5406220924036398</v>
      </c>
      <c r="J243">
        <v>-55</v>
      </c>
      <c r="K243" s="17">
        <f>(J243-'pH-Potential calibration'!$E$27)/'pH-Potential calibration'!$D$27</f>
        <v>7.6702915869980881</v>
      </c>
      <c r="L243" s="25">
        <f t="shared" ref="L243:L247" si="55">H243*100/$H$242</f>
        <v>97.626112759643931</v>
      </c>
      <c r="V243" t="s">
        <v>43</v>
      </c>
      <c r="W243" t="s">
        <v>44</v>
      </c>
      <c r="X243">
        <v>360.76672417485639</v>
      </c>
      <c r="Y243">
        <v>4</v>
      </c>
    </row>
    <row r="244" spans="2:25" x14ac:dyDescent="0.2">
      <c r="B244" s="4">
        <v>3</v>
      </c>
      <c r="C244" s="43" t="s">
        <v>203</v>
      </c>
      <c r="D244">
        <v>33</v>
      </c>
      <c r="E244" s="16">
        <f t="shared" si="53"/>
        <v>23</v>
      </c>
      <c r="F244">
        <v>0.379</v>
      </c>
      <c r="G244" s="14">
        <f>F244-'Calibration standard'!$D$16</f>
        <v>0.32300000000000001</v>
      </c>
      <c r="H244" s="17">
        <f>G244/'Calibration standard'!$D$39</f>
        <v>12.456177254242043</v>
      </c>
      <c r="I244" s="17">
        <f t="shared" si="54"/>
        <v>2.5222166648609243</v>
      </c>
      <c r="J244">
        <v>-55</v>
      </c>
      <c r="K244" s="17">
        <f>(J244-'pH-Potential calibration'!$E$27)/'pH-Potential calibration'!$D$27</f>
        <v>7.6702915869980881</v>
      </c>
      <c r="L244" s="25">
        <f t="shared" si="55"/>
        <v>95.845697329376861</v>
      </c>
      <c r="V244" t="s">
        <v>45</v>
      </c>
      <c r="W244" t="s">
        <v>46</v>
      </c>
      <c r="X244">
        <v>3.1614007269907649</v>
      </c>
      <c r="Y244">
        <v>3.5052021321772431E-2</v>
      </c>
    </row>
    <row r="245" spans="2:25" x14ac:dyDescent="0.2">
      <c r="B245" s="4">
        <v>4</v>
      </c>
      <c r="C245" s="43" t="s">
        <v>160</v>
      </c>
      <c r="D245">
        <v>46</v>
      </c>
      <c r="E245" s="16">
        <f t="shared" si="53"/>
        <v>36</v>
      </c>
      <c r="F245">
        <v>0.36499999999999999</v>
      </c>
      <c r="G245" s="14">
        <f>F245-'Calibration standard'!$D$16</f>
        <v>0.309</v>
      </c>
      <c r="H245" s="17">
        <f>G245/'Calibration standard'!$D$39</f>
        <v>11.916281026503997</v>
      </c>
      <c r="I245" s="17">
        <f t="shared" si="54"/>
        <v>2.4779056185360133</v>
      </c>
      <c r="J245">
        <v>-55</v>
      </c>
      <c r="K245" s="17">
        <f>(J245-'pH-Potential calibration'!$E$27)/'pH-Potential calibration'!$D$27</f>
        <v>7.6702915869980881</v>
      </c>
      <c r="L245" s="25">
        <f t="shared" si="55"/>
        <v>91.691394658753723</v>
      </c>
      <c r="V245" t="s">
        <v>93</v>
      </c>
      <c r="X245">
        <f>-X240</f>
        <v>3.3629698421249049E-2</v>
      </c>
    </row>
    <row r="246" spans="2:25" x14ac:dyDescent="0.2">
      <c r="B246" s="4">
        <v>5</v>
      </c>
      <c r="C246" s="43" t="s">
        <v>204</v>
      </c>
      <c r="D246">
        <v>60</v>
      </c>
      <c r="E246" s="16">
        <f t="shared" si="53"/>
        <v>50</v>
      </c>
      <c r="F246">
        <v>0.35</v>
      </c>
      <c r="G246" s="14">
        <f>F246-'Calibration standard'!$D$16</f>
        <v>0.29399999999999998</v>
      </c>
      <c r="H246" s="17">
        <f>G246/'Calibration standard'!$D$39</f>
        <v>11.337820782498948</v>
      </c>
      <c r="I246" s="17">
        <f t="shared" si="54"/>
        <v>2.4281441089769493</v>
      </c>
      <c r="J246">
        <v>-55</v>
      </c>
      <c r="K246" s="17">
        <f>(J246-'pH-Potential calibration'!$E$27)/'pH-Potential calibration'!$D$27</f>
        <v>7.6702915869980881</v>
      </c>
      <c r="L246" s="25">
        <f t="shared" si="55"/>
        <v>87.240356083086056</v>
      </c>
    </row>
    <row r="247" spans="2:25" x14ac:dyDescent="0.2">
      <c r="B247" s="4">
        <v>6</v>
      </c>
      <c r="C247" s="43" t="s">
        <v>121</v>
      </c>
      <c r="D247">
        <v>73</v>
      </c>
      <c r="E247" s="16">
        <f t="shared" si="53"/>
        <v>63</v>
      </c>
      <c r="F247">
        <v>0.34</v>
      </c>
      <c r="G247" s="14">
        <f>F247-'Calibration standard'!$D$16</f>
        <v>0.28400000000000003</v>
      </c>
      <c r="H247" s="17">
        <f>G247/'Calibration standard'!$D$39</f>
        <v>10.952180619828917</v>
      </c>
      <c r="I247" s="17">
        <f t="shared" si="54"/>
        <v>2.3935385797994737</v>
      </c>
      <c r="J247">
        <v>-54</v>
      </c>
      <c r="K247" s="17">
        <f>(J247-'pH-Potential calibration'!$E$27)/'pH-Potential calibration'!$D$27</f>
        <v>7.6527246653919692</v>
      </c>
      <c r="L247" s="25">
        <f t="shared" si="55"/>
        <v>84.272997032640959</v>
      </c>
    </row>
    <row r="248" spans="2:25" x14ac:dyDescent="0.2">
      <c r="B248" s="4"/>
      <c r="C248" s="43"/>
      <c r="E248" s="16"/>
      <c r="G248" s="14"/>
      <c r="H248" s="17"/>
      <c r="I248" s="17"/>
      <c r="K248" s="17"/>
      <c r="L248" s="25"/>
    </row>
    <row r="249" spans="2:25" x14ac:dyDescent="0.2">
      <c r="B249" s="4"/>
      <c r="C249" s="43"/>
      <c r="E249" s="16"/>
      <c r="G249" s="14"/>
      <c r="H249" s="17"/>
      <c r="I249" s="17"/>
      <c r="K249" s="17"/>
      <c r="L249" s="25"/>
    </row>
    <row r="250" spans="2:25" x14ac:dyDescent="0.2">
      <c r="B250" s="4"/>
      <c r="C250" s="43"/>
      <c r="E250" s="16"/>
      <c r="G250" s="14"/>
      <c r="H250" s="17"/>
      <c r="I250" s="17"/>
      <c r="K250" s="17"/>
      <c r="L250" s="25"/>
    </row>
    <row r="251" spans="2:25" x14ac:dyDescent="0.2">
      <c r="B251" s="4"/>
      <c r="C251" s="43"/>
      <c r="E251" s="16"/>
      <c r="G251" s="14"/>
      <c r="H251" s="17"/>
      <c r="I251" s="17"/>
      <c r="K251" s="17"/>
      <c r="L251" s="25"/>
    </row>
    <row r="254" spans="2:25" x14ac:dyDescent="0.2">
      <c r="B254" t="s">
        <v>205</v>
      </c>
      <c r="C254" s="1" t="s">
        <v>207</v>
      </c>
      <c r="D254" t="s">
        <v>75</v>
      </c>
      <c r="F254" s="17">
        <f>AVERAGE(K257:K262)</f>
        <v>7.7054254302103251</v>
      </c>
      <c r="G254" t="s">
        <v>76</v>
      </c>
      <c r="H254">
        <f>STDEV(K257:K262)</f>
        <v>0</v>
      </c>
      <c r="V254" t="s">
        <v>36</v>
      </c>
    </row>
    <row r="255" spans="2:25" x14ac:dyDescent="0.2">
      <c r="B255" t="s">
        <v>77</v>
      </c>
      <c r="C255" t="s">
        <v>78</v>
      </c>
      <c r="D255" t="s">
        <v>79</v>
      </c>
      <c r="F255" t="s">
        <v>81</v>
      </c>
      <c r="G255" t="s">
        <v>71</v>
      </c>
      <c r="H255" t="s">
        <v>82</v>
      </c>
      <c r="I255" t="s">
        <v>83</v>
      </c>
      <c r="J255" t="s">
        <v>84</v>
      </c>
      <c r="K255" t="s">
        <v>85</v>
      </c>
      <c r="L255" t="s">
        <v>113</v>
      </c>
      <c r="M255" t="s">
        <v>34</v>
      </c>
      <c r="N255" t="s">
        <v>87</v>
      </c>
      <c r="V255" t="s">
        <v>37</v>
      </c>
      <c r="W255" t="s">
        <v>38</v>
      </c>
      <c r="X255" cm="1">
        <f t="array" ref="X255:Y259">LINEST(H257:H262,D257:D262,,TRUE)</f>
        <v>-1.5418407250497552E-2</v>
      </c>
      <c r="Y255">
        <v>6.4822943672058786</v>
      </c>
    </row>
    <row r="256" spans="2:25" x14ac:dyDescent="0.2">
      <c r="B256" t="s">
        <v>88</v>
      </c>
      <c r="C256" s="44"/>
      <c r="D256" s="16"/>
      <c r="E256" s="16"/>
      <c r="H256" s="17"/>
      <c r="I256" s="17"/>
      <c r="J256">
        <v>-58</v>
      </c>
      <c r="K256" s="17">
        <f>(J256-'pH-Potential calibration'!$E$27)/'pH-Potential calibration'!$D$27</f>
        <v>7.7229923518164441</v>
      </c>
      <c r="V256" t="s">
        <v>39</v>
      </c>
      <c r="W256" t="s">
        <v>40</v>
      </c>
      <c r="X256">
        <v>2.2494076033001396E-3</v>
      </c>
      <c r="Y256">
        <v>0.11183123193051797</v>
      </c>
    </row>
    <row r="257" spans="2:25" x14ac:dyDescent="0.2">
      <c r="B257" s="4">
        <v>1</v>
      </c>
      <c r="C257" s="43" t="s">
        <v>188</v>
      </c>
      <c r="D257" s="16">
        <v>11</v>
      </c>
      <c r="E257" s="16">
        <f>D257-$D$257</f>
        <v>0</v>
      </c>
      <c r="F257">
        <v>0.223</v>
      </c>
      <c r="G257" s="14">
        <f>F257-'Calibration standard'!$D$16</f>
        <v>0.16700000000000001</v>
      </c>
      <c r="H257" s="17">
        <f>G257/'Calibration standard'!$D$39</f>
        <v>6.4401907165895391</v>
      </c>
      <c r="I257" s="17">
        <f>LN(H257)</f>
        <v>1.8625581540550229</v>
      </c>
      <c r="J257">
        <v>-57</v>
      </c>
      <c r="K257" s="17">
        <f>(J257-'pH-Potential calibration'!$E$27)/'pH-Potential calibration'!$D$27</f>
        <v>7.7054254302103251</v>
      </c>
      <c r="L257" s="25">
        <f>H257*100/$H$257</f>
        <v>99.999999999999986</v>
      </c>
      <c r="V257" t="s">
        <v>41</v>
      </c>
      <c r="W257" t="s">
        <v>42</v>
      </c>
      <c r="X257">
        <v>0.92154280181158088</v>
      </c>
      <c r="Y257">
        <v>0.12752375580428657</v>
      </c>
    </row>
    <row r="258" spans="2:25" x14ac:dyDescent="0.2">
      <c r="B258" s="4">
        <v>2</v>
      </c>
      <c r="C258" s="43" t="s">
        <v>103</v>
      </c>
      <c r="D258">
        <v>24</v>
      </c>
      <c r="E258" s="16">
        <f t="shared" ref="E258:E262" si="56">D258-$D$257</f>
        <v>13</v>
      </c>
      <c r="F258">
        <v>0.214</v>
      </c>
      <c r="G258" s="14">
        <f>F258-'Calibration standard'!$D$16</f>
        <v>0.158</v>
      </c>
      <c r="H258" s="17">
        <f>G258/'Calibration standard'!$D$39</f>
        <v>6.0931145701865095</v>
      </c>
      <c r="I258" s="17">
        <f t="shared" ref="I258:I262" si="57">LN(H258)</f>
        <v>1.8071593746652344</v>
      </c>
      <c r="J258">
        <v>-57</v>
      </c>
      <c r="K258" s="17">
        <f>(J258-'pH-Potential calibration'!$E$27)/'pH-Potential calibration'!$D$27</f>
        <v>7.7054254302103251</v>
      </c>
      <c r="L258" s="25">
        <f t="shared" ref="L258:L262" si="58">H258*100/$H$257</f>
        <v>94.610778443113759</v>
      </c>
      <c r="V258" t="s">
        <v>43</v>
      </c>
      <c r="W258" t="s">
        <v>44</v>
      </c>
      <c r="X258">
        <v>46.983212405747537</v>
      </c>
      <c r="Y258">
        <v>4</v>
      </c>
    </row>
    <row r="259" spans="2:25" x14ac:dyDescent="0.2">
      <c r="B259" s="4">
        <v>3</v>
      </c>
      <c r="C259" s="43" t="s">
        <v>159</v>
      </c>
      <c r="D259">
        <v>36</v>
      </c>
      <c r="E259" s="16">
        <f t="shared" si="56"/>
        <v>25</v>
      </c>
      <c r="F259">
        <v>0.20699999999999999</v>
      </c>
      <c r="G259" s="14">
        <f>F259-'Calibration standard'!$D$16</f>
        <v>0.151</v>
      </c>
      <c r="H259" s="17">
        <f>G259/'Calibration standard'!$D$39</f>
        <v>5.8231664563174865</v>
      </c>
      <c r="I259" s="17">
        <f t="shared" si="57"/>
        <v>1.761844178453192</v>
      </c>
      <c r="J259">
        <v>-57</v>
      </c>
      <c r="K259" s="17">
        <f>(J259-'pH-Potential calibration'!$E$27)/'pH-Potential calibration'!$D$27</f>
        <v>7.7054254302103251</v>
      </c>
      <c r="L259" s="25">
        <f t="shared" si="58"/>
        <v>90.419161676646695</v>
      </c>
      <c r="V259" t="s">
        <v>45</v>
      </c>
      <c r="W259" t="s">
        <v>46</v>
      </c>
      <c r="X259">
        <v>0.76405548480501628</v>
      </c>
      <c r="Y259">
        <v>6.5049233177725249E-2</v>
      </c>
    </row>
    <row r="260" spans="2:25" x14ac:dyDescent="0.2">
      <c r="B260" s="4">
        <v>4</v>
      </c>
      <c r="C260" s="43" t="s">
        <v>160</v>
      </c>
      <c r="D260">
        <v>50</v>
      </c>
      <c r="E260" s="16">
        <f t="shared" si="56"/>
        <v>39</v>
      </c>
      <c r="F260">
        <v>0.2</v>
      </c>
      <c r="G260" s="14">
        <f>F260-'Calibration standard'!$D$16</f>
        <v>0.14400000000000002</v>
      </c>
      <c r="H260" s="17">
        <f>G260/'Calibration standard'!$D$39</f>
        <v>5.5532183424484654</v>
      </c>
      <c r="I260" s="17">
        <f t="shared" si="57"/>
        <v>1.7143776412142684</v>
      </c>
      <c r="J260">
        <v>-57</v>
      </c>
      <c r="K260" s="17">
        <f>(J260-'pH-Potential calibration'!$E$27)/'pH-Potential calibration'!$D$27</f>
        <v>7.7054254302103251</v>
      </c>
      <c r="L260" s="25">
        <f t="shared" si="58"/>
        <v>86.227544910179645</v>
      </c>
      <c r="V260" t="s">
        <v>93</v>
      </c>
      <c r="X260">
        <f>-X255</f>
        <v>1.5418407250497552E-2</v>
      </c>
    </row>
    <row r="261" spans="2:25" x14ac:dyDescent="0.2">
      <c r="B261" s="4">
        <v>5</v>
      </c>
      <c r="C261" s="43" t="s">
        <v>131</v>
      </c>
      <c r="D261">
        <v>64</v>
      </c>
      <c r="E261" s="16">
        <f t="shared" si="56"/>
        <v>53</v>
      </c>
      <c r="F261">
        <v>0.20100000000000001</v>
      </c>
      <c r="G261" s="14">
        <f>F261-'Calibration standard'!$D$16</f>
        <v>0.14500000000000002</v>
      </c>
      <c r="H261" s="17">
        <f>G261/'Calibration standard'!$D$39</f>
        <v>5.5917823587154682</v>
      </c>
      <c r="I261" s="17">
        <f t="shared" si="57"/>
        <v>1.7212980840588421</v>
      </c>
      <c r="J261">
        <v>-57</v>
      </c>
      <c r="K261" s="17">
        <f>(J261-'pH-Potential calibration'!$E$27)/'pH-Potential calibration'!$D$27</f>
        <v>7.7054254302103251</v>
      </c>
      <c r="L261" s="25">
        <f t="shared" si="58"/>
        <v>86.82634730538922</v>
      </c>
    </row>
    <row r="262" spans="2:25" x14ac:dyDescent="0.2">
      <c r="B262" s="4">
        <v>6</v>
      </c>
      <c r="C262" s="43" t="s">
        <v>206</v>
      </c>
      <c r="D262">
        <v>79</v>
      </c>
      <c r="E262" s="16">
        <f t="shared" si="56"/>
        <v>68</v>
      </c>
      <c r="F262">
        <v>0.19400000000000001</v>
      </c>
      <c r="G262" s="14">
        <f>F262-'Calibration standard'!$D$16</f>
        <v>0.13800000000000001</v>
      </c>
      <c r="H262" s="17">
        <f>G262/'Calibration standard'!$D$39</f>
        <v>5.3218342448464453</v>
      </c>
      <c r="I262" s="17">
        <f t="shared" si="57"/>
        <v>1.6718180267954723</v>
      </c>
      <c r="J262">
        <v>-57</v>
      </c>
      <c r="K262" s="17">
        <f>(J262-'pH-Potential calibration'!$E$27)/'pH-Potential calibration'!$D$27</f>
        <v>7.7054254302103251</v>
      </c>
      <c r="L262" s="25">
        <f t="shared" si="58"/>
        <v>82.634730538922156</v>
      </c>
    </row>
    <row r="263" spans="2:25" x14ac:dyDescent="0.2">
      <c r="B263" s="4"/>
      <c r="C263" s="43"/>
      <c r="E263" s="16"/>
      <c r="G263" s="14"/>
      <c r="H263" s="17"/>
      <c r="I263" s="17"/>
      <c r="K263" s="17"/>
      <c r="L263" s="25"/>
    </row>
    <row r="264" spans="2:25" x14ac:dyDescent="0.2">
      <c r="B264" s="4"/>
      <c r="C264" s="43"/>
      <c r="E264" s="16"/>
      <c r="G264" s="14"/>
      <c r="H264" s="17"/>
      <c r="I264" s="17"/>
      <c r="K264" s="17"/>
      <c r="L264" s="25"/>
    </row>
    <row r="265" spans="2:25" x14ac:dyDescent="0.2">
      <c r="B265" s="4"/>
      <c r="C265" s="43"/>
      <c r="E265" s="16"/>
      <c r="G265" s="14"/>
      <c r="H265" s="17"/>
      <c r="I265" s="17"/>
      <c r="K265" s="17"/>
      <c r="L265" s="25"/>
    </row>
    <row r="266" spans="2:25" x14ac:dyDescent="0.2">
      <c r="B266" s="4"/>
      <c r="C266" s="43"/>
      <c r="E266" s="16"/>
      <c r="G266" s="14"/>
      <c r="H266" s="17"/>
      <c r="I266" s="17"/>
      <c r="K266" s="17"/>
      <c r="L266" s="25"/>
    </row>
    <row r="269" spans="2:25" x14ac:dyDescent="0.2">
      <c r="B269" t="s">
        <v>205</v>
      </c>
      <c r="C269" s="1" t="s">
        <v>209</v>
      </c>
      <c r="D269" t="s">
        <v>75</v>
      </c>
      <c r="F269" s="17">
        <f>AVERAGE(K272:K277)</f>
        <v>7.6820028680688344</v>
      </c>
      <c r="G269" t="s">
        <v>76</v>
      </c>
      <c r="H269">
        <f>STDEV(K272:K277)</f>
        <v>9.0715193099501993E-3</v>
      </c>
      <c r="V269" t="s">
        <v>36</v>
      </c>
    </row>
    <row r="270" spans="2:25" x14ac:dyDescent="0.2">
      <c r="B270" t="s">
        <v>77</v>
      </c>
      <c r="C270" t="s">
        <v>78</v>
      </c>
      <c r="D270" t="s">
        <v>79</v>
      </c>
      <c r="F270" t="s">
        <v>81</v>
      </c>
      <c r="G270" t="s">
        <v>71</v>
      </c>
      <c r="H270" t="s">
        <v>82</v>
      </c>
      <c r="I270" t="s">
        <v>83</v>
      </c>
      <c r="J270" t="s">
        <v>84</v>
      </c>
      <c r="K270" t="s">
        <v>85</v>
      </c>
      <c r="L270" t="s">
        <v>113</v>
      </c>
      <c r="M270" t="s">
        <v>34</v>
      </c>
      <c r="N270" t="s">
        <v>87</v>
      </c>
      <c r="V270" t="s">
        <v>37</v>
      </c>
      <c r="W270" t="s">
        <v>38</v>
      </c>
      <c r="X270" cm="1">
        <f t="array" ref="X270:Y274">LINEST(H272:H277,D272:D277,,TRUE)</f>
        <v>-1.4641863842272616E-2</v>
      </c>
      <c r="Y270">
        <v>6.9345080158017431</v>
      </c>
    </row>
    <row r="271" spans="2:25" x14ac:dyDescent="0.2">
      <c r="B271" t="s">
        <v>88</v>
      </c>
      <c r="C271" s="44"/>
      <c r="D271" s="16"/>
      <c r="E271" s="16"/>
      <c r="H271" s="17"/>
      <c r="I271" s="17"/>
      <c r="J271">
        <v>-56</v>
      </c>
      <c r="K271" s="17">
        <f>(J271-'pH-Potential calibration'!$E$27)/'pH-Potential calibration'!$D$27</f>
        <v>7.6878585086042062</v>
      </c>
      <c r="V271" t="s">
        <v>39</v>
      </c>
      <c r="W271" t="s">
        <v>40</v>
      </c>
      <c r="X271">
        <v>6.0366757658075613E-4</v>
      </c>
      <c r="Y271">
        <v>2.5206284052720834E-2</v>
      </c>
    </row>
    <row r="272" spans="2:25" x14ac:dyDescent="0.2">
      <c r="B272" s="4">
        <v>1</v>
      </c>
      <c r="C272" s="43" t="s">
        <v>210</v>
      </c>
      <c r="D272" s="16">
        <v>8</v>
      </c>
      <c r="E272" s="16">
        <f>D272-$D$272</f>
        <v>0</v>
      </c>
      <c r="F272">
        <v>0.23200000000000001</v>
      </c>
      <c r="G272" s="14">
        <f>F272-'Calibration standard'!$D$16</f>
        <v>0.17600000000000002</v>
      </c>
      <c r="H272" s="17">
        <f>G272/'Calibration standard'!$D$39</f>
        <v>6.7872668629925679</v>
      </c>
      <c r="I272" s="17">
        <f>LN(H272)</f>
        <v>1.9150483366764195</v>
      </c>
      <c r="J272">
        <v>-55</v>
      </c>
      <c r="K272" s="17">
        <f>(J272-'pH-Potential calibration'!$E$27)/'pH-Potential calibration'!$D$27</f>
        <v>7.6702915869980881</v>
      </c>
      <c r="L272" s="25">
        <f>H272*100/$H$272</f>
        <v>100</v>
      </c>
      <c r="V272" t="s">
        <v>41</v>
      </c>
      <c r="W272" t="s">
        <v>42</v>
      </c>
      <c r="X272">
        <v>0.99324663741664043</v>
      </c>
      <c r="Y272">
        <v>2.9081702470460265E-2</v>
      </c>
    </row>
    <row r="273" spans="2:25" x14ac:dyDescent="0.2">
      <c r="B273" s="4">
        <v>2</v>
      </c>
      <c r="C273" s="43" t="s">
        <v>211</v>
      </c>
      <c r="D273">
        <v>20</v>
      </c>
      <c r="E273" s="16">
        <f t="shared" ref="E273:E277" si="59">D273-$D$272</f>
        <v>12</v>
      </c>
      <c r="F273">
        <v>0.22900000000000001</v>
      </c>
      <c r="G273" s="14">
        <f>F273-'Calibration standard'!$D$16</f>
        <v>0.17300000000000001</v>
      </c>
      <c r="H273" s="17">
        <f>G273/'Calibration standard'!$D$39</f>
        <v>6.6715748141915583</v>
      </c>
      <c r="I273" s="17">
        <f t="shared" ref="I273:I277" si="60">LN(H273)</f>
        <v>1.8978559361360468</v>
      </c>
      <c r="J273">
        <v>-55</v>
      </c>
      <c r="K273" s="17">
        <f>(J273-'pH-Potential calibration'!$E$27)/'pH-Potential calibration'!$D$27</f>
        <v>7.6702915869980881</v>
      </c>
      <c r="L273" s="25">
        <f t="shared" ref="L273:L277" si="61">H273*100/$H$272</f>
        <v>98.295454545454547</v>
      </c>
      <c r="V273" t="s">
        <v>43</v>
      </c>
      <c r="W273" t="s">
        <v>44</v>
      </c>
      <c r="X273">
        <v>588.29753335858106</v>
      </c>
      <c r="Y273">
        <v>4</v>
      </c>
    </row>
    <row r="274" spans="2:25" x14ac:dyDescent="0.2">
      <c r="B274" s="4">
        <v>3</v>
      </c>
      <c r="C274" s="43" t="s">
        <v>176</v>
      </c>
      <c r="D274">
        <v>31</v>
      </c>
      <c r="E274" s="16">
        <f t="shared" si="59"/>
        <v>23</v>
      </c>
      <c r="F274">
        <v>0.224</v>
      </c>
      <c r="G274" s="14">
        <f>F274-'Calibration standard'!$D$16</f>
        <v>0.16800000000000001</v>
      </c>
      <c r="H274" s="17">
        <f>G274/'Calibration standard'!$D$39</f>
        <v>6.478754732856542</v>
      </c>
      <c r="I274" s="17">
        <f t="shared" si="60"/>
        <v>1.8685283210415267</v>
      </c>
      <c r="J274">
        <v>-56</v>
      </c>
      <c r="K274" s="17">
        <f>(J274-'pH-Potential calibration'!$E$27)/'pH-Potential calibration'!$D$27</f>
        <v>7.6878585086042062</v>
      </c>
      <c r="L274" s="25">
        <f t="shared" si="61"/>
        <v>95.454545454545453</v>
      </c>
      <c r="V274" t="s">
        <v>45</v>
      </c>
      <c r="W274" t="s">
        <v>46</v>
      </c>
      <c r="X274">
        <v>0.49754994360015503</v>
      </c>
      <c r="Y274">
        <v>3.3829816743214986E-3</v>
      </c>
    </row>
    <row r="275" spans="2:25" x14ac:dyDescent="0.2">
      <c r="B275" s="4">
        <v>4</v>
      </c>
      <c r="C275" s="43" t="s">
        <v>212</v>
      </c>
      <c r="D275">
        <v>42</v>
      </c>
      <c r="E275" s="16">
        <f t="shared" si="59"/>
        <v>34</v>
      </c>
      <c r="F275">
        <v>0.22</v>
      </c>
      <c r="G275" s="14">
        <f>F275-'Calibration standard'!$D$16</f>
        <v>0.16400000000000001</v>
      </c>
      <c r="H275" s="17">
        <f>G275/'Calibration standard'!$D$39</f>
        <v>6.3244986677885295</v>
      </c>
      <c r="I275" s="17">
        <f t="shared" si="60"/>
        <v>1.8444307694624662</v>
      </c>
      <c r="J275">
        <v>-56</v>
      </c>
      <c r="K275" s="17">
        <f>(J275-'pH-Potential calibration'!$E$27)/'pH-Potential calibration'!$D$27</f>
        <v>7.6878585086042062</v>
      </c>
      <c r="L275" s="25">
        <f t="shared" si="61"/>
        <v>93.181818181818187</v>
      </c>
      <c r="V275" t="s">
        <v>93</v>
      </c>
      <c r="X275">
        <f>-X270</f>
        <v>1.4641863842272616E-2</v>
      </c>
    </row>
    <row r="276" spans="2:25" x14ac:dyDescent="0.2">
      <c r="B276" s="4">
        <v>5</v>
      </c>
      <c r="C276" s="43" t="s">
        <v>213</v>
      </c>
      <c r="D276">
        <v>54</v>
      </c>
      <c r="E276" s="16">
        <f t="shared" si="59"/>
        <v>46</v>
      </c>
      <c r="F276">
        <v>0.216</v>
      </c>
      <c r="G276" s="14">
        <f>F276-'Calibration standard'!$D$16</f>
        <v>0.16</v>
      </c>
      <c r="H276" s="17">
        <f>G276/'Calibration standard'!$D$39</f>
        <v>6.1702426027205162</v>
      </c>
      <c r="I276" s="17">
        <f t="shared" si="60"/>
        <v>1.8197381568720947</v>
      </c>
      <c r="J276">
        <v>-56</v>
      </c>
      <c r="K276" s="17">
        <f>(J276-'pH-Potential calibration'!$E$27)/'pH-Potential calibration'!$D$27</f>
        <v>7.6878585086042062</v>
      </c>
      <c r="L276" s="25">
        <f t="shared" si="61"/>
        <v>90.909090909090907</v>
      </c>
    </row>
    <row r="277" spans="2:25" x14ac:dyDescent="0.2">
      <c r="B277" s="4">
        <v>6</v>
      </c>
      <c r="C277" s="43" t="s">
        <v>196</v>
      </c>
      <c r="D277">
        <v>66</v>
      </c>
      <c r="E277" s="16">
        <f t="shared" si="59"/>
        <v>58</v>
      </c>
      <c r="F277">
        <v>0.21</v>
      </c>
      <c r="G277" s="14">
        <f>F277-'Calibration standard'!$D$16</f>
        <v>0.154</v>
      </c>
      <c r="H277" s="17">
        <f>G277/'Calibration standard'!$D$39</f>
        <v>5.9388585051184961</v>
      </c>
      <c r="I277" s="17">
        <f t="shared" si="60"/>
        <v>1.7815169440518968</v>
      </c>
      <c r="J277">
        <v>-56</v>
      </c>
      <c r="K277" s="17">
        <f>(J277-'pH-Potential calibration'!$E$27)/'pH-Potential calibration'!$D$27</f>
        <v>7.6878585086042062</v>
      </c>
      <c r="L277" s="25">
        <f t="shared" si="61"/>
        <v>87.499999999999986</v>
      </c>
    </row>
    <row r="278" spans="2:25" x14ac:dyDescent="0.2">
      <c r="B278" s="4"/>
      <c r="C278" s="43"/>
      <c r="E278" s="16"/>
      <c r="G278" s="14"/>
      <c r="H278" s="17"/>
      <c r="I278" s="17"/>
      <c r="K278" s="17"/>
      <c r="L278" s="25"/>
    </row>
    <row r="279" spans="2:25" x14ac:dyDescent="0.2">
      <c r="B279" s="4"/>
      <c r="C279" s="43"/>
      <c r="E279" s="16"/>
      <c r="G279" s="14"/>
      <c r="H279" s="17"/>
      <c r="I279" s="17"/>
      <c r="K279" s="17"/>
      <c r="L279" s="25"/>
    </row>
    <row r="280" spans="2:25" x14ac:dyDescent="0.2">
      <c r="B280" s="4"/>
      <c r="C280" s="43"/>
      <c r="E280" s="16"/>
      <c r="G280" s="14"/>
      <c r="H280" s="17"/>
      <c r="I280" s="17"/>
      <c r="K280" s="17"/>
      <c r="L280" s="25"/>
    </row>
    <row r="281" spans="2:25" x14ac:dyDescent="0.2">
      <c r="B281" s="4"/>
      <c r="C281" s="43"/>
      <c r="E281" s="16"/>
      <c r="G281" s="14"/>
      <c r="H281" s="17"/>
      <c r="I281" s="17"/>
      <c r="K281" s="17"/>
      <c r="L281" s="25"/>
    </row>
    <row r="284" spans="2:25" x14ac:dyDescent="0.2">
      <c r="B284" t="s">
        <v>205</v>
      </c>
      <c r="C284" s="1" t="s">
        <v>214</v>
      </c>
      <c r="D284" t="s">
        <v>75</v>
      </c>
      <c r="F284" s="17">
        <f>AVERAGE(K287:K291)</f>
        <v>7.6351577437858511</v>
      </c>
      <c r="G284" t="s">
        <v>76</v>
      </c>
      <c r="H284">
        <f>STDEV(K287:K291)</f>
        <v>0</v>
      </c>
      <c r="V284" t="s">
        <v>36</v>
      </c>
    </row>
    <row r="285" spans="2:25" x14ac:dyDescent="0.2">
      <c r="B285" t="s">
        <v>77</v>
      </c>
      <c r="C285" t="s">
        <v>78</v>
      </c>
      <c r="D285" t="s">
        <v>79</v>
      </c>
      <c r="F285" t="s">
        <v>81</v>
      </c>
      <c r="G285" t="s">
        <v>71</v>
      </c>
      <c r="H285" t="s">
        <v>82</v>
      </c>
      <c r="I285" t="s">
        <v>83</v>
      </c>
      <c r="J285" t="s">
        <v>84</v>
      </c>
      <c r="K285" t="s">
        <v>85</v>
      </c>
      <c r="L285" t="s">
        <v>113</v>
      </c>
      <c r="M285" t="s">
        <v>34</v>
      </c>
      <c r="N285" t="s">
        <v>87</v>
      </c>
      <c r="V285" t="s">
        <v>37</v>
      </c>
      <c r="W285" t="s">
        <v>38</v>
      </c>
      <c r="X285" cm="1">
        <f t="array" ref="X285:Y289">LINEST(H287:H291,D287:D291,,TRUE)</f>
        <v>-1.4434311021390263E-2</v>
      </c>
      <c r="Y285">
        <v>6.9635300225453669</v>
      </c>
    </row>
    <row r="286" spans="2:25" x14ac:dyDescent="0.2">
      <c r="B286" t="s">
        <v>88</v>
      </c>
      <c r="C286" s="44"/>
      <c r="D286" s="16"/>
      <c r="E286" s="16"/>
      <c r="H286" s="17"/>
      <c r="I286" s="17"/>
      <c r="J286">
        <v>-54</v>
      </c>
      <c r="K286" s="17">
        <f>(J286-'pH-Potential calibration'!$E$27)/'pH-Potential calibration'!$D$27</f>
        <v>7.6527246653919692</v>
      </c>
      <c r="V286" t="s">
        <v>39</v>
      </c>
      <c r="W286" t="s">
        <v>40</v>
      </c>
      <c r="X286">
        <v>6.8336351695470635E-4</v>
      </c>
      <c r="Y286">
        <v>3.265591119661837E-2</v>
      </c>
    </row>
    <row r="287" spans="2:25" x14ac:dyDescent="0.2">
      <c r="B287" s="4">
        <v>1</v>
      </c>
      <c r="C287" s="43" t="s">
        <v>210</v>
      </c>
      <c r="D287" s="16">
        <v>8</v>
      </c>
      <c r="E287" s="16">
        <f>D287-$D$287</f>
        <v>0</v>
      </c>
      <c r="F287">
        <v>0.23400000000000001</v>
      </c>
      <c r="G287" s="14">
        <f>F287-'Calibration standard'!$D$16</f>
        <v>0.17800000000000002</v>
      </c>
      <c r="H287" s="17">
        <f>G287/'Calibration standard'!$D$39</f>
        <v>6.8643948955265746</v>
      </c>
      <c r="I287" s="17">
        <f>LN(H287)</f>
        <v>1.9263478919303529</v>
      </c>
      <c r="J287">
        <v>-53</v>
      </c>
      <c r="K287" s="17">
        <f>(J287-'pH-Potential calibration'!$E$27)/'pH-Potential calibration'!$D$27</f>
        <v>7.6351577437858511</v>
      </c>
      <c r="L287" s="25">
        <f>H287*100/$H$287</f>
        <v>100.00000000000001</v>
      </c>
      <c r="V287" t="s">
        <v>41</v>
      </c>
      <c r="W287" t="s">
        <v>42</v>
      </c>
      <c r="X287">
        <v>0.99332083365787993</v>
      </c>
      <c r="Y287">
        <v>3.5934786035564076E-2</v>
      </c>
    </row>
    <row r="288" spans="2:25" x14ac:dyDescent="0.2">
      <c r="B288" s="4">
        <v>2</v>
      </c>
      <c r="C288" s="43" t="s">
        <v>199</v>
      </c>
      <c r="D288">
        <v>24</v>
      </c>
      <c r="E288" s="16">
        <f t="shared" ref="E288:E292" si="62">D288-$D$287</f>
        <v>16</v>
      </c>
      <c r="F288">
        <v>0.22700000000000001</v>
      </c>
      <c r="G288" s="14">
        <f>F288-'Calibration standard'!$D$16</f>
        <v>0.17100000000000001</v>
      </c>
      <c r="H288" s="17">
        <f>G288/'Calibration standard'!$D$39</f>
        <v>6.5944467816575516</v>
      </c>
      <c r="I288" s="17">
        <f t="shared" ref="I288:I292" si="63">LN(H288)</f>
        <v>1.8862278981409275</v>
      </c>
      <c r="J288">
        <v>-53</v>
      </c>
      <c r="K288" s="17">
        <f>(J288-'pH-Potential calibration'!$E$27)/'pH-Potential calibration'!$D$27</f>
        <v>7.6351577437858511</v>
      </c>
      <c r="L288" s="25">
        <f t="shared" ref="L288:L292" si="64">H288*100/$H$287</f>
        <v>96.067415730337075</v>
      </c>
      <c r="V288" t="s">
        <v>43</v>
      </c>
      <c r="W288" t="s">
        <v>44</v>
      </c>
      <c r="X288">
        <v>446.15785089546279</v>
      </c>
      <c r="Y288">
        <v>3</v>
      </c>
    </row>
    <row r="289" spans="2:25" x14ac:dyDescent="0.2">
      <c r="B289" s="4">
        <v>3</v>
      </c>
      <c r="C289" s="43" t="s">
        <v>215</v>
      </c>
      <c r="D289">
        <v>43</v>
      </c>
      <c r="E289" s="16">
        <f t="shared" si="62"/>
        <v>35</v>
      </c>
      <c r="F289">
        <v>0.221</v>
      </c>
      <c r="G289" s="14">
        <f>F289-'Calibration standard'!$D$16</f>
        <v>0.16500000000000001</v>
      </c>
      <c r="H289" s="17">
        <f>G289/'Calibration standard'!$D$39</f>
        <v>6.3630626840555324</v>
      </c>
      <c r="I289" s="17">
        <f t="shared" si="63"/>
        <v>1.8505098155388484</v>
      </c>
      <c r="J289">
        <v>-53</v>
      </c>
      <c r="K289" s="17">
        <f>(J289-'pH-Potential calibration'!$E$27)/'pH-Potential calibration'!$D$27</f>
        <v>7.6351577437858511</v>
      </c>
      <c r="L289" s="25">
        <f t="shared" si="64"/>
        <v>92.696629213483149</v>
      </c>
      <c r="V289" t="s">
        <v>45</v>
      </c>
      <c r="W289" t="s">
        <v>46</v>
      </c>
      <c r="X289">
        <v>0.57612758020799448</v>
      </c>
      <c r="Y289">
        <v>3.8739265422653131E-3</v>
      </c>
    </row>
    <row r="290" spans="2:25" x14ac:dyDescent="0.2">
      <c r="B290" s="4">
        <v>4</v>
      </c>
      <c r="C290" s="43" t="s">
        <v>204</v>
      </c>
      <c r="D290">
        <v>60</v>
      </c>
      <c r="E290" s="16">
        <f t="shared" si="62"/>
        <v>52</v>
      </c>
      <c r="F290">
        <v>0.21299999999999999</v>
      </c>
      <c r="G290" s="14">
        <f>F290-'Calibration standard'!$D$16</f>
        <v>0.157</v>
      </c>
      <c r="H290" s="17">
        <f>G290/'Calibration standard'!$D$39</f>
        <v>6.0545505539195066</v>
      </c>
      <c r="I290" s="17">
        <f t="shared" si="63"/>
        <v>1.8008101469865758</v>
      </c>
      <c r="J290">
        <v>-53</v>
      </c>
      <c r="K290" s="17">
        <f>(J290-'pH-Potential calibration'!$E$27)/'pH-Potential calibration'!$D$27</f>
        <v>7.6351577437858511</v>
      </c>
      <c r="L290" s="25">
        <f t="shared" si="64"/>
        <v>88.202247191011224</v>
      </c>
      <c r="V290" t="s">
        <v>93</v>
      </c>
      <c r="X290">
        <f>-X285</f>
        <v>1.4434311021390263E-2</v>
      </c>
    </row>
    <row r="291" spans="2:25" x14ac:dyDescent="0.2">
      <c r="B291" s="4">
        <v>5</v>
      </c>
      <c r="C291" s="43" t="s">
        <v>121</v>
      </c>
      <c r="D291">
        <v>73</v>
      </c>
      <c r="E291" s="16">
        <f t="shared" si="62"/>
        <v>65</v>
      </c>
      <c r="F291">
        <v>0.21</v>
      </c>
      <c r="G291" s="14">
        <f>F291-'Calibration standard'!$D$16</f>
        <v>0.154</v>
      </c>
      <c r="H291" s="17">
        <f>G291/'Calibration standard'!$D$39</f>
        <v>5.9388585051184961</v>
      </c>
      <c r="I291" s="17">
        <f t="shared" si="63"/>
        <v>1.7815169440518968</v>
      </c>
      <c r="J291">
        <v>-53</v>
      </c>
      <c r="K291" s="17">
        <f>(J291-'pH-Potential calibration'!$E$27)/'pH-Potential calibration'!$D$27</f>
        <v>7.6351577437858511</v>
      </c>
      <c r="L291" s="25">
        <f t="shared" si="64"/>
        <v>86.516853932584254</v>
      </c>
    </row>
    <row r="292" spans="2:25" x14ac:dyDescent="0.2">
      <c r="B292" s="4">
        <v>6</v>
      </c>
      <c r="C292" s="43" t="s">
        <v>122</v>
      </c>
      <c r="D292">
        <v>88</v>
      </c>
      <c r="E292" s="16">
        <f t="shared" si="62"/>
        <v>80</v>
      </c>
      <c r="F292">
        <v>0.20899999999999999</v>
      </c>
      <c r="G292" s="14">
        <f>F292-'Calibration standard'!$D$16</f>
        <v>0.153</v>
      </c>
      <c r="H292" s="17">
        <f>G292/'Calibration standard'!$D$39</f>
        <v>5.9002944888514932</v>
      </c>
      <c r="I292" s="17">
        <f t="shared" si="63"/>
        <v>1.7750022630307032</v>
      </c>
      <c r="J292">
        <v>-53</v>
      </c>
      <c r="K292" s="17">
        <f>(J292-'pH-Potential calibration'!$E$27)/'pH-Potential calibration'!$D$27</f>
        <v>7.6351577437858511</v>
      </c>
      <c r="L292" s="25">
        <f t="shared" si="64"/>
        <v>85.955056179775269</v>
      </c>
    </row>
    <row r="293" spans="2:25" x14ac:dyDescent="0.2">
      <c r="B293" s="4"/>
      <c r="C293" s="43"/>
      <c r="E293" s="16"/>
      <c r="G293" s="14"/>
      <c r="H293" s="17"/>
      <c r="I293" s="17"/>
      <c r="K293" s="17"/>
      <c r="L293" s="25"/>
    </row>
    <row r="294" spans="2:25" x14ac:dyDescent="0.2">
      <c r="B294" s="4"/>
      <c r="C294" s="43"/>
      <c r="E294" s="16"/>
      <c r="G294" s="14"/>
      <c r="H294" s="17"/>
      <c r="I294" s="17"/>
      <c r="K294" s="17"/>
      <c r="L294" s="25"/>
    </row>
    <row r="295" spans="2:25" x14ac:dyDescent="0.2">
      <c r="B295" s="4"/>
      <c r="C295" s="43"/>
      <c r="E295" s="16"/>
      <c r="G295" s="14"/>
      <c r="H295" s="17"/>
      <c r="I295" s="17"/>
      <c r="K295" s="17"/>
      <c r="L295" s="25"/>
    </row>
    <row r="296" spans="2:25" x14ac:dyDescent="0.2">
      <c r="B296" s="4"/>
      <c r="C296" s="43"/>
      <c r="E296" s="16"/>
      <c r="G296" s="14"/>
      <c r="H296" s="17"/>
      <c r="I296" s="17"/>
      <c r="K296" s="17"/>
      <c r="L296" s="25"/>
    </row>
    <row r="299" spans="2:25" x14ac:dyDescent="0.2">
      <c r="B299" t="s">
        <v>180</v>
      </c>
      <c r="C299" s="1" t="s">
        <v>216</v>
      </c>
      <c r="D299" t="s">
        <v>75</v>
      </c>
      <c r="F299" s="17">
        <f>AVERAGE(K302:K307)</f>
        <v>7.6878585086042071</v>
      </c>
      <c r="G299" t="s">
        <v>76</v>
      </c>
      <c r="H299">
        <f>STDEV(K302:K307)</f>
        <v>9.7295071111809874E-16</v>
      </c>
      <c r="V299" t="s">
        <v>36</v>
      </c>
    </row>
    <row r="300" spans="2:25" x14ac:dyDescent="0.2">
      <c r="B300" t="s">
        <v>77</v>
      </c>
      <c r="C300" t="s">
        <v>78</v>
      </c>
      <c r="D300" t="s">
        <v>79</v>
      </c>
      <c r="F300" t="s">
        <v>81</v>
      </c>
      <c r="G300" t="s">
        <v>71</v>
      </c>
      <c r="H300" t="s">
        <v>82</v>
      </c>
      <c r="I300" t="s">
        <v>83</v>
      </c>
      <c r="J300" t="s">
        <v>84</v>
      </c>
      <c r="K300" t="s">
        <v>85</v>
      </c>
      <c r="L300" t="s">
        <v>113</v>
      </c>
      <c r="M300" t="s">
        <v>34</v>
      </c>
      <c r="N300" t="s">
        <v>87</v>
      </c>
      <c r="V300" t="s">
        <v>37</v>
      </c>
      <c r="W300" t="s">
        <v>38</v>
      </c>
      <c r="X300" cm="1">
        <f t="array" ref="X300:Y304">LINEST(H302:H307,D302:D307,,TRUE)</f>
        <v>-2.2252936733204647E-2</v>
      </c>
      <c r="Y300">
        <v>19.38183503654335</v>
      </c>
    </row>
    <row r="301" spans="2:25" x14ac:dyDescent="0.2">
      <c r="B301" t="s">
        <v>88</v>
      </c>
      <c r="C301" s="44"/>
      <c r="D301" s="16"/>
      <c r="E301" s="16"/>
      <c r="H301" s="17"/>
      <c r="I301" s="17"/>
      <c r="J301">
        <v>-59</v>
      </c>
      <c r="K301" s="17">
        <f>(J301-'pH-Potential calibration'!$E$27)/'pH-Potential calibration'!$D$27</f>
        <v>7.7405592734225621</v>
      </c>
      <c r="V301" t="s">
        <v>39</v>
      </c>
      <c r="W301" t="s">
        <v>40</v>
      </c>
      <c r="X301">
        <v>1.2298992141887854E-3</v>
      </c>
      <c r="Y301">
        <v>6.3988257234650819E-2</v>
      </c>
    </row>
    <row r="302" spans="2:25" x14ac:dyDescent="0.2">
      <c r="B302" s="4">
        <v>1</v>
      </c>
      <c r="C302" s="43" t="s">
        <v>89</v>
      </c>
      <c r="D302" s="16">
        <v>9</v>
      </c>
      <c r="E302" s="16">
        <f>D302-$D$302</f>
        <v>0</v>
      </c>
      <c r="F302">
        <v>0.55100000000000005</v>
      </c>
      <c r="G302" s="14">
        <f>F302-'Calibration standard'!$D$16</f>
        <v>0.49500000000000005</v>
      </c>
      <c r="H302" s="17">
        <f>G302/'Calibration standard'!$D$39</f>
        <v>19.089188052166598</v>
      </c>
      <c r="I302" s="17">
        <f>LN(H302)</f>
        <v>2.9491221042069582</v>
      </c>
      <c r="J302">
        <v>-56</v>
      </c>
      <c r="K302" s="17">
        <f>(J302-'pH-Potential calibration'!$E$27)/'pH-Potential calibration'!$D$27</f>
        <v>7.6878585086042062</v>
      </c>
      <c r="L302" s="25">
        <f>H302*100/$H$302</f>
        <v>100</v>
      </c>
      <c r="V302" t="s">
        <v>41</v>
      </c>
      <c r="W302" t="s">
        <v>42</v>
      </c>
      <c r="X302">
        <v>0.98792881170916302</v>
      </c>
      <c r="Y302">
        <v>7.6010358559468999E-2</v>
      </c>
    </row>
    <row r="303" spans="2:25" x14ac:dyDescent="0.2">
      <c r="B303" s="4">
        <v>2</v>
      </c>
      <c r="C303" s="43" t="s">
        <v>103</v>
      </c>
      <c r="D303">
        <v>23</v>
      </c>
      <c r="E303" s="16">
        <f t="shared" ref="E303:E307" si="65">D303-$D$302</f>
        <v>14</v>
      </c>
      <c r="F303">
        <v>0.54700000000000004</v>
      </c>
      <c r="G303" s="14">
        <f>F303-'Calibration standard'!$D$16</f>
        <v>0.49100000000000005</v>
      </c>
      <c r="H303" s="17">
        <f>G303/'Calibration standard'!$D$39</f>
        <v>18.934931987098587</v>
      </c>
      <c r="I303" s="17">
        <f t="shared" ref="I303:I307" si="66">LN(H303)</f>
        <v>2.9410084694327883</v>
      </c>
      <c r="J303">
        <v>-56</v>
      </c>
      <c r="K303" s="17">
        <f>(J303-'pH-Potential calibration'!$E$27)/'pH-Potential calibration'!$D$27</f>
        <v>7.6878585086042062</v>
      </c>
      <c r="L303" s="25">
        <f t="shared" ref="L303:L307" si="67">H303*100/$H$302</f>
        <v>99.191919191919197</v>
      </c>
      <c r="V303" t="s">
        <v>43</v>
      </c>
      <c r="W303" t="s">
        <v>44</v>
      </c>
      <c r="X303">
        <v>327.36754258371963</v>
      </c>
      <c r="Y303">
        <v>4</v>
      </c>
    </row>
    <row r="304" spans="2:25" x14ac:dyDescent="0.2">
      <c r="B304" s="4">
        <v>3</v>
      </c>
      <c r="C304" s="43" t="s">
        <v>129</v>
      </c>
      <c r="D304">
        <v>38</v>
      </c>
      <c r="E304" s="16">
        <f t="shared" si="65"/>
        <v>29</v>
      </c>
      <c r="F304">
        <v>0.53700000000000003</v>
      </c>
      <c r="G304" s="14">
        <f>F304-'Calibration standard'!$D$16</f>
        <v>0.48100000000000004</v>
      </c>
      <c r="H304" s="17">
        <f>G304/'Calibration standard'!$D$39</f>
        <v>18.549291824428554</v>
      </c>
      <c r="I304" s="17">
        <f t="shared" si="66"/>
        <v>2.920431611744029</v>
      </c>
      <c r="J304">
        <v>-56</v>
      </c>
      <c r="K304" s="17">
        <f>(J304-'pH-Potential calibration'!$E$27)/'pH-Potential calibration'!$D$27</f>
        <v>7.6878585086042062</v>
      </c>
      <c r="L304" s="25">
        <f t="shared" si="67"/>
        <v>97.171717171717177</v>
      </c>
      <c r="V304" t="s">
        <v>45</v>
      </c>
      <c r="W304" t="s">
        <v>46</v>
      </c>
      <c r="X304">
        <v>1.8913904016260488</v>
      </c>
      <c r="Y304">
        <v>2.3110298433356172E-2</v>
      </c>
    </row>
    <row r="305" spans="2:25" x14ac:dyDescent="0.2">
      <c r="B305" s="4">
        <v>4</v>
      </c>
      <c r="C305" s="43" t="s">
        <v>195</v>
      </c>
      <c r="D305">
        <v>53</v>
      </c>
      <c r="E305" s="16">
        <f t="shared" si="65"/>
        <v>44</v>
      </c>
      <c r="F305">
        <v>0.53</v>
      </c>
      <c r="G305" s="14">
        <f>F305-'Calibration standard'!$D$16</f>
        <v>0.47400000000000003</v>
      </c>
      <c r="H305" s="17">
        <f>G305/'Calibration standard'!$D$39</f>
        <v>18.27934371055953</v>
      </c>
      <c r="I305" s="17">
        <f t="shared" si="66"/>
        <v>2.9057716633333444</v>
      </c>
      <c r="J305">
        <v>-56</v>
      </c>
      <c r="K305" s="17">
        <f>(J305-'pH-Potential calibration'!$E$27)/'pH-Potential calibration'!$D$27</f>
        <v>7.6878585086042062</v>
      </c>
      <c r="L305" s="25">
        <f t="shared" si="67"/>
        <v>95.757575757575765</v>
      </c>
      <c r="V305" t="s">
        <v>93</v>
      </c>
      <c r="X305">
        <f>-X300</f>
        <v>2.2252936733204647E-2</v>
      </c>
    </row>
    <row r="306" spans="2:25" x14ac:dyDescent="0.2">
      <c r="B306" s="4">
        <v>5</v>
      </c>
      <c r="C306" s="43" t="s">
        <v>94</v>
      </c>
      <c r="D306">
        <v>67</v>
      </c>
      <c r="E306" s="16">
        <f t="shared" si="65"/>
        <v>58</v>
      </c>
      <c r="F306">
        <v>0.52</v>
      </c>
      <c r="G306" s="14">
        <f>F306-'Calibration standard'!$D$16</f>
        <v>0.46400000000000002</v>
      </c>
      <c r="H306" s="17">
        <f>G306/'Calibration standard'!$D$39</f>
        <v>17.893703547889498</v>
      </c>
      <c r="I306" s="17">
        <f t="shared" si="66"/>
        <v>2.8844488938645232</v>
      </c>
      <c r="J306">
        <v>-56</v>
      </c>
      <c r="K306" s="17">
        <f>(J306-'pH-Potential calibration'!$E$27)/'pH-Potential calibration'!$D$27</f>
        <v>7.6878585086042062</v>
      </c>
      <c r="L306" s="25">
        <f t="shared" si="67"/>
        <v>93.73737373737373</v>
      </c>
    </row>
    <row r="307" spans="2:25" x14ac:dyDescent="0.2">
      <c r="B307" s="4">
        <v>6</v>
      </c>
      <c r="C307" s="43" t="s">
        <v>150</v>
      </c>
      <c r="D307">
        <v>83</v>
      </c>
      <c r="E307" s="16">
        <f t="shared" si="65"/>
        <v>74</v>
      </c>
      <c r="F307">
        <v>0.50900000000000001</v>
      </c>
      <c r="G307" s="14">
        <f>F307-'Calibration standard'!$D$16</f>
        <v>0.45300000000000001</v>
      </c>
      <c r="H307" s="17">
        <f>G307/'Calibration standard'!$D$39</f>
        <v>17.469499368952462</v>
      </c>
      <c r="I307" s="17">
        <f t="shared" si="66"/>
        <v>2.8604564671213017</v>
      </c>
      <c r="J307">
        <v>-56</v>
      </c>
      <c r="K307" s="17">
        <f>(J307-'pH-Potential calibration'!$E$27)/'pH-Potential calibration'!$D$27</f>
        <v>7.6878585086042062</v>
      </c>
      <c r="L307" s="25">
        <f t="shared" si="67"/>
        <v>91.515151515151516</v>
      </c>
    </row>
    <row r="308" spans="2:25" x14ac:dyDescent="0.2">
      <c r="B308" s="4"/>
      <c r="C308" s="43"/>
      <c r="E308" s="16"/>
      <c r="G308" s="14"/>
      <c r="H308" s="17"/>
      <c r="I308" s="17"/>
      <c r="K308" s="17"/>
      <c r="L308" s="25"/>
    </row>
    <row r="309" spans="2:25" x14ac:dyDescent="0.2">
      <c r="B309" s="4"/>
      <c r="C309" s="43"/>
      <c r="E309" s="16"/>
      <c r="G309" s="14"/>
      <c r="H309" s="17"/>
      <c r="I309" s="17"/>
      <c r="K309" s="17"/>
      <c r="L309" s="25"/>
    </row>
    <row r="310" spans="2:25" x14ac:dyDescent="0.2">
      <c r="B310" s="4"/>
      <c r="C310" s="43"/>
      <c r="E310" s="16"/>
      <c r="G310" s="14"/>
      <c r="H310" s="17"/>
      <c r="I310" s="17"/>
      <c r="K310" s="17"/>
      <c r="L310" s="25"/>
    </row>
    <row r="311" spans="2:25" x14ac:dyDescent="0.2">
      <c r="B311" s="4"/>
      <c r="C311" s="43"/>
      <c r="E311" s="16"/>
      <c r="G311" s="14"/>
      <c r="H311" s="17"/>
      <c r="I311" s="17"/>
      <c r="K311" s="17"/>
      <c r="L311" s="25"/>
    </row>
    <row r="314" spans="2:25" x14ac:dyDescent="0.2">
      <c r="B314" t="s">
        <v>218</v>
      </c>
      <c r="C314" s="1" t="s">
        <v>217</v>
      </c>
      <c r="D314" t="s">
        <v>75</v>
      </c>
      <c r="F314" s="17">
        <f>AVERAGE(K317:K321)</f>
        <v>7.7054254302103242</v>
      </c>
      <c r="G314" t="s">
        <v>76</v>
      </c>
      <c r="H314">
        <f>STDEV(K317:K321)</f>
        <v>9.9301366129890925E-16</v>
      </c>
      <c r="V314" t="s">
        <v>36</v>
      </c>
    </row>
    <row r="315" spans="2:25" x14ac:dyDescent="0.2">
      <c r="B315" t="s">
        <v>77</v>
      </c>
      <c r="C315" t="s">
        <v>78</v>
      </c>
      <c r="D315" t="s">
        <v>79</v>
      </c>
      <c r="F315" t="s">
        <v>81</v>
      </c>
      <c r="G315" t="s">
        <v>71</v>
      </c>
      <c r="H315" t="s">
        <v>82</v>
      </c>
      <c r="I315" t="s">
        <v>83</v>
      </c>
      <c r="J315" t="s">
        <v>84</v>
      </c>
      <c r="K315" t="s">
        <v>85</v>
      </c>
      <c r="L315" t="s">
        <v>113</v>
      </c>
      <c r="M315" t="s">
        <v>34</v>
      </c>
      <c r="N315" t="s">
        <v>87</v>
      </c>
      <c r="V315" t="s">
        <v>37</v>
      </c>
      <c r="W315" t="s">
        <v>38</v>
      </c>
      <c r="X315" cm="1">
        <f t="array" ref="X315:Y319">LINEST(H317:H321,D317:D321,,TRUE)</f>
        <v>-1.2155262162957885E-2</v>
      </c>
      <c r="Y315">
        <v>14.406648244340763</v>
      </c>
    </row>
    <row r="316" spans="2:25" x14ac:dyDescent="0.2">
      <c r="B316" t="s">
        <v>88</v>
      </c>
      <c r="C316" s="44"/>
      <c r="D316" s="16"/>
      <c r="E316" s="16"/>
      <c r="H316" s="17"/>
      <c r="I316" s="17"/>
      <c r="J316">
        <v>-59</v>
      </c>
      <c r="K316" s="17">
        <f>(J316-'pH-Potential calibration'!$E$27)/'pH-Potential calibration'!$D$27</f>
        <v>7.7405592734225621</v>
      </c>
      <c r="V316" t="s">
        <v>39</v>
      </c>
      <c r="W316" t="s">
        <v>40</v>
      </c>
      <c r="X316">
        <v>5.6801901785468909E-4</v>
      </c>
      <c r="Y316">
        <v>2.4565755411288907E-2</v>
      </c>
    </row>
    <row r="317" spans="2:25" x14ac:dyDescent="0.2">
      <c r="B317" s="4">
        <v>1</v>
      </c>
      <c r="C317" s="43" t="s">
        <v>141</v>
      </c>
      <c r="D317" s="16">
        <v>9</v>
      </c>
      <c r="E317" s="16">
        <f>D317-$D$317</f>
        <v>0</v>
      </c>
      <c r="F317">
        <v>0.42599999999999999</v>
      </c>
      <c r="G317" s="14">
        <f>F317-'Calibration standard'!$D$16</f>
        <v>0.37</v>
      </c>
      <c r="H317" s="17">
        <f>G317/'Calibration standard'!$D$39</f>
        <v>14.268686018791193</v>
      </c>
      <c r="I317" s="17">
        <f>LN(H317)</f>
        <v>2.6580673472765377</v>
      </c>
      <c r="J317">
        <v>-57</v>
      </c>
      <c r="K317" s="17">
        <f>(J317-'pH-Potential calibration'!$E$27)/'pH-Potential calibration'!$D$27</f>
        <v>7.7054254302103251</v>
      </c>
      <c r="L317" s="25">
        <f>H317*100/$H$317</f>
        <v>100</v>
      </c>
      <c r="V317" t="s">
        <v>41</v>
      </c>
      <c r="W317" t="s">
        <v>42</v>
      </c>
      <c r="X317">
        <v>0.99349147626272061</v>
      </c>
      <c r="Y317">
        <v>2.6227474699297662E-2</v>
      </c>
    </row>
    <row r="318" spans="2:25" x14ac:dyDescent="0.2">
      <c r="B318" s="4">
        <v>2</v>
      </c>
      <c r="C318" s="43" t="s">
        <v>199</v>
      </c>
      <c r="D318">
        <v>23</v>
      </c>
      <c r="E318" s="16">
        <f t="shared" ref="E318:E322" si="68">D318-$D$317</f>
        <v>14</v>
      </c>
      <c r="F318">
        <v>0.42299999999999999</v>
      </c>
      <c r="G318" s="14">
        <f>F318-'Calibration standard'!$D$16</f>
        <v>0.36699999999999999</v>
      </c>
      <c r="H318" s="17">
        <f>G318/'Calibration standard'!$D$39</f>
        <v>14.152993969990183</v>
      </c>
      <c r="I318" s="17">
        <f t="shared" ref="I318:I322" si="69">LN(H318)</f>
        <v>2.6499261896928377</v>
      </c>
      <c r="J318">
        <v>-57</v>
      </c>
      <c r="K318" s="17">
        <f>(J318-'pH-Potential calibration'!$E$27)/'pH-Potential calibration'!$D$27</f>
        <v>7.7054254302103251</v>
      </c>
      <c r="L318" s="25">
        <f t="shared" ref="L318:L322" si="70">H318*100/$H$317</f>
        <v>99.189189189189179</v>
      </c>
      <c r="V318" t="s">
        <v>43</v>
      </c>
      <c r="W318" t="s">
        <v>44</v>
      </c>
      <c r="X318">
        <v>457.93401838832676</v>
      </c>
      <c r="Y318">
        <v>3</v>
      </c>
    </row>
    <row r="319" spans="2:25" x14ac:dyDescent="0.2">
      <c r="B319" s="4">
        <v>3</v>
      </c>
      <c r="C319" s="43" t="s">
        <v>129</v>
      </c>
      <c r="D319">
        <v>38</v>
      </c>
      <c r="E319" s="16">
        <f t="shared" si="68"/>
        <v>29</v>
      </c>
      <c r="F319">
        <v>0.41799999999999998</v>
      </c>
      <c r="G319" s="14">
        <f>F319-'Calibration standard'!$D$16</f>
        <v>0.36199999999999999</v>
      </c>
      <c r="H319" s="17">
        <f>G319/'Calibration standard'!$D$39</f>
        <v>13.960173888655167</v>
      </c>
      <c r="I319" s="17">
        <f t="shared" si="69"/>
        <v>2.6362085534640385</v>
      </c>
      <c r="J319">
        <v>-57</v>
      </c>
      <c r="K319" s="17">
        <f>(J319-'pH-Potential calibration'!$E$27)/'pH-Potential calibration'!$D$27</f>
        <v>7.7054254302103251</v>
      </c>
      <c r="L319" s="25">
        <f t="shared" si="70"/>
        <v>97.837837837837839</v>
      </c>
      <c r="V319" t="s">
        <v>45</v>
      </c>
      <c r="W319" t="s">
        <v>46</v>
      </c>
      <c r="X319">
        <v>0.31500384906950224</v>
      </c>
      <c r="Y319">
        <v>2.0636412873068968E-3</v>
      </c>
    </row>
    <row r="320" spans="2:25" x14ac:dyDescent="0.2">
      <c r="B320" s="4">
        <v>4</v>
      </c>
      <c r="C320" s="43" t="s">
        <v>219</v>
      </c>
      <c r="D320">
        <v>53</v>
      </c>
      <c r="E320" s="16">
        <f t="shared" si="68"/>
        <v>44</v>
      </c>
      <c r="F320">
        <v>0.41299999999999998</v>
      </c>
      <c r="G320" s="14">
        <f>F320-'Calibration standard'!$D$16</f>
        <v>0.35699999999999998</v>
      </c>
      <c r="H320" s="17">
        <f>G320/'Calibration standard'!$D$39</f>
        <v>13.76735380732015</v>
      </c>
      <c r="I320" s="17">
        <f t="shared" si="69"/>
        <v>2.6223001234179066</v>
      </c>
      <c r="J320">
        <v>-57</v>
      </c>
      <c r="K320" s="17">
        <f>(J320-'pH-Potential calibration'!$E$27)/'pH-Potential calibration'!$D$27</f>
        <v>7.7054254302103251</v>
      </c>
      <c r="L320" s="25">
        <f t="shared" si="70"/>
        <v>96.486486486486484</v>
      </c>
      <c r="V320" t="s">
        <v>93</v>
      </c>
      <c r="X320">
        <f>-X315</f>
        <v>1.2155262162957885E-2</v>
      </c>
    </row>
    <row r="321" spans="2:25" x14ac:dyDescent="0.2">
      <c r="B321" s="4">
        <v>5</v>
      </c>
      <c r="C321" s="43" t="s">
        <v>200</v>
      </c>
      <c r="D321">
        <v>67</v>
      </c>
      <c r="E321" s="16">
        <f t="shared" si="68"/>
        <v>58</v>
      </c>
      <c r="F321">
        <v>0.40799999999999997</v>
      </c>
      <c r="G321" s="14">
        <f>F321-'Calibration standard'!$D$16</f>
        <v>0.35199999999999998</v>
      </c>
      <c r="H321" s="17">
        <f>G321/'Calibration standard'!$D$39</f>
        <v>13.574533725985134</v>
      </c>
      <c r="I321" s="17">
        <f t="shared" si="69"/>
        <v>2.6081955172363647</v>
      </c>
      <c r="J321">
        <v>-57</v>
      </c>
      <c r="K321" s="17">
        <f>(J321-'pH-Potential calibration'!$E$27)/'pH-Potential calibration'!$D$27</f>
        <v>7.7054254302103251</v>
      </c>
      <c r="L321" s="25">
        <f t="shared" si="70"/>
        <v>95.13513513513513</v>
      </c>
    </row>
    <row r="322" spans="2:25" x14ac:dyDescent="0.2">
      <c r="B322" s="4">
        <v>6</v>
      </c>
      <c r="C322" s="43" t="s">
        <v>220</v>
      </c>
      <c r="D322">
        <v>83</v>
      </c>
      <c r="E322" s="16">
        <f t="shared" si="68"/>
        <v>74</v>
      </c>
      <c r="F322">
        <v>0.40799999999999997</v>
      </c>
      <c r="G322" s="14">
        <f>F322-'Calibration standard'!$D$16</f>
        <v>0.35199999999999998</v>
      </c>
      <c r="H322" s="17">
        <f>G322/'Calibration standard'!$D$39</f>
        <v>13.574533725985134</v>
      </c>
      <c r="I322" s="17">
        <f t="shared" si="69"/>
        <v>2.6081955172363647</v>
      </c>
      <c r="J322">
        <v>-57</v>
      </c>
      <c r="K322" s="17">
        <f>(J322-'pH-Potential calibration'!$E$27)/'pH-Potential calibration'!$D$27</f>
        <v>7.7054254302103251</v>
      </c>
      <c r="L322" s="25">
        <f t="shared" si="70"/>
        <v>95.13513513513513</v>
      </c>
    </row>
    <row r="323" spans="2:25" x14ac:dyDescent="0.2">
      <c r="B323" s="4"/>
      <c r="C323" s="43"/>
      <c r="E323" s="16"/>
      <c r="G323" s="14"/>
      <c r="H323" s="17"/>
      <c r="I323" s="17"/>
      <c r="K323" s="17"/>
      <c r="L323" s="25"/>
    </row>
    <row r="324" spans="2:25" x14ac:dyDescent="0.2">
      <c r="B324" s="4"/>
      <c r="C324" s="43"/>
      <c r="E324" s="16"/>
      <c r="G324" s="14"/>
      <c r="H324" s="17"/>
      <c r="I324" s="17"/>
      <c r="K324" s="17"/>
      <c r="L324" s="25"/>
    </row>
    <row r="325" spans="2:25" x14ac:dyDescent="0.2">
      <c r="B325" s="4"/>
      <c r="C325" s="43"/>
      <c r="E325" s="16"/>
      <c r="G325" s="14"/>
      <c r="H325" s="17"/>
      <c r="I325" s="17"/>
      <c r="K325" s="17"/>
      <c r="L325" s="25"/>
    </row>
    <row r="326" spans="2:25" x14ac:dyDescent="0.2">
      <c r="B326" s="4"/>
      <c r="C326" s="43"/>
      <c r="E326" s="16"/>
      <c r="G326" s="14"/>
      <c r="H326" s="17"/>
      <c r="I326" s="17"/>
      <c r="K326" s="17"/>
      <c r="L326" s="25"/>
    </row>
    <row r="329" spans="2:25" x14ac:dyDescent="0.2">
      <c r="B329" t="s">
        <v>223</v>
      </c>
      <c r="C329" s="1" t="s">
        <v>221</v>
      </c>
      <c r="D329" t="s">
        <v>75</v>
      </c>
      <c r="F329" s="17">
        <f>AVERAGE(K332:K337)</f>
        <v>7.6497968451242828</v>
      </c>
      <c r="G329" t="s">
        <v>76</v>
      </c>
      <c r="H329">
        <f>STDEV(K332:K337)</f>
        <v>7.1716657144103961E-3</v>
      </c>
      <c r="V329" t="s">
        <v>36</v>
      </c>
    </row>
    <row r="330" spans="2:25" x14ac:dyDescent="0.2">
      <c r="B330" t="s">
        <v>77</v>
      </c>
      <c r="C330" t="s">
        <v>78</v>
      </c>
      <c r="D330" t="s">
        <v>79</v>
      </c>
      <c r="F330" t="s">
        <v>81</v>
      </c>
      <c r="G330" t="s">
        <v>71</v>
      </c>
      <c r="H330" t="s">
        <v>82</v>
      </c>
      <c r="I330" t="s">
        <v>83</v>
      </c>
      <c r="J330" t="s">
        <v>84</v>
      </c>
      <c r="K330" t="s">
        <v>85</v>
      </c>
      <c r="L330" t="s">
        <v>113</v>
      </c>
      <c r="M330" t="s">
        <v>34</v>
      </c>
      <c r="N330" t="s">
        <v>87</v>
      </c>
      <c r="V330" t="s">
        <v>37</v>
      </c>
      <c r="W330" t="s">
        <v>38</v>
      </c>
      <c r="X330" cm="1">
        <f t="array" ref="X330:Y334">LINEST(H332:H337,D332:D337,,TRUE)</f>
        <v>-2.522467394154396E-2</v>
      </c>
      <c r="Y330">
        <v>23.222671748124</v>
      </c>
    </row>
    <row r="331" spans="2:25" x14ac:dyDescent="0.2">
      <c r="B331" t="s">
        <v>88</v>
      </c>
      <c r="C331" s="44"/>
      <c r="D331" s="16"/>
      <c r="E331" s="16"/>
      <c r="H331" s="17"/>
      <c r="I331" s="17"/>
      <c r="J331">
        <v>-57</v>
      </c>
      <c r="K331" s="17">
        <f>(J331-'pH-Potential calibration'!$E$27)/'pH-Potential calibration'!$D$27</f>
        <v>7.7054254302103251</v>
      </c>
      <c r="V331" t="s">
        <v>39</v>
      </c>
      <c r="W331" t="s">
        <v>40</v>
      </c>
      <c r="X331">
        <v>1.7033477130072967E-3</v>
      </c>
      <c r="Y331">
        <v>9.0878030362131879E-2</v>
      </c>
    </row>
    <row r="332" spans="2:25" x14ac:dyDescent="0.2">
      <c r="B332" s="4">
        <v>1</v>
      </c>
      <c r="C332" s="43" t="s">
        <v>188</v>
      </c>
      <c r="D332" s="16">
        <v>11</v>
      </c>
      <c r="E332" s="16">
        <f>D332-$D$332</f>
        <v>0</v>
      </c>
      <c r="F332">
        <v>0.64900000000000002</v>
      </c>
      <c r="G332" s="14">
        <f>F332-'Calibration standard'!$D$16</f>
        <v>0.59299999999999997</v>
      </c>
      <c r="H332" s="17">
        <f>G332/'Calibration standard'!$D$39</f>
        <v>22.868461646332911</v>
      </c>
      <c r="I332" s="17">
        <f>LN(H332)</f>
        <v>3.1297587406359932</v>
      </c>
      <c r="J332">
        <v>-54</v>
      </c>
      <c r="K332" s="17">
        <f>(J332-'pH-Potential calibration'!$E$27)/'pH-Potential calibration'!$D$27</f>
        <v>7.6527246653919692</v>
      </c>
      <c r="L332" s="25">
        <f>H332*100/$H$332</f>
        <v>100</v>
      </c>
      <c r="V332" t="s">
        <v>41</v>
      </c>
      <c r="W332" t="s">
        <v>42</v>
      </c>
      <c r="X332">
        <v>0.98208711630294121</v>
      </c>
      <c r="Y332">
        <v>0.10404141159657684</v>
      </c>
    </row>
    <row r="333" spans="2:25" x14ac:dyDescent="0.2">
      <c r="B333" s="4">
        <v>2</v>
      </c>
      <c r="C333" s="43" t="s">
        <v>189</v>
      </c>
      <c r="D333">
        <v>25</v>
      </c>
      <c r="E333" s="16">
        <f t="shared" ref="E333:E337" si="71">D333-$D$332</f>
        <v>14</v>
      </c>
      <c r="F333">
        <v>0.64100000000000001</v>
      </c>
      <c r="G333" s="14">
        <f>F333-'Calibration standard'!$D$16</f>
        <v>0.58499999999999996</v>
      </c>
      <c r="H333" s="17">
        <f>G333/'Calibration standard'!$D$39</f>
        <v>22.559949516196884</v>
      </c>
      <c r="I333" s="17">
        <f t="shared" ref="I333:I337" si="72">LN(H333)</f>
        <v>3.1161761888701243</v>
      </c>
      <c r="J333">
        <v>-54</v>
      </c>
      <c r="K333" s="17">
        <f>(J333-'pH-Potential calibration'!$E$27)/'pH-Potential calibration'!$D$27</f>
        <v>7.6527246653919692</v>
      </c>
      <c r="L333" s="25">
        <f t="shared" ref="L333:L337" si="73">H333*100/$H$332</f>
        <v>98.650927487352448</v>
      </c>
      <c r="V333" t="s">
        <v>43</v>
      </c>
      <c r="W333" t="s">
        <v>44</v>
      </c>
      <c r="X333">
        <v>219.30296269699846</v>
      </c>
      <c r="Y333">
        <v>4</v>
      </c>
    </row>
    <row r="334" spans="2:25" x14ac:dyDescent="0.2">
      <c r="B334" s="4">
        <v>3</v>
      </c>
      <c r="C334" s="43" t="s">
        <v>224</v>
      </c>
      <c r="D334">
        <v>40</v>
      </c>
      <c r="E334" s="16">
        <f t="shared" si="71"/>
        <v>29</v>
      </c>
      <c r="F334">
        <v>0.63500000000000001</v>
      </c>
      <c r="G334" s="14">
        <f>F334-'Calibration standard'!$D$16</f>
        <v>0.57899999999999996</v>
      </c>
      <c r="H334" s="17">
        <f>G334/'Calibration standard'!$D$39</f>
        <v>22.328565418594867</v>
      </c>
      <c r="I334" s="17">
        <f t="shared" si="72"/>
        <v>3.1058668192112631</v>
      </c>
      <c r="J334">
        <v>-54</v>
      </c>
      <c r="K334" s="17">
        <f>(J334-'pH-Potential calibration'!$E$27)/'pH-Potential calibration'!$D$27</f>
        <v>7.6527246653919692</v>
      </c>
      <c r="L334" s="25">
        <f t="shared" si="73"/>
        <v>97.63912310286679</v>
      </c>
      <c r="V334" t="s">
        <v>45</v>
      </c>
      <c r="W334" t="s">
        <v>46</v>
      </c>
      <c r="X334">
        <v>2.3738702112682621</v>
      </c>
      <c r="Y334">
        <v>4.3298461308033255E-2</v>
      </c>
    </row>
    <row r="335" spans="2:25" x14ac:dyDescent="0.2">
      <c r="B335" s="4">
        <v>4</v>
      </c>
      <c r="C335" s="43" t="s">
        <v>213</v>
      </c>
      <c r="D335">
        <v>54</v>
      </c>
      <c r="E335" s="16">
        <f t="shared" si="71"/>
        <v>43</v>
      </c>
      <c r="F335">
        <v>0.624</v>
      </c>
      <c r="G335" s="14">
        <f>F335-'Calibration standard'!$D$16</f>
        <v>0.56799999999999995</v>
      </c>
      <c r="H335" s="17">
        <f>G335/'Calibration standard'!$D$39</f>
        <v>21.904361239657831</v>
      </c>
      <c r="I335" s="17">
        <f t="shared" si="72"/>
        <v>3.0866857603594191</v>
      </c>
      <c r="J335">
        <v>-54</v>
      </c>
      <c r="K335" s="17">
        <f>(J335-'pH-Potential calibration'!$E$27)/'pH-Potential calibration'!$D$27</f>
        <v>7.6527246653919692</v>
      </c>
      <c r="L335" s="25">
        <f t="shared" si="73"/>
        <v>95.784148397976409</v>
      </c>
      <c r="V335" t="s">
        <v>93</v>
      </c>
      <c r="X335">
        <f>-X330</f>
        <v>2.522467394154396E-2</v>
      </c>
    </row>
    <row r="336" spans="2:25" x14ac:dyDescent="0.2">
      <c r="B336" s="4">
        <v>5</v>
      </c>
      <c r="C336" s="43" t="s">
        <v>132</v>
      </c>
      <c r="D336">
        <v>69</v>
      </c>
      <c r="E336" s="16">
        <f t="shared" si="71"/>
        <v>58</v>
      </c>
      <c r="F336">
        <v>0.61499999999999999</v>
      </c>
      <c r="G336" s="14">
        <f>F336-'Calibration standard'!$D$16</f>
        <v>0.55899999999999994</v>
      </c>
      <c r="H336" s="17">
        <f>G336/'Calibration standard'!$D$39</f>
        <v>21.557285093254801</v>
      </c>
      <c r="I336" s="17">
        <f t="shared" si="72"/>
        <v>3.0707138147933666</v>
      </c>
      <c r="J336">
        <v>-54</v>
      </c>
      <c r="K336" s="17">
        <f>(J336-'pH-Potential calibration'!$E$27)/'pH-Potential calibration'!$D$27</f>
        <v>7.6527246653919692</v>
      </c>
      <c r="L336" s="25">
        <f t="shared" si="73"/>
        <v>94.266441821247881</v>
      </c>
    </row>
    <row r="337" spans="2:25" x14ac:dyDescent="0.2">
      <c r="B337" s="4">
        <v>6</v>
      </c>
      <c r="C337" s="43" t="s">
        <v>225</v>
      </c>
      <c r="D337">
        <v>84</v>
      </c>
      <c r="E337" s="16">
        <f t="shared" si="71"/>
        <v>73</v>
      </c>
      <c r="F337">
        <v>0.6</v>
      </c>
      <c r="G337" s="14">
        <f>F337-'Calibration standard'!$D$16</f>
        <v>0.54399999999999993</v>
      </c>
      <c r="H337" s="17">
        <f>G337/'Calibration standard'!$D$39</f>
        <v>20.978824849249751</v>
      </c>
      <c r="I337" s="17">
        <f t="shared" si="72"/>
        <v>3.0435135884942102</v>
      </c>
      <c r="J337">
        <v>-53</v>
      </c>
      <c r="K337" s="17">
        <f>(J337-'pH-Potential calibration'!$E$27)/'pH-Potential calibration'!$D$27</f>
        <v>7.6351577437858511</v>
      </c>
      <c r="L337" s="25">
        <f t="shared" si="73"/>
        <v>91.736930860033709</v>
      </c>
    </row>
    <row r="338" spans="2:25" x14ac:dyDescent="0.2">
      <c r="B338" s="4"/>
      <c r="C338" s="43"/>
      <c r="E338" s="16"/>
      <c r="G338" s="14"/>
      <c r="H338" s="17"/>
      <c r="I338" s="17"/>
      <c r="K338" s="17"/>
      <c r="L338" s="25"/>
    </row>
    <row r="339" spans="2:25" x14ac:dyDescent="0.2">
      <c r="B339" s="4"/>
      <c r="C339" s="43"/>
      <c r="E339" s="16"/>
      <c r="G339" s="14"/>
      <c r="H339" s="17"/>
      <c r="I339" s="17"/>
      <c r="K339" s="17"/>
      <c r="L339" s="25"/>
    </row>
    <row r="340" spans="2:25" x14ac:dyDescent="0.2">
      <c r="B340" s="4"/>
      <c r="C340" s="43"/>
      <c r="E340" s="16"/>
      <c r="G340" s="14"/>
      <c r="H340" s="17"/>
      <c r="I340" s="17"/>
      <c r="K340" s="17"/>
      <c r="L340" s="25"/>
    </row>
    <row r="341" spans="2:25" x14ac:dyDescent="0.2">
      <c r="B341" s="4"/>
      <c r="C341" s="43"/>
      <c r="E341" s="16"/>
      <c r="G341" s="14"/>
      <c r="H341" s="17"/>
      <c r="I341" s="17"/>
      <c r="K341" s="17"/>
      <c r="L341" s="25"/>
    </row>
    <row r="344" spans="2:25" x14ac:dyDescent="0.2">
      <c r="B344" t="s">
        <v>226</v>
      </c>
      <c r="C344" s="1" t="s">
        <v>222</v>
      </c>
      <c r="D344" t="s">
        <v>75</v>
      </c>
      <c r="F344" s="17">
        <f>AVERAGE(K347:K352)</f>
        <v>7.6527246653919692</v>
      </c>
      <c r="G344" t="s">
        <v>76</v>
      </c>
      <c r="H344">
        <f>STDEV(K347:K352)</f>
        <v>0</v>
      </c>
      <c r="V344" t="s">
        <v>36</v>
      </c>
    </row>
    <row r="345" spans="2:25" x14ac:dyDescent="0.2">
      <c r="B345" t="s">
        <v>77</v>
      </c>
      <c r="C345" t="s">
        <v>78</v>
      </c>
      <c r="D345" t="s">
        <v>79</v>
      </c>
      <c r="F345" t="s">
        <v>81</v>
      </c>
      <c r="G345" t="s">
        <v>71</v>
      </c>
      <c r="H345" t="s">
        <v>82</v>
      </c>
      <c r="I345" t="s">
        <v>83</v>
      </c>
      <c r="J345" t="s">
        <v>84</v>
      </c>
      <c r="K345" t="s">
        <v>85</v>
      </c>
      <c r="L345" t="s">
        <v>113</v>
      </c>
      <c r="M345" t="s">
        <v>34</v>
      </c>
      <c r="N345" t="s">
        <v>87</v>
      </c>
      <c r="V345" t="s">
        <v>37</v>
      </c>
      <c r="W345" t="s">
        <v>38</v>
      </c>
      <c r="X345" cm="1">
        <f t="array" ref="X345:Y349">LINEST(H347:H352,D347:D352,,TRUE)</f>
        <v>-1.1858222489155681E-2</v>
      </c>
      <c r="Y345">
        <v>9.8814412159305682</v>
      </c>
    </row>
    <row r="346" spans="2:25" x14ac:dyDescent="0.2">
      <c r="B346" t="s">
        <v>88</v>
      </c>
      <c r="C346" s="44"/>
      <c r="D346" s="16"/>
      <c r="E346" s="16"/>
      <c r="H346" s="17"/>
      <c r="I346" s="17"/>
      <c r="J346">
        <v>-56</v>
      </c>
      <c r="K346" s="17">
        <f>(J346-'pH-Potential calibration'!$E$27)/'pH-Potential calibration'!$D$27</f>
        <v>7.6878585086042062</v>
      </c>
      <c r="V346" t="s">
        <v>39</v>
      </c>
      <c r="W346" t="s">
        <v>40</v>
      </c>
      <c r="X346">
        <v>4.892030826672988E-4</v>
      </c>
      <c r="Y346">
        <v>2.4944560646303012E-2</v>
      </c>
    </row>
    <row r="347" spans="2:25" x14ac:dyDescent="0.2">
      <c r="B347" s="4">
        <v>1</v>
      </c>
      <c r="C347" s="43" t="s">
        <v>89</v>
      </c>
      <c r="D347" s="16">
        <v>9</v>
      </c>
      <c r="E347" s="16">
        <f>D347-$D$347</f>
        <v>0</v>
      </c>
      <c r="F347">
        <v>0.31</v>
      </c>
      <c r="G347" s="14">
        <f>F347-'Calibration standard'!$D$16</f>
        <v>0.254</v>
      </c>
      <c r="H347" s="17">
        <f>G347/'Calibration standard'!$D$39</f>
        <v>9.7952601318188197</v>
      </c>
      <c r="I347" s="17">
        <f>LN(H347)</f>
        <v>2.2818986086568045</v>
      </c>
      <c r="J347">
        <v>-54</v>
      </c>
      <c r="K347" s="17">
        <f>(J347-'pH-Potential calibration'!$E$27)/'pH-Potential calibration'!$D$27</f>
        <v>7.6527246653919692</v>
      </c>
      <c r="L347" s="25">
        <f>H347*100/$H$347</f>
        <v>100</v>
      </c>
      <c r="V347" t="s">
        <v>41</v>
      </c>
      <c r="W347" t="s">
        <v>42</v>
      </c>
      <c r="X347">
        <v>0.99323835053607279</v>
      </c>
      <c r="Y347">
        <v>2.947152532824893E-2</v>
      </c>
    </row>
    <row r="348" spans="2:25" x14ac:dyDescent="0.2">
      <c r="B348" s="4">
        <v>2</v>
      </c>
      <c r="C348" s="43" t="s">
        <v>103</v>
      </c>
      <c r="D348">
        <v>23</v>
      </c>
      <c r="E348" s="16">
        <f t="shared" ref="E348:E352" si="74">D348-$D$347</f>
        <v>14</v>
      </c>
      <c r="F348">
        <v>0.30499999999999999</v>
      </c>
      <c r="G348" s="14">
        <f>F348-'Calibration standard'!$D$16</f>
        <v>0.249</v>
      </c>
      <c r="H348" s="17">
        <f>G348/'Calibration standard'!$D$39</f>
        <v>9.6024400504838034</v>
      </c>
      <c r="I348" s="17">
        <f t="shared" ref="I348:I352" si="75">LN(H348)</f>
        <v>2.2620172381029753</v>
      </c>
      <c r="J348">
        <v>-54</v>
      </c>
      <c r="K348" s="17">
        <f>(J348-'pH-Potential calibration'!$E$27)/'pH-Potential calibration'!$D$27</f>
        <v>7.6527246653919692</v>
      </c>
      <c r="L348" s="25">
        <f t="shared" ref="L348:L352" si="76">H348*100/$H$347</f>
        <v>98.031496062992133</v>
      </c>
      <c r="V348" t="s">
        <v>43</v>
      </c>
      <c r="W348" t="s">
        <v>44</v>
      </c>
      <c r="X348">
        <v>587.57163075956487</v>
      </c>
      <c r="Y348">
        <v>4</v>
      </c>
    </row>
    <row r="349" spans="2:25" x14ac:dyDescent="0.2">
      <c r="B349" s="4">
        <v>3</v>
      </c>
      <c r="C349" s="43" t="s">
        <v>119</v>
      </c>
      <c r="D349">
        <v>37</v>
      </c>
      <c r="E349" s="16">
        <f t="shared" si="74"/>
        <v>28</v>
      </c>
      <c r="F349">
        <v>0.30099999999999999</v>
      </c>
      <c r="G349" s="14">
        <f>F349-'Calibration standard'!$D$16</f>
        <v>0.245</v>
      </c>
      <c r="H349" s="17">
        <f>G349/'Calibration standard'!$D$39</f>
        <v>9.4481839854157901</v>
      </c>
      <c r="I349" s="17">
        <f t="shared" si="75"/>
        <v>2.2458225521829949</v>
      </c>
      <c r="J349">
        <v>-54</v>
      </c>
      <c r="K349" s="17">
        <f>(J349-'pH-Potential calibration'!$E$27)/'pH-Potential calibration'!$D$27</f>
        <v>7.6527246653919692</v>
      </c>
      <c r="L349" s="25">
        <f t="shared" si="76"/>
        <v>96.456692913385822</v>
      </c>
      <c r="V349" t="s">
        <v>45</v>
      </c>
      <c r="W349" t="s">
        <v>46</v>
      </c>
      <c r="X349">
        <v>0.51034756442601115</v>
      </c>
      <c r="Y349">
        <v>3.474283220694473E-3</v>
      </c>
    </row>
    <row r="350" spans="2:25" x14ac:dyDescent="0.2">
      <c r="B350" s="4">
        <v>4</v>
      </c>
      <c r="C350" s="43" t="s">
        <v>92</v>
      </c>
      <c r="D350">
        <v>52</v>
      </c>
      <c r="E350" s="16">
        <f t="shared" si="74"/>
        <v>43</v>
      </c>
      <c r="F350">
        <v>0.29499999999999998</v>
      </c>
      <c r="G350" s="14">
        <f>F350-'Calibration standard'!$D$16</f>
        <v>0.23899999999999999</v>
      </c>
      <c r="H350" s="17">
        <f>G350/'Calibration standard'!$D$39</f>
        <v>9.2167998878137709</v>
      </c>
      <c r="I350" s="17">
        <f t="shared" si="75"/>
        <v>2.2210278935697785</v>
      </c>
      <c r="J350">
        <v>-54</v>
      </c>
      <c r="K350" s="17">
        <f>(J350-'pH-Potential calibration'!$E$27)/'pH-Potential calibration'!$D$27</f>
        <v>7.6527246653919692</v>
      </c>
      <c r="L350" s="25">
        <f t="shared" si="76"/>
        <v>94.094488188976371</v>
      </c>
      <c r="V350" t="s">
        <v>93</v>
      </c>
      <c r="X350">
        <f>-X345</f>
        <v>1.1858222489155681E-2</v>
      </c>
    </row>
    <row r="351" spans="2:25" x14ac:dyDescent="0.2">
      <c r="B351" s="4">
        <v>5</v>
      </c>
      <c r="C351" s="43" t="s">
        <v>196</v>
      </c>
      <c r="D351">
        <v>66</v>
      </c>
      <c r="E351" s="16">
        <f t="shared" si="74"/>
        <v>57</v>
      </c>
      <c r="F351">
        <v>0.29199999999999998</v>
      </c>
      <c r="G351" s="14">
        <f>F351-'Calibration standard'!$D$16</f>
        <v>0.23599999999999999</v>
      </c>
      <c r="H351" s="17">
        <f>G351/'Calibration standard'!$D$39</f>
        <v>9.1011078390127604</v>
      </c>
      <c r="I351" s="17">
        <f t="shared" si="75"/>
        <v>2.2083961466638775</v>
      </c>
      <c r="J351">
        <v>-54</v>
      </c>
      <c r="K351" s="17">
        <f>(J351-'pH-Potential calibration'!$E$27)/'pH-Potential calibration'!$D$27</f>
        <v>7.6527246653919692</v>
      </c>
      <c r="L351" s="25">
        <f t="shared" si="76"/>
        <v>92.913385826771645</v>
      </c>
    </row>
    <row r="352" spans="2:25" x14ac:dyDescent="0.2">
      <c r="B352" s="4">
        <v>6</v>
      </c>
      <c r="C352" s="43" t="s">
        <v>106</v>
      </c>
      <c r="D352">
        <v>81</v>
      </c>
      <c r="E352" s="16">
        <f t="shared" si="74"/>
        <v>72</v>
      </c>
      <c r="F352">
        <v>0.28799999999999998</v>
      </c>
      <c r="G352" s="14">
        <f>F352-'Calibration standard'!$D$16</f>
        <v>0.23199999999999998</v>
      </c>
      <c r="H352" s="17">
        <f>G352/'Calibration standard'!$D$39</f>
        <v>8.9468517739447471</v>
      </c>
      <c r="I352" s="17">
        <f t="shared" si="75"/>
        <v>2.1913017133045773</v>
      </c>
      <c r="J352">
        <v>-54</v>
      </c>
      <c r="K352" s="17">
        <f>(J352-'pH-Potential calibration'!$E$27)/'pH-Potential calibration'!$D$27</f>
        <v>7.6527246653919692</v>
      </c>
      <c r="L352" s="25">
        <f t="shared" si="76"/>
        <v>91.338582677165348</v>
      </c>
    </row>
    <row r="353" spans="2:25" x14ac:dyDescent="0.2">
      <c r="B353" s="4"/>
      <c r="C353" s="43"/>
      <c r="E353" s="16"/>
      <c r="G353" s="14"/>
      <c r="H353" s="17"/>
      <c r="I353" s="17"/>
      <c r="K353" s="17"/>
      <c r="L353" s="25"/>
    </row>
    <row r="354" spans="2:25" x14ac:dyDescent="0.2">
      <c r="B354" s="4"/>
      <c r="C354" s="43"/>
      <c r="E354" s="16"/>
      <c r="G354" s="14"/>
      <c r="H354" s="17"/>
      <c r="I354" s="17"/>
      <c r="K354" s="17"/>
      <c r="L354" s="25"/>
    </row>
    <row r="355" spans="2:25" x14ac:dyDescent="0.2">
      <c r="B355" s="4"/>
      <c r="C355" s="43"/>
      <c r="E355" s="16"/>
      <c r="G355" s="14"/>
      <c r="H355" s="17"/>
      <c r="I355" s="17"/>
      <c r="K355" s="17"/>
      <c r="L355" s="25"/>
    </row>
    <row r="356" spans="2:25" x14ac:dyDescent="0.2">
      <c r="B356" s="4"/>
      <c r="C356" s="43"/>
      <c r="E356" s="16"/>
      <c r="G356" s="14"/>
      <c r="H356" s="17"/>
      <c r="I356" s="17"/>
      <c r="K356" s="17"/>
      <c r="L356" s="25"/>
    </row>
    <row r="358" spans="2:25" x14ac:dyDescent="0.2">
      <c r="C358" s="1"/>
      <c r="F358" s="17"/>
    </row>
    <row r="359" spans="2:25" x14ac:dyDescent="0.2">
      <c r="B359" t="s">
        <v>247</v>
      </c>
      <c r="C359" s="1" t="s">
        <v>227</v>
      </c>
      <c r="D359" t="s">
        <v>75</v>
      </c>
      <c r="F359" s="17">
        <f>AVERAGE(K362:K367)</f>
        <v>7.3857074569789676</v>
      </c>
      <c r="G359" t="s">
        <v>76</v>
      </c>
      <c r="H359">
        <f>STDEV(K362:K367)</f>
        <v>7.8561661733383501E-3</v>
      </c>
      <c r="V359" t="s">
        <v>36</v>
      </c>
    </row>
    <row r="360" spans="2:25" x14ac:dyDescent="0.2">
      <c r="B360" t="s">
        <v>77</v>
      </c>
      <c r="C360" t="s">
        <v>78</v>
      </c>
      <c r="D360" t="s">
        <v>79</v>
      </c>
      <c r="F360" t="s">
        <v>81</v>
      </c>
      <c r="G360" t="s">
        <v>71</v>
      </c>
      <c r="H360" t="s">
        <v>82</v>
      </c>
      <c r="I360" t="s">
        <v>83</v>
      </c>
      <c r="J360" t="s">
        <v>84</v>
      </c>
      <c r="K360" t="s">
        <v>85</v>
      </c>
      <c r="L360" t="s">
        <v>113</v>
      </c>
      <c r="M360" t="s">
        <v>34</v>
      </c>
      <c r="N360" t="s">
        <v>87</v>
      </c>
      <c r="V360" t="s">
        <v>37</v>
      </c>
      <c r="W360" t="s">
        <v>38</v>
      </c>
      <c r="X360" cm="1">
        <f t="array" ref="X360:Y364">LINEST(H362:H366,D362:D366,,TRUE)</f>
        <v>-8.0270652637873374E-3</v>
      </c>
      <c r="Y360">
        <v>33.527290253528989</v>
      </c>
    </row>
    <row r="361" spans="2:25" x14ac:dyDescent="0.2">
      <c r="B361" t="s">
        <v>88</v>
      </c>
      <c r="C361" s="44"/>
      <c r="D361" s="16"/>
      <c r="E361" s="16"/>
      <c r="H361" s="17"/>
      <c r="I361" s="17"/>
      <c r="J361">
        <v>-40</v>
      </c>
      <c r="K361" s="17">
        <f>(J361-'pH-Potential calibration'!$E$27)/'pH-Potential calibration'!$D$27</f>
        <v>7.4067877629063101</v>
      </c>
      <c r="V361" t="s">
        <v>39</v>
      </c>
      <c r="W361" t="s">
        <v>40</v>
      </c>
      <c r="X361">
        <v>3.9947017222398683E-4</v>
      </c>
      <c r="Y361">
        <v>4.0069466892664198E-2</v>
      </c>
    </row>
    <row r="362" spans="2:25" x14ac:dyDescent="0.2">
      <c r="B362" s="4">
        <v>1</v>
      </c>
      <c r="C362" s="43" t="s">
        <v>89</v>
      </c>
      <c r="D362" s="16">
        <v>9</v>
      </c>
      <c r="E362" s="16">
        <f>D362-$D$362</f>
        <v>0</v>
      </c>
      <c r="F362">
        <v>0.92500000000000004</v>
      </c>
      <c r="G362" s="14">
        <f>F362-'Calibration standard'!$D$16</f>
        <v>0.86899999999999999</v>
      </c>
      <c r="H362" s="17">
        <f>G362/'Calibration standard'!$D$39</f>
        <v>33.512130136025803</v>
      </c>
      <c r="I362" s="17">
        <f>LN(H362)</f>
        <v>3.5119074669036596</v>
      </c>
      <c r="J362">
        <v>-38</v>
      </c>
      <c r="K362" s="17">
        <f>(J362-'pH-Potential calibration'!$E$27)/'pH-Potential calibration'!$D$27</f>
        <v>7.3716539196940722</v>
      </c>
      <c r="L362" s="25">
        <f>H362*100/$H$362</f>
        <v>100</v>
      </c>
      <c r="V362" t="s">
        <v>41</v>
      </c>
      <c r="W362" t="s">
        <v>42</v>
      </c>
      <c r="X362">
        <v>0.99262500733747472</v>
      </c>
      <c r="Y362">
        <v>5.0833580043118567E-2</v>
      </c>
    </row>
    <row r="363" spans="2:25" x14ac:dyDescent="0.2">
      <c r="B363" s="4">
        <v>2</v>
      </c>
      <c r="C363" s="43" t="s">
        <v>119</v>
      </c>
      <c r="D363">
        <v>37</v>
      </c>
      <c r="E363" s="16">
        <f t="shared" ref="E363:E366" si="77">D363-$D$362</f>
        <v>28</v>
      </c>
      <c r="F363">
        <v>0.91600000000000004</v>
      </c>
      <c r="G363" s="14">
        <f>F363-'Calibration standard'!$D$16</f>
        <v>0.86</v>
      </c>
      <c r="H363" s="17">
        <f>G363/'Calibration standard'!$D$39</f>
        <v>33.16505398962277</v>
      </c>
      <c r="I363" s="17">
        <f t="shared" ref="I363:I366" si="78">LN(H363)</f>
        <v>3.5014967308858211</v>
      </c>
      <c r="J363">
        <v>-39</v>
      </c>
      <c r="K363" s="17">
        <f>(J363-'pH-Potential calibration'!$E$27)/'pH-Potential calibration'!$D$27</f>
        <v>7.3892208413001912</v>
      </c>
      <c r="L363" s="25">
        <f t="shared" ref="L363:L366" si="79">H363*100/$H$362</f>
        <v>98.96432681242807</v>
      </c>
      <c r="V363" t="s">
        <v>43</v>
      </c>
      <c r="W363" t="s">
        <v>44</v>
      </c>
      <c r="X363">
        <v>403.78006572725019</v>
      </c>
      <c r="Y363">
        <v>3</v>
      </c>
    </row>
    <row r="364" spans="2:25" x14ac:dyDescent="0.2">
      <c r="B364" s="4">
        <v>3</v>
      </c>
      <c r="C364" s="43" t="s">
        <v>228</v>
      </c>
      <c r="D364">
        <v>78</v>
      </c>
      <c r="E364" s="16">
        <f t="shared" si="77"/>
        <v>69</v>
      </c>
      <c r="F364">
        <v>0.90900000000000003</v>
      </c>
      <c r="G364" s="14">
        <f>F364-'Calibration standard'!$D$16</f>
        <v>0.85299999999999998</v>
      </c>
      <c r="H364" s="17">
        <f>G364/'Calibration standard'!$D$39</f>
        <v>32.89510587575375</v>
      </c>
      <c r="I364" s="17">
        <f t="shared" si="78"/>
        <v>3.4933238891299467</v>
      </c>
      <c r="J364">
        <v>-39</v>
      </c>
      <c r="K364" s="17">
        <f>(J364-'pH-Potential calibration'!$E$27)/'pH-Potential calibration'!$D$27</f>
        <v>7.3892208413001912</v>
      </c>
      <c r="L364" s="25">
        <f t="shared" si="79"/>
        <v>98.158803222094349</v>
      </c>
      <c r="V364" t="s">
        <v>45</v>
      </c>
      <c r="W364" t="s">
        <v>46</v>
      </c>
      <c r="X364">
        <v>1.0433890336535463</v>
      </c>
      <c r="Y364">
        <v>7.7521585800004265E-3</v>
      </c>
    </row>
    <row r="365" spans="2:25" x14ac:dyDescent="0.2">
      <c r="B365" s="4">
        <v>4</v>
      </c>
      <c r="C365" s="43" t="s">
        <v>229</v>
      </c>
      <c r="D365">
        <v>122</v>
      </c>
      <c r="E365" s="16">
        <f t="shared" si="77"/>
        <v>113</v>
      </c>
      <c r="F365">
        <v>0.9</v>
      </c>
      <c r="G365" s="14">
        <f>F365-'Calibration standard'!$D$16</f>
        <v>0.84399999999999997</v>
      </c>
      <c r="H365" s="17">
        <f>G365/'Calibration standard'!$D$39</f>
        <v>32.548029729350723</v>
      </c>
      <c r="I365" s="17">
        <f t="shared" si="78"/>
        <v>3.4827168362342249</v>
      </c>
      <c r="J365">
        <v>-39</v>
      </c>
      <c r="K365" s="17">
        <f>(J365-'pH-Potential calibration'!$E$27)/'pH-Potential calibration'!$D$27</f>
        <v>7.3892208413001912</v>
      </c>
      <c r="L365" s="25">
        <f t="shared" si="79"/>
        <v>97.123130034522447</v>
      </c>
      <c r="V365" t="s">
        <v>93</v>
      </c>
      <c r="X365">
        <f>-X360</f>
        <v>8.0270652637873374E-3</v>
      </c>
    </row>
    <row r="366" spans="2:25" x14ac:dyDescent="0.2">
      <c r="B366" s="4">
        <v>5</v>
      </c>
      <c r="C366" s="43" t="s">
        <v>126</v>
      </c>
      <c r="D366">
        <f>60*2+47</f>
        <v>167</v>
      </c>
      <c r="E366" s="16">
        <f t="shared" si="77"/>
        <v>158</v>
      </c>
      <c r="F366">
        <v>0.89100000000000001</v>
      </c>
      <c r="G366" s="14">
        <f>F366-'Calibration standard'!$D$16</f>
        <v>0.83499999999999996</v>
      </c>
      <c r="H366" s="17">
        <f>G366/'Calibration standard'!$D$39</f>
        <v>32.20095358294769</v>
      </c>
      <c r="I366" s="17">
        <f t="shared" si="78"/>
        <v>3.471996066489123</v>
      </c>
      <c r="J366">
        <v>-39</v>
      </c>
      <c r="K366" s="17">
        <f>(J366-'pH-Potential calibration'!$E$27)/'pH-Potential calibration'!$D$27</f>
        <v>7.3892208413001912</v>
      </c>
      <c r="L366" s="25">
        <f t="shared" si="79"/>
        <v>96.087456846950516</v>
      </c>
    </row>
    <row r="367" spans="2:25" x14ac:dyDescent="0.2">
      <c r="B367" s="4"/>
      <c r="C367" s="43"/>
      <c r="E367" s="16"/>
      <c r="G367" s="14"/>
      <c r="H367" s="17"/>
      <c r="I367" s="17"/>
      <c r="K367" s="17"/>
      <c r="L367" s="25"/>
    </row>
    <row r="368" spans="2:25" x14ac:dyDescent="0.2">
      <c r="B368" s="4"/>
      <c r="C368" s="43"/>
      <c r="E368" s="16"/>
      <c r="G368" s="14"/>
      <c r="H368" s="17"/>
      <c r="I368" s="17"/>
      <c r="K368" s="17"/>
      <c r="L368" s="25"/>
    </row>
    <row r="369" spans="2:25" x14ac:dyDescent="0.2">
      <c r="B369" s="4"/>
      <c r="C369" s="43"/>
      <c r="E369" s="16"/>
      <c r="G369" s="14"/>
      <c r="H369" s="17"/>
      <c r="I369" s="17"/>
      <c r="K369" s="17"/>
      <c r="L369" s="25"/>
    </row>
    <row r="370" spans="2:25" x14ac:dyDescent="0.2">
      <c r="B370" s="4"/>
      <c r="C370" s="43"/>
      <c r="E370" s="16"/>
      <c r="G370" s="14"/>
      <c r="H370" s="17"/>
      <c r="I370" s="17"/>
      <c r="K370" s="17"/>
      <c r="L370" s="25"/>
    </row>
    <row r="371" spans="2:25" x14ac:dyDescent="0.2">
      <c r="B371" s="4"/>
      <c r="C371" s="43"/>
      <c r="E371" s="16"/>
      <c r="G371" s="14"/>
      <c r="H371" s="17"/>
      <c r="I371" s="17"/>
      <c r="K371" s="17"/>
      <c r="L371" s="25"/>
    </row>
    <row r="373" spans="2:25" x14ac:dyDescent="0.2">
      <c r="B373" t="s">
        <v>246</v>
      </c>
      <c r="C373" s="1" t="s">
        <v>230</v>
      </c>
      <c r="D373" t="s">
        <v>75</v>
      </c>
      <c r="F373" s="17">
        <f>AVERAGE(K376:K381)</f>
        <v>7.4770554493307841</v>
      </c>
      <c r="G373" t="s">
        <v>76</v>
      </c>
      <c r="H373">
        <f>STDEV(K376:K381)</f>
        <v>0</v>
      </c>
      <c r="V373" t="s">
        <v>36</v>
      </c>
    </row>
    <row r="374" spans="2:25" x14ac:dyDescent="0.2">
      <c r="B374" t="s">
        <v>77</v>
      </c>
      <c r="C374" t="s">
        <v>78</v>
      </c>
      <c r="D374" t="s">
        <v>79</v>
      </c>
      <c r="F374" t="s">
        <v>81</v>
      </c>
      <c r="G374" t="s">
        <v>71</v>
      </c>
      <c r="H374" t="s">
        <v>82</v>
      </c>
      <c r="I374" t="s">
        <v>83</v>
      </c>
      <c r="J374" t="s">
        <v>84</v>
      </c>
      <c r="K374" t="s">
        <v>85</v>
      </c>
      <c r="L374" t="s">
        <v>113</v>
      </c>
      <c r="M374" t="s">
        <v>34</v>
      </c>
      <c r="N374" t="s">
        <v>87</v>
      </c>
      <c r="V374" t="s">
        <v>37</v>
      </c>
      <c r="W374" t="s">
        <v>38</v>
      </c>
      <c r="X374" cm="1">
        <f t="array" ref="X374:Y378">LINEST(H376:H380,D376:D380,,TRUE)</f>
        <v>-1.3992075012059294E-2</v>
      </c>
      <c r="Y374">
        <v>29.251573580730398</v>
      </c>
    </row>
    <row r="375" spans="2:25" x14ac:dyDescent="0.2">
      <c r="B375" t="s">
        <v>88</v>
      </c>
      <c r="C375" s="44"/>
      <c r="D375" s="16"/>
      <c r="E375" s="16"/>
      <c r="H375" s="17"/>
      <c r="I375" s="17"/>
      <c r="J375">
        <v>-45</v>
      </c>
      <c r="K375" s="17">
        <f>(J375-'pH-Potential calibration'!$E$27)/'pH-Potential calibration'!$D$27</f>
        <v>7.4946223709369022</v>
      </c>
      <c r="V375" t="s">
        <v>39</v>
      </c>
      <c r="W375" t="s">
        <v>40</v>
      </c>
      <c r="X375">
        <v>6.2271579834014326E-4</v>
      </c>
      <c r="Y375">
        <v>7.468696592279038E-2</v>
      </c>
    </row>
    <row r="376" spans="2:25" x14ac:dyDescent="0.2">
      <c r="B376" s="4">
        <v>1</v>
      </c>
      <c r="C376" s="43" t="s">
        <v>141</v>
      </c>
      <c r="D376" s="16">
        <v>10</v>
      </c>
      <c r="E376" s="16">
        <f>D376-$D$362</f>
        <v>1</v>
      </c>
      <c r="F376">
        <v>0.80900000000000005</v>
      </c>
      <c r="G376" s="14">
        <f>F376-'Calibration standard'!$D$16</f>
        <v>0.753</v>
      </c>
      <c r="H376" s="17">
        <f>G376/'Calibration standard'!$D$39</f>
        <v>29.038704249053428</v>
      </c>
      <c r="I376" s="17">
        <f>LN(H376)</f>
        <v>3.3686295694381614</v>
      </c>
      <c r="J376">
        <v>-44</v>
      </c>
      <c r="K376" s="17">
        <f>(J376-'pH-Potential calibration'!$E$27)/'pH-Potential calibration'!$D$27</f>
        <v>7.4770554493307841</v>
      </c>
      <c r="L376" s="25">
        <f>H376*100/$H$376</f>
        <v>100</v>
      </c>
      <c r="V376" t="s">
        <v>41</v>
      </c>
      <c r="W376" t="s">
        <v>42</v>
      </c>
      <c r="X376">
        <v>0.99409304302467105</v>
      </c>
      <c r="Y376">
        <v>9.4275140993344872E-2</v>
      </c>
    </row>
    <row r="377" spans="2:25" x14ac:dyDescent="0.2">
      <c r="B377" s="4">
        <v>2</v>
      </c>
      <c r="C377" s="43" t="s">
        <v>130</v>
      </c>
      <c r="D377">
        <v>48</v>
      </c>
      <c r="E377" s="16">
        <f t="shared" ref="E377:E380" si="80">D377-$D$362</f>
        <v>39</v>
      </c>
      <c r="F377">
        <v>0.79700000000000004</v>
      </c>
      <c r="G377" s="14">
        <f>F377-'Calibration standard'!$D$16</f>
        <v>0.74099999999999999</v>
      </c>
      <c r="H377" s="17">
        <f>G377/'Calibration standard'!$D$39</f>
        <v>28.575936053849389</v>
      </c>
      <c r="I377" s="17">
        <f t="shared" ref="I377:I380" si="81">LN(H377)</f>
        <v>3.3525649669343545</v>
      </c>
      <c r="J377">
        <v>-44</v>
      </c>
      <c r="K377" s="17">
        <f>(J377-'pH-Potential calibration'!$E$27)/'pH-Potential calibration'!$D$27</f>
        <v>7.4770554493307841</v>
      </c>
      <c r="L377" s="25">
        <f t="shared" ref="L377:L380" si="82">H377*100/$H$376</f>
        <v>98.406374501992033</v>
      </c>
      <c r="V377" t="s">
        <v>43</v>
      </c>
      <c r="W377" t="s">
        <v>44</v>
      </c>
      <c r="X377">
        <v>504.87571545379046</v>
      </c>
      <c r="Y377">
        <v>3</v>
      </c>
    </row>
    <row r="378" spans="2:25" x14ac:dyDescent="0.2">
      <c r="B378" s="4">
        <v>3</v>
      </c>
      <c r="C378" s="43" t="s">
        <v>151</v>
      </c>
      <c r="D378">
        <v>94</v>
      </c>
      <c r="E378" s="16">
        <f t="shared" si="80"/>
        <v>85</v>
      </c>
      <c r="F378">
        <v>0.78300000000000003</v>
      </c>
      <c r="G378" s="14">
        <f>F378-'Calibration standard'!$D$16</f>
        <v>0.72699999999999998</v>
      </c>
      <c r="H378" s="17">
        <f>G378/'Calibration standard'!$D$39</f>
        <v>28.036039826111345</v>
      </c>
      <c r="I378" s="17">
        <f t="shared" si="81"/>
        <v>3.3334908191717871</v>
      </c>
      <c r="J378">
        <v>-44</v>
      </c>
      <c r="K378" s="17">
        <f>(J378-'pH-Potential calibration'!$E$27)/'pH-Potential calibration'!$D$27</f>
        <v>7.4770554493307841</v>
      </c>
      <c r="L378" s="25">
        <f t="shared" si="82"/>
        <v>96.547144754316079</v>
      </c>
      <c r="V378" t="s">
        <v>45</v>
      </c>
      <c r="W378" t="s">
        <v>46</v>
      </c>
      <c r="X378">
        <v>4.4872354992397181</v>
      </c>
      <c r="Y378">
        <v>2.6663406627945165E-2</v>
      </c>
    </row>
    <row r="379" spans="2:25" x14ac:dyDescent="0.2">
      <c r="B379" s="4">
        <v>4</v>
      </c>
      <c r="C379" s="43" t="s">
        <v>231</v>
      </c>
      <c r="D379">
        <f>60*2+21</f>
        <v>141</v>
      </c>
      <c r="E379" s="16">
        <f t="shared" si="80"/>
        <v>132</v>
      </c>
      <c r="F379">
        <v>0.76500000000000001</v>
      </c>
      <c r="G379" s="14">
        <f>F379-'Calibration standard'!$D$16</f>
        <v>0.70899999999999996</v>
      </c>
      <c r="H379" s="17">
        <f>G379/'Calibration standard'!$D$39</f>
        <v>27.341887533305286</v>
      </c>
      <c r="I379" s="17">
        <f t="shared" si="81"/>
        <v>3.3084198681703954</v>
      </c>
      <c r="J379">
        <v>-44</v>
      </c>
      <c r="K379" s="17">
        <f>(J379-'pH-Potential calibration'!$E$27)/'pH-Potential calibration'!$D$27</f>
        <v>7.4770554493307841</v>
      </c>
      <c r="L379" s="25">
        <f t="shared" si="82"/>
        <v>94.156706507304108</v>
      </c>
      <c r="V379" t="s">
        <v>93</v>
      </c>
      <c r="X379">
        <f>-X374</f>
        <v>1.3992075012059294E-2</v>
      </c>
    </row>
    <row r="380" spans="2:25" x14ac:dyDescent="0.2">
      <c r="B380" s="4">
        <v>5</v>
      </c>
      <c r="C380" s="43" t="s">
        <v>232</v>
      </c>
      <c r="D380">
        <f>60*3+22</f>
        <v>202</v>
      </c>
      <c r="E380" s="16">
        <f t="shared" si="80"/>
        <v>193</v>
      </c>
      <c r="F380">
        <v>0.73899999999999999</v>
      </c>
      <c r="G380" s="14">
        <f>F380-'Calibration standard'!$D$16</f>
        <v>0.68299999999999994</v>
      </c>
      <c r="H380" s="17">
        <f>G380/'Calibration standard'!$D$39</f>
        <v>26.3392231103632</v>
      </c>
      <c r="I380" s="17">
        <f t="shared" si="81"/>
        <v>3.2710592012090576</v>
      </c>
      <c r="J380">
        <v>-44</v>
      </c>
      <c r="K380" s="17">
        <f>(J380-'pH-Potential calibration'!$E$27)/'pH-Potential calibration'!$D$27</f>
        <v>7.4770554493307841</v>
      </c>
      <c r="L380" s="25">
        <f t="shared" si="82"/>
        <v>90.703851261620173</v>
      </c>
    </row>
    <row r="381" spans="2:25" x14ac:dyDescent="0.2">
      <c r="B381" s="4"/>
      <c r="C381" s="43"/>
      <c r="E381" s="16"/>
      <c r="G381" s="14"/>
      <c r="H381" s="17"/>
      <c r="I381" s="17"/>
      <c r="K381" s="17"/>
      <c r="L381" s="25"/>
    </row>
    <row r="382" spans="2:25" x14ac:dyDescent="0.2">
      <c r="B382" s="4"/>
      <c r="C382" s="43"/>
      <c r="E382" s="16"/>
      <c r="G382" s="14"/>
      <c r="H382" s="17"/>
      <c r="I382" s="17"/>
      <c r="K382" s="17"/>
      <c r="L382" s="25"/>
    </row>
    <row r="383" spans="2:25" x14ac:dyDescent="0.2">
      <c r="B383" s="4"/>
      <c r="C383" s="43"/>
      <c r="E383" s="16"/>
      <c r="G383" s="14"/>
      <c r="H383" s="17"/>
      <c r="I383" s="17"/>
      <c r="K383" s="17"/>
      <c r="L383" s="25"/>
    </row>
    <row r="384" spans="2:25" x14ac:dyDescent="0.2">
      <c r="B384" s="4"/>
      <c r="C384" s="43"/>
      <c r="E384" s="16"/>
      <c r="G384" s="14"/>
      <c r="H384" s="17"/>
      <c r="I384" s="17"/>
      <c r="K384" s="17"/>
      <c r="L384" s="25"/>
    </row>
    <row r="385" spans="2:25" x14ac:dyDescent="0.2">
      <c r="B385" s="4"/>
      <c r="C385" s="43"/>
      <c r="E385" s="16"/>
      <c r="G385" s="14"/>
      <c r="H385" s="17"/>
      <c r="I385" s="17"/>
      <c r="K385" s="17"/>
      <c r="L385" s="25"/>
    </row>
    <row r="387" spans="2:25" x14ac:dyDescent="0.2">
      <c r="B387" t="s">
        <v>245</v>
      </c>
      <c r="C387" s="1" t="s">
        <v>233</v>
      </c>
      <c r="D387" t="s">
        <v>75</v>
      </c>
      <c r="F387" s="17">
        <f>AVERAGE(K390:K394)</f>
        <v>7.3892208413001912</v>
      </c>
      <c r="G387" t="s">
        <v>76</v>
      </c>
      <c r="H387">
        <f>STDEV(K390:K394)</f>
        <v>0</v>
      </c>
      <c r="V387" t="s">
        <v>36</v>
      </c>
    </row>
    <row r="388" spans="2:25" x14ac:dyDescent="0.2">
      <c r="B388" t="s">
        <v>77</v>
      </c>
      <c r="C388" t="s">
        <v>78</v>
      </c>
      <c r="D388" t="s">
        <v>79</v>
      </c>
      <c r="F388" t="s">
        <v>81</v>
      </c>
      <c r="G388" t="s">
        <v>71</v>
      </c>
      <c r="H388" t="s">
        <v>82</v>
      </c>
      <c r="I388" t="s">
        <v>83</v>
      </c>
      <c r="J388" t="s">
        <v>84</v>
      </c>
      <c r="K388" t="s">
        <v>85</v>
      </c>
      <c r="L388" t="s">
        <v>113</v>
      </c>
      <c r="M388" t="s">
        <v>34</v>
      </c>
      <c r="N388" t="s">
        <v>87</v>
      </c>
      <c r="V388" t="s">
        <v>37</v>
      </c>
      <c r="W388" t="s">
        <v>38</v>
      </c>
      <c r="X388" cm="1">
        <f t="array" ref="X388:Y392">LINEST(H390:H395,D390:D395,,TRUE)</f>
        <v>-2.4032436157652376E-3</v>
      </c>
      <c r="Y388">
        <v>12.114191149057369</v>
      </c>
    </row>
    <row r="389" spans="2:25" x14ac:dyDescent="0.2">
      <c r="B389" t="s">
        <v>88</v>
      </c>
      <c r="C389" s="44"/>
      <c r="D389" s="16"/>
      <c r="E389" s="16"/>
      <c r="H389" s="17"/>
      <c r="I389" s="17"/>
      <c r="J389">
        <v>-40</v>
      </c>
      <c r="K389" s="17">
        <f>(J389-'pH-Potential calibration'!$E$27)/'pH-Potential calibration'!$D$27</f>
        <v>7.4067877629063101</v>
      </c>
      <c r="V389" t="s">
        <v>39</v>
      </c>
      <c r="W389" t="s">
        <v>40</v>
      </c>
      <c r="X389">
        <v>1.1944656859157841E-4</v>
      </c>
      <c r="Y389">
        <v>3.6808185770187192E-2</v>
      </c>
    </row>
    <row r="390" spans="2:25" x14ac:dyDescent="0.2">
      <c r="B390" s="4">
        <v>1</v>
      </c>
      <c r="C390" s="43" t="s">
        <v>89</v>
      </c>
      <c r="D390" s="16">
        <v>10</v>
      </c>
      <c r="E390" s="16">
        <f t="shared" ref="E390:E395" si="83">D390-$D$362</f>
        <v>1</v>
      </c>
      <c r="F390">
        <v>0.36899999999999999</v>
      </c>
      <c r="G390" s="14">
        <f>F390-'Calibration standard'!$D$16</f>
        <v>0.313</v>
      </c>
      <c r="H390" s="17">
        <f>G390/'Calibration standard'!$D$39</f>
        <v>12.07053709157201</v>
      </c>
      <c r="I390" s="17">
        <f>LN(H390)</f>
        <v>2.4907675321784208</v>
      </c>
      <c r="J390">
        <v>-39</v>
      </c>
      <c r="K390" s="17">
        <f>(J390-'pH-Potential calibration'!$E$27)/'pH-Potential calibration'!$D$27</f>
        <v>7.3892208413001912</v>
      </c>
      <c r="L390" s="25">
        <f t="shared" ref="L390:L395" si="84">H390*100/$H$390</f>
        <v>100</v>
      </c>
      <c r="V390" t="s">
        <v>41</v>
      </c>
      <c r="W390" t="s">
        <v>42</v>
      </c>
      <c r="X390">
        <v>0.99021543674407209</v>
      </c>
      <c r="Y390">
        <v>5.3450281899060925E-2</v>
      </c>
    </row>
    <row r="391" spans="2:25" x14ac:dyDescent="0.2">
      <c r="B391" s="4">
        <v>2</v>
      </c>
      <c r="C391" s="43" t="s">
        <v>234</v>
      </c>
      <c r="D391">
        <v>94</v>
      </c>
      <c r="E391" s="16">
        <f t="shared" si="83"/>
        <v>85</v>
      </c>
      <c r="F391">
        <v>0.36499999999999999</v>
      </c>
      <c r="G391" s="14">
        <f>F391-'Calibration standard'!$D$16</f>
        <v>0.309</v>
      </c>
      <c r="H391" s="17">
        <f>G391/'Calibration standard'!$D$39</f>
        <v>11.916281026503997</v>
      </c>
      <c r="I391" s="17">
        <f>LN(H391)</f>
        <v>2.4779056185360133</v>
      </c>
      <c r="J391">
        <v>-39</v>
      </c>
      <c r="K391" s="17">
        <f>(J391-'pH-Potential calibration'!$E$27)/'pH-Potential calibration'!$D$27</f>
        <v>7.3892208413001912</v>
      </c>
      <c r="L391" s="25">
        <f t="shared" si="84"/>
        <v>98.722044728434511</v>
      </c>
      <c r="V391" t="s">
        <v>43</v>
      </c>
      <c r="W391" t="s">
        <v>44</v>
      </c>
      <c r="X391">
        <v>404.80720941495264</v>
      </c>
      <c r="Y391">
        <v>4</v>
      </c>
    </row>
    <row r="392" spans="2:25" x14ac:dyDescent="0.2">
      <c r="B392" s="4">
        <v>3</v>
      </c>
      <c r="C392" s="43" t="s">
        <v>235</v>
      </c>
      <c r="D392">
        <f>60*2+21</f>
        <v>141</v>
      </c>
      <c r="E392" s="16">
        <f t="shared" si="83"/>
        <v>132</v>
      </c>
      <c r="F392">
        <v>0.36</v>
      </c>
      <c r="G392" s="14">
        <f>F392-'Calibration standard'!$D$16</f>
        <v>0.30399999999999999</v>
      </c>
      <c r="H392" s="17">
        <f>G392/'Calibration standard'!$D$39</f>
        <v>11.723460945168981</v>
      </c>
      <c r="I392" s="17">
        <f>LN(H392)</f>
        <v>2.4615920430444893</v>
      </c>
      <c r="J392">
        <v>-39</v>
      </c>
      <c r="K392" s="17">
        <f>(J392-'pH-Potential calibration'!$E$27)/'pH-Potential calibration'!$D$27</f>
        <v>7.3892208413001912</v>
      </c>
      <c r="L392" s="25">
        <f t="shared" si="84"/>
        <v>97.12460063897764</v>
      </c>
      <c r="V392" t="s">
        <v>45</v>
      </c>
      <c r="W392" t="s">
        <v>46</v>
      </c>
      <c r="X392">
        <v>1.1565069274969175</v>
      </c>
      <c r="Y392">
        <v>1.1427730540356319E-2</v>
      </c>
    </row>
    <row r="393" spans="2:25" x14ac:dyDescent="0.2">
      <c r="B393" s="4">
        <v>4</v>
      </c>
      <c r="C393" s="43" t="s">
        <v>236</v>
      </c>
      <c r="D393">
        <f>60*5+4</f>
        <v>304</v>
      </c>
      <c r="E393" s="16">
        <f t="shared" si="83"/>
        <v>295</v>
      </c>
      <c r="F393">
        <v>0.35299999999999998</v>
      </c>
      <c r="G393" s="14">
        <f>F393-'Calibration standard'!$D$16</f>
        <v>0.29699999999999999</v>
      </c>
      <c r="H393" s="17">
        <f>G393/'Calibration standard'!$D$39</f>
        <v>11.453512831299957</v>
      </c>
      <c r="I393" s="17">
        <f>LN(H393)</f>
        <v>2.4382964804409673</v>
      </c>
      <c r="J393">
        <v>-39</v>
      </c>
      <c r="K393" s="17">
        <f>(J393-'pH-Potential calibration'!$E$27)/'pH-Potential calibration'!$D$27</f>
        <v>7.3892208413001912</v>
      </c>
      <c r="L393" s="25">
        <f t="shared" si="84"/>
        <v>94.888178913738003</v>
      </c>
      <c r="V393" t="s">
        <v>93</v>
      </c>
      <c r="X393">
        <f>-X388</f>
        <v>2.4032436157652376E-3</v>
      </c>
    </row>
    <row r="394" spans="2:25" x14ac:dyDescent="0.2">
      <c r="B394" s="4">
        <v>5</v>
      </c>
      <c r="C394" s="43" t="s">
        <v>237</v>
      </c>
      <c r="D394">
        <f>60*6+52</f>
        <v>412</v>
      </c>
      <c r="E394" s="16">
        <f t="shared" si="83"/>
        <v>403</v>
      </c>
      <c r="F394">
        <v>0.34499999999999997</v>
      </c>
      <c r="G394" s="14">
        <f>F394-'Calibration standard'!$D$16</f>
        <v>0.28899999999999998</v>
      </c>
      <c r="H394" s="17">
        <f>G394/'Calibration standard'!$D$39</f>
        <v>11.145000701163932</v>
      </c>
      <c r="I394" s="17">
        <f t="shared" ref="I394:I395" si="85">LN(H394)</f>
        <v>2.4109910297506998</v>
      </c>
      <c r="J394">
        <v>-39</v>
      </c>
      <c r="K394" s="17">
        <f>(J394-'pH-Potential calibration'!$E$27)/'pH-Potential calibration'!$D$27</f>
        <v>7.3892208413001912</v>
      </c>
      <c r="L394" s="25">
        <f t="shared" si="84"/>
        <v>92.332268370607011</v>
      </c>
    </row>
    <row r="395" spans="2:25" x14ac:dyDescent="0.2">
      <c r="B395" s="4">
        <v>6</v>
      </c>
      <c r="C395" s="43" t="s">
        <v>238</v>
      </c>
      <c r="D395">
        <f>60*8+48</f>
        <v>528</v>
      </c>
      <c r="E395" s="16">
        <f t="shared" si="83"/>
        <v>519</v>
      </c>
      <c r="F395">
        <v>0.33600000000000002</v>
      </c>
      <c r="G395" s="14">
        <f>F395-'Calibration standard'!$D$16</f>
        <v>0.28000000000000003</v>
      </c>
      <c r="H395" s="17">
        <f>G395/'Calibration standard'!$D$39</f>
        <v>10.797924554760904</v>
      </c>
      <c r="I395" s="17">
        <f t="shared" si="85"/>
        <v>2.3793539448075172</v>
      </c>
      <c r="J395">
        <v>-39</v>
      </c>
      <c r="K395" s="17">
        <f>(J395-'pH-Potential calibration'!$E$27)/'pH-Potential calibration'!$D$27</f>
        <v>7.3892208413001912</v>
      </c>
      <c r="L395" s="25">
        <f t="shared" si="84"/>
        <v>89.456869009584679</v>
      </c>
    </row>
    <row r="397" spans="2:25" x14ac:dyDescent="0.2">
      <c r="B397" s="4"/>
      <c r="C397" s="43"/>
      <c r="E397" s="16"/>
      <c r="G397" s="14"/>
      <c r="H397" s="17"/>
      <c r="I397" s="17"/>
      <c r="K397" s="17"/>
      <c r="L397" s="25"/>
    </row>
    <row r="398" spans="2:25" x14ac:dyDescent="0.2">
      <c r="B398" s="4"/>
      <c r="C398" s="43"/>
      <c r="E398" s="16"/>
      <c r="G398" s="14"/>
      <c r="H398" s="17"/>
      <c r="I398" s="17"/>
      <c r="K398" s="17"/>
      <c r="L398" s="25"/>
    </row>
    <row r="399" spans="2:25" x14ac:dyDescent="0.2">
      <c r="B399" s="4"/>
      <c r="C399" s="43"/>
      <c r="E399" s="16"/>
      <c r="G399" s="14"/>
      <c r="H399" s="17"/>
      <c r="I399" s="17"/>
      <c r="K399" s="17"/>
      <c r="L399" s="25"/>
    </row>
    <row r="401" spans="2:25" x14ac:dyDescent="0.2">
      <c r="B401" t="s">
        <v>244</v>
      </c>
      <c r="C401" s="1" t="s">
        <v>239</v>
      </c>
      <c r="D401" t="s">
        <v>75</v>
      </c>
      <c r="F401" s="17">
        <f>AVERAGE(K404:K408)</f>
        <v>7.4770554493307841</v>
      </c>
      <c r="G401" t="s">
        <v>76</v>
      </c>
      <c r="H401">
        <f>STDEV(K404:K408)</f>
        <v>0</v>
      </c>
      <c r="V401" t="s">
        <v>36</v>
      </c>
    </row>
    <row r="402" spans="2:25" x14ac:dyDescent="0.2">
      <c r="B402" t="s">
        <v>77</v>
      </c>
      <c r="C402" t="s">
        <v>78</v>
      </c>
      <c r="D402" t="s">
        <v>79</v>
      </c>
      <c r="F402" t="s">
        <v>81</v>
      </c>
      <c r="G402" t="s">
        <v>71</v>
      </c>
      <c r="H402" t="s">
        <v>82</v>
      </c>
      <c r="I402" t="s">
        <v>83</v>
      </c>
      <c r="J402" t="s">
        <v>84</v>
      </c>
      <c r="K402" t="s">
        <v>85</v>
      </c>
      <c r="L402" t="s">
        <v>113</v>
      </c>
      <c r="M402" t="s">
        <v>34</v>
      </c>
      <c r="N402" t="s">
        <v>87</v>
      </c>
      <c r="V402" t="s">
        <v>37</v>
      </c>
      <c r="W402" t="s">
        <v>38</v>
      </c>
      <c r="X402" cm="1">
        <f t="array" ref="X402:Y406">LINEST(H404:H408,D404:D408,,TRUE)</f>
        <v>-4.7573016103446423E-3</v>
      </c>
      <c r="Y402">
        <v>8.4526946477092988</v>
      </c>
    </row>
    <row r="403" spans="2:25" x14ac:dyDescent="0.2">
      <c r="B403" t="s">
        <v>88</v>
      </c>
      <c r="C403" s="44"/>
      <c r="D403" s="16"/>
      <c r="E403" s="16"/>
      <c r="H403" s="17"/>
      <c r="I403" s="17"/>
      <c r="J403">
        <v>-45</v>
      </c>
      <c r="K403" s="17">
        <f>(J403-'pH-Potential calibration'!$E$27)/'pH-Potential calibration'!$D$27</f>
        <v>7.4946223709369022</v>
      </c>
      <c r="V403" t="s">
        <v>39</v>
      </c>
      <c r="W403" t="s">
        <v>40</v>
      </c>
      <c r="X403">
        <v>5.5342429177377827E-4</v>
      </c>
      <c r="Y403">
        <v>9.5301205677068651E-2</v>
      </c>
    </row>
    <row r="404" spans="2:25" x14ac:dyDescent="0.2">
      <c r="B404" s="4">
        <v>1</v>
      </c>
      <c r="C404" s="43" t="s">
        <v>141</v>
      </c>
      <c r="D404" s="16">
        <v>10</v>
      </c>
      <c r="E404" s="16">
        <f>D404-$D$362</f>
        <v>1</v>
      </c>
      <c r="F404">
        <v>0.27700000000000002</v>
      </c>
      <c r="G404" s="14">
        <f>F404-'Calibration standard'!$D$16</f>
        <v>0.22100000000000003</v>
      </c>
      <c r="H404" s="17">
        <f>G404/'Calibration standard'!$D$39</f>
        <v>8.5226475950077134</v>
      </c>
      <c r="I404" s="17">
        <f>LN(H404)</f>
        <v>2.1427270431560204</v>
      </c>
      <c r="J404">
        <v>-44</v>
      </c>
      <c r="K404" s="17">
        <f>(J404-'pH-Potential calibration'!$E$27)/'pH-Potential calibration'!$D$27</f>
        <v>7.4770554493307841</v>
      </c>
      <c r="L404" s="25">
        <f>H404*100/$H$404</f>
        <v>100</v>
      </c>
      <c r="V404" t="s">
        <v>41</v>
      </c>
      <c r="W404" t="s">
        <v>42</v>
      </c>
      <c r="X404">
        <v>0.96098488642656332</v>
      </c>
      <c r="Y404">
        <v>0.11339230227967775</v>
      </c>
    </row>
    <row r="405" spans="2:25" x14ac:dyDescent="0.2">
      <c r="B405" s="4">
        <v>2</v>
      </c>
      <c r="C405" s="43" t="s">
        <v>122</v>
      </c>
      <c r="D405">
        <v>88</v>
      </c>
      <c r="E405" s="16">
        <f>D405-$D$362</f>
        <v>79</v>
      </c>
      <c r="F405">
        <v>0.26100000000000001</v>
      </c>
      <c r="G405" s="14">
        <f>F405-'Calibration standard'!$D$16</f>
        <v>0.20500000000000002</v>
      </c>
      <c r="H405" s="17">
        <f>G405/'Calibration standard'!$D$39</f>
        <v>7.9056233347356617</v>
      </c>
      <c r="I405" s="17">
        <f>LN(H405)</f>
        <v>2.0675743207766759</v>
      </c>
      <c r="J405">
        <v>-44</v>
      </c>
      <c r="K405" s="17">
        <f>(J405-'pH-Potential calibration'!$E$27)/'pH-Potential calibration'!$D$27</f>
        <v>7.4770554493307841</v>
      </c>
      <c r="L405" s="25">
        <f t="shared" ref="L405:L408" si="86">H405*100/$H$404</f>
        <v>92.76018099547511</v>
      </c>
      <c r="V405" t="s">
        <v>43</v>
      </c>
      <c r="W405" t="s">
        <v>44</v>
      </c>
      <c r="X405">
        <v>73.893278661183814</v>
      </c>
      <c r="Y405">
        <v>3</v>
      </c>
    </row>
    <row r="406" spans="2:25" x14ac:dyDescent="0.2">
      <c r="B406" s="4">
        <v>3</v>
      </c>
      <c r="C406" s="43" t="s">
        <v>110</v>
      </c>
      <c r="D406">
        <f>60*2+30</f>
        <v>150</v>
      </c>
      <c r="E406" s="16">
        <f>D406-$D$362</f>
        <v>141</v>
      </c>
      <c r="F406">
        <v>0.255</v>
      </c>
      <c r="G406" s="14">
        <f>F406-'Calibration standard'!$D$16</f>
        <v>0.19900000000000001</v>
      </c>
      <c r="H406" s="17">
        <f>G406/'Calibration standard'!$D$39</f>
        <v>7.6742392371336425</v>
      </c>
      <c r="I406" s="17">
        <f>LN(H406)</f>
        <v>2.0378691663627602</v>
      </c>
      <c r="J406">
        <v>-44</v>
      </c>
      <c r="K406" s="17">
        <f>(J406-'pH-Potential calibration'!$E$27)/'pH-Potential calibration'!$D$27</f>
        <v>7.4770554493307841</v>
      </c>
      <c r="L406" s="25">
        <f t="shared" si="86"/>
        <v>90.045248868778287</v>
      </c>
      <c r="V406" t="s">
        <v>45</v>
      </c>
      <c r="W406" t="s">
        <v>46</v>
      </c>
      <c r="X406">
        <v>0.95010604885773831</v>
      </c>
      <c r="Y406">
        <v>3.8573442648857439E-2</v>
      </c>
    </row>
    <row r="407" spans="2:25" x14ac:dyDescent="0.2">
      <c r="B407" s="4">
        <v>4</v>
      </c>
      <c r="C407" s="43" t="s">
        <v>240</v>
      </c>
      <c r="D407">
        <f>60*3+27</f>
        <v>207</v>
      </c>
      <c r="E407" s="16">
        <f>D407-$D$362</f>
        <v>198</v>
      </c>
      <c r="F407">
        <v>0.25</v>
      </c>
      <c r="G407" s="14">
        <f>F407-'Calibration standard'!$D$16</f>
        <v>0.19400000000000001</v>
      </c>
      <c r="H407" s="17">
        <f>G407/'Calibration standard'!$D$39</f>
        <v>7.4814191557986263</v>
      </c>
      <c r="I407" s="17">
        <f>LN(H407)</f>
        <v>2.0124225007015957</v>
      </c>
      <c r="J407">
        <v>-44</v>
      </c>
      <c r="K407" s="17">
        <f>(J407-'pH-Potential calibration'!$E$27)/'pH-Potential calibration'!$D$27</f>
        <v>7.4770554493307841</v>
      </c>
      <c r="L407" s="25">
        <f t="shared" si="86"/>
        <v>87.782805429864254</v>
      </c>
      <c r="V407" t="s">
        <v>93</v>
      </c>
      <c r="X407">
        <f>-X402</f>
        <v>4.7573016103446423E-3</v>
      </c>
    </row>
    <row r="408" spans="2:25" x14ac:dyDescent="0.2">
      <c r="B408" s="4">
        <v>5</v>
      </c>
      <c r="C408" s="43" t="s">
        <v>241</v>
      </c>
      <c r="D408">
        <f>60*4+34</f>
        <v>274</v>
      </c>
      <c r="E408" s="16">
        <f>D408-$D$362</f>
        <v>265</v>
      </c>
      <c r="F408">
        <v>0.24299999999999999</v>
      </c>
      <c r="G408" s="14">
        <f>F408-'Calibration standard'!$D$16</f>
        <v>0.187</v>
      </c>
      <c r="H408" s="17">
        <f>G408/'Calibration standard'!$D$39</f>
        <v>7.2114710419296033</v>
      </c>
      <c r="I408" s="17">
        <f t="shared" ref="I408" si="87">LN(H408)</f>
        <v>1.9756729584928543</v>
      </c>
      <c r="J408">
        <v>-44</v>
      </c>
      <c r="K408" s="17">
        <f>(J408-'pH-Potential calibration'!$E$27)/'pH-Potential calibration'!$D$27</f>
        <v>7.4770554493307841</v>
      </c>
      <c r="L408" s="25">
        <f t="shared" si="86"/>
        <v>84.615384615384613</v>
      </c>
    </row>
    <row r="409" spans="2:25" x14ac:dyDescent="0.2">
      <c r="B409" s="4"/>
      <c r="C409" s="43"/>
      <c r="E409" s="16"/>
      <c r="G409" s="14"/>
      <c r="H409" s="17"/>
      <c r="I409" s="17"/>
      <c r="K409" s="17"/>
      <c r="L409" s="25"/>
    </row>
    <row r="411" spans="2:25" x14ac:dyDescent="0.2">
      <c r="B411" s="4"/>
      <c r="C411" s="43"/>
      <c r="E411" s="16"/>
      <c r="G411" s="14"/>
      <c r="H411" s="17"/>
      <c r="I411" s="17"/>
      <c r="K411" s="17"/>
      <c r="L411" s="25"/>
    </row>
    <row r="412" spans="2:25" x14ac:dyDescent="0.2">
      <c r="B412" s="4"/>
      <c r="C412" s="43"/>
      <c r="E412" s="16"/>
      <c r="G412" s="14"/>
      <c r="H412" s="17"/>
      <c r="I412" s="17"/>
      <c r="K412" s="17"/>
      <c r="L412" s="25"/>
    </row>
    <row r="413" spans="2:25" x14ac:dyDescent="0.2">
      <c r="B413" s="4"/>
      <c r="C413" s="43"/>
      <c r="E413" s="16"/>
      <c r="G413" s="14"/>
      <c r="H413" s="17"/>
      <c r="I413" s="17"/>
      <c r="K413" s="17"/>
      <c r="L413" s="25"/>
    </row>
    <row r="416" spans="2:25" x14ac:dyDescent="0.2">
      <c r="B416" t="s">
        <v>243</v>
      </c>
      <c r="C416" s="1" t="s">
        <v>242</v>
      </c>
      <c r="D416" t="s">
        <v>75</v>
      </c>
      <c r="F416" s="17">
        <f>AVERAGE(K419:K423)</f>
        <v>7.4419216061185463</v>
      </c>
      <c r="G416" t="s">
        <v>76</v>
      </c>
      <c r="H416">
        <f>STDEV(K419:K423)</f>
        <v>9.9301366129890925E-16</v>
      </c>
      <c r="V416" t="s">
        <v>36</v>
      </c>
    </row>
    <row r="417" spans="2:25" x14ac:dyDescent="0.2">
      <c r="B417" t="s">
        <v>77</v>
      </c>
      <c r="C417" t="s">
        <v>78</v>
      </c>
      <c r="D417" t="s">
        <v>79</v>
      </c>
      <c r="F417" t="s">
        <v>81</v>
      </c>
      <c r="G417" t="s">
        <v>71</v>
      </c>
      <c r="H417" t="s">
        <v>82</v>
      </c>
      <c r="I417" t="s">
        <v>83</v>
      </c>
      <c r="J417" t="s">
        <v>84</v>
      </c>
      <c r="K417" t="s">
        <v>85</v>
      </c>
      <c r="L417" t="s">
        <v>113</v>
      </c>
      <c r="M417" t="s">
        <v>34</v>
      </c>
      <c r="N417" t="s">
        <v>87</v>
      </c>
      <c r="V417" t="s">
        <v>37</v>
      </c>
      <c r="W417" t="s">
        <v>38</v>
      </c>
      <c r="X417" cm="1">
        <f t="array" ref="X417:Y421">LINEST(H419:H423,D419:D423,,TRUE)</f>
        <v>-8.4728293616444569E-3</v>
      </c>
      <c r="Y417">
        <v>21.605837023609034</v>
      </c>
    </row>
    <row r="418" spans="2:25" x14ac:dyDescent="0.2">
      <c r="B418" t="s">
        <v>88</v>
      </c>
      <c r="C418" s="44"/>
      <c r="D418" s="16"/>
      <c r="E418" s="16"/>
      <c r="H418" s="17"/>
      <c r="I418" s="17"/>
      <c r="J418">
        <v>-43</v>
      </c>
      <c r="K418" s="17">
        <f>(J418-'pH-Potential calibration'!$E$27)/'pH-Potential calibration'!$D$27</f>
        <v>7.4594885277246652</v>
      </c>
      <c r="V418" t="s">
        <v>39</v>
      </c>
      <c r="W418" t="s">
        <v>40</v>
      </c>
      <c r="X418">
        <v>7.5626901425241306E-5</v>
      </c>
      <c r="Y418">
        <v>1.1631604292204131E-2</v>
      </c>
    </row>
    <row r="419" spans="2:25" x14ac:dyDescent="0.2">
      <c r="B419" s="4">
        <v>1</v>
      </c>
      <c r="C419" s="43" t="s">
        <v>102</v>
      </c>
      <c r="D419" s="16">
        <v>12</v>
      </c>
      <c r="E419" s="16">
        <f>D419-$D$362</f>
        <v>3</v>
      </c>
      <c r="F419">
        <v>0.61399999999999999</v>
      </c>
      <c r="G419" s="14">
        <f>F419-'Calibration standard'!$D$16</f>
        <v>0.55799999999999994</v>
      </c>
      <c r="H419" s="17">
        <f>G419/'Calibration standard'!$D$39</f>
        <v>21.518721076987799</v>
      </c>
      <c r="I419" s="17">
        <f>LN(H419)</f>
        <v>3.0689233040195787</v>
      </c>
      <c r="J419">
        <v>-42</v>
      </c>
      <c r="K419" s="17">
        <f>(J419-'pH-Potential calibration'!$E$27)/'pH-Potential calibration'!$D$27</f>
        <v>7.4419216061185471</v>
      </c>
      <c r="L419" s="25">
        <f>H419*100/$H$419</f>
        <v>100</v>
      </c>
      <c r="V419" t="s">
        <v>41</v>
      </c>
      <c r="W419" t="s">
        <v>42</v>
      </c>
      <c r="X419">
        <v>0.99976104662993714</v>
      </c>
      <c r="Y419">
        <v>1.4720033770277511E-2</v>
      </c>
    </row>
    <row r="420" spans="2:25" x14ac:dyDescent="0.2">
      <c r="B420" s="4">
        <v>2</v>
      </c>
      <c r="C420" s="43" t="s">
        <v>171</v>
      </c>
      <c r="D420">
        <v>58</v>
      </c>
      <c r="E420" s="16">
        <f>D420-$D$362</f>
        <v>49</v>
      </c>
      <c r="F420">
        <v>0.60299999999999998</v>
      </c>
      <c r="G420" s="14">
        <f>F420-'Calibration standard'!$D$16</f>
        <v>0.54699999999999993</v>
      </c>
      <c r="H420" s="17">
        <f>G420/'Calibration standard'!$D$39</f>
        <v>21.09451689805076</v>
      </c>
      <c r="I420" s="17">
        <f>LN(H420)</f>
        <v>3.0490131440602486</v>
      </c>
      <c r="J420">
        <v>-42</v>
      </c>
      <c r="K420" s="17">
        <f>(J420-'pH-Potential calibration'!$E$27)/'pH-Potential calibration'!$D$27</f>
        <v>7.4419216061185471</v>
      </c>
      <c r="L420" s="25">
        <f t="shared" ref="L420:L423" si="88">H420*100/$H$419</f>
        <v>98.028673835125431</v>
      </c>
      <c r="V420" t="s">
        <v>43</v>
      </c>
      <c r="W420" t="s">
        <v>44</v>
      </c>
      <c r="X420">
        <v>12551.750741579748</v>
      </c>
      <c r="Y420">
        <v>3</v>
      </c>
    </row>
    <row r="421" spans="2:25" x14ac:dyDescent="0.2">
      <c r="B421" s="4">
        <v>3</v>
      </c>
      <c r="C421" s="43" t="s">
        <v>248</v>
      </c>
      <c r="D421">
        <f>60*2+4</f>
        <v>124</v>
      </c>
      <c r="E421" s="16">
        <f>D421-$D$362</f>
        <v>115</v>
      </c>
      <c r="F421">
        <v>0.58899999999999997</v>
      </c>
      <c r="G421" s="14">
        <f>F421-'Calibration standard'!$D$16</f>
        <v>0.53299999999999992</v>
      </c>
      <c r="H421" s="17">
        <f>G421/'Calibration standard'!$D$39</f>
        <v>20.554620670312715</v>
      </c>
      <c r="I421" s="17">
        <f>LN(H421)</f>
        <v>3.0230857658041121</v>
      </c>
      <c r="J421">
        <v>-42</v>
      </c>
      <c r="K421" s="17">
        <f>(J421-'pH-Potential calibration'!$E$27)/'pH-Potential calibration'!$D$27</f>
        <v>7.4419216061185471</v>
      </c>
      <c r="L421" s="25">
        <f t="shared" si="88"/>
        <v>95.519713261648732</v>
      </c>
      <c r="V421" t="s">
        <v>45</v>
      </c>
      <c r="W421" t="s">
        <v>46</v>
      </c>
      <c r="X421">
        <v>2.719705746811182</v>
      </c>
      <c r="Y421">
        <v>6.5003818259433107E-4</v>
      </c>
    </row>
    <row r="422" spans="2:25" x14ac:dyDescent="0.2">
      <c r="B422" s="4">
        <v>4</v>
      </c>
      <c r="C422" s="43" t="s">
        <v>249</v>
      </c>
      <c r="D422">
        <f>60*3+4</f>
        <v>184</v>
      </c>
      <c r="E422" s="16">
        <f>D422-$D$362</f>
        <v>175</v>
      </c>
      <c r="F422">
        <v>0.57599999999999996</v>
      </c>
      <c r="G422" s="14">
        <f>F422-'Calibration standard'!$D$16</f>
        <v>0.51999999999999991</v>
      </c>
      <c r="H422" s="17">
        <f>G422/'Calibration standard'!$D$39</f>
        <v>20.053288458841674</v>
      </c>
      <c r="I422" s="17">
        <f>LN(H422)</f>
        <v>2.9983931532137404</v>
      </c>
      <c r="J422">
        <v>-42</v>
      </c>
      <c r="K422" s="17">
        <f>(J422-'pH-Potential calibration'!$E$27)/'pH-Potential calibration'!$D$27</f>
        <v>7.4419216061185471</v>
      </c>
      <c r="L422" s="25">
        <f t="shared" si="88"/>
        <v>93.189964157706086</v>
      </c>
      <c r="V422" t="s">
        <v>93</v>
      </c>
      <c r="X422">
        <f>-X417</f>
        <v>8.4728293616444569E-3</v>
      </c>
    </row>
    <row r="423" spans="2:25" x14ac:dyDescent="0.2">
      <c r="B423" s="4">
        <v>5</v>
      </c>
      <c r="C423" s="43" t="s">
        <v>250</v>
      </c>
      <c r="D423">
        <f>60*4+16</f>
        <v>256</v>
      </c>
      <c r="E423" s="16">
        <f>D423-$D$362</f>
        <v>247</v>
      </c>
      <c r="F423">
        <v>0.56000000000000005</v>
      </c>
      <c r="G423" s="14">
        <f>F423-'Calibration standard'!$D$16</f>
        <v>0.504</v>
      </c>
      <c r="H423" s="17">
        <f>G423/'Calibration standard'!$D$39</f>
        <v>19.436264198569624</v>
      </c>
      <c r="I423" s="17">
        <f t="shared" ref="I423" si="89">LN(H423)</f>
        <v>2.9671406097096362</v>
      </c>
      <c r="J423">
        <v>-42</v>
      </c>
      <c r="K423" s="17">
        <f>(J423-'pH-Potential calibration'!$E$27)/'pH-Potential calibration'!$D$27</f>
        <v>7.4419216061185471</v>
      </c>
      <c r="L423" s="25">
        <f t="shared" si="88"/>
        <v>90.322580645161295</v>
      </c>
    </row>
    <row r="424" spans="2:25" x14ac:dyDescent="0.2">
      <c r="B424" s="4"/>
      <c r="C424" s="43"/>
      <c r="E424" s="16"/>
      <c r="G424" s="14"/>
      <c r="H424" s="17"/>
      <c r="I424" s="17"/>
      <c r="K424" s="17"/>
      <c r="L424" s="25"/>
    </row>
    <row r="426" spans="2:25" x14ac:dyDescent="0.2">
      <c r="B426" s="4"/>
      <c r="C426" s="43"/>
      <c r="E426" s="16"/>
      <c r="G426" s="14"/>
      <c r="H426" s="17"/>
      <c r="I426" s="17"/>
      <c r="K426" s="17"/>
      <c r="L426" s="25"/>
    </row>
    <row r="427" spans="2:25" x14ac:dyDescent="0.2">
      <c r="B427" s="4"/>
      <c r="C427" s="43"/>
      <c r="E427" s="16"/>
      <c r="G427" s="14"/>
      <c r="H427" s="17"/>
      <c r="I427" s="17"/>
      <c r="K427" s="17"/>
      <c r="L427" s="25"/>
    </row>
    <row r="428" spans="2:25" x14ac:dyDescent="0.2">
      <c r="B428" s="4"/>
      <c r="C428" s="43"/>
      <c r="E428" s="16"/>
      <c r="G428" s="14"/>
      <c r="H428" s="17"/>
      <c r="I428" s="17"/>
      <c r="K428" s="17"/>
      <c r="L428" s="25"/>
    </row>
    <row r="431" spans="2:25" x14ac:dyDescent="0.2">
      <c r="B431" t="s">
        <v>244</v>
      </c>
      <c r="C431" s="1" t="s">
        <v>251</v>
      </c>
      <c r="D431" t="s">
        <v>75</v>
      </c>
      <c r="F431" s="17">
        <f>AVERAGE(K434:K438)</f>
        <v>7.5508365200764818</v>
      </c>
      <c r="G431" t="s">
        <v>76</v>
      </c>
      <c r="H431">
        <f>STDEV(K434:K438)</f>
        <v>1.4697541097097503E-2</v>
      </c>
      <c r="V431" t="s">
        <v>36</v>
      </c>
    </row>
    <row r="432" spans="2:25" x14ac:dyDescent="0.2">
      <c r="B432" t="s">
        <v>77</v>
      </c>
      <c r="C432" t="s">
        <v>78</v>
      </c>
      <c r="D432" t="s">
        <v>79</v>
      </c>
      <c r="F432" t="s">
        <v>81</v>
      </c>
      <c r="G432" t="s">
        <v>71</v>
      </c>
      <c r="H432" t="s">
        <v>82</v>
      </c>
      <c r="I432" t="s">
        <v>83</v>
      </c>
      <c r="J432" t="s">
        <v>84</v>
      </c>
      <c r="K432" t="s">
        <v>85</v>
      </c>
      <c r="L432" t="s">
        <v>113</v>
      </c>
      <c r="M432" t="s">
        <v>34</v>
      </c>
      <c r="N432" t="s">
        <v>87</v>
      </c>
      <c r="V432" t="s">
        <v>37</v>
      </c>
      <c r="W432" t="s">
        <v>38</v>
      </c>
      <c r="X432" cm="1">
        <f t="array" ref="X432:Y436">LINEST(H434:H438,D434:D438,,TRUE)</f>
        <v>-3.1176297571808443E-3</v>
      </c>
      <c r="Y432">
        <v>8.6176513481729273</v>
      </c>
    </row>
    <row r="433" spans="2:25" x14ac:dyDescent="0.2">
      <c r="B433" t="s">
        <v>88</v>
      </c>
      <c r="C433" s="44"/>
      <c r="D433" s="16"/>
      <c r="E433" s="16"/>
      <c r="H433" s="17"/>
      <c r="I433" s="17"/>
      <c r="J433">
        <v>-49</v>
      </c>
      <c r="K433" s="17">
        <f>(J433-'pH-Potential calibration'!$E$27)/'pH-Potential calibration'!$D$27</f>
        <v>7.5648900573613771</v>
      </c>
      <c r="V433" t="s">
        <v>39</v>
      </c>
      <c r="W433" t="s">
        <v>40</v>
      </c>
      <c r="X433">
        <v>2.6465772743865262E-4</v>
      </c>
      <c r="Y433">
        <v>4.6964481301934806E-2</v>
      </c>
    </row>
    <row r="434" spans="2:25" x14ac:dyDescent="0.2">
      <c r="B434" s="4">
        <v>1</v>
      </c>
      <c r="C434" s="43" t="s">
        <v>141</v>
      </c>
      <c r="D434" s="16">
        <v>10</v>
      </c>
      <c r="E434" s="16">
        <f>D434-$D$434</f>
        <v>0</v>
      </c>
      <c r="F434">
        <v>0.27900000000000003</v>
      </c>
      <c r="G434" s="14">
        <f>F434-'Calibration standard'!$D$16</f>
        <v>0.22300000000000003</v>
      </c>
      <c r="H434" s="17">
        <f>G434/'Calibration standard'!$D$39</f>
        <v>8.599775627541721</v>
      </c>
      <c r="I434" s="17">
        <f>LN(H434)</f>
        <v>2.1517361130983867</v>
      </c>
      <c r="J434">
        <v>-49</v>
      </c>
      <c r="K434" s="17">
        <f>(J434-'pH-Potential calibration'!$E$27)/'pH-Potential calibration'!$D$27</f>
        <v>7.5648900573613771</v>
      </c>
      <c r="L434" s="25">
        <f>H434*100/$H$434</f>
        <v>100</v>
      </c>
      <c r="V434" t="s">
        <v>41</v>
      </c>
      <c r="W434" t="s">
        <v>42</v>
      </c>
      <c r="X434">
        <v>0.97883821713587316</v>
      </c>
      <c r="Y434">
        <v>6.3137816019828583E-2</v>
      </c>
    </row>
    <row r="435" spans="2:25" x14ac:dyDescent="0.2">
      <c r="B435" s="4">
        <v>2</v>
      </c>
      <c r="C435" s="43" t="s">
        <v>120</v>
      </c>
      <c r="D435">
        <v>57</v>
      </c>
      <c r="E435" s="16">
        <f t="shared" ref="E435:E438" si="90">D435-$D$434</f>
        <v>47</v>
      </c>
      <c r="F435">
        <v>0.27300000000000002</v>
      </c>
      <c r="G435" s="14">
        <f>F435-'Calibration standard'!$D$16</f>
        <v>0.21700000000000003</v>
      </c>
      <c r="H435" s="17">
        <f>G435/'Calibration standard'!$D$39</f>
        <v>8.3683915299397</v>
      </c>
      <c r="I435" s="17">
        <f>LN(H435)</f>
        <v>2.1244616951787272</v>
      </c>
      <c r="J435">
        <v>-49</v>
      </c>
      <c r="K435" s="17">
        <f>(J435-'pH-Potential calibration'!$E$27)/'pH-Potential calibration'!$D$27</f>
        <v>7.5648900573613771</v>
      </c>
      <c r="L435" s="25">
        <f t="shared" ref="L435:L438" si="91">H435*100/$H$434</f>
        <v>97.309417040358724</v>
      </c>
      <c r="V435" t="s">
        <v>43</v>
      </c>
      <c r="W435" t="s">
        <v>44</v>
      </c>
      <c r="X435">
        <v>138.76499301888001</v>
      </c>
      <c r="Y435">
        <v>3</v>
      </c>
    </row>
    <row r="436" spans="2:25" x14ac:dyDescent="0.2">
      <c r="B436" s="4">
        <v>3</v>
      </c>
      <c r="C436" s="43" t="s">
        <v>252</v>
      </c>
      <c r="D436">
        <v>118</v>
      </c>
      <c r="E436" s="16">
        <f t="shared" si="90"/>
        <v>108</v>
      </c>
      <c r="F436">
        <v>0.27200000000000002</v>
      </c>
      <c r="G436" s="14">
        <f>F436-'Calibration standard'!$D$16</f>
        <v>0.21600000000000003</v>
      </c>
      <c r="H436" s="17">
        <f>G436/'Calibration standard'!$D$39</f>
        <v>8.3298275136726971</v>
      </c>
      <c r="I436" s="17">
        <f>LN(H436)</f>
        <v>2.1198427493224328</v>
      </c>
      <c r="J436">
        <v>-48</v>
      </c>
      <c r="K436" s="17">
        <f>(J436-'pH-Potential calibration'!$E$27)/'pH-Potential calibration'!$D$27</f>
        <v>7.5473231357552581</v>
      </c>
      <c r="L436" s="25">
        <f t="shared" si="91"/>
        <v>96.860986547085176</v>
      </c>
      <c r="V436" t="s">
        <v>45</v>
      </c>
      <c r="W436" t="s">
        <v>46</v>
      </c>
      <c r="X436">
        <v>0.55317052180858151</v>
      </c>
      <c r="Y436">
        <v>1.1959151435261167E-2</v>
      </c>
    </row>
    <row r="437" spans="2:25" x14ac:dyDescent="0.2">
      <c r="B437" s="4">
        <v>4</v>
      </c>
      <c r="C437" s="43" t="s">
        <v>253</v>
      </c>
      <c r="D437">
        <f>60*3+44</f>
        <v>224</v>
      </c>
      <c r="E437" s="16">
        <f t="shared" si="90"/>
        <v>214</v>
      </c>
      <c r="F437">
        <v>0.26100000000000001</v>
      </c>
      <c r="G437" s="14">
        <f>F437-'Calibration standard'!$D$16</f>
        <v>0.20500000000000002</v>
      </c>
      <c r="H437" s="17">
        <f>G437/'Calibration standard'!$D$39</f>
        <v>7.9056233347356617</v>
      </c>
      <c r="I437" s="17">
        <f>LN(H437)</f>
        <v>2.0675743207766759</v>
      </c>
      <c r="J437">
        <v>-48</v>
      </c>
      <c r="K437" s="17">
        <f>(J437-'pH-Potential calibration'!$E$27)/'pH-Potential calibration'!$D$27</f>
        <v>7.5473231357552581</v>
      </c>
      <c r="L437" s="25">
        <f t="shared" si="91"/>
        <v>91.928251121076215</v>
      </c>
      <c r="V437" t="s">
        <v>93</v>
      </c>
      <c r="X437">
        <f>-X432</f>
        <v>3.1176297571808443E-3</v>
      </c>
    </row>
    <row r="438" spans="2:25" x14ac:dyDescent="0.2">
      <c r="B438" s="4">
        <v>5</v>
      </c>
      <c r="C438" s="43" t="s">
        <v>254</v>
      </c>
      <c r="D438">
        <f>60*5</f>
        <v>300</v>
      </c>
      <c r="E438" s="16">
        <f t="shared" si="90"/>
        <v>290</v>
      </c>
      <c r="F438">
        <v>0.255</v>
      </c>
      <c r="G438" s="14">
        <f>F438-'Calibration standard'!$D$16</f>
        <v>0.19900000000000001</v>
      </c>
      <c r="H438" s="17">
        <f>G438/'Calibration standard'!$D$39</f>
        <v>7.6742392371336425</v>
      </c>
      <c r="I438" s="17">
        <f t="shared" ref="I438" si="92">LN(H438)</f>
        <v>2.0378691663627602</v>
      </c>
      <c r="J438">
        <v>-47</v>
      </c>
      <c r="K438" s="17">
        <f>(J438-'pH-Potential calibration'!$E$27)/'pH-Potential calibration'!$D$27</f>
        <v>7.5297562141491392</v>
      </c>
      <c r="L438" s="25">
        <f t="shared" si="91"/>
        <v>89.237668161434968</v>
      </c>
    </row>
    <row r="439" spans="2:25" x14ac:dyDescent="0.2">
      <c r="B439" s="4"/>
      <c r="C439" s="43"/>
      <c r="E439" s="16"/>
      <c r="G439" s="14"/>
      <c r="H439" s="17"/>
      <c r="I439" s="17"/>
      <c r="K439" s="17"/>
      <c r="L439" s="25"/>
    </row>
    <row r="441" spans="2:25" x14ac:dyDescent="0.2">
      <c r="B441" s="4"/>
      <c r="C441" s="43"/>
      <c r="E441" s="16"/>
      <c r="G441" s="14"/>
      <c r="H441" s="17"/>
      <c r="I441" s="17"/>
      <c r="K441" s="17"/>
      <c r="L441" s="25"/>
    </row>
    <row r="442" spans="2:25" x14ac:dyDescent="0.2">
      <c r="B442" s="4"/>
      <c r="C442" s="43"/>
      <c r="E442" s="16"/>
      <c r="G442" s="14"/>
      <c r="H442" s="17"/>
      <c r="I442" s="17"/>
      <c r="K442" s="17"/>
      <c r="L442" s="25"/>
    </row>
    <row r="443" spans="2:25" x14ac:dyDescent="0.2">
      <c r="B443" s="4"/>
      <c r="C443" s="43"/>
      <c r="E443" s="16"/>
      <c r="G443" s="14"/>
      <c r="H443" s="17"/>
      <c r="I443" s="17"/>
      <c r="K443" s="17"/>
      <c r="L443" s="25"/>
    </row>
    <row r="446" spans="2:25" x14ac:dyDescent="0.2">
      <c r="B446" t="s">
        <v>169</v>
      </c>
      <c r="C446" s="1" t="s">
        <v>255</v>
      </c>
      <c r="D446" t="s">
        <v>75</v>
      </c>
      <c r="F446" s="17">
        <f>AVERAGE(K449:K453)</f>
        <v>7.5429314053537286</v>
      </c>
      <c r="G446" t="s">
        <v>76</v>
      </c>
      <c r="H446">
        <f>STDEV(K449:K453)</f>
        <v>8.783460803059473E-3</v>
      </c>
      <c r="V446" t="s">
        <v>36</v>
      </c>
    </row>
    <row r="447" spans="2:25" x14ac:dyDescent="0.2">
      <c r="B447" t="s">
        <v>77</v>
      </c>
      <c r="C447" t="s">
        <v>78</v>
      </c>
      <c r="D447" t="s">
        <v>79</v>
      </c>
      <c r="F447" t="s">
        <v>81</v>
      </c>
      <c r="G447" t="s">
        <v>71</v>
      </c>
      <c r="H447" t="s">
        <v>82</v>
      </c>
      <c r="I447" t="s">
        <v>83</v>
      </c>
      <c r="J447" t="s">
        <v>84</v>
      </c>
      <c r="K447" t="s">
        <v>85</v>
      </c>
      <c r="L447" t="s">
        <v>113</v>
      </c>
      <c r="M447" t="s">
        <v>34</v>
      </c>
      <c r="N447" t="s">
        <v>87</v>
      </c>
      <c r="V447" t="s">
        <v>37</v>
      </c>
      <c r="W447" t="s">
        <v>38</v>
      </c>
      <c r="X447" cm="1">
        <f t="array" ref="X447:Y451">LINEST(H449:H452,D449:D452,,TRUE)</f>
        <v>-3.3292392465894695E-2</v>
      </c>
      <c r="Y447">
        <v>34.190093264258799</v>
      </c>
    </row>
    <row r="448" spans="2:25" x14ac:dyDescent="0.2">
      <c r="B448" t="s">
        <v>88</v>
      </c>
      <c r="C448" s="44"/>
      <c r="D448" s="16"/>
      <c r="E448" s="16"/>
      <c r="H448" s="17"/>
      <c r="I448" s="17"/>
      <c r="J448">
        <v>-51</v>
      </c>
      <c r="K448" s="17">
        <f>(J448-'pH-Potential calibration'!$E$27)/'pH-Potential calibration'!$D$27</f>
        <v>7.6000239005736141</v>
      </c>
      <c r="V448" t="s">
        <v>39</v>
      </c>
      <c r="W448" t="s">
        <v>40</v>
      </c>
      <c r="X448">
        <v>2.3301910284628685E-3</v>
      </c>
      <c r="Y448">
        <v>0.28437878906951719</v>
      </c>
    </row>
    <row r="449" spans="2:25" x14ac:dyDescent="0.2">
      <c r="B449" s="4">
        <v>1</v>
      </c>
      <c r="C449" s="43" t="s">
        <v>102</v>
      </c>
      <c r="D449" s="16">
        <v>12</v>
      </c>
      <c r="E449" s="16">
        <f>D449-$D$434</f>
        <v>2</v>
      </c>
      <c r="F449">
        <v>0.92600000000000005</v>
      </c>
      <c r="G449" s="14">
        <f>F449-'Calibration standard'!$D$16</f>
        <v>0.87</v>
      </c>
      <c r="H449" s="17">
        <f>G449/'Calibration standard'!$D$39</f>
        <v>33.550694152292806</v>
      </c>
      <c r="I449" s="17">
        <f>LN(H449)</f>
        <v>3.5130575532868971</v>
      </c>
      <c r="J449">
        <v>-48</v>
      </c>
      <c r="K449" s="17">
        <f>(J449-'pH-Potential calibration'!$E$27)/'pH-Potential calibration'!$D$27</f>
        <v>7.5473231357552581</v>
      </c>
      <c r="L449" s="25">
        <f>H449*100/$H$449</f>
        <v>100</v>
      </c>
      <c r="V449" t="s">
        <v>41</v>
      </c>
      <c r="W449" t="s">
        <v>42</v>
      </c>
      <c r="X449">
        <v>0.99029738789014266</v>
      </c>
      <c r="Y449">
        <v>0.32602695214571781</v>
      </c>
    </row>
    <row r="450" spans="2:25" x14ac:dyDescent="0.2">
      <c r="B450" s="4">
        <v>2</v>
      </c>
      <c r="C450" s="43" t="s">
        <v>256</v>
      </c>
      <c r="D450">
        <v>62</v>
      </c>
      <c r="E450" s="16">
        <f t="shared" ref="E450:E452" si="93">D450-$D$434</f>
        <v>52</v>
      </c>
      <c r="F450">
        <v>0.89400000000000002</v>
      </c>
      <c r="G450" s="14">
        <f>F450-'Calibration standard'!$D$16</f>
        <v>0.83799999999999997</v>
      </c>
      <c r="H450" s="17">
        <f>G450/'Calibration standard'!$D$39</f>
        <v>32.316645631748699</v>
      </c>
      <c r="I450" s="17">
        <f>LN(H450)</f>
        <v>3.4755824421203507</v>
      </c>
      <c r="J450">
        <v>-48</v>
      </c>
      <c r="K450" s="17">
        <f>(J450-'pH-Potential calibration'!$E$27)/'pH-Potential calibration'!$D$27</f>
        <v>7.5473231357552581</v>
      </c>
      <c r="L450" s="25">
        <f t="shared" ref="L450:L452" si="94">H450*100/$H$449</f>
        <v>96.321839080459753</v>
      </c>
      <c r="V450" t="s">
        <v>43</v>
      </c>
      <c r="W450" t="s">
        <v>44</v>
      </c>
      <c r="X450">
        <v>204.13005831368773</v>
      </c>
      <c r="Y450">
        <v>2</v>
      </c>
    </row>
    <row r="451" spans="2:25" x14ac:dyDescent="0.2">
      <c r="B451" s="4">
        <v>3</v>
      </c>
      <c r="C451" s="43" t="s">
        <v>124</v>
      </c>
      <c r="D451">
        <v>128</v>
      </c>
      <c r="E451" s="16">
        <f t="shared" si="93"/>
        <v>118</v>
      </c>
      <c r="F451">
        <v>0.83899999999999997</v>
      </c>
      <c r="G451" s="14">
        <f>F451-'Calibration standard'!$D$16</f>
        <v>0.78299999999999992</v>
      </c>
      <c r="H451" s="17">
        <f>G451/'Calibration standard'!$D$39</f>
        <v>30.195624737063522</v>
      </c>
      <c r="I451" s="17">
        <f>LN(H451)</f>
        <v>3.4076970376290707</v>
      </c>
      <c r="J451">
        <v>-47</v>
      </c>
      <c r="K451" s="17">
        <f>(J451-'pH-Potential calibration'!$E$27)/'pH-Potential calibration'!$D$27</f>
        <v>7.5297562141491392</v>
      </c>
      <c r="L451" s="25">
        <f t="shared" si="94"/>
        <v>89.999999999999986</v>
      </c>
      <c r="V451" t="s">
        <v>45</v>
      </c>
      <c r="W451" t="s">
        <v>46</v>
      </c>
      <c r="X451">
        <v>21.697713362115497</v>
      </c>
      <c r="Y451">
        <v>0.21258714705085233</v>
      </c>
    </row>
    <row r="452" spans="2:25" x14ac:dyDescent="0.2">
      <c r="B452" s="4">
        <v>4</v>
      </c>
      <c r="C452" s="43" t="s">
        <v>235</v>
      </c>
      <c r="D452">
        <f>60*3+18</f>
        <v>198</v>
      </c>
      <c r="E452" s="16">
        <f t="shared" si="93"/>
        <v>188</v>
      </c>
      <c r="F452">
        <v>0.76600000000000001</v>
      </c>
      <c r="G452" s="14">
        <f>F452-'Calibration standard'!$D$16</f>
        <v>0.71</v>
      </c>
      <c r="H452" s="17">
        <f>G452/'Calibration standard'!$D$39</f>
        <v>27.380451549572289</v>
      </c>
      <c r="I452" s="17">
        <f>LN(H452)</f>
        <v>3.3098293116736288</v>
      </c>
      <c r="J452">
        <v>-48</v>
      </c>
      <c r="K452" s="17">
        <f>(J452-'pH-Potential calibration'!$E$27)/'pH-Potential calibration'!$D$27</f>
        <v>7.5473231357552581</v>
      </c>
      <c r="L452" s="25">
        <f t="shared" si="94"/>
        <v>81.609195402298852</v>
      </c>
      <c r="V452" t="s">
        <v>93</v>
      </c>
      <c r="X452">
        <f>-X447</f>
        <v>3.3292392465894695E-2</v>
      </c>
    </row>
    <row r="453" spans="2:25" x14ac:dyDescent="0.2">
      <c r="B453" s="4"/>
      <c r="C453" s="43"/>
      <c r="E453" s="16"/>
      <c r="G453" s="14"/>
      <c r="H453" s="17"/>
      <c r="I453" s="17"/>
      <c r="K453" s="17"/>
      <c r="L453" s="25"/>
    </row>
    <row r="454" spans="2:25" x14ac:dyDescent="0.2">
      <c r="B454" s="4"/>
      <c r="C454" s="43"/>
      <c r="E454" s="16"/>
      <c r="G454" s="14"/>
      <c r="H454" s="17"/>
      <c r="I454" s="17"/>
      <c r="K454" s="17"/>
      <c r="L454" s="25"/>
    </row>
    <row r="456" spans="2:25" x14ac:dyDescent="0.2">
      <c r="B456" s="4"/>
      <c r="C456" s="43"/>
      <c r="E456" s="16"/>
      <c r="G456" s="14"/>
      <c r="H456" s="17"/>
      <c r="I456" s="17"/>
      <c r="K456" s="17"/>
      <c r="L456" s="25"/>
    </row>
    <row r="457" spans="2:25" x14ac:dyDescent="0.2">
      <c r="B457" s="4"/>
      <c r="C457" s="43"/>
      <c r="E457" s="16"/>
      <c r="G457" s="14"/>
      <c r="H457" s="17"/>
      <c r="I457" s="17"/>
      <c r="K457" s="17"/>
      <c r="L457" s="25"/>
    </row>
    <row r="458" spans="2:25" x14ac:dyDescent="0.2">
      <c r="B458" s="4"/>
      <c r="C458" s="43"/>
      <c r="E458" s="16"/>
      <c r="G458" s="14"/>
      <c r="H458" s="17"/>
      <c r="I458" s="17"/>
      <c r="K458" s="17"/>
      <c r="L458" s="25"/>
    </row>
    <row r="461" spans="2:25" x14ac:dyDescent="0.2">
      <c r="B461" t="s">
        <v>258</v>
      </c>
      <c r="C461" s="1" t="s">
        <v>257</v>
      </c>
      <c r="D461" t="s">
        <v>75</v>
      </c>
      <c r="F461" s="17">
        <f>AVERAGE(K464:K468)</f>
        <v>7.5473231357552581</v>
      </c>
      <c r="G461" t="s">
        <v>76</v>
      </c>
      <c r="H461">
        <f>STDEV(K464:K468)</f>
        <v>0</v>
      </c>
      <c r="V461" t="s">
        <v>36</v>
      </c>
    </row>
    <row r="462" spans="2:25" x14ac:dyDescent="0.2">
      <c r="B462" t="s">
        <v>77</v>
      </c>
      <c r="C462" t="s">
        <v>78</v>
      </c>
      <c r="D462" t="s">
        <v>79</v>
      </c>
      <c r="F462" t="s">
        <v>81</v>
      </c>
      <c r="G462" t="s">
        <v>71</v>
      </c>
      <c r="H462" t="s">
        <v>82</v>
      </c>
      <c r="I462" t="s">
        <v>83</v>
      </c>
      <c r="J462" t="s">
        <v>84</v>
      </c>
      <c r="K462" t="s">
        <v>85</v>
      </c>
      <c r="L462" t="s">
        <v>113</v>
      </c>
      <c r="M462" t="s">
        <v>34</v>
      </c>
      <c r="N462" t="s">
        <v>87</v>
      </c>
      <c r="V462" t="s">
        <v>37</v>
      </c>
      <c r="W462" t="s">
        <v>38</v>
      </c>
      <c r="X462" cm="1">
        <f t="array" ref="X462:Y466">LINEST(H464:H467,D464:D467,,TRUE)</f>
        <v>-6.1595934039082546E-3</v>
      </c>
      <c r="Y462">
        <v>18.891286911341471</v>
      </c>
    </row>
    <row r="463" spans="2:25" x14ac:dyDescent="0.2">
      <c r="B463" t="s">
        <v>88</v>
      </c>
      <c r="C463" s="44"/>
      <c r="D463" s="16"/>
      <c r="E463" s="16"/>
      <c r="H463" s="17"/>
      <c r="I463" s="17"/>
      <c r="J463">
        <v>-49</v>
      </c>
      <c r="K463" s="17">
        <f>(J463-'pH-Potential calibration'!$E$27)/'pH-Potential calibration'!$D$27</f>
        <v>7.5648900573613771</v>
      </c>
      <c r="V463" t="s">
        <v>39</v>
      </c>
      <c r="W463" t="s">
        <v>40</v>
      </c>
      <c r="X463">
        <v>1.3277936808100317E-4</v>
      </c>
      <c r="Y463">
        <v>1.8588400199687233E-2</v>
      </c>
    </row>
    <row r="464" spans="2:25" x14ac:dyDescent="0.2">
      <c r="B464" s="4">
        <v>1</v>
      </c>
      <c r="C464" s="43" t="s">
        <v>89</v>
      </c>
      <c r="D464" s="16">
        <v>9</v>
      </c>
      <c r="E464" s="16">
        <f>D464-$D$464</f>
        <v>0</v>
      </c>
      <c r="F464">
        <v>0.54400000000000004</v>
      </c>
      <c r="G464" s="14">
        <f>F464-'Calibration standard'!$D$16</f>
        <v>0.48800000000000004</v>
      </c>
      <c r="H464" s="17">
        <f>G464/'Calibration standard'!$D$39</f>
        <v>18.819239938297574</v>
      </c>
      <c r="I464" s="17">
        <f>LN(H464)</f>
        <v>2.934879747491415</v>
      </c>
      <c r="J464">
        <v>-48</v>
      </c>
      <c r="K464" s="17">
        <f>(J464-'pH-Potential calibration'!$E$27)/'pH-Potential calibration'!$D$27</f>
        <v>7.5473231357552581</v>
      </c>
      <c r="L464" s="25">
        <f>H464*100/$H$464</f>
        <v>100</v>
      </c>
      <c r="V464" t="s">
        <v>41</v>
      </c>
      <c r="W464" t="s">
        <v>42</v>
      </c>
      <c r="X464">
        <v>0.99907149623591451</v>
      </c>
      <c r="Y464">
        <v>2.1200670103330002E-2</v>
      </c>
    </row>
    <row r="465" spans="2:25" x14ac:dyDescent="0.2">
      <c r="B465" s="4">
        <v>2</v>
      </c>
      <c r="C465" s="43" t="s">
        <v>228</v>
      </c>
      <c r="D465">
        <v>78</v>
      </c>
      <c r="E465" s="16">
        <f t="shared" ref="E465:E467" si="95">D465-$D$464</f>
        <v>69</v>
      </c>
      <c r="F465">
        <v>0.53400000000000003</v>
      </c>
      <c r="G465" s="14">
        <f>F465-'Calibration standard'!$D$16</f>
        <v>0.47800000000000004</v>
      </c>
      <c r="H465" s="17">
        <f>G465/'Calibration standard'!$D$39</f>
        <v>18.433599775627542</v>
      </c>
      <c r="I465" s="17">
        <f>LN(H465)</f>
        <v>2.9141750741297239</v>
      </c>
      <c r="J465">
        <v>-48</v>
      </c>
      <c r="K465" s="17">
        <f>(J465-'pH-Potential calibration'!$E$27)/'pH-Potential calibration'!$D$27</f>
        <v>7.5473231357552581</v>
      </c>
      <c r="L465" s="25">
        <f t="shared" ref="L465:L467" si="96">H465*100/$H$464</f>
        <v>97.950819672131146</v>
      </c>
      <c r="V465" t="s">
        <v>43</v>
      </c>
      <c r="W465" t="s">
        <v>44</v>
      </c>
      <c r="X465">
        <v>2152.0031148605385</v>
      </c>
      <c r="Y465">
        <v>2</v>
      </c>
    </row>
    <row r="466" spans="2:25" x14ac:dyDescent="0.2">
      <c r="B466" s="4">
        <v>3</v>
      </c>
      <c r="C466" s="43" t="s">
        <v>110</v>
      </c>
      <c r="D466">
        <v>150</v>
      </c>
      <c r="E466" s="16">
        <f t="shared" si="95"/>
        <v>141</v>
      </c>
      <c r="F466">
        <v>0.52200000000000002</v>
      </c>
      <c r="G466" s="14">
        <f>F466-'Calibration standard'!$D$16</f>
        <v>0.46600000000000003</v>
      </c>
      <c r="H466" s="17">
        <f>G466/'Calibration standard'!$D$39</f>
        <v>17.970831580423503</v>
      </c>
      <c r="I466" s="17">
        <f>LN(H466)</f>
        <v>2.8887499757639135</v>
      </c>
      <c r="J466">
        <v>-48</v>
      </c>
      <c r="K466" s="17">
        <f>(J466-'pH-Potential calibration'!$E$27)/'pH-Potential calibration'!$D$27</f>
        <v>7.5473231357552581</v>
      </c>
      <c r="L466" s="25">
        <f t="shared" si="96"/>
        <v>95.491803278688522</v>
      </c>
      <c r="V466" t="s">
        <v>45</v>
      </c>
      <c r="W466" t="s">
        <v>46</v>
      </c>
      <c r="X466">
        <v>0.96725742444207863</v>
      </c>
      <c r="Y466">
        <v>8.9893682566046114E-4</v>
      </c>
    </row>
    <row r="467" spans="2:25" x14ac:dyDescent="0.2">
      <c r="B467" s="4">
        <v>4</v>
      </c>
      <c r="C467" s="43" t="s">
        <v>259</v>
      </c>
      <c r="D467">
        <f>60*3+43</f>
        <v>223</v>
      </c>
      <c r="E467" s="16">
        <f t="shared" si="95"/>
        <v>214</v>
      </c>
      <c r="F467">
        <v>0.51</v>
      </c>
      <c r="G467" s="14">
        <f>F467-'Calibration standard'!$D$16</f>
        <v>0.45400000000000001</v>
      </c>
      <c r="H467" s="17">
        <f>G467/'Calibration standard'!$D$39</f>
        <v>17.508063385219465</v>
      </c>
      <c r="I467" s="17">
        <f>LN(H467)</f>
        <v>2.8626615396796158</v>
      </c>
      <c r="J467">
        <v>-48</v>
      </c>
      <c r="K467" s="17">
        <f>(J467-'pH-Potential calibration'!$E$27)/'pH-Potential calibration'!$D$27</f>
        <v>7.5473231357552581</v>
      </c>
      <c r="L467" s="25">
        <f t="shared" si="96"/>
        <v>93.032786885245912</v>
      </c>
      <c r="V467" t="s">
        <v>93</v>
      </c>
      <c r="X467">
        <f>-X462</f>
        <v>6.1595934039082546E-3</v>
      </c>
    </row>
    <row r="468" spans="2:25" x14ac:dyDescent="0.2">
      <c r="B468" s="4"/>
      <c r="C468" s="43"/>
      <c r="E468" s="16"/>
      <c r="G468" s="14"/>
      <c r="H468" s="17"/>
      <c r="I468" s="17"/>
      <c r="K468" s="17"/>
      <c r="L468" s="25"/>
    </row>
    <row r="469" spans="2:25" x14ac:dyDescent="0.2">
      <c r="B469" s="4"/>
      <c r="C469" s="43"/>
      <c r="E469" s="16"/>
      <c r="G469" s="14"/>
      <c r="H469" s="17"/>
      <c r="I469" s="17"/>
      <c r="K469" s="17"/>
      <c r="L469" s="25"/>
    </row>
    <row r="471" spans="2:25" x14ac:dyDescent="0.2">
      <c r="B471" s="4"/>
      <c r="C471" s="43"/>
      <c r="E471" s="16"/>
      <c r="G471" s="14"/>
      <c r="H471" s="17"/>
      <c r="I471" s="17"/>
      <c r="K471" s="17"/>
      <c r="L471" s="25"/>
    </row>
    <row r="472" spans="2:25" x14ac:dyDescent="0.2">
      <c r="B472" s="4"/>
      <c r="C472" s="43"/>
      <c r="E472" s="16"/>
      <c r="G472" s="14"/>
      <c r="H472" s="17"/>
      <c r="I472" s="17"/>
      <c r="K472" s="17"/>
      <c r="L472" s="25"/>
    </row>
    <row r="473" spans="2:25" x14ac:dyDescent="0.2">
      <c r="B473" s="4"/>
      <c r="C473" s="43"/>
      <c r="E473" s="16"/>
      <c r="G473" s="14"/>
      <c r="H473" s="17"/>
      <c r="I473" s="17"/>
      <c r="K473" s="17"/>
      <c r="L473" s="25"/>
    </row>
  </sheetData>
  <phoneticPr fontId="10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101C-851D-C944-B418-99195641E11D}">
  <dimension ref="A1:Q34"/>
  <sheetViews>
    <sheetView topLeftCell="A14" zoomScale="120" zoomScaleNormal="120" workbookViewId="0">
      <selection activeCell="A33" sqref="A33:K34"/>
    </sheetView>
  </sheetViews>
  <sheetFormatPr baseColWidth="10" defaultColWidth="11" defaultRowHeight="16" x14ac:dyDescent="0.2"/>
  <cols>
    <col min="3" max="3" width="12.33203125" bestFit="1" customWidth="1"/>
    <col min="4" max="5" width="11.1640625" bestFit="1" customWidth="1"/>
    <col min="6" max="6" width="11.33203125" bestFit="1" customWidth="1"/>
    <col min="7" max="7" width="11.1640625" bestFit="1" customWidth="1"/>
  </cols>
  <sheetData>
    <row r="1" spans="1:17" x14ac:dyDescent="0.2">
      <c r="A1" t="s">
        <v>135</v>
      </c>
    </row>
    <row r="2" spans="1:17" x14ac:dyDescent="0.2">
      <c r="A2" t="s">
        <v>136</v>
      </c>
      <c r="B2" t="s">
        <v>34</v>
      </c>
      <c r="C2" t="s">
        <v>164</v>
      </c>
      <c r="D2" t="s">
        <v>137</v>
      </c>
      <c r="E2" t="s">
        <v>156</v>
      </c>
      <c r="F2" t="s">
        <v>155</v>
      </c>
      <c r="G2" t="s">
        <v>165</v>
      </c>
      <c r="H2" t="s">
        <v>166</v>
      </c>
      <c r="I2" t="s">
        <v>167</v>
      </c>
      <c r="J2" t="s">
        <v>138</v>
      </c>
      <c r="K2" t="s">
        <v>168</v>
      </c>
    </row>
    <row r="3" spans="1:17" x14ac:dyDescent="0.2">
      <c r="A3">
        <v>1</v>
      </c>
      <c r="B3" s="62">
        <f>Result!F2</f>
        <v>7.7054254302103251</v>
      </c>
      <c r="C3" s="17">
        <f>Result!H2</f>
        <v>0</v>
      </c>
      <c r="D3" s="17">
        <f>Result!Y3</f>
        <v>40.693002785362388</v>
      </c>
      <c r="E3" s="17">
        <f>Result!Y4</f>
        <v>0.20388149557638036</v>
      </c>
      <c r="F3" s="61">
        <f>-Result!X3</f>
        <v>4.6700560788711737E-2</v>
      </c>
      <c r="G3" s="61">
        <f>Result!X4</f>
        <v>4.8025989106945579E-3</v>
      </c>
      <c r="H3" s="63">
        <f t="shared" ref="H3:H9" si="0">LOG(D3)</f>
        <v>1.6095197381451689</v>
      </c>
      <c r="I3" s="14">
        <f>(1/LN(10))*(E3/D3)</f>
        <v>2.1759172936447551E-3</v>
      </c>
      <c r="J3" s="63">
        <f>LOG(F3)</f>
        <v>-1.3306779043165273</v>
      </c>
      <c r="K3" s="17">
        <f>(1/LN(10))*(G3/F3)</f>
        <v>4.4662037681855227E-2</v>
      </c>
      <c r="L3" s="61"/>
      <c r="M3" s="61"/>
      <c r="N3" s="17"/>
      <c r="P3" s="17"/>
      <c r="Q3" s="17"/>
    </row>
    <row r="4" spans="1:17" x14ac:dyDescent="0.2">
      <c r="A4">
        <v>2</v>
      </c>
      <c r="B4" s="62">
        <f>Result!F17</f>
        <v>7.6410133843212238</v>
      </c>
      <c r="C4" s="17">
        <f>Result!H17</f>
        <v>1.0142266918125314E-2</v>
      </c>
      <c r="D4" s="17">
        <f>Result!Y18</f>
        <v>32.761827093302635</v>
      </c>
      <c r="E4" s="17">
        <f>Result!Y19</f>
        <v>9.0023630818042835E-2</v>
      </c>
      <c r="F4" s="61">
        <f>-Result!X18</f>
        <v>2.0508046814920734E-2</v>
      </c>
      <c r="G4" s="61">
        <f>Result!X19</f>
        <v>1.0328797280271199E-3</v>
      </c>
      <c r="H4" s="63">
        <f t="shared" si="0"/>
        <v>1.5153681139190465</v>
      </c>
      <c r="I4" s="14">
        <f t="shared" ref="I4:I9" si="1">(1/LN(10))*(E4/D4)</f>
        <v>1.1933634224314648E-3</v>
      </c>
      <c r="J4" s="63">
        <f t="shared" ref="J4:J9" si="2">LOG(F4)</f>
        <v>-1.6880756998410327</v>
      </c>
      <c r="K4" s="17">
        <f t="shared" ref="K4:K9" si="3">(1/LN(10))*(G4/F4)</f>
        <v>2.1873071112045023E-2</v>
      </c>
      <c r="L4" s="61"/>
      <c r="M4" s="61"/>
      <c r="N4" s="17"/>
      <c r="P4" s="17"/>
      <c r="Q4" s="17"/>
    </row>
    <row r="5" spans="1:17" x14ac:dyDescent="0.2">
      <c r="A5">
        <v>3</v>
      </c>
      <c r="B5" s="62">
        <f>Result!F33</f>
        <v>7.6421845124282983</v>
      </c>
      <c r="C5" s="17">
        <f>Result!H33</f>
        <v>9.621799229595742E-3</v>
      </c>
      <c r="D5" s="17">
        <f>Result!Y34</f>
        <v>24.874605163921874</v>
      </c>
      <c r="E5" s="17">
        <f>Result!Y35</f>
        <v>0.19810011303676833</v>
      </c>
      <c r="F5" s="61">
        <f>-Result!X34</f>
        <v>2.2329048141156889E-2</v>
      </c>
      <c r="G5" s="61">
        <f>Result!X35</f>
        <v>2.0312992849592874E-3</v>
      </c>
      <c r="H5" s="63">
        <f t="shared" si="0"/>
        <v>1.3957561958904909</v>
      </c>
      <c r="I5" s="14">
        <f t="shared" si="1"/>
        <v>3.4586995608301072E-3</v>
      </c>
      <c r="J5" s="63">
        <f t="shared" si="2"/>
        <v>-1.6511297899538226</v>
      </c>
      <c r="K5" s="17">
        <f t="shared" si="3"/>
        <v>3.9508270346992627E-2</v>
      </c>
      <c r="L5" s="61"/>
      <c r="M5" s="61"/>
      <c r="N5" s="17"/>
      <c r="P5" s="17"/>
      <c r="Q5" s="17"/>
    </row>
    <row r="6" spans="1:17" x14ac:dyDescent="0.2">
      <c r="A6">
        <v>4</v>
      </c>
      <c r="B6" s="62">
        <f>Result!F48</f>
        <v>7.6326481835564062</v>
      </c>
      <c r="C6" s="17">
        <f>Result!H48</f>
        <v>1.2122327584049512E-2</v>
      </c>
      <c r="D6" s="17">
        <f>Result!Y49</f>
        <v>15.511077169495994</v>
      </c>
      <c r="E6" s="17">
        <f>Result!Y50</f>
        <v>3.6408860699956046E-2</v>
      </c>
      <c r="F6" s="61">
        <f>-Result!X49</f>
        <v>7.212317133802942E-3</v>
      </c>
      <c r="G6" s="61">
        <f>Result!X50</f>
        <v>3.7248402569723912E-4</v>
      </c>
      <c r="H6" s="63">
        <f t="shared" si="0"/>
        <v>1.1906419585179426</v>
      </c>
      <c r="I6" s="14">
        <f t="shared" si="1"/>
        <v>1.0194112969453342E-3</v>
      </c>
      <c r="J6" s="63">
        <f t="shared" si="2"/>
        <v>-2.1419251851065217</v>
      </c>
      <c r="K6" s="17">
        <f t="shared" si="3"/>
        <v>2.2429373799890351E-2</v>
      </c>
      <c r="L6" s="61"/>
      <c r="M6" s="61"/>
      <c r="N6" s="17"/>
      <c r="P6" s="17"/>
      <c r="Q6" s="17"/>
    </row>
    <row r="7" spans="1:17" x14ac:dyDescent="0.2">
      <c r="A7">
        <v>5</v>
      </c>
      <c r="B7" s="62">
        <f>Result!F63</f>
        <v>7.6351577437858511</v>
      </c>
      <c r="C7" s="17">
        <f>Result!H63</f>
        <v>0</v>
      </c>
      <c r="D7" s="17">
        <f>Result!Y64</f>
        <v>10.181847251704554</v>
      </c>
      <c r="E7" s="17">
        <f>Result!Y65</f>
        <v>3.342487615358232E-2</v>
      </c>
      <c r="F7" s="61">
        <f>-Result!X64</f>
        <v>1.9080643668093918E-2</v>
      </c>
      <c r="G7" s="61">
        <f>Result!X65</f>
        <v>8.893873587419919E-4</v>
      </c>
      <c r="H7" s="63">
        <f t="shared" si="0"/>
        <v>1.007826577454862</v>
      </c>
      <c r="I7" s="14">
        <f t="shared" si="1"/>
        <v>1.425698000858362E-3</v>
      </c>
      <c r="J7" s="63">
        <f t="shared" si="2"/>
        <v>-1.7194069788569617</v>
      </c>
      <c r="K7" s="17">
        <f t="shared" si="3"/>
        <v>2.0243343405759454E-2</v>
      </c>
      <c r="L7" s="17"/>
      <c r="M7" s="17"/>
      <c r="P7" s="17"/>
      <c r="Q7" s="17"/>
    </row>
    <row r="8" spans="1:17" x14ac:dyDescent="0.2">
      <c r="A8">
        <v>6</v>
      </c>
      <c r="B8" s="62">
        <f>Result!F77</f>
        <v>7.6351577437858511</v>
      </c>
      <c r="C8" s="17">
        <v>0</v>
      </c>
      <c r="D8" s="17">
        <f>Result!Y78</f>
        <v>39.693237026140039</v>
      </c>
      <c r="E8" s="17">
        <f>Result!Y79</f>
        <v>0.17342224715775628</v>
      </c>
      <c r="F8" s="61">
        <f>-Result!X78</f>
        <v>3.3778234610352544E-2</v>
      </c>
      <c r="G8" s="61">
        <f>Result!X79</f>
        <v>2.453444338479484E-3</v>
      </c>
      <c r="H8" s="63">
        <f t="shared" si="0"/>
        <v>1.5987165175331566</v>
      </c>
      <c r="I8" s="14">
        <f t="shared" si="1"/>
        <v>1.8974598854277307E-3</v>
      </c>
      <c r="J8" s="63">
        <f t="shared" si="2"/>
        <v>-1.471363052190036</v>
      </c>
      <c r="K8" s="17">
        <f t="shared" si="3"/>
        <v>3.1544494558393768E-2</v>
      </c>
    </row>
    <row r="9" spans="1:17" x14ac:dyDescent="0.2">
      <c r="A9">
        <v>7</v>
      </c>
      <c r="B9" s="62">
        <f>Result!F92</f>
        <v>7.6351577437858511</v>
      </c>
      <c r="C9" s="17">
        <f>Result!H92</f>
        <v>0</v>
      </c>
      <c r="D9" s="17">
        <f>Result!Y93</f>
        <v>15.601273579415324</v>
      </c>
      <c r="E9" s="17">
        <f>Result!Y94</f>
        <v>4.5472041759016653E-2</v>
      </c>
      <c r="F9" s="61">
        <f>-Result!X93</f>
        <v>9.8349151999389661E-3</v>
      </c>
      <c r="G9" s="61">
        <f>Result!X94</f>
        <v>5.9377620355005069E-4</v>
      </c>
      <c r="H9" s="63">
        <f t="shared" si="0"/>
        <v>1.193160052581113</v>
      </c>
      <c r="I9" s="14">
        <f t="shared" si="1"/>
        <v>1.2658105581118369E-3</v>
      </c>
      <c r="J9" s="63">
        <f t="shared" si="2"/>
        <v>-2.0072293803666419</v>
      </c>
      <c r="K9" s="17">
        <f t="shared" si="3"/>
        <v>2.62202289948417E-2</v>
      </c>
    </row>
    <row r="10" spans="1:17" x14ac:dyDescent="0.2">
      <c r="A10">
        <v>8</v>
      </c>
      <c r="B10" s="62">
        <f>Result!F107</f>
        <v>7.6878585086042062</v>
      </c>
      <c r="C10" s="17">
        <f>Result!H107</f>
        <v>0</v>
      </c>
      <c r="D10" s="17">
        <f>Result!Y108</f>
        <v>48.339903921460518</v>
      </c>
      <c r="E10" s="17">
        <f>Result!Y109</f>
        <v>0.3712002228525797</v>
      </c>
      <c r="F10" s="61">
        <f>-Result!X108</f>
        <v>8.147658676117403E-2</v>
      </c>
      <c r="G10" s="61">
        <f>Result!X109</f>
        <v>6.4194340342781037E-3</v>
      </c>
      <c r="H10" s="63">
        <f t="shared" ref="H10" si="4">LOG(D10)</f>
        <v>1.6843057828854298</v>
      </c>
      <c r="I10" s="14">
        <f t="shared" ref="I10" si="5">(1/LN(10))*(E10/D10)</f>
        <v>3.3349302623368136E-3</v>
      </c>
      <c r="J10" s="63">
        <f t="shared" ref="J10" si="6">LOG(F10)</f>
        <v>-1.0889671728706538</v>
      </c>
      <c r="K10" s="17">
        <f t="shared" ref="K10" si="7">(1/LN(10))*(G10/F10)</f>
        <v>3.4217495956242461E-2</v>
      </c>
    </row>
    <row r="11" spans="1:17" x14ac:dyDescent="0.2">
      <c r="A11">
        <v>9</v>
      </c>
      <c r="B11" s="62">
        <f>Result!F122</f>
        <v>7.6175908221797322</v>
      </c>
      <c r="C11" s="17">
        <f>Result!H122</f>
        <v>0</v>
      </c>
      <c r="D11" s="17">
        <f>Result!Y123</f>
        <v>33.907639492207949</v>
      </c>
      <c r="E11" s="17">
        <f>Result!Y124</f>
        <v>0.1132389260456062</v>
      </c>
      <c r="F11" s="61">
        <f>-Result!X123</f>
        <v>0.15956146967279278</v>
      </c>
      <c r="G11" s="61">
        <f>Result!X124</f>
        <v>4.2487839161087634E-3</v>
      </c>
      <c r="H11" s="63">
        <f t="shared" ref="H11" si="8">LOG(D11)</f>
        <v>1.5302975570682289</v>
      </c>
      <c r="I11" s="14">
        <f t="shared" ref="I11" si="9">(1/LN(10))*(E11/D11)</f>
        <v>1.4503823166327648E-3</v>
      </c>
      <c r="J11" s="63">
        <f t="shared" ref="J11" si="10">LOG(F11)</f>
        <v>-0.79707197218768921</v>
      </c>
      <c r="K11" s="17">
        <f t="shared" ref="K11" si="11">(1/LN(10))*(G11/F11)</f>
        <v>1.1564342026613697E-2</v>
      </c>
    </row>
    <row r="12" spans="1:17" x14ac:dyDescent="0.2">
      <c r="A12">
        <v>10</v>
      </c>
      <c r="B12" s="62">
        <f>Result!F137</f>
        <v>7.6205186424474194</v>
      </c>
      <c r="C12" s="17">
        <f>Result!H137</f>
        <v>7.1716657144107587E-3</v>
      </c>
      <c r="D12" s="17">
        <f>Result!Y138</f>
        <v>26.022014751614623</v>
      </c>
      <c r="E12" s="17">
        <f>Result!Y139</f>
        <v>0.34079820826157359</v>
      </c>
      <c r="F12" s="61">
        <f>-Result!X138</f>
        <v>8.4256792779354453E-2</v>
      </c>
      <c r="G12" s="61">
        <f>Result!X139</f>
        <v>8.3432296398740745E-3</v>
      </c>
      <c r="H12" s="63">
        <f t="shared" ref="H12" si="12">LOG(D12)</f>
        <v>1.4153409187295853</v>
      </c>
      <c r="I12" s="14">
        <f t="shared" ref="I12" si="13">(1/LN(10))*(E12/D12)</f>
        <v>5.687752570401299E-3</v>
      </c>
      <c r="J12" s="63">
        <f t="shared" ref="J12" si="14">LOG(F12)</f>
        <v>-1.0743950762409549</v>
      </c>
      <c r="K12" s="17">
        <f t="shared" ref="K12" si="15">(1/LN(10))*(G12/F12)</f>
        <v>4.3004468533922355E-2</v>
      </c>
    </row>
    <row r="13" spans="1:17" x14ac:dyDescent="0.2">
      <c r="A13">
        <v>11</v>
      </c>
      <c r="B13" s="62">
        <f>Result!F152</f>
        <v>7.6322299235181648</v>
      </c>
      <c r="C13" s="17">
        <f>Result!H152</f>
        <v>7.1716657144107578E-3</v>
      </c>
      <c r="D13" s="17">
        <f>Result!Y153</f>
        <v>19.285792452854917</v>
      </c>
      <c r="E13" s="17">
        <f>Result!Y154</f>
        <v>0.10965497875569478</v>
      </c>
      <c r="F13" s="61">
        <f>-Result!X153</f>
        <v>5.3404484319176014E-2</v>
      </c>
      <c r="G13" s="61">
        <f>Result!X154</f>
        <v>2.4657657070613188E-3</v>
      </c>
      <c r="H13" s="63">
        <f>LOG(D13)</f>
        <v>1.2852374887209221</v>
      </c>
      <c r="I13" s="14">
        <f t="shared" ref="I13" si="16">(1/LN(10))*(E13/D13)</f>
        <v>2.4693075124204646E-3</v>
      </c>
      <c r="J13" s="63">
        <f t="shared" ref="J13" si="17">LOG(F13)</f>
        <v>-1.2724222741829503</v>
      </c>
      <c r="K13" s="17">
        <f t="shared" ref="K13" si="18">(1/LN(10))*(G13/F13)</f>
        <v>2.0052032219670411E-2</v>
      </c>
    </row>
    <row r="14" spans="1:17" x14ac:dyDescent="0.2">
      <c r="A14">
        <v>12</v>
      </c>
      <c r="B14" s="62">
        <f>Result!F166</f>
        <v>7.617590822179733</v>
      </c>
      <c r="C14" s="17">
        <f>Result!H166</f>
        <v>9.7295071111809874E-16</v>
      </c>
      <c r="D14" s="17">
        <f>Result!Y167</f>
        <v>13.587372195556933</v>
      </c>
      <c r="E14" s="17">
        <f>Result!Y168</f>
        <v>8.8575756786946819E-2</v>
      </c>
      <c r="F14" s="61">
        <f>-Result!X167</f>
        <v>3.2968071886680272E-2</v>
      </c>
      <c r="G14" s="61">
        <f>Result!X168</f>
        <v>1.8329724196249413E-3</v>
      </c>
      <c r="H14" s="63">
        <f>LOG(D14)</f>
        <v>1.1331354720878797</v>
      </c>
      <c r="I14" s="14">
        <f t="shared" ref="I14" si="19">(1/LN(10))*(E14/D14)</f>
        <v>2.8311554176424576E-3</v>
      </c>
      <c r="J14" s="63">
        <f t="shared" ref="J14" si="20">LOG(F14)</f>
        <v>-1.4819064515059588</v>
      </c>
      <c r="K14" s="17">
        <f t="shared" ref="K14" si="21">(1/LN(10))*(G14/F14)</f>
        <v>2.4146083218338981E-2</v>
      </c>
    </row>
    <row r="15" spans="1:17" x14ac:dyDescent="0.2">
      <c r="A15">
        <v>13</v>
      </c>
      <c r="B15" s="62">
        <f>Result!F181</f>
        <v>7.6468690248565965</v>
      </c>
      <c r="C15" s="17">
        <f>Result!H181</f>
        <v>1.4343331428821082E-2</v>
      </c>
      <c r="D15" s="17">
        <f>Result!Y182</f>
        <v>43.823010081824734</v>
      </c>
      <c r="E15" s="17">
        <f>Result!Y183</f>
        <v>0.79681443516131589</v>
      </c>
      <c r="F15" s="61">
        <f>-Result!X182</f>
        <v>0.18677509453654759</v>
      </c>
      <c r="G15" s="61">
        <f>Result!X183</f>
        <v>1.5291342563942819E-2</v>
      </c>
      <c r="H15" s="63">
        <f t="shared" ref="H15:H16" si="22">LOG(D15)</f>
        <v>1.6417022047406478</v>
      </c>
      <c r="I15" s="14">
        <f t="shared" ref="I15:I16" si="23">(1/LN(10))*(E15/D15)</f>
        <v>7.8965847312925316E-3</v>
      </c>
      <c r="J15" s="63">
        <f t="shared" ref="J15:J16" si="24">LOG(F15)</f>
        <v>-0.72868103509983828</v>
      </c>
      <c r="K15" s="17">
        <f t="shared" ref="K15:K16" si="25">(1/LN(10))*(G15/F15)</f>
        <v>3.5555841708398699E-2</v>
      </c>
    </row>
    <row r="16" spans="1:17" x14ac:dyDescent="0.2">
      <c r="A16">
        <v>14</v>
      </c>
      <c r="B16" s="62">
        <f>Result!F196</f>
        <v>7.6293021032504784</v>
      </c>
      <c r="C16" s="17">
        <f>Result!H196</f>
        <v>9.0715193099506573E-3</v>
      </c>
      <c r="D16" s="17">
        <f>Result!Y197</f>
        <v>34.054339325286811</v>
      </c>
      <c r="E16" s="17">
        <f>Result!Y198</f>
        <v>0.5023538708496067</v>
      </c>
      <c r="F16" s="61">
        <f>-Result!X197</f>
        <v>0.13471901554984916</v>
      </c>
      <c r="G16" s="61">
        <f>Result!X198</f>
        <v>1.0720784065171176E-2</v>
      </c>
      <c r="H16" s="63">
        <f t="shared" si="22"/>
        <v>1.5321724591255859</v>
      </c>
      <c r="I16" s="14">
        <f t="shared" si="23"/>
        <v>6.4065114283606952E-3</v>
      </c>
      <c r="J16" s="63">
        <f t="shared" si="24"/>
        <v>-0.87057109941056532</v>
      </c>
      <c r="K16" s="17">
        <f t="shared" si="25"/>
        <v>3.4560654575577221E-2</v>
      </c>
    </row>
    <row r="17" spans="1:11" x14ac:dyDescent="0.2">
      <c r="A17">
        <v>15</v>
      </c>
      <c r="B17" s="62">
        <f>Result!F210</f>
        <v>7.6556524856596555</v>
      </c>
      <c r="C17" s="17">
        <f>Result!H210</f>
        <v>7.1716657144107578E-3</v>
      </c>
      <c r="D17" s="17">
        <f>Result!Y211</f>
        <v>26.222173670241773</v>
      </c>
      <c r="E17" s="17">
        <f>Result!Y212</f>
        <v>0.54823633385464554</v>
      </c>
      <c r="F17" s="61">
        <f>-Result!X211</f>
        <v>0.11726803300939791</v>
      </c>
      <c r="G17" s="61">
        <f>Result!X212</f>
        <v>1.0870204517644774E-2</v>
      </c>
      <c r="H17" s="63">
        <f t="shared" ref="H17:H19" si="26">LOG(D17)</f>
        <v>1.4186686894083647</v>
      </c>
      <c r="I17" s="14">
        <f t="shared" ref="I17:I19" si="27">(1/LN(10))*(E17/D17)</f>
        <v>9.0799495711579633E-3</v>
      </c>
      <c r="J17" s="63">
        <f t="shared" ref="J17:J19" si="28">LOG(F17)</f>
        <v>-0.93082035940789942</v>
      </c>
      <c r="K17" s="17">
        <f t="shared" ref="K17:K19" si="29">(1/LN(10))*(G17/F17)</f>
        <v>4.0257090683823368E-2</v>
      </c>
    </row>
    <row r="18" spans="1:11" x14ac:dyDescent="0.2">
      <c r="A18">
        <v>16</v>
      </c>
      <c r="B18" s="62">
        <f>Result!F224</f>
        <v>7.6878585086042071</v>
      </c>
      <c r="C18" s="17">
        <f>Result!H224</f>
        <v>9.7295071111809874E-16</v>
      </c>
      <c r="D18" s="17">
        <f>Result!Y225</f>
        <v>20.73500203658962</v>
      </c>
      <c r="E18" s="17">
        <f>Result!Y226</f>
        <v>0.55107631657688172</v>
      </c>
      <c r="F18" s="61">
        <f>-Result!X225</f>
        <v>9.4082281129300671E-2</v>
      </c>
      <c r="G18" s="61">
        <f>Result!X226</f>
        <v>1.1084517581607679E-2</v>
      </c>
      <c r="H18" s="63">
        <f t="shared" si="26"/>
        <v>1.3167040823563951</v>
      </c>
      <c r="I18" s="14">
        <f t="shared" si="27"/>
        <v>1.1542289842777984E-2</v>
      </c>
      <c r="J18" s="63">
        <f t="shared" si="28"/>
        <v>-1.0264921611886679</v>
      </c>
      <c r="K18" s="17">
        <f t="shared" si="29"/>
        <v>5.1167390527402434E-2</v>
      </c>
    </row>
    <row r="19" spans="1:11" x14ac:dyDescent="0.2">
      <c r="A19">
        <v>17</v>
      </c>
      <c r="B19" s="62">
        <f>Result!F239</f>
        <v>7.6673637667304027</v>
      </c>
      <c r="C19" s="17">
        <f>Result!H239</f>
        <v>7.1716657144107587E-3</v>
      </c>
      <c r="D19" s="17">
        <f>Result!Y240</f>
        <v>13.425290155280472</v>
      </c>
      <c r="E19" s="17">
        <f>Result!Y241</f>
        <v>8.1516124022114847E-2</v>
      </c>
      <c r="F19" s="61">
        <f>-Result!X240</f>
        <v>3.3629698421249049E-2</v>
      </c>
      <c r="G19" s="61">
        <f>Result!X241</f>
        <v>1.7705562807900084E-3</v>
      </c>
      <c r="H19" s="63">
        <f t="shared" si="26"/>
        <v>1.1279236807012365</v>
      </c>
      <c r="I19" s="14">
        <f t="shared" si="27"/>
        <v>2.6369637035383677E-3</v>
      </c>
      <c r="J19" s="63">
        <f t="shared" si="28"/>
        <v>-1.4732770272608822</v>
      </c>
      <c r="K19" s="17">
        <f t="shared" si="29"/>
        <v>2.2864993108602651E-2</v>
      </c>
    </row>
    <row r="20" spans="1:11" x14ac:dyDescent="0.2">
      <c r="A20">
        <v>18</v>
      </c>
      <c r="B20" s="62">
        <f>Result!F254</f>
        <v>7.7054254302103251</v>
      </c>
      <c r="C20" s="17">
        <f>Result!H254</f>
        <v>0</v>
      </c>
      <c r="D20" s="17">
        <f>Result!Y255</f>
        <v>6.4822943672058786</v>
      </c>
      <c r="E20" s="17">
        <f>Result!Y256</f>
        <v>0.11183123193051797</v>
      </c>
      <c r="F20" s="61">
        <f>-Result!X255</f>
        <v>1.5418407250497552E-2</v>
      </c>
      <c r="G20" s="61">
        <f>Result!X256</f>
        <v>2.2494076033001396E-3</v>
      </c>
      <c r="H20" s="63">
        <f t="shared" ref="H20" si="30">LOG(D20)</f>
        <v>0.81172874887305124</v>
      </c>
      <c r="I20" s="14">
        <f t="shared" ref="I20" si="31">(1/LN(10))*(E20/D20)</f>
        <v>7.4923606026859983E-3</v>
      </c>
      <c r="J20" s="63">
        <f t="shared" ref="J20" si="32">LOG(F20)</f>
        <v>-1.8119604873775925</v>
      </c>
      <c r="K20" s="17">
        <f t="shared" ref="K20" si="33">(1/LN(10))*(G20/F20)</f>
        <v>6.3359677416287258E-2</v>
      </c>
    </row>
    <row r="21" spans="1:11" x14ac:dyDescent="0.2">
      <c r="A21">
        <v>19</v>
      </c>
      <c r="B21" s="62">
        <f>Result!F269</f>
        <v>7.6820028680688344</v>
      </c>
      <c r="C21" s="17">
        <f>Result!H269</f>
        <v>9.0715193099501993E-3</v>
      </c>
      <c r="D21" s="17">
        <f>Result!Y270</f>
        <v>6.9345080158017431</v>
      </c>
      <c r="E21" s="17">
        <f>Result!Y271</f>
        <v>2.5206284052720834E-2</v>
      </c>
      <c r="F21" s="61">
        <f>-Result!X270</f>
        <v>1.4641863842272616E-2</v>
      </c>
      <c r="G21" s="61">
        <f>Result!X271</f>
        <v>6.0366757658075613E-4</v>
      </c>
      <c r="H21" s="63">
        <f t="shared" ref="H21" si="34">LOG(D21)</f>
        <v>0.84101565450781635</v>
      </c>
      <c r="I21" s="14">
        <f t="shared" ref="I21" si="35">(1/LN(10))*(E21/D21)</f>
        <v>1.578619571631852E-3</v>
      </c>
      <c r="J21" s="63">
        <f t="shared" ref="J21:J26" si="36">LOG(F21)</f>
        <v>-1.834403636058235</v>
      </c>
      <c r="K21" s="17">
        <f t="shared" ref="K21" si="37">(1/LN(10))*(G21/F21)</f>
        <v>1.7905472980565485E-2</v>
      </c>
    </row>
    <row r="22" spans="1:11" x14ac:dyDescent="0.2">
      <c r="A22">
        <v>20</v>
      </c>
      <c r="B22" s="62">
        <f>Result!F284</f>
        <v>7.6351577437858511</v>
      </c>
      <c r="C22" s="17">
        <f>Result!H284</f>
        <v>0</v>
      </c>
      <c r="D22" s="17">
        <f>Result!Y285</f>
        <v>6.9635300225453669</v>
      </c>
      <c r="E22" s="17">
        <f>Result!Y286</f>
        <v>3.265591119661837E-2</v>
      </c>
      <c r="F22" s="61">
        <f>-Result!X285</f>
        <v>1.4434311021390263E-2</v>
      </c>
      <c r="G22" s="61">
        <f>Result!X286</f>
        <v>6.8336351695470635E-4</v>
      </c>
      <c r="H22" s="63">
        <f t="shared" ref="H22" si="38">LOG(D22)</f>
        <v>0.84282945235012052</v>
      </c>
      <c r="I22" s="14">
        <f t="shared" ref="I22" si="39">(1/LN(10))*(E22/D22)</f>
        <v>2.0366512369871205E-3</v>
      </c>
      <c r="J22" s="63">
        <f t="shared" si="36"/>
        <v>-1.840603941035039</v>
      </c>
      <c r="K22" s="17">
        <f t="shared" ref="K22" si="40">(1/LN(10))*(G22/F22)</f>
        <v>2.0560801558704621E-2</v>
      </c>
    </row>
    <row r="23" spans="1:11" x14ac:dyDescent="0.2">
      <c r="A23">
        <v>21</v>
      </c>
      <c r="B23" s="62">
        <f>Result!F299</f>
        <v>7.6878585086042071</v>
      </c>
      <c r="C23" s="17">
        <f>Result!H299</f>
        <v>9.7295071111809874E-16</v>
      </c>
      <c r="D23" s="17">
        <f>Result!Y300</f>
        <v>19.38183503654335</v>
      </c>
      <c r="E23" s="17">
        <f>Result!Y301</f>
        <v>6.3988257234650819E-2</v>
      </c>
      <c r="F23" s="61">
        <f>-Result!X300</f>
        <v>2.2252936733204647E-2</v>
      </c>
      <c r="G23" s="61">
        <f>Result!X301</f>
        <v>1.2298992141887854E-3</v>
      </c>
      <c r="H23" s="63">
        <f t="shared" ref="H23" si="41">LOG(D23)</f>
        <v>1.2873948928652612</v>
      </c>
      <c r="I23" s="14">
        <f t="shared" ref="I23" si="42">(1/LN(10))*(E23/D23)</f>
        <v>1.4338037121468987E-3</v>
      </c>
      <c r="J23" s="63">
        <f t="shared" si="36"/>
        <v>-1.6526126668015311</v>
      </c>
      <c r="K23" s="17">
        <f t="shared" ref="K23" si="43">(1/LN(10))*(G23/F23)</f>
        <v>2.400305399791669E-2</v>
      </c>
    </row>
    <row r="24" spans="1:11" x14ac:dyDescent="0.2">
      <c r="A24">
        <v>22</v>
      </c>
      <c r="B24" s="62">
        <f>Result!F314</f>
        <v>7.7054254302103242</v>
      </c>
      <c r="C24" s="17">
        <f>Result!H314</f>
        <v>9.9301366129890925E-16</v>
      </c>
      <c r="D24" s="17">
        <f>Result!Y315</f>
        <v>14.406648244340763</v>
      </c>
      <c r="E24" s="17">
        <f>Result!Y316</f>
        <v>2.4565755411288907E-2</v>
      </c>
      <c r="F24" s="61">
        <f>-Result!X315</f>
        <v>1.2155262162957885E-2</v>
      </c>
      <c r="G24" s="61">
        <f>Result!X316</f>
        <v>5.6801901785468909E-4</v>
      </c>
      <c r="H24" s="63">
        <f t="shared" ref="H24" si="44">LOG(D24)</f>
        <v>1.1585629524791381</v>
      </c>
      <c r="I24" s="14">
        <f t="shared" ref="I24" si="45">(1/LN(10))*(E24/D24)</f>
        <v>7.4054504822789987E-4</v>
      </c>
      <c r="J24" s="63">
        <f t="shared" si="36"/>
        <v>-1.9152356699182886</v>
      </c>
      <c r="K24" s="17">
        <f t="shared" ref="K24" si="46">(1/LN(10))*(G24/F24)</f>
        <v>2.0294710370143649E-2</v>
      </c>
    </row>
    <row r="25" spans="1:11" x14ac:dyDescent="0.2">
      <c r="A25">
        <v>23</v>
      </c>
      <c r="B25" s="62">
        <f>Result!F329</f>
        <v>7.6497968451242828</v>
      </c>
      <c r="C25" s="17">
        <f>Result!H329</f>
        <v>7.1716657144103961E-3</v>
      </c>
      <c r="D25" s="17">
        <f>Result!Y330</f>
        <v>23.222671748124</v>
      </c>
      <c r="E25" s="17">
        <f>Result!Y331</f>
        <v>9.0878030362131879E-2</v>
      </c>
      <c r="F25" s="61">
        <f>-Result!X330</f>
        <v>2.522467394154396E-2</v>
      </c>
      <c r="G25" s="61">
        <f>Result!X331</f>
        <v>1.7033477130072967E-3</v>
      </c>
      <c r="H25" s="63">
        <f t="shared" ref="H25" si="47">LOG(D25)</f>
        <v>1.3659121834782446</v>
      </c>
      <c r="I25" s="14">
        <f t="shared" ref="I25" si="48">(1/LN(10))*(E25/D25)</f>
        <v>1.6995386035070826E-3</v>
      </c>
      <c r="J25" s="63">
        <f t="shared" si="36"/>
        <v>-1.5981744388196322</v>
      </c>
      <c r="K25" s="17">
        <f t="shared" ref="K25" si="49">(1/LN(10))*(G25/F25)</f>
        <v>2.932662337820148E-2</v>
      </c>
    </row>
    <row r="26" spans="1:11" x14ac:dyDescent="0.2">
      <c r="A26">
        <v>24</v>
      </c>
      <c r="B26" s="62">
        <f>Result!F344</f>
        <v>7.6527246653919692</v>
      </c>
      <c r="C26" s="17">
        <f>Result!H344</f>
        <v>0</v>
      </c>
      <c r="D26" s="17">
        <f>Result!Y345</f>
        <v>9.8814412159305682</v>
      </c>
      <c r="E26" s="17">
        <f>Result!Y346</f>
        <v>2.4944560646303012E-2</v>
      </c>
      <c r="F26" s="61">
        <f>-Result!X345</f>
        <v>1.1858222489155681E-2</v>
      </c>
      <c r="G26" s="61">
        <f>Result!X346</f>
        <v>4.892030826672988E-4</v>
      </c>
      <c r="H26" s="63">
        <f t="shared" ref="H26" si="50">LOG(D26)</f>
        <v>0.99482029139722028</v>
      </c>
      <c r="I26" s="14">
        <f t="shared" ref="I26" si="51">(1/LN(10))*(E26/D26)</f>
        <v>1.0963264169122726E-3</v>
      </c>
      <c r="J26" s="63">
        <f t="shared" si="36"/>
        <v>-1.9259804054916352</v>
      </c>
      <c r="K26" s="17">
        <f t="shared" ref="K26" si="52">(1/LN(10))*(G26/F26)</f>
        <v>1.7916530030260502E-2</v>
      </c>
    </row>
    <row r="27" spans="1:11" x14ac:dyDescent="0.2">
      <c r="A27">
        <v>25</v>
      </c>
      <c r="B27" s="62">
        <f>Result!F359</f>
        <v>7.3857074569789676</v>
      </c>
      <c r="C27" s="17">
        <f>Result!H359</f>
        <v>7.8561661733383501E-3</v>
      </c>
      <c r="D27" s="17">
        <f>Result!Y360</f>
        <v>33.527290253528989</v>
      </c>
      <c r="E27" s="17">
        <f>Result!Y361</f>
        <v>4.0069466892664198E-2</v>
      </c>
      <c r="F27" s="61">
        <f>-Result!X360</f>
        <v>8.0270652637873374E-3</v>
      </c>
      <c r="G27" s="61">
        <f>Result!X361</f>
        <v>3.9947017222398683E-4</v>
      </c>
      <c r="H27" s="63">
        <f t="shared" ref="H27:H29" si="53">LOG(D27)</f>
        <v>1.5253984542491215</v>
      </c>
      <c r="I27" s="14">
        <f t="shared" ref="I27:I29" si="54">(1/LN(10))*(E27/D27)</f>
        <v>5.1903831871582336E-4</v>
      </c>
      <c r="J27" s="63">
        <f t="shared" ref="J27:J29" si="55">LOG(F27)</f>
        <v>-2.0954432059920221</v>
      </c>
      <c r="K27" s="17">
        <f t="shared" ref="K27:K29" si="56">(1/LN(10))*(G27/F27)</f>
        <v>2.1612841777240516E-2</v>
      </c>
    </row>
    <row r="28" spans="1:11" x14ac:dyDescent="0.2">
      <c r="A28">
        <v>26</v>
      </c>
      <c r="B28" s="62">
        <f>Result!F373</f>
        <v>7.4770554493307841</v>
      </c>
      <c r="C28" s="17">
        <f>Result!H373</f>
        <v>0</v>
      </c>
      <c r="D28" s="17">
        <f>Result!Y374</f>
        <v>29.251573580730398</v>
      </c>
      <c r="E28" s="17">
        <f>Result!Y375</f>
        <v>7.468696592279038E-2</v>
      </c>
      <c r="F28" s="61">
        <f>-Result!X374</f>
        <v>1.3992075012059294E-2</v>
      </c>
      <c r="G28" s="61">
        <f>Result!X375</f>
        <v>6.2271579834014326E-4</v>
      </c>
      <c r="H28" s="63">
        <f t="shared" si="53"/>
        <v>1.4661492338043913</v>
      </c>
      <c r="I28" s="14">
        <f t="shared" si="54"/>
        <v>1.1088681120297581E-3</v>
      </c>
      <c r="J28" s="63">
        <f t="shared" si="55"/>
        <v>-1.8541178752535006</v>
      </c>
      <c r="K28" s="17">
        <f t="shared" si="56"/>
        <v>1.9328229356976541E-2</v>
      </c>
    </row>
    <row r="29" spans="1:11" x14ac:dyDescent="0.2">
      <c r="A29">
        <v>27</v>
      </c>
      <c r="B29" s="62">
        <f>Result!F387</f>
        <v>7.3892208413001912</v>
      </c>
      <c r="C29" s="17">
        <f>Result!H387</f>
        <v>0</v>
      </c>
      <c r="D29" s="17">
        <f>Result!Y388</f>
        <v>12.114191149057369</v>
      </c>
      <c r="E29" s="17">
        <f>Result!Y389</f>
        <v>3.6808185770187192E-2</v>
      </c>
      <c r="F29" s="61">
        <f>-Result!X388</f>
        <v>2.4032436157652376E-3</v>
      </c>
      <c r="G29" s="61">
        <f>Result!X389</f>
        <v>1.1944656859157841E-4</v>
      </c>
      <c r="H29" s="63">
        <f t="shared" si="53"/>
        <v>1.0832944220865606</v>
      </c>
      <c r="I29" s="14">
        <f t="shared" si="54"/>
        <v>1.3195756755172187E-3</v>
      </c>
      <c r="J29" s="63">
        <f t="shared" si="55"/>
        <v>-2.6192022027209161</v>
      </c>
      <c r="K29" s="17">
        <f t="shared" si="56"/>
        <v>2.1585404526325062E-2</v>
      </c>
    </row>
    <row r="30" spans="1:11" x14ac:dyDescent="0.2">
      <c r="A30">
        <v>28</v>
      </c>
      <c r="B30" s="62">
        <f>Result!$F$401</f>
        <v>7.4770554493307841</v>
      </c>
      <c r="C30" s="17">
        <f>Result!$H$401</f>
        <v>0</v>
      </c>
      <c r="D30" s="17">
        <f>Result!$Y$402</f>
        <v>8.4526946477092988</v>
      </c>
      <c r="E30" s="17">
        <f>Result!$Y$403</f>
        <v>9.5301205677068651E-2</v>
      </c>
      <c r="F30" s="61">
        <f>-Result!$X$402</f>
        <v>4.7573016103446423E-3</v>
      </c>
      <c r="G30" s="61">
        <f>Result!$X$403</f>
        <v>5.5342429177377827E-4</v>
      </c>
      <c r="H30" s="63">
        <f t="shared" ref="H30" si="57">LOG(D30)</f>
        <v>0.92699518043783402</v>
      </c>
      <c r="I30" s="14">
        <f t="shared" ref="I30" si="58">(1/LN(10))*(E30/D30)</f>
        <v>4.8965199228501914E-3</v>
      </c>
      <c r="J30" s="63">
        <f t="shared" ref="J30" si="59">LOG(F30)</f>
        <v>-2.3226393136723833</v>
      </c>
      <c r="K30" s="17">
        <f t="shared" ref="K30" si="60">(1/LN(10))*(G30/F30)</f>
        <v>5.0522152210390338E-2</v>
      </c>
    </row>
    <row r="31" spans="1:11" x14ac:dyDescent="0.2">
      <c r="A31">
        <v>29</v>
      </c>
      <c r="B31" s="62">
        <f>Result!$F$416</f>
        <v>7.4419216061185463</v>
      </c>
      <c r="C31" s="17">
        <f>Result!$H$416</f>
        <v>9.9301366129890925E-16</v>
      </c>
      <c r="D31" s="17">
        <f>Result!Y417</f>
        <v>21.605837023609034</v>
      </c>
      <c r="E31" s="17">
        <f>Result!Y418</f>
        <v>1.1631604292204131E-2</v>
      </c>
      <c r="F31" s="61">
        <f>-Result!X417</f>
        <v>8.4728293616444569E-3</v>
      </c>
      <c r="G31" s="61">
        <f>Result!X418</f>
        <v>7.5626901425241306E-5</v>
      </c>
      <c r="H31" s="63">
        <f t="shared" ref="H31" si="61">LOG(D31)</f>
        <v>1.3345710958124024</v>
      </c>
      <c r="I31" s="14">
        <f t="shared" ref="I31" si="62">(1/LN(10))*(E31/D31)</f>
        <v>2.338044832174997E-4</v>
      </c>
      <c r="J31" s="63">
        <f t="shared" ref="J31" si="63">LOG(F31)</f>
        <v>-2.0719715399689518</v>
      </c>
      <c r="K31" s="17">
        <f t="shared" ref="K31" si="64">(1/LN(10))*(G31/F31)</f>
        <v>3.8764318942980389E-3</v>
      </c>
    </row>
    <row r="32" spans="1:11" x14ac:dyDescent="0.2">
      <c r="A32">
        <v>30</v>
      </c>
      <c r="B32" s="62">
        <f>Result!F431</f>
        <v>7.5508365200764818</v>
      </c>
      <c r="C32" s="17">
        <f>Result!H431</f>
        <v>1.4697541097097503E-2</v>
      </c>
      <c r="D32" s="17">
        <f>Result!Y432</f>
        <v>8.6176513481729273</v>
      </c>
      <c r="E32" s="17">
        <f>Result!Y433</f>
        <v>4.6964481301934806E-2</v>
      </c>
      <c r="F32" s="61">
        <f>-Result!X432</f>
        <v>3.1176297571808443E-3</v>
      </c>
      <c r="G32" s="61">
        <f>Result!X433</f>
        <v>2.6465772743865262E-4</v>
      </c>
      <c r="H32" s="63">
        <f t="shared" ref="H32" si="65">LOG(D32)</f>
        <v>0.93538891947762415</v>
      </c>
      <c r="I32" s="14">
        <f t="shared" ref="I32" si="66">(1/LN(10))*(E32/D32)</f>
        <v>2.366818318682976E-3</v>
      </c>
      <c r="J32" s="63">
        <f t="shared" ref="J32" si="67">LOG(F32)</f>
        <v>-2.5061754619376648</v>
      </c>
      <c r="K32" s="17">
        <f t="shared" ref="K32" si="68">(1/LN(10))*(G32/F32)</f>
        <v>3.6867556307775634E-2</v>
      </c>
    </row>
    <row r="33" spans="1:11" x14ac:dyDescent="0.2">
      <c r="A33">
        <v>31</v>
      </c>
      <c r="B33" s="62">
        <f>Result!F446</f>
        <v>7.5429314053537286</v>
      </c>
      <c r="C33" s="17">
        <f>Result!H446</f>
        <v>8.783460803059473E-3</v>
      </c>
      <c r="D33" s="17">
        <f>Result!Y447</f>
        <v>34.190093264258799</v>
      </c>
      <c r="E33" s="17">
        <f>Result!Y448</f>
        <v>0.28437878906951719</v>
      </c>
      <c r="F33" s="61">
        <f>-Result!X447</f>
        <v>3.3292392465894695E-2</v>
      </c>
      <c r="G33" s="61">
        <f>Result!X448</f>
        <v>2.3301910284628685E-3</v>
      </c>
      <c r="H33" s="63">
        <f t="shared" ref="H33" si="69">LOG(D33)</f>
        <v>1.5339002854733337</v>
      </c>
      <c r="I33" s="14">
        <f t="shared" ref="I33" si="70">(1/LN(10))*(E33/D33)</f>
        <v>3.6122785015133977E-3</v>
      </c>
      <c r="J33" s="63">
        <f t="shared" ref="J33" si="71">LOG(F33)</f>
        <v>-1.4776549943476394</v>
      </c>
      <c r="K33" s="17">
        <f t="shared" ref="K33" si="72">(1/LN(10))*(G33/F33)</f>
        <v>3.0397007558966696E-2</v>
      </c>
    </row>
    <row r="34" spans="1:11" x14ac:dyDescent="0.2">
      <c r="A34">
        <v>32</v>
      </c>
      <c r="B34" s="62">
        <f>Result!F461</f>
        <v>7.5473231357552581</v>
      </c>
      <c r="C34" s="17">
        <f>Result!H461</f>
        <v>0</v>
      </c>
      <c r="D34" s="17">
        <f>Result!Y462</f>
        <v>18.891286911341471</v>
      </c>
      <c r="E34" s="17">
        <f>Result!Y463</f>
        <v>1.8588400199687233E-2</v>
      </c>
      <c r="F34" s="61">
        <f>-Result!X462</f>
        <v>6.1595934039082546E-3</v>
      </c>
      <c r="G34" s="61">
        <f>Result!X463</f>
        <v>1.3277936808100317E-4</v>
      </c>
      <c r="H34" s="63">
        <f t="shared" ref="H34" si="73">LOG(D34)</f>
        <v>1.2762615439174523</v>
      </c>
      <c r="I34" s="14">
        <f t="shared" ref="I34" si="74">(1/LN(10))*(E34/D34)</f>
        <v>4.2733137620639821E-4</v>
      </c>
      <c r="J34" s="63">
        <f t="shared" ref="J34" si="75">LOG(F34)</f>
        <v>-2.2104479547620359</v>
      </c>
      <c r="K34" s="17">
        <f t="shared" ref="K34" si="76">(1/LN(10))*(G34/F34)</f>
        <v>9.3618755471086522E-3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4B6390B1BF243A37616DF5D0D6BF1" ma:contentTypeVersion="2" ma:contentTypeDescription="Create a new document." ma:contentTypeScope="" ma:versionID="9e2f5ddf3871dd9d96491f0d56f5fa5c">
  <xsd:schema xmlns:xsd="http://www.w3.org/2001/XMLSchema" xmlns:xs="http://www.w3.org/2001/XMLSchema" xmlns:p="http://schemas.microsoft.com/office/2006/metadata/properties" xmlns:ns2="b6fe3103-0f07-468c-bcd4-2e03b4fa6f41" targetNamespace="http://schemas.microsoft.com/office/2006/metadata/properties" ma:root="true" ma:fieldsID="e8a91976713e8b2831f89ef311b4f35d" ns2:_="">
    <xsd:import namespace="b6fe3103-0f07-468c-bcd4-2e03b4fa6f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e3103-0f07-468c-bcd4-2e03b4fa6f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48DE5D-DA2B-4E93-8370-96CE5B858629}"/>
</file>

<file path=customXml/itemProps2.xml><?xml version="1.0" encoding="utf-8"?>
<ds:datastoreItem xmlns:ds="http://schemas.openxmlformats.org/officeDocument/2006/customXml" ds:itemID="{09E4DEF4-C751-4326-AF3D-2A7832CF3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Methodology</vt:lpstr>
      <vt:lpstr>pH-Potential calibration</vt:lpstr>
      <vt:lpstr>Calibration standard</vt:lpstr>
      <vt:lpstr>Result</vt:lpstr>
      <vt:lpstr>Reaction 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Sarawud Saleesongsom</dc:creator>
  <cp:keywords/>
  <dc:description/>
  <cp:lastModifiedBy>Sarawud Saleesongsom</cp:lastModifiedBy>
  <cp:revision/>
  <dcterms:created xsi:type="dcterms:W3CDTF">2023-03-29T15:12:53Z</dcterms:created>
  <dcterms:modified xsi:type="dcterms:W3CDTF">2023-07-31T16:07:02Z</dcterms:modified>
  <cp:category/>
  <cp:contentStatus/>
</cp:coreProperties>
</file>