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s13217_ic_ac_uk/Documents/Project PhD Y2 Fe oxidation/different [Fe] concentration/"/>
    </mc:Choice>
  </mc:AlternateContent>
  <xr:revisionPtr revIDLastSave="73" documentId="13_ncr:1_{2961B58E-32CE-5C47-A9D3-5183344B9A8F}" xr6:coauthVersionLast="47" xr6:coauthVersionMax="47" xr10:uidLastSave="{56101D1D-A654-C043-9A4A-C9819DDFE16D}"/>
  <bookViews>
    <workbookView xWindow="0" yWindow="0" windowWidth="38400" windowHeight="21600" activeTab="2" xr2:uid="{0D51FA1E-7A6D-1145-9623-A363AF2234BC}"/>
  </bookViews>
  <sheets>
    <sheet name="pH-Potential calibration" sheetId="3" r:id="rId1"/>
    <sheet name="Calibration standard" sheetId="2" r:id="rId2"/>
    <sheet name="Resul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4" l="1"/>
  <c r="D6" i="4"/>
  <c r="D7" i="4"/>
  <c r="D8" i="4"/>
  <c r="D9" i="4"/>
  <c r="D10" i="4"/>
  <c r="D11" i="4"/>
  <c r="D12" i="4"/>
  <c r="D13" i="4"/>
  <c r="D14" i="4"/>
  <c r="D5" i="4"/>
  <c r="E1" i="4"/>
  <c r="Y28" i="2" a="1"/>
  <c r="Y28" i="2" s="1"/>
  <c r="Y37" i="2" s="1"/>
  <c r="Y44" i="2" l="1"/>
  <c r="Y40" i="2"/>
  <c r="Y43" i="2"/>
  <c r="Y36" i="2"/>
  <c r="Y42" i="2"/>
  <c r="Y38" i="2"/>
  <c r="Y39" i="2"/>
  <c r="Y45" i="2"/>
  <c r="Y41" i="2"/>
  <c r="E49" i="4" l="1"/>
  <c r="E33" i="4"/>
  <c r="E17" i="4"/>
  <c r="X46" i="2"/>
  <c r="F62" i="4" s="1"/>
  <c r="G62" i="4" s="1"/>
  <c r="Y46" i="2"/>
  <c r="Y47" i="2" l="1"/>
  <c r="Y48" i="2" s="1"/>
  <c r="F11" i="4"/>
  <c r="F7" i="4"/>
  <c r="F24" i="4"/>
  <c r="F28" i="4"/>
  <c r="F37" i="4"/>
  <c r="F41" i="4"/>
  <c r="F45" i="4"/>
  <c r="F55" i="4"/>
  <c r="F59" i="4"/>
  <c r="F14" i="4"/>
  <c r="F10" i="4"/>
  <c r="F6" i="4"/>
  <c r="F25" i="4"/>
  <c r="F29" i="4"/>
  <c r="F38" i="4"/>
  <c r="F42" i="4"/>
  <c r="F46" i="4"/>
  <c r="F56" i="4"/>
  <c r="F60" i="4"/>
  <c r="F13" i="4"/>
  <c r="F9" i="4"/>
  <c r="F22" i="4"/>
  <c r="F26" i="4"/>
  <c r="F30" i="4"/>
  <c r="F39" i="4"/>
  <c r="F43" i="4"/>
  <c r="F53" i="4"/>
  <c r="G53" i="4" s="1"/>
  <c r="K53" i="4" s="1"/>
  <c r="F57" i="4"/>
  <c r="F61" i="4"/>
  <c r="F12" i="4"/>
  <c r="F8" i="4"/>
  <c r="F23" i="4"/>
  <c r="F27" i="4"/>
  <c r="F21" i="4"/>
  <c r="F5" i="4"/>
  <c r="G5" i="4" s="1"/>
  <c r="F40" i="4"/>
  <c r="F44" i="4"/>
  <c r="F54" i="4"/>
  <c r="F58" i="4"/>
  <c r="H62" i="4"/>
  <c r="D26" i="3" a="1"/>
  <c r="D33" i="2" a="1"/>
  <c r="K62" i="4" l="1"/>
  <c r="K5" i="4"/>
  <c r="G61" i="4"/>
  <c r="G46" i="4"/>
  <c r="G59" i="4"/>
  <c r="G11" i="4"/>
  <c r="G58" i="4"/>
  <c r="G8" i="4"/>
  <c r="G26" i="4"/>
  <c r="G60" i="4"/>
  <c r="G38" i="4"/>
  <c r="K38" i="4" s="1"/>
  <c r="G10" i="4"/>
  <c r="G45" i="4"/>
  <c r="G24" i="4"/>
  <c r="G27" i="4"/>
  <c r="G9" i="4"/>
  <c r="G37" i="4"/>
  <c r="G54" i="4"/>
  <c r="G21" i="4"/>
  <c r="K21" i="4" s="1"/>
  <c r="G12" i="4"/>
  <c r="G43" i="4"/>
  <c r="G22" i="4"/>
  <c r="G56" i="4"/>
  <c r="G29" i="4"/>
  <c r="K29" i="4" s="1"/>
  <c r="G14" i="4"/>
  <c r="K14" i="4" s="1"/>
  <c r="G41" i="4"/>
  <c r="K41" i="4" s="1"/>
  <c r="G7" i="4"/>
  <c r="G44" i="4"/>
  <c r="G39" i="4"/>
  <c r="G25" i="4"/>
  <c r="G40" i="4"/>
  <c r="G23" i="4"/>
  <c r="G57" i="4"/>
  <c r="G30" i="4"/>
  <c r="K30" i="4" s="1"/>
  <c r="G13" i="4"/>
  <c r="H13" i="4" s="1"/>
  <c r="G42" i="4"/>
  <c r="K42" i="4" s="1"/>
  <c r="G6" i="4"/>
  <c r="G55" i="4"/>
  <c r="G28" i="4"/>
  <c r="K28" i="4" s="1"/>
  <c r="H14" i="4"/>
  <c r="H24" i="4"/>
  <c r="H53" i="4"/>
  <c r="H5" i="4"/>
  <c r="H26" i="4"/>
  <c r="H38" i="4"/>
  <c r="D26" i="3"/>
  <c r="C34" i="3" s="1"/>
  <c r="D33" i="2"/>
  <c r="H40" i="4" l="1"/>
  <c r="K40" i="4"/>
  <c r="H56" i="4"/>
  <c r="K56" i="4"/>
  <c r="K27" i="4"/>
  <c r="H58" i="4"/>
  <c r="K58" i="4"/>
  <c r="H61" i="4"/>
  <c r="K61" i="4"/>
  <c r="H44" i="4"/>
  <c r="K44" i="4"/>
  <c r="H55" i="4"/>
  <c r="K55" i="4"/>
  <c r="K25" i="4"/>
  <c r="K22" i="4"/>
  <c r="H54" i="4"/>
  <c r="K54" i="4"/>
  <c r="K24" i="4"/>
  <c r="H60" i="4"/>
  <c r="K60" i="4"/>
  <c r="H23" i="4"/>
  <c r="K23" i="4"/>
  <c r="H46" i="4"/>
  <c r="K46" i="4"/>
  <c r="H57" i="4"/>
  <c r="K57" i="4"/>
  <c r="H39" i="4"/>
  <c r="K39" i="4"/>
  <c r="H43" i="4"/>
  <c r="K43" i="4"/>
  <c r="H37" i="4"/>
  <c r="K37" i="4"/>
  <c r="H45" i="4"/>
  <c r="K45" i="4"/>
  <c r="K26" i="4"/>
  <c r="H59" i="4"/>
  <c r="K59" i="4"/>
  <c r="K12" i="4"/>
  <c r="K10" i="4"/>
  <c r="K8" i="4"/>
  <c r="K13" i="4"/>
  <c r="V34" i="4" a="1"/>
  <c r="K9" i="4"/>
  <c r="H21" i="4"/>
  <c r="H28" i="4"/>
  <c r="K6" i="4"/>
  <c r="V18" i="4" a="1"/>
  <c r="V18" i="4" s="1"/>
  <c r="V2" i="4" a="1"/>
  <c r="H11" i="4"/>
  <c r="K11" i="4"/>
  <c r="H29" i="4"/>
  <c r="H30" i="4"/>
  <c r="H7" i="4"/>
  <c r="K7" i="4"/>
  <c r="H6" i="4"/>
  <c r="H9" i="4"/>
  <c r="H22" i="4"/>
  <c r="H27" i="4"/>
  <c r="H42" i="4"/>
  <c r="H25" i="4"/>
  <c r="H41" i="4"/>
  <c r="H12" i="4"/>
  <c r="H10" i="4"/>
  <c r="H8" i="4"/>
  <c r="V50" i="4" a="1"/>
  <c r="V50" i="4" s="1"/>
  <c r="V34" i="4"/>
  <c r="J56" i="4"/>
  <c r="J61" i="4"/>
  <c r="J62" i="4"/>
  <c r="J6" i="4"/>
  <c r="C36" i="3"/>
  <c r="J45" i="4"/>
  <c r="J25" i="4"/>
  <c r="J46" i="4"/>
  <c r="J30" i="4"/>
  <c r="J40" i="4"/>
  <c r="J41" i="4"/>
  <c r="J42" i="4"/>
  <c r="J60" i="4"/>
  <c r="J22" i="4"/>
  <c r="J54" i="4"/>
  <c r="J10" i="4"/>
  <c r="J5" i="4"/>
  <c r="J21" i="4"/>
  <c r="J39" i="4"/>
  <c r="J23" i="4"/>
  <c r="J44" i="4"/>
  <c r="J24" i="4"/>
  <c r="J43" i="4"/>
  <c r="J13" i="4"/>
  <c r="J27" i="4"/>
  <c r="J53" i="4"/>
  <c r="J12" i="4"/>
  <c r="J28" i="4"/>
  <c r="J11" i="4"/>
  <c r="J29" i="4"/>
  <c r="J55" i="4"/>
  <c r="J14" i="4"/>
  <c r="J26" i="4"/>
  <c r="J52" i="4"/>
  <c r="J9" i="4"/>
  <c r="J36" i="4"/>
  <c r="J57" i="4"/>
  <c r="J8" i="4"/>
  <c r="J37" i="4"/>
  <c r="J58" i="4"/>
  <c r="J7" i="4"/>
  <c r="J38" i="4"/>
  <c r="J59" i="4"/>
  <c r="D38" i="2"/>
  <c r="V2" i="4" l="1"/>
  <c r="E2" i="4"/>
  <c r="E50" i="4"/>
  <c r="E18" i="4"/>
  <c r="E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<sst xmlns="http://schemas.openxmlformats.org/spreadsheetml/2006/main" count="171" uniqueCount="51">
  <si>
    <t>pH-Potential difference (V) calibrations</t>
  </si>
  <si>
    <t>pH</t>
  </si>
  <si>
    <t>Voltage (mV)</t>
  </si>
  <si>
    <t>LINEST linear regression analysis</t>
  </si>
  <si>
    <t>slope</t>
  </si>
  <si>
    <t>intercept</t>
  </si>
  <si>
    <t>se(slope)</t>
  </si>
  <si>
    <t>se(intercept)</t>
  </si>
  <si>
    <t>r^2</t>
  </si>
  <si>
    <t>se(y)</t>
  </si>
  <si>
    <t>F</t>
  </si>
  <si>
    <t>df</t>
  </si>
  <si>
    <t>ss reg</t>
  </si>
  <si>
    <t>ss resid</t>
  </si>
  <si>
    <t xml:space="preserve">pH needed </t>
  </si>
  <si>
    <t>Potential needed</t>
  </si>
  <si>
    <t>pH meaured</t>
  </si>
  <si>
    <t>Potential measured</t>
  </si>
  <si>
    <t>Calibration standards</t>
  </si>
  <si>
    <t>At 16:53</t>
  </si>
  <si>
    <t>Conc (μM)</t>
  </si>
  <si>
    <t>Abs</t>
  </si>
  <si>
    <t>Corrected Abs</t>
  </si>
  <si>
    <t>s0b</t>
  </si>
  <si>
    <t>S1b</t>
  </si>
  <si>
    <t>S2b</t>
  </si>
  <si>
    <t>S3b</t>
  </si>
  <si>
    <t>S4b</t>
  </si>
  <si>
    <t>S5b</t>
  </si>
  <si>
    <t>relative error = (1/ln10)*(se(slope)/slope)</t>
  </si>
  <si>
    <t>Experiment 1</t>
  </si>
  <si>
    <t>Time</t>
  </si>
  <si>
    <t>Time (seconds)</t>
  </si>
  <si>
    <t>[Fe2+] (uM)</t>
  </si>
  <si>
    <t>In[Fe2+]</t>
  </si>
  <si>
    <t>potential measured</t>
  </si>
  <si>
    <t>pH calculated</t>
  </si>
  <si>
    <t>Experiment 2</t>
  </si>
  <si>
    <t>uM</t>
  </si>
  <si>
    <t xml:space="preserve">experiment 1 </t>
  </si>
  <si>
    <t>[Fe]</t>
  </si>
  <si>
    <t>Experiment 3</t>
  </si>
  <si>
    <t>Experiment 4</t>
  </si>
  <si>
    <t>5 drops of H2So4</t>
  </si>
  <si>
    <t xml:space="preserve">average </t>
  </si>
  <si>
    <t>DTL</t>
  </si>
  <si>
    <t>SD</t>
  </si>
  <si>
    <t>Detection limit (DTL)</t>
  </si>
  <si>
    <t>% [Fe]t/[Fe]0</t>
  </si>
  <si>
    <t>Expected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</si>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</sst>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8" fillId="0" borderId="0" xfId="0" applyNumberFormat="1" applyFont="1" applyAlignment="1">
      <alignment horizontal="left"/>
    </xf>
    <xf numFmtId="2" fontId="0" fillId="0" borderId="0" xfId="0" applyNumberFormat="1"/>
    <xf numFmtId="0" fontId="4" fillId="0" borderId="7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left"/>
    </xf>
    <xf numFmtId="0" fontId="0" fillId="0" borderId="11" xfId="0" applyBorder="1"/>
    <xf numFmtId="0" fontId="4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1" fontId="0" fillId="0" borderId="0" xfId="0" applyNumberFormat="1"/>
    <xf numFmtId="2" fontId="0" fillId="0" borderId="0" xfId="0" applyNumberForma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2" borderId="0" xfId="0" applyFill="1"/>
    <xf numFmtId="2" fontId="0" fillId="2" borderId="0" xfId="0" applyNumberFormat="1" applyFill="1" applyAlignment="1">
      <alignment horizontal="left"/>
    </xf>
    <xf numFmtId="164" fontId="0" fillId="2" borderId="0" xfId="0" applyNumberFormat="1" applyFill="1"/>
    <xf numFmtId="2" fontId="0" fillId="2" borderId="0" xfId="0" applyNumberFormat="1" applyFill="1"/>
    <xf numFmtId="14" fontId="1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'pH-Potential calibration'!$B$2</c:f>
              <c:strCache>
                <c:ptCount val="1"/>
                <c:pt idx="0">
                  <c:v>07/02/2023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24420450399664E-2"/>
                  <c:y val="0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'pH-Potential calibration'!$B$5:$B$8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</c:numCache>
            </c:numRef>
          </c:xVal>
          <c:yVal>
            <c:numRef>
              <c:f>'pH-Potential calibration'!$C$5:$C$8</c:f>
              <c:numCache>
                <c:formatCode>General</c:formatCode>
                <c:ptCount val="4"/>
                <c:pt idx="0">
                  <c:v>167</c:v>
                </c:pt>
                <c:pt idx="1">
                  <c:v>-7</c:v>
                </c:pt>
                <c:pt idx="2">
                  <c:v>-177</c:v>
                </c:pt>
                <c:pt idx="3">
                  <c:v>-290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7-CB45-966E-3A527899E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817168"/>
        <c:axId val="1074270752"/>
      </c:scatterChart>
      <c:valAx>
        <c:axId val="1136817168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0752"/>
        <c:crossesAt val="0"/>
        <c:crossBetween val="midCat"/>
        <c:majorUnit val="2"/>
      </c:valAx>
      <c:valAx>
        <c:axId val="107427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171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standard'!$B$2</c:f>
              <c:strCache>
                <c:ptCount val="1"/>
                <c:pt idx="0">
                  <c:v>07/02/2023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24420450399664E-2"/>
                  <c:y val="0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(0.03</a:t>
                    </a:r>
                    <a:r>
                      <a:rPr lang="en-US" sz="900" b="0" i="0" u="none" strike="noStrike" baseline="0">
                        <a:effectLst/>
                      </a:rPr>
                      <a:t>±0.00)</a:t>
                    </a:r>
                    <a:r>
                      <a:rPr lang="en-US" baseline="0"/>
                      <a:t>x + (0.01</a:t>
                    </a:r>
                    <a:r>
                      <a:rPr lang="en-US" sz="900" b="0" i="0" u="none" strike="noStrike" baseline="0">
                        <a:effectLst/>
                      </a:rPr>
                      <a:t>±0.01)</a:t>
                    </a:r>
                    <a:br>
                      <a:rPr lang="en-US" baseline="0"/>
                    </a:br>
                    <a:r>
                      <a:rPr lang="en-US" baseline="0"/>
                      <a:t>R² = 1.00</a:t>
                    </a:r>
                    <a:endParaRPr lang="en-US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standard'!$C$5:$C$10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'Calibration standard'!$E$5:$E$10</c:f>
              <c:numCache>
                <c:formatCode>General</c:formatCode>
                <c:ptCount val="6"/>
                <c:pt idx="0">
                  <c:v>0</c:v>
                </c:pt>
                <c:pt idx="1">
                  <c:v>0.26</c:v>
                </c:pt>
                <c:pt idx="2">
                  <c:v>0.55100000000000005</c:v>
                </c:pt>
                <c:pt idx="3">
                  <c:v>0.80700000000000005</c:v>
                </c:pt>
                <c:pt idx="4">
                  <c:v>1.0609999999999999</c:v>
                </c:pt>
                <c:pt idx="5">
                  <c:v>1.276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3-0B46-8E99-2D914772D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817168"/>
        <c:axId val="1074270752"/>
      </c:scatterChart>
      <c:valAx>
        <c:axId val="113681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</a:t>
                </a:r>
                <a:r>
                  <a:rPr lang="el-GR"/>
                  <a:t>(μ</a:t>
                </a:r>
                <a:r>
                  <a:rPr lang="en-GB"/>
                  <a:t>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0752"/>
        <c:crosses val="autoZero"/>
        <c:crossBetween val="midCat"/>
      </c:valAx>
      <c:valAx>
        <c:axId val="107427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171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3349276442769459"/>
                  <c:y val="9.0383868116414422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standard'!$X$5:$X$10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'Calibration standard'!$Z$5:$Z$10</c:f>
              <c:numCache>
                <c:formatCode>General</c:formatCode>
                <c:ptCount val="6"/>
                <c:pt idx="0">
                  <c:v>0</c:v>
                </c:pt>
                <c:pt idx="1">
                  <c:v>0.26</c:v>
                </c:pt>
                <c:pt idx="2">
                  <c:v>0.55100000000000005</c:v>
                </c:pt>
                <c:pt idx="3">
                  <c:v>0.80700000000000005</c:v>
                </c:pt>
                <c:pt idx="4">
                  <c:v>1.0609999999999999</c:v>
                </c:pt>
                <c:pt idx="5">
                  <c:v>1.276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D-344A-AD17-6A562C3F0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817168"/>
        <c:axId val="1074270752"/>
      </c:scatterChart>
      <c:valAx>
        <c:axId val="113681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Conc (</a:t>
                </a:r>
                <a:r>
                  <a:rPr lang="el-GR" baseline="0"/>
                  <a:t>μ</a:t>
                </a:r>
                <a:r>
                  <a:rPr lang="en-GB" baseline="0"/>
                  <a:t>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in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70752"/>
        <c:crosses val="autoZero"/>
        <c:crossBetween val="midCat"/>
      </c:valAx>
      <c:valAx>
        <c:axId val="1074270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corrected Abs)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171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664260717410324E-2"/>
          <c:y val="7.407407407407407E-2"/>
          <c:w val="0.8522246281714785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Result!$C$4:$C$14</c:f>
              <c:numCache>
                <c:formatCode>General</c:formatCode>
                <c:ptCount val="11"/>
                <c:pt idx="1">
                  <c:v>12</c:v>
                </c:pt>
                <c:pt idx="2">
                  <c:v>37</c:v>
                </c:pt>
                <c:pt idx="3">
                  <c:v>65</c:v>
                </c:pt>
                <c:pt idx="4">
                  <c:v>125</c:v>
                </c:pt>
                <c:pt idx="5">
                  <c:v>184</c:v>
                </c:pt>
                <c:pt idx="6">
                  <c:v>250</c:v>
                </c:pt>
                <c:pt idx="7">
                  <c:v>313</c:v>
                </c:pt>
                <c:pt idx="8">
                  <c:v>370</c:v>
                </c:pt>
                <c:pt idx="9">
                  <c:v>428</c:v>
                </c:pt>
                <c:pt idx="10">
                  <c:v>492</c:v>
                </c:pt>
              </c:numCache>
            </c:numRef>
          </c:xVal>
          <c:yVal>
            <c:numRef>
              <c:f>Result!$G$4:$G$14</c:f>
              <c:numCache>
                <c:formatCode>0.00</c:formatCode>
                <c:ptCount val="11"/>
                <c:pt idx="1">
                  <c:v>34.339210106198379</c:v>
                </c:pt>
                <c:pt idx="2">
                  <c:v>33.957451238981058</c:v>
                </c:pt>
                <c:pt idx="3">
                  <c:v>33.346637051433333</c:v>
                </c:pt>
                <c:pt idx="4">
                  <c:v>31.476018602068443</c:v>
                </c:pt>
                <c:pt idx="5">
                  <c:v>28.345595890886379</c:v>
                </c:pt>
                <c:pt idx="6">
                  <c:v>23.993544804608874</c:v>
                </c:pt>
                <c:pt idx="7">
                  <c:v>19.107031304227114</c:v>
                </c:pt>
                <c:pt idx="8">
                  <c:v>14.754980217949608</c:v>
                </c:pt>
                <c:pt idx="9">
                  <c:v>11.242798639550221</c:v>
                </c:pt>
                <c:pt idx="10">
                  <c:v>7.9596723814812256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76-0043-BA4C-C5564F2D9C4E}"/>
            </c:ext>
          </c:extLst>
        </c:ser>
        <c:ser>
          <c:idx val="1"/>
          <c:order val="1"/>
          <c:tx>
            <c:v>20%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894743723302561E-2"/>
                  <c:y val="0.19017413328065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Result!$C$5:$C$8</c:f>
              <c:numCache>
                <c:formatCode>General</c:formatCode>
                <c:ptCount val="4"/>
                <c:pt idx="0">
                  <c:v>12</c:v>
                </c:pt>
                <c:pt idx="1">
                  <c:v>37</c:v>
                </c:pt>
                <c:pt idx="2">
                  <c:v>65</c:v>
                </c:pt>
                <c:pt idx="3">
                  <c:v>125</c:v>
                </c:pt>
              </c:numCache>
            </c:numRef>
          </c:xVal>
          <c:yVal>
            <c:numRef>
              <c:f>Result!$G$5:$G$8</c:f>
              <c:numCache>
                <c:formatCode>0.00</c:formatCode>
                <c:ptCount val="4"/>
                <c:pt idx="0">
                  <c:v>34.339210106198379</c:v>
                </c:pt>
                <c:pt idx="1">
                  <c:v>33.957451238981058</c:v>
                </c:pt>
                <c:pt idx="2">
                  <c:v>33.346637051433333</c:v>
                </c:pt>
                <c:pt idx="3">
                  <c:v>31.476018602068443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27-B748-9FB6-10B29AB8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664260717410324E-2"/>
          <c:y val="7.407407407407407E-2"/>
          <c:w val="0.85222462817147859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Result!$C$20:$C$30</c:f>
              <c:numCache>
                <c:formatCode>General</c:formatCode>
                <c:ptCount val="11"/>
                <c:pt idx="1">
                  <c:v>12</c:v>
                </c:pt>
                <c:pt idx="2">
                  <c:v>33</c:v>
                </c:pt>
                <c:pt idx="3">
                  <c:v>61</c:v>
                </c:pt>
                <c:pt idx="4">
                  <c:v>130</c:v>
                </c:pt>
                <c:pt idx="5">
                  <c:v>183</c:v>
                </c:pt>
                <c:pt idx="6">
                  <c:v>251</c:v>
                </c:pt>
                <c:pt idx="7">
                  <c:v>305</c:v>
                </c:pt>
                <c:pt idx="8">
                  <c:v>362</c:v>
                </c:pt>
                <c:pt idx="9">
                  <c:v>424</c:v>
                </c:pt>
                <c:pt idx="10">
                  <c:v>481</c:v>
                </c:pt>
              </c:numCache>
            </c:numRef>
          </c:xVal>
          <c:yVal>
            <c:numRef>
              <c:f>Result!$G$20:$G$30</c:f>
              <c:numCache>
                <c:formatCode>0.00</c:formatCode>
                <c:ptCount val="11"/>
                <c:pt idx="1">
                  <c:v>27.658429929895192</c:v>
                </c:pt>
                <c:pt idx="2">
                  <c:v>27.123967515790937</c:v>
                </c:pt>
                <c:pt idx="3">
                  <c:v>26.589505101686683</c:v>
                </c:pt>
                <c:pt idx="4">
                  <c:v>24.871590199208718</c:v>
                </c:pt>
                <c:pt idx="5">
                  <c:v>23.115499410009026</c:v>
                </c:pt>
                <c:pt idx="6">
                  <c:v>20.061428472270425</c:v>
                </c:pt>
                <c:pt idx="7">
                  <c:v>17.503644061914351</c:v>
                </c:pt>
                <c:pt idx="8">
                  <c:v>14.487749010897481</c:v>
                </c:pt>
                <c:pt idx="9">
                  <c:v>11.548205733324078</c:v>
                </c:pt>
                <c:pt idx="10">
                  <c:v>8.9140695495245392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83-B949-AEA7-EEAB378E445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526115485564306"/>
                  <c:y val="-0.16559966462525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Result!$C$21:$C$23</c:f>
              <c:numCache>
                <c:formatCode>General</c:formatCode>
                <c:ptCount val="3"/>
                <c:pt idx="0">
                  <c:v>12</c:v>
                </c:pt>
                <c:pt idx="1">
                  <c:v>33</c:v>
                </c:pt>
                <c:pt idx="2">
                  <c:v>61</c:v>
                </c:pt>
              </c:numCache>
            </c:numRef>
          </c:xVal>
          <c:yVal>
            <c:numRef>
              <c:f>Result!$G$21:$G$23</c:f>
              <c:numCache>
                <c:formatCode>0.00</c:formatCode>
                <c:ptCount val="3"/>
                <c:pt idx="0">
                  <c:v>27.658429929895192</c:v>
                </c:pt>
                <c:pt idx="1">
                  <c:v>27.123967515790937</c:v>
                </c:pt>
                <c:pt idx="2">
                  <c:v>26.589505101686683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83-B949-AEA7-EEAB378E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664260717410324E-2"/>
          <c:y val="7.407407407407407E-2"/>
          <c:w val="0.85222462817147859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Result!$C$36:$C$46</c:f>
              <c:numCache>
                <c:formatCode>General</c:formatCode>
                <c:ptCount val="11"/>
                <c:pt idx="0">
                  <c:v>0</c:v>
                </c:pt>
                <c:pt idx="1">
                  <c:v>13</c:v>
                </c:pt>
                <c:pt idx="2">
                  <c:v>30</c:v>
                </c:pt>
                <c:pt idx="3">
                  <c:v>61</c:v>
                </c:pt>
                <c:pt idx="4">
                  <c:v>122</c:v>
                </c:pt>
                <c:pt idx="5">
                  <c:v>184</c:v>
                </c:pt>
                <c:pt idx="6">
                  <c:v>241</c:v>
                </c:pt>
                <c:pt idx="7">
                  <c:v>311</c:v>
                </c:pt>
                <c:pt idx="8">
                  <c:v>363</c:v>
                </c:pt>
                <c:pt idx="9">
                  <c:v>424</c:v>
                </c:pt>
                <c:pt idx="10">
                  <c:v>483</c:v>
                </c:pt>
              </c:numCache>
            </c:numRef>
          </c:xVal>
          <c:yVal>
            <c:numRef>
              <c:f>Result!$G$36:$G$46</c:f>
              <c:numCache>
                <c:formatCode>0.00</c:formatCode>
                <c:ptCount val="11"/>
                <c:pt idx="1">
                  <c:v>20.710418546539877</c:v>
                </c:pt>
                <c:pt idx="2">
                  <c:v>20.366835566044283</c:v>
                </c:pt>
                <c:pt idx="3">
                  <c:v>19.603317831609637</c:v>
                </c:pt>
                <c:pt idx="4">
                  <c:v>18.992503644061916</c:v>
                </c:pt>
                <c:pt idx="5">
                  <c:v>17.503644061914351</c:v>
                </c:pt>
                <c:pt idx="6">
                  <c:v>15.938432706323317</c:v>
                </c:pt>
                <c:pt idx="7">
                  <c:v>13.838758936628031</c:v>
                </c:pt>
                <c:pt idx="8">
                  <c:v>12.044492260706601</c:v>
                </c:pt>
                <c:pt idx="9">
                  <c:v>10.250225584785175</c:v>
                </c:pt>
                <c:pt idx="10">
                  <c:v>8.5704865690289456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6-9544-B2D1-B496549EF8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526115485564306"/>
                  <c:y val="-0.16559966462525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Result!$C$37:$C$40</c:f>
              <c:numCache>
                <c:formatCode>General</c:formatCode>
                <c:ptCount val="4"/>
                <c:pt idx="0">
                  <c:v>13</c:v>
                </c:pt>
                <c:pt idx="1">
                  <c:v>30</c:v>
                </c:pt>
                <c:pt idx="2">
                  <c:v>61</c:v>
                </c:pt>
                <c:pt idx="3">
                  <c:v>122</c:v>
                </c:pt>
              </c:numCache>
            </c:numRef>
          </c:xVal>
          <c:yVal>
            <c:numRef>
              <c:f>Result!$G$37:$G$40</c:f>
              <c:numCache>
                <c:formatCode>0.00</c:formatCode>
                <c:ptCount val="4"/>
                <c:pt idx="0">
                  <c:v>20.710418546539877</c:v>
                </c:pt>
                <c:pt idx="1">
                  <c:v>20.366835566044283</c:v>
                </c:pt>
                <c:pt idx="2">
                  <c:v>19.603317831609637</c:v>
                </c:pt>
                <c:pt idx="3">
                  <c:v>18.992503644061916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A6-9544-B2D1-B496549E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664260717410324E-2"/>
          <c:y val="7.407407407407407E-2"/>
          <c:w val="0.85222462817147859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Result!$C$52:$C$62</c:f>
              <c:numCache>
                <c:formatCode>General</c:formatCode>
                <c:ptCount val="11"/>
                <c:pt idx="0">
                  <c:v>0</c:v>
                </c:pt>
                <c:pt idx="1">
                  <c:v>11</c:v>
                </c:pt>
                <c:pt idx="2">
                  <c:v>36</c:v>
                </c:pt>
                <c:pt idx="3">
                  <c:v>62</c:v>
                </c:pt>
                <c:pt idx="4">
                  <c:v>124</c:v>
                </c:pt>
                <c:pt idx="5">
                  <c:v>180</c:v>
                </c:pt>
                <c:pt idx="6">
                  <c:v>245</c:v>
                </c:pt>
                <c:pt idx="7">
                  <c:v>303</c:v>
                </c:pt>
                <c:pt idx="8">
                  <c:v>370</c:v>
                </c:pt>
                <c:pt idx="9">
                  <c:v>422</c:v>
                </c:pt>
                <c:pt idx="10">
                  <c:v>485</c:v>
                </c:pt>
              </c:numCache>
            </c:numRef>
          </c:xVal>
          <c:yVal>
            <c:numRef>
              <c:f>Result!$G$52:$G$62</c:f>
              <c:numCache>
                <c:formatCode>0.00</c:formatCode>
                <c:ptCount val="11"/>
                <c:pt idx="1">
                  <c:v>13.647879503019368</c:v>
                </c:pt>
                <c:pt idx="2">
                  <c:v>13.266120635802043</c:v>
                </c:pt>
                <c:pt idx="3">
                  <c:v>13.22794474908031</c:v>
                </c:pt>
                <c:pt idx="4">
                  <c:v>12.464427014645659</c:v>
                </c:pt>
                <c:pt idx="5">
                  <c:v>11.968140487263137</c:v>
                </c:pt>
                <c:pt idx="6">
                  <c:v>10.975567432498092</c:v>
                </c:pt>
                <c:pt idx="7">
                  <c:v>10.288401471506907</c:v>
                </c:pt>
                <c:pt idx="8">
                  <c:v>9.1813007565766647</c:v>
                </c:pt>
                <c:pt idx="9">
                  <c:v>8.4177830221420162</c:v>
                </c:pt>
                <c:pt idx="10">
                  <c:v>7.2725064204900409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6F-F848-8D50-E6A69894154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526115485564306"/>
                  <c:y val="-0.16559966462525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Result!$C$53:$C$56</c:f>
              <c:numCache>
                <c:formatCode>General</c:formatCode>
                <c:ptCount val="4"/>
                <c:pt idx="0">
                  <c:v>11</c:v>
                </c:pt>
                <c:pt idx="1">
                  <c:v>36</c:v>
                </c:pt>
                <c:pt idx="2">
                  <c:v>62</c:v>
                </c:pt>
                <c:pt idx="3">
                  <c:v>124</c:v>
                </c:pt>
              </c:numCache>
            </c:numRef>
          </c:xVal>
          <c:yVal>
            <c:numRef>
              <c:f>Result!$G$53:$G$56</c:f>
              <c:numCache>
                <c:formatCode>0.00</c:formatCode>
                <c:ptCount val="4"/>
                <c:pt idx="0">
                  <c:v>13.647879503019368</c:v>
                </c:pt>
                <c:pt idx="1">
                  <c:v>13.266120635802043</c:v>
                </c:pt>
                <c:pt idx="2">
                  <c:v>13.22794474908031</c:v>
                </c:pt>
                <c:pt idx="3">
                  <c:v>12.464427014645659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6F-F848-8D50-E6A69894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7743"/>
        <c:axId val="443617215"/>
      </c:scatterChart>
      <c:valAx>
        <c:axId val="41254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17215"/>
        <c:crosses val="autoZero"/>
        <c:crossBetween val="midCat"/>
      </c:valAx>
      <c:valAx>
        <c:axId val="4436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831057</xdr:colOff>
      <xdr:row>8</xdr:row>
      <xdr:rowOff>187324</xdr:rowOff>
    </xdr:from>
    <xdr:to>
      <xdr:col>4</xdr:col>
      <xdr:colOff>831056</xdr:colOff>
      <xdr:row>22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86ECA-CDA2-6F4B-8CF1-0E234E69E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11907</xdr:colOff>
      <xdr:row>10</xdr:row>
      <xdr:rowOff>82549</xdr:rowOff>
    </xdr:from>
    <xdr:to>
      <xdr:col>5</xdr:col>
      <xdr:colOff>173382</xdr:colOff>
      <xdr:row>30</xdr:row>
      <xdr:rowOff>142174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28ED2-4AF2-524B-BC0C-C7FDE184C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12700</xdr:colOff>
      <xdr:row>10</xdr:row>
      <xdr:rowOff>190500</xdr:rowOff>
    </xdr:from>
    <xdr:to>
      <xdr:col>26</xdr:col>
      <xdr:colOff>158172</xdr:colOff>
      <xdr:row>24</xdr:row>
      <xdr:rowOff>155936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7CDF72-D89E-AC48-A893-B2976C422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15875</xdr:colOff>
      <xdr:row>0</xdr:row>
      <xdr:rowOff>9522</xdr:rowOff>
    </xdr:from>
    <xdr:to>
      <xdr:col>18</xdr:col>
      <xdr:colOff>386291</xdr:colOff>
      <xdr:row>13</xdr:row>
      <xdr:rowOff>138639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9C145-D8D0-B6A2-EE19-3AE4307FF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10583</xdr:colOff>
      <xdr:row>16</xdr:row>
      <xdr:rowOff>0</xdr:rowOff>
    </xdr:from>
    <xdr:to>
      <xdr:col>18</xdr:col>
      <xdr:colOff>380999</xdr:colOff>
      <xdr:row>29</xdr:row>
      <xdr:rowOff>118534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309C21-FA50-874B-8F78-2A40182B8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10584</xdr:colOff>
      <xdr:row>32</xdr:row>
      <xdr:rowOff>10583</xdr:rowOff>
    </xdr:from>
    <xdr:to>
      <xdr:col>18</xdr:col>
      <xdr:colOff>381000</xdr:colOff>
      <xdr:row>45</xdr:row>
      <xdr:rowOff>139699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E47DA5-A425-9647-9E76-1096AA8B5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10583</xdr:colOff>
      <xdr:row>48</xdr:row>
      <xdr:rowOff>0</xdr:rowOff>
    </xdr:from>
    <xdr:to>
      <xdr:col>18</xdr:col>
      <xdr:colOff>380999</xdr:colOff>
      <xdr:row>61</xdr:row>
      <xdr:rowOff>118533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B76CB6-97F0-8E4A-83C8-DB0C11677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1B50-76A9-1B48-BF2E-C9871973AE14}">
  <sheetPr codeName="Sheet1"/>
  <dimension ref="B1:E38"/>
  <sheetViews>
    <sheetView zoomScale="110" zoomScaleNormal="110" workbookViewId="0">
      <selection activeCell="K17" sqref="K17"/>
    </sheetView>
  </sheetViews>
  <sheetFormatPr baseColWidth="10" defaultColWidth="11" defaultRowHeight="16" x14ac:dyDescent="0.2"/>
  <cols>
    <col min="4" max="4" width="12.6640625" customWidth="1"/>
    <col min="5" max="5" width="11" customWidth="1"/>
  </cols>
  <sheetData>
    <row r="1" spans="2:5" x14ac:dyDescent="0.2">
      <c r="B1" s="1" t="s">
        <v>0</v>
      </c>
    </row>
    <row r="2" spans="2:5" s="7" customFormat="1" x14ac:dyDescent="0.2">
      <c r="B2" s="24">
        <v>44964</v>
      </c>
      <c r="C2" s="4"/>
      <c r="D2" s="4"/>
      <c r="E2" s="4"/>
    </row>
    <row r="3" spans="2:5" s="1" customFormat="1" x14ac:dyDescent="0.2">
      <c r="B3" s="5"/>
      <c r="C3" s="11"/>
      <c r="D3" s="11"/>
      <c r="E3" s="11"/>
    </row>
    <row r="4" spans="2:5" s="7" customFormat="1" ht="17" thickBot="1" x14ac:dyDescent="0.25">
      <c r="B4" s="11" t="s">
        <v>1</v>
      </c>
      <c r="C4" s="11" t="s">
        <v>2</v>
      </c>
      <c r="D4" s="4"/>
      <c r="E4" s="4"/>
    </row>
    <row r="5" spans="2:5" s="7" customFormat="1" x14ac:dyDescent="0.2">
      <c r="B5" s="23">
        <v>4</v>
      </c>
      <c r="C5" s="22">
        <v>167</v>
      </c>
      <c r="D5" s="4"/>
      <c r="E5" s="4"/>
    </row>
    <row r="6" spans="2:5" s="7" customFormat="1" x14ac:dyDescent="0.2">
      <c r="B6" s="21">
        <v>7</v>
      </c>
      <c r="C6" s="20">
        <v>-7</v>
      </c>
      <c r="D6" s="4"/>
      <c r="E6" s="4"/>
    </row>
    <row r="7" spans="2:5" s="7" customFormat="1" x14ac:dyDescent="0.2">
      <c r="B7" s="21">
        <v>10</v>
      </c>
      <c r="C7" s="20">
        <v>-177</v>
      </c>
      <c r="D7" s="4"/>
      <c r="E7" s="4"/>
    </row>
    <row r="8" spans="2:5" s="7" customFormat="1" ht="17" thickBot="1" x14ac:dyDescent="0.25">
      <c r="B8" s="19">
        <v>12</v>
      </c>
      <c r="C8" s="18">
        <v>-290</v>
      </c>
      <c r="D8" s="4"/>
      <c r="E8" s="4"/>
    </row>
    <row r="9" spans="2:5" x14ac:dyDescent="0.2">
      <c r="B9" s="13"/>
      <c r="C9" s="13"/>
      <c r="D9" s="13"/>
      <c r="E9" s="13"/>
    </row>
    <row r="25" spans="2:5" x14ac:dyDescent="0.2">
      <c r="B25" s="1" t="s">
        <v>3</v>
      </c>
      <c r="C25" s="15"/>
      <c r="D25" s="15"/>
    </row>
    <row r="26" spans="2:5" x14ac:dyDescent="0.2">
      <c r="B26" t="s">
        <v>4</v>
      </c>
      <c r="C26" s="15" t="s">
        <v>5</v>
      </c>
      <c r="D26" s="16" cm="1">
        <f t="array" ref="D26:E30">LINEST(C5:C8,B5:B8,,TRUE)</f>
        <v>-57.095238095238088</v>
      </c>
      <c r="E26">
        <v>394.28571428571422</v>
      </c>
    </row>
    <row r="27" spans="2:5" x14ac:dyDescent="0.2">
      <c r="B27" t="s">
        <v>6</v>
      </c>
      <c r="C27" s="15" t="s">
        <v>7</v>
      </c>
      <c r="D27" s="16">
        <v>0.25197631533947906</v>
      </c>
      <c r="E27">
        <v>2.2146697055682325</v>
      </c>
    </row>
    <row r="28" spans="2:5" x14ac:dyDescent="0.2">
      <c r="B28" t="s">
        <v>8</v>
      </c>
      <c r="C28" s="15" t="s">
        <v>9</v>
      </c>
      <c r="D28" s="15">
        <v>0.99996104773252592</v>
      </c>
      <c r="E28">
        <v>1.5275252316519123</v>
      </c>
    </row>
    <row r="29" spans="2:5" x14ac:dyDescent="0.2">
      <c r="B29" t="s">
        <v>10</v>
      </c>
      <c r="C29" s="15" t="s">
        <v>11</v>
      </c>
      <c r="D29" s="15">
        <v>51342.892857145169</v>
      </c>
      <c r="E29">
        <v>2</v>
      </c>
    </row>
    <row r="30" spans="2:5" x14ac:dyDescent="0.2">
      <c r="B30" t="s">
        <v>12</v>
      </c>
      <c r="C30" s="15" t="s">
        <v>13</v>
      </c>
      <c r="D30" s="15">
        <v>119800.08333333333</v>
      </c>
      <c r="E30">
        <v>4.6666666666664565</v>
      </c>
    </row>
    <row r="31" spans="2:5" x14ac:dyDescent="0.2">
      <c r="B31" s="13"/>
      <c r="C31" s="13"/>
      <c r="D31" s="13"/>
      <c r="E31" s="13"/>
    </row>
    <row r="32" spans="2:5" x14ac:dyDescent="0.2">
      <c r="B32" s="13"/>
      <c r="C32" s="13" t="s">
        <v>39</v>
      </c>
      <c r="D32" s="13"/>
      <c r="E32" s="13"/>
    </row>
    <row r="33" spans="2:3" x14ac:dyDescent="0.2">
      <c r="B33" t="s">
        <v>14</v>
      </c>
      <c r="C33">
        <v>7.5</v>
      </c>
    </row>
    <row r="34" spans="2:3" x14ac:dyDescent="0.2">
      <c r="B34" t="s">
        <v>15</v>
      </c>
      <c r="C34">
        <f>(C33*$D$26)+$E$26</f>
        <v>-33.928571428571445</v>
      </c>
    </row>
    <row r="35" spans="2:3" x14ac:dyDescent="0.2">
      <c r="B35" t="s">
        <v>16</v>
      </c>
      <c r="C35">
        <v>-34</v>
      </c>
    </row>
    <row r="36" spans="2:3" x14ac:dyDescent="0.2">
      <c r="B36" t="s">
        <v>17</v>
      </c>
      <c r="C36">
        <f>(C35-E26)/D26</f>
        <v>7.5012510425354462</v>
      </c>
    </row>
    <row r="38" spans="2:3" x14ac:dyDescent="0.2">
      <c r="C38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2152-2D69-404A-8517-07EA059A3E65}">
  <sheetPr codeName="Sheet2"/>
  <dimension ref="B1:CM52"/>
  <sheetViews>
    <sheetView topLeftCell="V8" zoomScaleNormal="100" workbookViewId="0">
      <selection activeCell="AE19" sqref="AE19"/>
    </sheetView>
  </sheetViews>
  <sheetFormatPr baseColWidth="10" defaultColWidth="11" defaultRowHeight="16" x14ac:dyDescent="0.2"/>
  <cols>
    <col min="2" max="2" width="12.1640625" customWidth="1"/>
    <col min="12" max="12" width="12.1640625" customWidth="1"/>
    <col min="17" max="17" width="12.1640625" customWidth="1"/>
    <col min="22" max="22" width="11.6640625" customWidth="1"/>
    <col min="27" max="27" width="11.6640625" customWidth="1"/>
    <col min="32" max="32" width="12" customWidth="1"/>
    <col min="37" max="37" width="12.6640625" customWidth="1"/>
    <col min="42" max="42" width="12.6640625" customWidth="1"/>
    <col min="47" max="47" width="12.6640625" customWidth="1"/>
    <col min="52" max="52" width="12.33203125" customWidth="1"/>
    <col min="57" max="57" width="12.1640625" customWidth="1"/>
    <col min="62" max="62" width="12.1640625" customWidth="1"/>
    <col min="67" max="67" width="12.33203125" customWidth="1"/>
    <col min="72" max="72" width="12" customWidth="1"/>
    <col min="77" max="77" width="12" customWidth="1"/>
    <col min="82" max="82" width="12" customWidth="1"/>
    <col min="87" max="87" width="11.6640625" customWidth="1"/>
  </cols>
  <sheetData>
    <row r="1" spans="2:91" x14ac:dyDescent="0.2">
      <c r="B1" s="1" t="s">
        <v>18</v>
      </c>
      <c r="W1" s="1" t="s">
        <v>18</v>
      </c>
    </row>
    <row r="2" spans="2:91" s="7" customFormat="1" x14ac:dyDescent="0.2">
      <c r="B2" s="2">
        <v>44964</v>
      </c>
      <c r="C2" s="3"/>
      <c r="D2" s="3"/>
      <c r="E2" s="3"/>
      <c r="F2" s="4"/>
      <c r="G2" s="5"/>
      <c r="H2" s="4"/>
      <c r="I2" s="4"/>
      <c r="J2" s="4"/>
      <c r="K2" s="4"/>
      <c r="L2" s="6"/>
      <c r="Q2" s="6"/>
      <c r="V2" s="6"/>
      <c r="W2" s="49">
        <v>44328</v>
      </c>
      <c r="AA2" s="2"/>
      <c r="AB2" s="8"/>
      <c r="AC2" s="8"/>
      <c r="AD2" s="8"/>
      <c r="AE2" s="8"/>
      <c r="AF2" s="2"/>
      <c r="AG2" s="8"/>
      <c r="AH2" s="8"/>
      <c r="AI2" s="8"/>
      <c r="AJ2" s="8"/>
      <c r="AK2" s="2"/>
      <c r="AL2" s="8"/>
      <c r="AM2" s="8"/>
      <c r="AN2" s="8"/>
      <c r="AO2" s="8"/>
      <c r="AP2" s="2"/>
      <c r="AQ2" s="8"/>
      <c r="AR2" s="8"/>
      <c r="AS2" s="8"/>
      <c r="AT2" s="8"/>
      <c r="AU2" s="2"/>
      <c r="AV2" s="8"/>
      <c r="AW2" s="8"/>
      <c r="AX2" s="8"/>
      <c r="AY2" s="8"/>
      <c r="AZ2" s="2"/>
      <c r="BA2" s="8"/>
      <c r="BB2" s="8"/>
      <c r="BC2" s="8"/>
      <c r="BD2" s="8"/>
      <c r="BE2" s="2"/>
      <c r="BF2" s="9"/>
      <c r="BG2" s="8"/>
      <c r="BH2" s="8"/>
      <c r="BI2" s="8"/>
      <c r="BJ2" s="2"/>
      <c r="BK2" s="9"/>
      <c r="BL2" s="8"/>
      <c r="BM2" s="8"/>
      <c r="BN2" s="8"/>
      <c r="BO2" s="2"/>
      <c r="BP2" s="8"/>
      <c r="BQ2" s="8"/>
      <c r="BR2" s="8"/>
      <c r="BS2" s="8"/>
      <c r="BT2" s="2"/>
      <c r="BU2" s="9"/>
      <c r="BV2" s="8"/>
      <c r="BW2" s="8"/>
      <c r="BX2" s="8"/>
      <c r="BY2" s="2"/>
      <c r="BZ2" s="9"/>
      <c r="CA2" s="8"/>
      <c r="CB2" s="8"/>
      <c r="CC2" s="8"/>
      <c r="CD2" s="2"/>
      <c r="CE2" s="9"/>
      <c r="CF2" s="8"/>
      <c r="CG2" s="8"/>
      <c r="CH2" s="8"/>
      <c r="CI2" s="2"/>
      <c r="CJ2" s="3"/>
      <c r="CK2" s="3"/>
      <c r="CL2" s="3"/>
      <c r="CM2" s="8"/>
    </row>
    <row r="3" spans="2:91" s="1" customFormat="1" x14ac:dyDescent="0.2">
      <c r="B3" s="10" t="s">
        <v>19</v>
      </c>
      <c r="C3" s="10"/>
      <c r="D3" s="10"/>
      <c r="E3" s="10"/>
      <c r="F3" s="11"/>
      <c r="G3" s="11"/>
      <c r="H3" s="11"/>
      <c r="I3" s="11"/>
      <c r="J3" s="11"/>
      <c r="K3" s="11"/>
      <c r="W3" s="1" t="s">
        <v>19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</row>
    <row r="4" spans="2:91" s="7" customFormat="1" x14ac:dyDescent="0.2">
      <c r="B4" s="4"/>
      <c r="C4" s="12" t="s">
        <v>20</v>
      </c>
      <c r="D4" s="4" t="s">
        <v>21</v>
      </c>
      <c r="E4" s="4" t="s">
        <v>22</v>
      </c>
      <c r="F4" s="4"/>
      <c r="G4" s="4"/>
      <c r="H4" s="12"/>
      <c r="I4" s="4"/>
      <c r="J4" s="4"/>
      <c r="K4" s="4"/>
      <c r="L4" s="4"/>
      <c r="M4" s="12"/>
      <c r="N4" s="4"/>
      <c r="O4" s="4"/>
      <c r="P4" s="4"/>
      <c r="Q4" s="4"/>
      <c r="R4" s="12"/>
      <c r="S4" s="4"/>
      <c r="T4" s="4"/>
      <c r="U4" s="4"/>
      <c r="V4" s="4"/>
      <c r="W4" s="4"/>
      <c r="X4" s="4" t="s">
        <v>20</v>
      </c>
      <c r="Y4" s="4" t="s">
        <v>21</v>
      </c>
      <c r="Z4" s="4" t="s">
        <v>22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12"/>
      <c r="BB4" s="4"/>
      <c r="BC4" s="4"/>
      <c r="BD4" s="4"/>
      <c r="BE4" s="4"/>
      <c r="BF4" s="12"/>
      <c r="BG4" s="4"/>
      <c r="BH4" s="4"/>
      <c r="BI4" s="4"/>
      <c r="BJ4" s="4"/>
      <c r="BK4" s="12"/>
      <c r="BL4" s="4"/>
      <c r="BM4" s="4"/>
      <c r="BN4" s="4"/>
      <c r="BO4" s="4"/>
      <c r="BP4" s="12"/>
      <c r="BQ4" s="4"/>
      <c r="BR4" s="4"/>
      <c r="BS4" s="4"/>
      <c r="BT4" s="4"/>
      <c r="BU4" s="12"/>
      <c r="BV4" s="4"/>
      <c r="BW4" s="4"/>
      <c r="BX4" s="4"/>
      <c r="BY4" s="4"/>
      <c r="BZ4" s="12"/>
      <c r="CA4" s="4"/>
      <c r="CB4" s="4"/>
      <c r="CC4" s="4"/>
      <c r="CD4" s="4"/>
      <c r="CE4" s="12"/>
      <c r="CF4" s="4"/>
      <c r="CG4" s="4"/>
      <c r="CH4" s="4"/>
      <c r="CI4" s="4"/>
      <c r="CJ4" s="12"/>
      <c r="CK4" s="4"/>
      <c r="CL4" s="4"/>
      <c r="CM4" s="4"/>
    </row>
    <row r="5" spans="2:91" s="7" customFormat="1" x14ac:dyDescent="0.2">
      <c r="B5" s="4" t="s">
        <v>23</v>
      </c>
      <c r="C5" s="26">
        <v>0</v>
      </c>
      <c r="D5" s="27">
        <v>6.2E-2</v>
      </c>
      <c r="E5" s="28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23</v>
      </c>
      <c r="X5" s="26">
        <v>0</v>
      </c>
      <c r="Y5" s="36">
        <v>6.2E-2</v>
      </c>
      <c r="Z5" s="37">
        <v>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</row>
    <row r="6" spans="2:91" s="7" customFormat="1" x14ac:dyDescent="0.2">
      <c r="B6" s="4" t="s">
        <v>24</v>
      </c>
      <c r="C6" s="29">
        <v>10</v>
      </c>
      <c r="D6">
        <v>0.32200000000000001</v>
      </c>
      <c r="E6" s="30">
        <v>0.26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 t="s">
        <v>24</v>
      </c>
      <c r="X6" s="29">
        <v>10</v>
      </c>
      <c r="Y6" s="4">
        <v>0.32200000000000001</v>
      </c>
      <c r="Z6" s="38">
        <v>0.26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</row>
    <row r="7" spans="2:91" s="7" customFormat="1" x14ac:dyDescent="0.2">
      <c r="B7" s="4" t="s">
        <v>25</v>
      </c>
      <c r="C7" s="29">
        <v>20</v>
      </c>
      <c r="D7">
        <v>0.61299999999999999</v>
      </c>
      <c r="E7" s="30">
        <v>0.55100000000000005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 t="s">
        <v>25</v>
      </c>
      <c r="X7" s="29">
        <v>20</v>
      </c>
      <c r="Y7" s="4">
        <v>0.61299999999999999</v>
      </c>
      <c r="Z7" s="38">
        <v>0.55100000000000005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</row>
    <row r="8" spans="2:91" s="7" customFormat="1" x14ac:dyDescent="0.2">
      <c r="B8" s="4" t="s">
        <v>26</v>
      </c>
      <c r="C8" s="29">
        <v>30</v>
      </c>
      <c r="D8">
        <v>0.86899999999999999</v>
      </c>
      <c r="E8" s="30">
        <v>0.80700000000000005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26</v>
      </c>
      <c r="X8" s="29">
        <v>30</v>
      </c>
      <c r="Y8" s="4">
        <v>0.86899999999999999</v>
      </c>
      <c r="Z8" s="38">
        <v>0.80700000000000005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</row>
    <row r="9" spans="2:91" s="7" customFormat="1" x14ac:dyDescent="0.2">
      <c r="B9" s="4" t="s">
        <v>27</v>
      </c>
      <c r="C9" s="29">
        <v>40</v>
      </c>
      <c r="D9">
        <v>1.123</v>
      </c>
      <c r="E9" s="30">
        <v>1.0609999999999999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 t="s">
        <v>27</v>
      </c>
      <c r="X9" s="29">
        <v>40</v>
      </c>
      <c r="Y9" s="4">
        <v>1.123</v>
      </c>
      <c r="Z9" s="38">
        <v>1.0609999999999999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</row>
    <row r="10" spans="2:91" s="7" customFormat="1" x14ac:dyDescent="0.2">
      <c r="B10" s="4" t="s">
        <v>28</v>
      </c>
      <c r="C10" s="31">
        <v>50</v>
      </c>
      <c r="D10" s="32">
        <v>1.3380000000000001</v>
      </c>
      <c r="E10" s="33">
        <v>1.276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 t="s">
        <v>28</v>
      </c>
      <c r="X10" s="31">
        <v>50</v>
      </c>
      <c r="Y10" s="39">
        <v>1.3380000000000001</v>
      </c>
      <c r="Z10" s="40">
        <v>1.276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</row>
    <row r="11" spans="2:9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AA11" s="14"/>
      <c r="AB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</row>
    <row r="12" spans="2:91" x14ac:dyDescent="0.2">
      <c r="W12" s="14"/>
    </row>
    <row r="13" spans="2:91" x14ac:dyDescent="0.2">
      <c r="W13" s="14"/>
    </row>
    <row r="14" spans="2:91" x14ac:dyDescent="0.2">
      <c r="W14" s="14"/>
    </row>
    <row r="15" spans="2:91" x14ac:dyDescent="0.2">
      <c r="W15" s="14"/>
    </row>
    <row r="16" spans="2:91" x14ac:dyDescent="0.2">
      <c r="W16" s="14"/>
    </row>
    <row r="17" spans="2:26" x14ac:dyDescent="0.2">
      <c r="W17" s="14"/>
    </row>
    <row r="27" spans="2:26" x14ac:dyDescent="0.2">
      <c r="W27" t="s">
        <v>3</v>
      </c>
    </row>
    <row r="28" spans="2:26" x14ac:dyDescent="0.2">
      <c r="W28" t="s">
        <v>4</v>
      </c>
      <c r="X28" t="s">
        <v>5</v>
      </c>
      <c r="Y28" s="14" cm="1">
        <f t="array" ref="Y28:Z32">LINEST(Z5:Z10,X5:X10,FALSE,TRUE)</f>
        <v>2.6194545454545453E-2</v>
      </c>
      <c r="Z28">
        <v>0</v>
      </c>
    </row>
    <row r="29" spans="2:26" x14ac:dyDescent="0.2">
      <c r="W29" t="s">
        <v>6</v>
      </c>
      <c r="X29" t="s">
        <v>7</v>
      </c>
      <c r="Y29">
        <v>3.0144116649771666E-4</v>
      </c>
      <c r="Z29" t="e">
        <v>#N/A</v>
      </c>
    </row>
    <row r="30" spans="2:26" x14ac:dyDescent="0.2">
      <c r="W30" t="s">
        <v>8</v>
      </c>
      <c r="X30" t="s">
        <v>9</v>
      </c>
      <c r="Y30">
        <v>0.99933829270360053</v>
      </c>
      <c r="Z30">
        <v>2.2355475229287183E-2</v>
      </c>
    </row>
    <row r="31" spans="2:26" x14ac:dyDescent="0.2">
      <c r="W31" t="s">
        <v>10</v>
      </c>
      <c r="X31" t="s">
        <v>11</v>
      </c>
      <c r="Y31">
        <v>7551.2110727902445</v>
      </c>
      <c r="Z31">
        <v>5</v>
      </c>
    </row>
    <row r="32" spans="2:26" x14ac:dyDescent="0.2">
      <c r="B32" s="1" t="s">
        <v>3</v>
      </c>
      <c r="C32" s="15"/>
      <c r="D32" s="15"/>
      <c r="W32" t="s">
        <v>12</v>
      </c>
      <c r="X32" t="s">
        <v>13</v>
      </c>
      <c r="Y32">
        <v>3.7738481636363641</v>
      </c>
      <c r="Z32">
        <v>2.4988363636363636E-3</v>
      </c>
    </row>
    <row r="33" spans="2:25" x14ac:dyDescent="0.2">
      <c r="B33" t="s">
        <v>4</v>
      </c>
      <c r="C33" s="15" t="s">
        <v>5</v>
      </c>
      <c r="D33" s="16" cm="1">
        <f t="array" ref="D33:E37">LINEST(E5:E10,C5:C10,,TRUE)</f>
        <v>2.5825714285714278E-2</v>
      </c>
      <c r="E33">
        <v>1.3523809523809716E-2</v>
      </c>
    </row>
    <row r="34" spans="2:25" x14ac:dyDescent="0.2">
      <c r="B34" t="s">
        <v>6</v>
      </c>
      <c r="C34" s="15" t="s">
        <v>7</v>
      </c>
      <c r="D34" s="16">
        <v>5.5416297119119872E-4</v>
      </c>
      <c r="E34">
        <v>1.6778117159547509E-2</v>
      </c>
      <c r="W34" t="s">
        <v>47</v>
      </c>
    </row>
    <row r="35" spans="2:25" x14ac:dyDescent="0.2">
      <c r="B35" t="s">
        <v>8</v>
      </c>
      <c r="C35" s="15" t="s">
        <v>9</v>
      </c>
      <c r="D35" s="17">
        <v>0.99816163734946028</v>
      </c>
      <c r="E35">
        <v>2.3182300309051523E-2</v>
      </c>
      <c r="X35" s="4" t="s">
        <v>21</v>
      </c>
      <c r="Y35" s="4" t="s">
        <v>20</v>
      </c>
    </row>
    <row r="36" spans="2:25" x14ac:dyDescent="0.2">
      <c r="B36" t="s">
        <v>10</v>
      </c>
      <c r="C36" s="15" t="s">
        <v>11</v>
      </c>
      <c r="D36" s="15">
        <v>2171.8492530436365</v>
      </c>
      <c r="E36">
        <v>4</v>
      </c>
      <c r="W36">
        <v>1</v>
      </c>
      <c r="X36">
        <v>0.04</v>
      </c>
      <c r="Y36" s="15">
        <f>X36/$Y$28</f>
        <v>1.5270354688692998</v>
      </c>
    </row>
    <row r="37" spans="2:25" x14ac:dyDescent="0.2">
      <c r="B37" t="s">
        <v>12</v>
      </c>
      <c r="C37" s="15" t="s">
        <v>13</v>
      </c>
      <c r="D37" s="15">
        <v>1.1671931571428571</v>
      </c>
      <c r="E37">
        <v>2.1496761904762013E-3</v>
      </c>
      <c r="W37">
        <v>2</v>
      </c>
      <c r="X37">
        <v>0.04</v>
      </c>
      <c r="Y37" s="15">
        <f t="shared" ref="Y37:Y45" si="0">X37/$Y$28</f>
        <v>1.5270354688692998</v>
      </c>
    </row>
    <row r="38" spans="2:25" x14ac:dyDescent="0.2">
      <c r="B38" t="s">
        <v>29</v>
      </c>
      <c r="D38">
        <f xml:space="preserve"> (1/LN(10))*(D34/-D33)</f>
        <v>-9.3190034475281475E-3</v>
      </c>
      <c r="W38">
        <v>3</v>
      </c>
      <c r="X38">
        <v>4.4999999999999998E-2</v>
      </c>
      <c r="Y38" s="15">
        <f t="shared" si="0"/>
        <v>1.7179149024779621</v>
      </c>
    </row>
    <row r="39" spans="2:25" x14ac:dyDescent="0.2">
      <c r="W39">
        <v>4</v>
      </c>
      <c r="X39">
        <v>4.4999999999999998E-2</v>
      </c>
      <c r="Y39" s="15">
        <f t="shared" si="0"/>
        <v>1.7179149024779621</v>
      </c>
    </row>
    <row r="40" spans="2:25" x14ac:dyDescent="0.2">
      <c r="W40">
        <v>5</v>
      </c>
      <c r="X40">
        <v>4.4999999999999998E-2</v>
      </c>
      <c r="Y40" s="15">
        <f t="shared" si="0"/>
        <v>1.7179149024779621</v>
      </c>
    </row>
    <row r="41" spans="2:25" x14ac:dyDescent="0.2">
      <c r="W41">
        <v>6</v>
      </c>
      <c r="X41">
        <v>4.3999999999999997E-2</v>
      </c>
      <c r="Y41" s="15">
        <f t="shared" si="0"/>
        <v>1.6797390157562295</v>
      </c>
    </row>
    <row r="42" spans="2:25" x14ac:dyDescent="0.2">
      <c r="W42">
        <v>7</v>
      </c>
      <c r="X42">
        <v>4.3999999999999997E-2</v>
      </c>
      <c r="Y42" s="15">
        <f t="shared" si="0"/>
        <v>1.6797390157562295</v>
      </c>
    </row>
    <row r="43" spans="2:25" x14ac:dyDescent="0.2">
      <c r="B43">
        <v>1</v>
      </c>
      <c r="C43">
        <v>0.04</v>
      </c>
      <c r="W43">
        <v>8</v>
      </c>
      <c r="X43">
        <v>4.3999999999999997E-2</v>
      </c>
      <c r="Y43" s="15">
        <f t="shared" si="0"/>
        <v>1.6797390157562295</v>
      </c>
    </row>
    <row r="44" spans="2:25" x14ac:dyDescent="0.2">
      <c r="B44">
        <v>2</v>
      </c>
      <c r="C44">
        <v>0.04</v>
      </c>
      <c r="W44">
        <v>9</v>
      </c>
      <c r="X44">
        <v>4.3999999999999997E-2</v>
      </c>
      <c r="Y44" s="15">
        <f t="shared" si="0"/>
        <v>1.6797390157562295</v>
      </c>
    </row>
    <row r="45" spans="2:25" x14ac:dyDescent="0.2">
      <c r="B45" s="4">
        <v>3</v>
      </c>
      <c r="C45" s="12">
        <v>4.4999999999999998E-2</v>
      </c>
      <c r="D45" s="4"/>
      <c r="E45" s="4"/>
      <c r="W45">
        <v>10</v>
      </c>
      <c r="X45">
        <v>4.3999999999999997E-2</v>
      </c>
      <c r="Y45" s="15">
        <f t="shared" si="0"/>
        <v>1.6797390157562295</v>
      </c>
    </row>
    <row r="46" spans="2:25" x14ac:dyDescent="0.2">
      <c r="B46" s="4">
        <v>4</v>
      </c>
      <c r="C46" s="4">
        <v>4.4999999999999998E-2</v>
      </c>
      <c r="D46" s="4"/>
      <c r="E46" s="4"/>
      <c r="W46" t="s">
        <v>44</v>
      </c>
      <c r="X46" s="15">
        <f>AVERAGE(X36:X45)</f>
        <v>4.349999999999999E-2</v>
      </c>
      <c r="Y46" s="15">
        <f>AVERAGE(Y36:Y45)</f>
        <v>1.6606510723953634</v>
      </c>
    </row>
    <row r="47" spans="2:25" x14ac:dyDescent="0.2">
      <c r="B47" s="4">
        <v>5</v>
      </c>
      <c r="C47" s="4">
        <v>4.3999999999999997E-2</v>
      </c>
      <c r="D47" s="4"/>
      <c r="E47" s="4"/>
      <c r="W47" t="s">
        <v>46</v>
      </c>
      <c r="Y47" s="15">
        <f>STDEV(Y36:Y45)</f>
        <v>7.2545346452479745E-2</v>
      </c>
    </row>
    <row r="48" spans="2:25" x14ac:dyDescent="0.2">
      <c r="B48" s="4">
        <v>6</v>
      </c>
      <c r="C48" s="4">
        <v>4.3999999999999997E-2</v>
      </c>
      <c r="D48" s="4"/>
      <c r="E48" s="4"/>
      <c r="W48" t="s">
        <v>45</v>
      </c>
      <c r="Y48" s="15">
        <f>3*Y47/Y46</f>
        <v>0.13105464656311921</v>
      </c>
    </row>
    <row r="49" spans="2:5" x14ac:dyDescent="0.2">
      <c r="B49" s="4">
        <v>7</v>
      </c>
      <c r="C49" s="4">
        <v>4.3999999999999997E-2</v>
      </c>
      <c r="D49" s="4"/>
      <c r="E49" s="4"/>
    </row>
    <row r="50" spans="2:5" x14ac:dyDescent="0.2">
      <c r="B50" s="4">
        <v>8</v>
      </c>
      <c r="C50" s="4">
        <v>4.3999999999999997E-2</v>
      </c>
      <c r="D50" s="4"/>
      <c r="E50" s="4"/>
    </row>
    <row r="51" spans="2:5" x14ac:dyDescent="0.2">
      <c r="B51" s="4">
        <v>9</v>
      </c>
      <c r="C51" s="4">
        <v>4.3999999999999997E-2</v>
      </c>
      <c r="D51" s="4"/>
      <c r="E51" s="4"/>
    </row>
    <row r="52" spans="2:5" x14ac:dyDescent="0.2">
      <c r="B52" s="4">
        <v>10</v>
      </c>
      <c r="C52" s="4">
        <v>4.3999999999999997E-2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8F85-E3C4-5E42-A632-BBFE7F7757B2}">
  <sheetPr codeName="Sheet3"/>
  <dimension ref="A1:W62"/>
  <sheetViews>
    <sheetView tabSelected="1" zoomScale="140" zoomScaleNormal="140" workbookViewId="0">
      <selection activeCell="U13" sqref="U13"/>
    </sheetView>
  </sheetViews>
  <sheetFormatPr baseColWidth="10" defaultColWidth="8.83203125" defaultRowHeight="16" x14ac:dyDescent="0.2"/>
  <cols>
    <col min="2" max="4" width="13" customWidth="1"/>
    <col min="5" max="5" width="8.1640625" customWidth="1"/>
    <col min="6" max="6" width="12.5" customWidth="1"/>
    <col min="7" max="7" width="10.1640625" customWidth="1"/>
    <col min="8" max="8" width="9.1640625" customWidth="1"/>
    <col min="9" max="9" width="17.1640625" customWidth="1"/>
    <col min="10" max="10" width="11.6640625" customWidth="1"/>
    <col min="11" max="11" width="12.83203125" bestFit="1" customWidth="1"/>
    <col min="13" max="13" width="10.6640625" customWidth="1"/>
  </cols>
  <sheetData>
    <row r="1" spans="1:23" x14ac:dyDescent="0.2">
      <c r="B1" s="1" t="s">
        <v>30</v>
      </c>
      <c r="C1" t="s">
        <v>40</v>
      </c>
      <c r="E1" s="34">
        <f>5*1000/(100+0.5+5+0.05)</f>
        <v>47.370914258645193</v>
      </c>
      <c r="F1" t="s">
        <v>38</v>
      </c>
      <c r="T1" t="s">
        <v>3</v>
      </c>
    </row>
    <row r="2" spans="1:23" x14ac:dyDescent="0.2">
      <c r="C2" t="s">
        <v>1</v>
      </c>
      <c r="E2" s="25">
        <f>AVERAGE(J4:J14)</f>
        <v>7.4802335279399497</v>
      </c>
      <c r="T2" t="s">
        <v>4</v>
      </c>
      <c r="U2" t="s">
        <v>5</v>
      </c>
      <c r="V2" cm="1">
        <f t="array" ref="V2:W6">LINEST(G5:G8,C5:C8,,TRUE)</f>
        <v>-2.5886730429960224E-2</v>
      </c>
      <c r="W2">
        <v>34.826561392860427</v>
      </c>
    </row>
    <row r="3" spans="1:23" x14ac:dyDescent="0.2">
      <c r="B3" t="s">
        <v>31</v>
      </c>
      <c r="C3" t="s">
        <v>32</v>
      </c>
      <c r="D3" t="s">
        <v>50</v>
      </c>
      <c r="E3" t="s">
        <v>21</v>
      </c>
      <c r="F3" t="s">
        <v>22</v>
      </c>
      <c r="G3" t="s">
        <v>33</v>
      </c>
      <c r="H3" t="s">
        <v>34</v>
      </c>
      <c r="I3" t="s">
        <v>35</v>
      </c>
      <c r="J3" t="s">
        <v>36</v>
      </c>
      <c r="K3" t="s">
        <v>48</v>
      </c>
      <c r="T3" t="s">
        <v>6</v>
      </c>
      <c r="U3" t="s">
        <v>7</v>
      </c>
      <c r="V3">
        <v>2.5669964074304316E-3</v>
      </c>
      <c r="W3">
        <v>0.18759721445341129</v>
      </c>
    </row>
    <row r="4" spans="1:23" x14ac:dyDescent="0.2">
      <c r="A4">
        <v>0</v>
      </c>
      <c r="G4" s="25"/>
      <c r="H4" s="25"/>
      <c r="J4" s="25"/>
      <c r="T4" t="s">
        <v>8</v>
      </c>
      <c r="U4" t="s">
        <v>9</v>
      </c>
      <c r="V4">
        <v>0.98071285337013625</v>
      </c>
      <c r="W4">
        <v>0.21603604462870174</v>
      </c>
    </row>
    <row r="5" spans="1:23" x14ac:dyDescent="0.2">
      <c r="A5">
        <v>1</v>
      </c>
      <c r="B5" s="41">
        <v>0.12</v>
      </c>
      <c r="C5" s="42">
        <v>12</v>
      </c>
      <c r="D5" s="42">
        <f>C5-12</f>
        <v>0</v>
      </c>
      <c r="E5" s="42">
        <v>0.94299999999999995</v>
      </c>
      <c r="F5" s="43">
        <f>E5-'Calibration standard'!$X$46</f>
        <v>0.89949999999999997</v>
      </c>
      <c r="G5" s="44">
        <f>F5/'Calibration standard'!$Y$28</f>
        <v>34.339210106198379</v>
      </c>
      <c r="H5" s="44">
        <f t="shared" ref="H5:H14" si="0">LN(G5)</f>
        <v>3.5362878530556316</v>
      </c>
      <c r="I5" s="42">
        <v>-33</v>
      </c>
      <c r="J5" s="44">
        <f>(I5-'pH-Potential calibration'!$E$26)/'pH-Potential calibration'!$D$26</f>
        <v>7.4837364470391989</v>
      </c>
      <c r="K5" s="42">
        <f>G5*100/$G$5</f>
        <v>100</v>
      </c>
      <c r="T5" t="s">
        <v>10</v>
      </c>
      <c r="U5" t="s">
        <v>11</v>
      </c>
      <c r="V5">
        <v>101.6960022330753</v>
      </c>
      <c r="W5">
        <v>2</v>
      </c>
    </row>
    <row r="6" spans="1:23" x14ac:dyDescent="0.2">
      <c r="A6">
        <v>2</v>
      </c>
      <c r="B6" s="41">
        <v>0.37</v>
      </c>
      <c r="C6" s="42">
        <v>37</v>
      </c>
      <c r="D6" s="42">
        <f t="shared" ref="D6:D14" si="1">C6-12</f>
        <v>25</v>
      </c>
      <c r="E6" s="42">
        <v>0.93300000000000005</v>
      </c>
      <c r="F6" s="43">
        <f>E6-'Calibration standard'!$X$46</f>
        <v>0.88950000000000007</v>
      </c>
      <c r="G6" s="44">
        <f>F6/'Calibration standard'!$Y$28</f>
        <v>33.957451238981058</v>
      </c>
      <c r="H6" s="44">
        <f t="shared" si="0"/>
        <v>3.5251083067709335</v>
      </c>
      <c r="I6" s="42">
        <v>-33</v>
      </c>
      <c r="J6" s="44">
        <f>(I6-'pH-Potential calibration'!$E$26)/'pH-Potential calibration'!$D$26</f>
        <v>7.4837364470391989</v>
      </c>
      <c r="K6" s="42">
        <f t="shared" ref="K6:K14" si="2">G6*100/$G$5</f>
        <v>98.888271261812122</v>
      </c>
      <c r="T6" t="s">
        <v>12</v>
      </c>
      <c r="U6" t="s">
        <v>13</v>
      </c>
      <c r="V6">
        <v>4.7463123491962467</v>
      </c>
      <c r="W6">
        <v>9.3343145157628829E-2</v>
      </c>
    </row>
    <row r="7" spans="1:23" x14ac:dyDescent="0.2">
      <c r="A7">
        <v>3</v>
      </c>
      <c r="B7" s="41">
        <v>1.05</v>
      </c>
      <c r="C7" s="42">
        <v>65</v>
      </c>
      <c r="D7" s="42">
        <f t="shared" si="1"/>
        <v>53</v>
      </c>
      <c r="E7" s="42">
        <v>0.91700000000000004</v>
      </c>
      <c r="F7" s="43">
        <f>E7-'Calibration standard'!$X$46</f>
        <v>0.87350000000000005</v>
      </c>
      <c r="G7" s="44">
        <f>F7/'Calibration standard'!$Y$28</f>
        <v>33.346637051433333</v>
      </c>
      <c r="H7" s="44">
        <f t="shared" si="0"/>
        <v>3.5069569292391551</v>
      </c>
      <c r="I7" s="42">
        <v>-33</v>
      </c>
      <c r="J7" s="44">
        <f>(I7-'pH-Potential calibration'!$E$26)/'pH-Potential calibration'!$D$26</f>
        <v>7.4837364470391989</v>
      </c>
      <c r="K7" s="42">
        <f t="shared" si="2"/>
        <v>97.109505280711517</v>
      </c>
    </row>
    <row r="8" spans="1:23" x14ac:dyDescent="0.2">
      <c r="A8">
        <v>4</v>
      </c>
      <c r="B8" s="41">
        <v>2.0499999999999998</v>
      </c>
      <c r="C8" s="42">
        <v>125</v>
      </c>
      <c r="D8" s="42">
        <f t="shared" si="1"/>
        <v>113</v>
      </c>
      <c r="E8" s="42">
        <v>0.86799999999999999</v>
      </c>
      <c r="F8" s="43">
        <f>E8-'Calibration standard'!$X$46</f>
        <v>0.82450000000000001</v>
      </c>
      <c r="G8" s="44">
        <f>F8/'Calibration standard'!$Y$28</f>
        <v>31.476018602068443</v>
      </c>
      <c r="H8" s="44">
        <f t="shared" si="0"/>
        <v>3.4492259416646975</v>
      </c>
      <c r="I8" s="42">
        <v>-33</v>
      </c>
      <c r="J8" s="44">
        <f>(I8-'pH-Potential calibration'!$E$26)/'pH-Potential calibration'!$D$26</f>
        <v>7.4837364470391989</v>
      </c>
      <c r="K8" s="42">
        <f t="shared" si="2"/>
        <v>91.662034463590885</v>
      </c>
    </row>
    <row r="9" spans="1:23" x14ac:dyDescent="0.2">
      <c r="A9">
        <v>5</v>
      </c>
      <c r="B9" s="35">
        <v>3.04</v>
      </c>
      <c r="C9">
        <v>184</v>
      </c>
      <c r="D9" s="42">
        <f t="shared" si="1"/>
        <v>172</v>
      </c>
      <c r="E9">
        <v>0.78600000000000003</v>
      </c>
      <c r="F9" s="15">
        <f>E9-'Calibration standard'!$X$46</f>
        <v>0.74250000000000005</v>
      </c>
      <c r="G9" s="44">
        <f>F9/'Calibration standard'!$Y$28</f>
        <v>28.345595890886379</v>
      </c>
      <c r="H9" s="25">
        <f t="shared" si="0"/>
        <v>3.3444716703418984</v>
      </c>
      <c r="I9">
        <v>-33</v>
      </c>
      <c r="J9" s="25">
        <f>(I9-'pH-Potential calibration'!$E$26)/'pH-Potential calibration'!$D$26</f>
        <v>7.4837364470391989</v>
      </c>
      <c r="K9" s="42">
        <f t="shared" si="2"/>
        <v>82.545858810450255</v>
      </c>
    </row>
    <row r="10" spans="1:23" x14ac:dyDescent="0.2">
      <c r="A10">
        <v>6</v>
      </c>
      <c r="B10" s="35">
        <v>4.0999999999999996</v>
      </c>
      <c r="C10">
        <v>250</v>
      </c>
      <c r="D10" s="42">
        <f t="shared" si="1"/>
        <v>238</v>
      </c>
      <c r="E10">
        <v>0.67200000000000004</v>
      </c>
      <c r="F10" s="15">
        <f>E10-'Calibration standard'!$X$46</f>
        <v>0.62850000000000006</v>
      </c>
      <c r="G10" s="44">
        <f>F10/'Calibration standard'!$Y$28</f>
        <v>23.993544804608874</v>
      </c>
      <c r="H10" s="25">
        <f t="shared" si="0"/>
        <v>3.177784827695346</v>
      </c>
      <c r="I10">
        <v>-33</v>
      </c>
      <c r="J10" s="25">
        <f>(I10-'pH-Potential calibration'!$E$26)/'pH-Potential calibration'!$D$26</f>
        <v>7.4837364470391989</v>
      </c>
      <c r="K10" s="42">
        <f t="shared" si="2"/>
        <v>69.872151195108387</v>
      </c>
    </row>
    <row r="11" spans="1:23" x14ac:dyDescent="0.2">
      <c r="A11">
        <v>7</v>
      </c>
      <c r="B11" s="35">
        <v>5.13</v>
      </c>
      <c r="C11">
        <v>313</v>
      </c>
      <c r="D11" s="42">
        <f t="shared" si="1"/>
        <v>301</v>
      </c>
      <c r="E11">
        <v>0.54400000000000004</v>
      </c>
      <c r="F11" s="15">
        <f>E11-'Calibration standard'!$X$46</f>
        <v>0.50050000000000006</v>
      </c>
      <c r="G11" s="44">
        <f>F11/'Calibration standard'!$Y$28</f>
        <v>19.107031304227114</v>
      </c>
      <c r="H11" s="25">
        <f t="shared" si="0"/>
        <v>2.950056398420319</v>
      </c>
      <c r="I11">
        <v>-33</v>
      </c>
      <c r="J11" s="25">
        <f>(I11-'pH-Potential calibration'!$E$26)/'pH-Potential calibration'!$D$26</f>
        <v>7.4837364470391989</v>
      </c>
      <c r="K11" s="42">
        <f t="shared" si="2"/>
        <v>55.642023346303503</v>
      </c>
    </row>
    <row r="12" spans="1:23" x14ac:dyDescent="0.2">
      <c r="A12">
        <v>8</v>
      </c>
      <c r="B12" s="35">
        <v>6.1</v>
      </c>
      <c r="C12">
        <v>370</v>
      </c>
      <c r="D12" s="42">
        <f t="shared" si="1"/>
        <v>358</v>
      </c>
      <c r="E12">
        <v>0.43</v>
      </c>
      <c r="F12" s="15">
        <f>E12-'Calibration standard'!$X$46</f>
        <v>0.38650000000000001</v>
      </c>
      <c r="G12" s="44">
        <f>F12/'Calibration standard'!$Y$28</f>
        <v>14.754980217949608</v>
      </c>
      <c r="H12" s="25">
        <f t="shared" si="0"/>
        <v>2.6915806676925205</v>
      </c>
      <c r="I12">
        <v>-33</v>
      </c>
      <c r="J12" s="25">
        <f>(I12-'pH-Potential calibration'!$E$26)/'pH-Potential calibration'!$D$26</f>
        <v>7.4837364470391989</v>
      </c>
      <c r="K12" s="42">
        <f t="shared" si="2"/>
        <v>42.968315730961642</v>
      </c>
    </row>
    <row r="13" spans="1:23" x14ac:dyDescent="0.2">
      <c r="A13">
        <v>9</v>
      </c>
      <c r="B13" s="35">
        <v>7.08</v>
      </c>
      <c r="C13">
        <v>428</v>
      </c>
      <c r="D13" s="42">
        <f t="shared" si="1"/>
        <v>416</v>
      </c>
      <c r="E13">
        <v>0.33800000000000002</v>
      </c>
      <c r="F13" s="15">
        <f>E13-'Calibration standard'!$X$46</f>
        <v>0.29450000000000004</v>
      </c>
      <c r="G13" s="44">
        <f>F13/'Calibration standard'!$Y$28</f>
        <v>11.242798639550221</v>
      </c>
      <c r="H13" s="25">
        <f t="shared" si="0"/>
        <v>2.4197278027566851</v>
      </c>
      <c r="I13">
        <v>-32</v>
      </c>
      <c r="J13" s="25">
        <f>(I13-'pH-Potential calibration'!$E$26)/'pH-Potential calibration'!$D$26</f>
        <v>7.4662218515429526</v>
      </c>
      <c r="K13" s="42">
        <f t="shared" si="2"/>
        <v>32.740411339633134</v>
      </c>
    </row>
    <row r="14" spans="1:23" x14ac:dyDescent="0.2">
      <c r="A14">
        <v>10</v>
      </c>
      <c r="B14" s="35">
        <v>8.1199999999999992</v>
      </c>
      <c r="C14">
        <v>492</v>
      </c>
      <c r="D14" s="42">
        <f t="shared" si="1"/>
        <v>480</v>
      </c>
      <c r="E14">
        <v>0.252</v>
      </c>
      <c r="F14" s="15">
        <f>E14-'Calibration standard'!$X$46</f>
        <v>0.20850000000000002</v>
      </c>
      <c r="G14" s="44">
        <f>F14/'Calibration standard'!$Y$28</f>
        <v>7.9596723814812256</v>
      </c>
      <c r="H14" s="25">
        <f t="shared" si="0"/>
        <v>2.0743878409039</v>
      </c>
      <c r="I14">
        <v>-32</v>
      </c>
      <c r="J14" s="25">
        <f>(I14-'pH-Potential calibration'!$E$26)/'pH-Potential calibration'!$D$26</f>
        <v>7.4662218515429526</v>
      </c>
      <c r="K14" s="42">
        <f t="shared" si="2"/>
        <v>23.179544191217342</v>
      </c>
    </row>
    <row r="15" spans="1:23" x14ac:dyDescent="0.2">
      <c r="B15" s="35"/>
      <c r="F15" s="15"/>
      <c r="G15" s="25"/>
      <c r="H15" s="25"/>
      <c r="J15" s="25"/>
    </row>
    <row r="16" spans="1:23" s="45" customFormat="1" x14ac:dyDescent="0.2">
      <c r="B16" s="46"/>
      <c r="F16" s="47"/>
      <c r="G16" s="48"/>
      <c r="H16" s="48"/>
      <c r="J16" s="48"/>
    </row>
    <row r="17" spans="1:23" x14ac:dyDescent="0.2">
      <c r="B17" s="1" t="s">
        <v>37</v>
      </c>
      <c r="C17" t="s">
        <v>40</v>
      </c>
      <c r="E17" s="34">
        <f>4*1000/(100+0.5+5)</f>
        <v>37.914691943127963</v>
      </c>
      <c r="F17" t="s">
        <v>38</v>
      </c>
      <c r="T17" t="s">
        <v>3</v>
      </c>
    </row>
    <row r="18" spans="1:23" x14ac:dyDescent="0.2">
      <c r="C18" t="s">
        <v>1</v>
      </c>
      <c r="E18" s="25">
        <f>AVERAGE(J20:J30)</f>
        <v>7.485328682993404</v>
      </c>
      <c r="T18" t="s">
        <v>4</v>
      </c>
      <c r="U18" t="s">
        <v>5</v>
      </c>
      <c r="V18" cm="1">
        <f t="array" ref="V18:W22">LINEST(G21:G23,C21:C23,,TRUE)</f>
        <v>-2.16673951663887E-2</v>
      </c>
      <c r="W18">
        <v>27.889548811670004</v>
      </c>
    </row>
    <row r="19" spans="1:23" x14ac:dyDescent="0.2">
      <c r="B19" t="s">
        <v>31</v>
      </c>
      <c r="C19" t="s">
        <v>32</v>
      </c>
      <c r="E19" t="s">
        <v>21</v>
      </c>
      <c r="F19" t="s">
        <v>22</v>
      </c>
      <c r="G19" t="s">
        <v>33</v>
      </c>
      <c r="H19" t="s">
        <v>34</v>
      </c>
      <c r="I19" t="s">
        <v>35</v>
      </c>
      <c r="J19" t="s">
        <v>36</v>
      </c>
      <c r="K19" t="s">
        <v>48</v>
      </c>
      <c r="T19" t="s">
        <v>6</v>
      </c>
      <c r="U19" t="s">
        <v>7</v>
      </c>
      <c r="V19">
        <v>1.7870966331360802E-3</v>
      </c>
      <c r="W19">
        <v>7.2621532664281507E-2</v>
      </c>
    </row>
    <row r="20" spans="1:23" x14ac:dyDescent="0.2">
      <c r="A20">
        <v>0</v>
      </c>
      <c r="B20" t="s">
        <v>49</v>
      </c>
      <c r="G20" s="25"/>
      <c r="H20" s="25"/>
      <c r="I20">
        <v>-34</v>
      </c>
      <c r="J20" s="25">
        <f>(I20-'pH-Potential calibration'!$E$26)/'pH-Potential calibration'!$D$26</f>
        <v>7.5012510425354462</v>
      </c>
      <c r="T20" t="s">
        <v>8</v>
      </c>
      <c r="U20" t="s">
        <v>9</v>
      </c>
      <c r="V20">
        <v>0.9932432432432432</v>
      </c>
      <c r="W20">
        <v>6.2129993636941161E-2</v>
      </c>
    </row>
    <row r="21" spans="1:23" x14ac:dyDescent="0.2">
      <c r="A21">
        <v>1</v>
      </c>
      <c r="B21" s="41">
        <v>0.12</v>
      </c>
      <c r="C21" s="42">
        <v>12</v>
      </c>
      <c r="D21" s="42"/>
      <c r="E21" s="42">
        <v>0.76800000000000002</v>
      </c>
      <c r="F21" s="43">
        <f>E21-'Calibration standard'!$X$46</f>
        <v>0.72450000000000003</v>
      </c>
      <c r="G21" s="44">
        <f>F21/'Calibration standard'!$Y$28</f>
        <v>27.658429929895192</v>
      </c>
      <c r="H21" s="44">
        <f t="shared" ref="H21:H30" si="3">LN(G21)</f>
        <v>3.3199305614257808</v>
      </c>
      <c r="I21" s="42">
        <v>-33</v>
      </c>
      <c r="J21" s="44">
        <f>(I21-'pH-Potential calibration'!$E$26)/'pH-Potential calibration'!$D$26</f>
        <v>7.4837364470391989</v>
      </c>
      <c r="K21" s="42">
        <f>G21*100/$G$21</f>
        <v>100</v>
      </c>
      <c r="T21" t="s">
        <v>10</v>
      </c>
      <c r="U21" t="s">
        <v>11</v>
      </c>
      <c r="V21">
        <v>146.99999999999881</v>
      </c>
      <c r="W21">
        <v>1</v>
      </c>
    </row>
    <row r="22" spans="1:23" x14ac:dyDescent="0.2">
      <c r="A22">
        <v>2</v>
      </c>
      <c r="B22" s="41">
        <v>0.33</v>
      </c>
      <c r="C22" s="42">
        <v>33</v>
      </c>
      <c r="D22" s="42"/>
      <c r="E22" s="42">
        <v>0.754</v>
      </c>
      <c r="F22" s="43">
        <f>E22-'Calibration standard'!$X$46</f>
        <v>0.71050000000000002</v>
      </c>
      <c r="G22" s="44">
        <f>F22/'Calibration standard'!$Y$28</f>
        <v>27.123967515790937</v>
      </c>
      <c r="H22" s="44">
        <f t="shared" si="3"/>
        <v>3.3004177472021992</v>
      </c>
      <c r="I22" s="42">
        <v>-33</v>
      </c>
      <c r="J22" s="44">
        <f>(I22-'pH-Potential calibration'!$E$26)/'pH-Potential calibration'!$D$26</f>
        <v>7.4837364470391989</v>
      </c>
      <c r="K22" s="42">
        <f t="shared" ref="K22:K30" si="4">G22*100/$G$21</f>
        <v>98.067632850241552</v>
      </c>
      <c r="T22" t="s">
        <v>12</v>
      </c>
      <c r="U22" t="s">
        <v>13</v>
      </c>
      <c r="V22">
        <v>0.56744000807096873</v>
      </c>
      <c r="W22">
        <v>3.8601361093263493E-3</v>
      </c>
    </row>
    <row r="23" spans="1:23" x14ac:dyDescent="0.2">
      <c r="A23">
        <v>3</v>
      </c>
      <c r="B23" s="41">
        <v>1.01</v>
      </c>
      <c r="C23" s="42">
        <v>61</v>
      </c>
      <c r="D23" s="42"/>
      <c r="E23" s="42">
        <v>0.74</v>
      </c>
      <c r="F23" s="43">
        <f>E23-'Calibration standard'!$X$46</f>
        <v>0.69650000000000001</v>
      </c>
      <c r="G23" s="44">
        <f>F23/'Calibration standard'!$Y$28</f>
        <v>26.589505101686683</v>
      </c>
      <c r="H23" s="44">
        <f t="shared" si="3"/>
        <v>3.2805165928849043</v>
      </c>
      <c r="I23" s="42">
        <v>-33</v>
      </c>
      <c r="J23" s="44">
        <f>(I23-'pH-Potential calibration'!$E$26)/'pH-Potential calibration'!$D$26</f>
        <v>7.4837364470391989</v>
      </c>
      <c r="K23" s="42">
        <f t="shared" si="4"/>
        <v>96.135265700483089</v>
      </c>
    </row>
    <row r="24" spans="1:23" x14ac:dyDescent="0.2">
      <c r="A24">
        <v>4</v>
      </c>
      <c r="B24" s="35">
        <v>2.1</v>
      </c>
      <c r="C24">
        <v>130</v>
      </c>
      <c r="E24">
        <v>0.69499999999999995</v>
      </c>
      <c r="F24" s="15">
        <f>E24-'Calibration standard'!$X$46</f>
        <v>0.65149999999999997</v>
      </c>
      <c r="G24" s="44">
        <f>F24/'Calibration standard'!$Y$28</f>
        <v>24.871590199208718</v>
      </c>
      <c r="H24" s="25">
        <f t="shared" si="3"/>
        <v>3.2137261962299433</v>
      </c>
      <c r="I24">
        <v>-33</v>
      </c>
      <c r="J24" s="25">
        <f>(I24-'pH-Potential calibration'!$E$26)/'pH-Potential calibration'!$D$26</f>
        <v>7.4837364470391989</v>
      </c>
      <c r="K24" s="50">
        <f t="shared" si="4"/>
        <v>89.924085576259486</v>
      </c>
    </row>
    <row r="25" spans="1:23" x14ac:dyDescent="0.2">
      <c r="A25">
        <v>5</v>
      </c>
      <c r="B25" s="35">
        <v>3.03</v>
      </c>
      <c r="C25">
        <v>183</v>
      </c>
      <c r="E25">
        <v>0.64900000000000002</v>
      </c>
      <c r="F25" s="15">
        <f>E25-'Calibration standard'!$X$46</f>
        <v>0.60550000000000004</v>
      </c>
      <c r="G25" s="44">
        <f>F25/'Calibration standard'!$Y$28</f>
        <v>23.115499410009026</v>
      </c>
      <c r="H25" s="25">
        <f t="shared" si="3"/>
        <v>3.1405033626581909</v>
      </c>
      <c r="I25">
        <v>-33</v>
      </c>
      <c r="J25" s="25">
        <f>(I25-'pH-Potential calibration'!$E$26)/'pH-Potential calibration'!$D$26</f>
        <v>7.4837364470391989</v>
      </c>
      <c r="K25" s="50">
        <f t="shared" si="4"/>
        <v>83.574879227053131</v>
      </c>
    </row>
    <row r="26" spans="1:23" x14ac:dyDescent="0.2">
      <c r="A26">
        <v>6</v>
      </c>
      <c r="B26" s="35">
        <v>4.1100000000000003</v>
      </c>
      <c r="C26">
        <v>251</v>
      </c>
      <c r="E26">
        <v>0.56899999999999995</v>
      </c>
      <c r="F26" s="15">
        <f>E26-'Calibration standard'!$X$46</f>
        <v>0.52549999999999997</v>
      </c>
      <c r="G26" s="44">
        <f>F26/'Calibration standard'!$Y$28</f>
        <v>20.061428472270425</v>
      </c>
      <c r="H26" s="25">
        <f t="shared" si="3"/>
        <v>2.9987989899820495</v>
      </c>
      <c r="I26">
        <v>-33</v>
      </c>
      <c r="J26" s="25">
        <f>(I26-'pH-Potential calibration'!$E$26)/'pH-Potential calibration'!$D$26</f>
        <v>7.4837364470391989</v>
      </c>
      <c r="K26" s="50">
        <f t="shared" si="4"/>
        <v>72.532781228433393</v>
      </c>
    </row>
    <row r="27" spans="1:23" x14ac:dyDescent="0.2">
      <c r="A27">
        <v>7</v>
      </c>
      <c r="B27" s="35">
        <v>5.05</v>
      </c>
      <c r="C27">
        <v>305</v>
      </c>
      <c r="E27">
        <v>0.502</v>
      </c>
      <c r="F27" s="15">
        <f>E27-'Calibration standard'!$X$46</f>
        <v>0.45850000000000002</v>
      </c>
      <c r="G27" s="44">
        <f>F27/'Calibration standard'!$Y$28</f>
        <v>17.503644061914351</v>
      </c>
      <c r="H27" s="25">
        <f t="shared" si="3"/>
        <v>2.8624090913615632</v>
      </c>
      <c r="I27">
        <v>-33</v>
      </c>
      <c r="J27" s="25">
        <f>(I27-'pH-Potential calibration'!$E$26)/'pH-Potential calibration'!$D$26</f>
        <v>7.4837364470391989</v>
      </c>
      <c r="K27" s="50">
        <f t="shared" si="4"/>
        <v>63.285024154589379</v>
      </c>
    </row>
    <row r="28" spans="1:23" x14ac:dyDescent="0.2">
      <c r="A28">
        <v>8</v>
      </c>
      <c r="B28" s="35">
        <v>6.02</v>
      </c>
      <c r="C28">
        <v>362</v>
      </c>
      <c r="E28">
        <v>0.42299999999999999</v>
      </c>
      <c r="F28" s="15">
        <f>E28-'Calibration standard'!$X$46</f>
        <v>0.3795</v>
      </c>
      <c r="G28" s="44">
        <f>F28/'Calibration standard'!$Y$28</f>
        <v>14.487749010897481</v>
      </c>
      <c r="H28" s="25">
        <f t="shared" si="3"/>
        <v>2.6733033965007285</v>
      </c>
      <c r="I28">
        <v>-33</v>
      </c>
      <c r="J28" s="25">
        <f>(I28-'pH-Potential calibration'!$E$26)/'pH-Potential calibration'!$D$26</f>
        <v>7.4837364470391989</v>
      </c>
      <c r="K28" s="50">
        <f t="shared" si="4"/>
        <v>52.38095238095238</v>
      </c>
    </row>
    <row r="29" spans="1:23" x14ac:dyDescent="0.2">
      <c r="A29">
        <v>9</v>
      </c>
      <c r="B29" s="35">
        <v>7.04</v>
      </c>
      <c r="C29">
        <v>424</v>
      </c>
      <c r="E29">
        <v>0.34599999999999997</v>
      </c>
      <c r="F29" s="15">
        <f>E29-'Calibration standard'!$X$46</f>
        <v>0.30249999999999999</v>
      </c>
      <c r="G29" s="44">
        <f>F29/'Calibration standard'!$Y$28</f>
        <v>11.548205733324078</v>
      </c>
      <c r="H29" s="25">
        <f t="shared" si="3"/>
        <v>2.44653007713594</v>
      </c>
      <c r="I29">
        <v>-33</v>
      </c>
      <c r="J29" s="25">
        <f>(I29-'pH-Potential calibration'!$E$26)/'pH-Potential calibration'!$D$26</f>
        <v>7.4837364470391989</v>
      </c>
      <c r="K29" s="50">
        <f t="shared" si="4"/>
        <v>41.752933057280877</v>
      </c>
    </row>
    <row r="30" spans="1:23" x14ac:dyDescent="0.2">
      <c r="A30">
        <v>10</v>
      </c>
      <c r="B30" s="35">
        <v>8.01</v>
      </c>
      <c r="C30">
        <v>481</v>
      </c>
      <c r="E30">
        <v>0.27700000000000002</v>
      </c>
      <c r="F30" s="15">
        <f>E30-'Calibration standard'!$X$46</f>
        <v>0.23350000000000004</v>
      </c>
      <c r="G30" s="44">
        <f>F30/'Calibration standard'!$Y$28</f>
        <v>8.9140695495245392</v>
      </c>
      <c r="H30" s="25">
        <f t="shared" si="3"/>
        <v>2.187630876773996</v>
      </c>
      <c r="I30">
        <v>-33</v>
      </c>
      <c r="J30" s="25">
        <f>(I30-'pH-Potential calibration'!$E$26)/'pH-Potential calibration'!$D$26</f>
        <v>7.4837364470391989</v>
      </c>
      <c r="K30" s="50">
        <f t="shared" si="4"/>
        <v>32.229123533471366</v>
      </c>
    </row>
    <row r="31" spans="1:23" x14ac:dyDescent="0.2">
      <c r="B31" s="35"/>
      <c r="F31" s="15"/>
      <c r="G31" s="25"/>
      <c r="H31" s="25"/>
      <c r="J31" s="25"/>
    </row>
    <row r="32" spans="1:23" s="45" customFormat="1" x14ac:dyDescent="0.2">
      <c r="B32" s="46"/>
      <c r="F32" s="47"/>
      <c r="G32" s="48"/>
      <c r="H32" s="48"/>
      <c r="J32" s="48"/>
    </row>
    <row r="33" spans="1:23" x14ac:dyDescent="0.2">
      <c r="B33" s="1" t="s">
        <v>41</v>
      </c>
      <c r="C33" t="s">
        <v>40</v>
      </c>
      <c r="E33" s="34">
        <f>3*1000/(100+0.5+5)</f>
        <v>28.436018957345972</v>
      </c>
      <c r="F33" t="s">
        <v>38</v>
      </c>
      <c r="T33" t="s">
        <v>3</v>
      </c>
    </row>
    <row r="34" spans="1:23" x14ac:dyDescent="0.2">
      <c r="C34" t="s">
        <v>1</v>
      </c>
      <c r="E34" s="25">
        <f>AVERAGE(J36:J46)</f>
        <v>7.485328682993404</v>
      </c>
      <c r="T34" t="s">
        <v>4</v>
      </c>
      <c r="U34" t="s">
        <v>5</v>
      </c>
      <c r="V34" cm="1">
        <f t="array" ref="V34:W38">LINEST(G37:G40,C37:C40,,TRUE)</f>
        <v>-1.5698831331840597E-2</v>
      </c>
      <c r="W34">
        <v>20.805252867312923</v>
      </c>
    </row>
    <row r="35" spans="1:23" x14ac:dyDescent="0.2">
      <c r="B35" t="s">
        <v>31</v>
      </c>
      <c r="C35" t="s">
        <v>32</v>
      </c>
      <c r="E35" t="s">
        <v>21</v>
      </c>
      <c r="F35" t="s">
        <v>22</v>
      </c>
      <c r="G35" t="s">
        <v>33</v>
      </c>
      <c r="H35" t="s">
        <v>34</v>
      </c>
      <c r="I35" t="s">
        <v>35</v>
      </c>
      <c r="J35" t="s">
        <v>36</v>
      </c>
      <c r="K35" t="s">
        <v>48</v>
      </c>
      <c r="T35" t="s">
        <v>6</v>
      </c>
      <c r="U35" t="s">
        <v>7</v>
      </c>
      <c r="V35">
        <v>2.4543408865112574E-3</v>
      </c>
      <c r="W35">
        <v>0.17212788012767558</v>
      </c>
    </row>
    <row r="36" spans="1:23" x14ac:dyDescent="0.2">
      <c r="A36">
        <v>0</v>
      </c>
      <c r="B36" t="s">
        <v>49</v>
      </c>
      <c r="C36">
        <v>0</v>
      </c>
      <c r="G36" s="25"/>
      <c r="H36" s="25"/>
      <c r="I36">
        <v>-34</v>
      </c>
      <c r="J36" s="25">
        <f>(I36-'pH-Potential calibration'!$E$26)/'pH-Potential calibration'!$D$26</f>
        <v>7.5012510425354462</v>
      </c>
      <c r="T36" t="s">
        <v>8</v>
      </c>
      <c r="U36" t="s">
        <v>9</v>
      </c>
      <c r="V36">
        <v>0.9533944402491521</v>
      </c>
      <c r="W36">
        <v>0.20394671935979253</v>
      </c>
    </row>
    <row r="37" spans="1:23" x14ac:dyDescent="0.2">
      <c r="A37">
        <v>1</v>
      </c>
      <c r="B37" s="41">
        <v>0.13</v>
      </c>
      <c r="C37" s="42">
        <v>13</v>
      </c>
      <c r="D37" s="42"/>
      <c r="E37" s="42">
        <v>0.58599999999999997</v>
      </c>
      <c r="F37" s="43">
        <f>E37-'Calibration standard'!$X$46</f>
        <v>0.54249999999999998</v>
      </c>
      <c r="G37" s="44">
        <f>F37/'Calibration standard'!$Y$28</f>
        <v>20.710418546539877</v>
      </c>
      <c r="H37" s="44">
        <f t="shared" ref="H37:H46" si="5">LN(G37)</f>
        <v>3.0306368850796583</v>
      </c>
      <c r="I37" s="42">
        <v>-33</v>
      </c>
      <c r="J37" s="44">
        <f>(I37-'pH-Potential calibration'!$E$26)/'pH-Potential calibration'!$D$26</f>
        <v>7.4837364470391989</v>
      </c>
      <c r="K37" s="42">
        <f>G37*100/$G$37</f>
        <v>100</v>
      </c>
      <c r="T37" t="s">
        <v>10</v>
      </c>
      <c r="U37" t="s">
        <v>11</v>
      </c>
      <c r="V37">
        <v>40.91333503324374</v>
      </c>
      <c r="W37">
        <v>2</v>
      </c>
    </row>
    <row r="38" spans="1:23" x14ac:dyDescent="0.2">
      <c r="A38">
        <v>2</v>
      </c>
      <c r="B38" s="41">
        <v>0.3</v>
      </c>
      <c r="C38" s="42">
        <v>30</v>
      </c>
      <c r="D38" s="42"/>
      <c r="E38" s="42">
        <v>0.57699999999999996</v>
      </c>
      <c r="F38" s="43">
        <f>E38-'Calibration standard'!$X$46</f>
        <v>0.53349999999999997</v>
      </c>
      <c r="G38" s="44">
        <f>F38/'Calibration standard'!$Y$28</f>
        <v>20.366835566044283</v>
      </c>
      <c r="H38" s="44">
        <f t="shared" si="5"/>
        <v>3.0139078704068516</v>
      </c>
      <c r="I38" s="42">
        <v>-33</v>
      </c>
      <c r="J38" s="44">
        <f>(I38-'pH-Potential calibration'!$E$26)/'pH-Potential calibration'!$D$26</f>
        <v>7.4837364470391989</v>
      </c>
      <c r="K38" s="42">
        <f t="shared" ref="K38:K46" si="6">G38*100/$G$37</f>
        <v>98.341013824884783</v>
      </c>
      <c r="T38" t="s">
        <v>12</v>
      </c>
      <c r="U38" t="s">
        <v>13</v>
      </c>
      <c r="V38">
        <v>1.7017600723064297</v>
      </c>
      <c r="W38">
        <v>8.3188528675243942E-2</v>
      </c>
    </row>
    <row r="39" spans="1:23" x14ac:dyDescent="0.2">
      <c r="A39">
        <v>3</v>
      </c>
      <c r="B39" s="41">
        <v>1.01</v>
      </c>
      <c r="C39" s="42">
        <v>61</v>
      </c>
      <c r="D39" s="42"/>
      <c r="E39" s="42">
        <v>0.55700000000000005</v>
      </c>
      <c r="F39" s="43">
        <f>E39-'Calibration standard'!$X$46</f>
        <v>0.51350000000000007</v>
      </c>
      <c r="G39" s="44">
        <f>F39/'Calibration standard'!$Y$28</f>
        <v>19.603317831609637</v>
      </c>
      <c r="H39" s="44">
        <f t="shared" si="5"/>
        <v>2.9756988290336568</v>
      </c>
      <c r="I39" s="42">
        <v>-33</v>
      </c>
      <c r="J39" s="44">
        <f>(I39-'pH-Potential calibration'!$E$26)/'pH-Potential calibration'!$D$26</f>
        <v>7.4837364470391989</v>
      </c>
      <c r="K39" s="42">
        <f t="shared" si="6"/>
        <v>94.654377880184342</v>
      </c>
    </row>
    <row r="40" spans="1:23" x14ac:dyDescent="0.2">
      <c r="A40">
        <v>4</v>
      </c>
      <c r="B40" s="41">
        <v>2.02</v>
      </c>
      <c r="C40" s="42">
        <v>122</v>
      </c>
      <c r="D40" s="42"/>
      <c r="E40" s="42">
        <v>0.54100000000000004</v>
      </c>
      <c r="F40" s="43">
        <f>E40-'Calibration standard'!$X$46</f>
        <v>0.49750000000000005</v>
      </c>
      <c r="G40" s="44">
        <f>F40/'Calibration standard'!$Y$28</f>
        <v>18.992503644061916</v>
      </c>
      <c r="H40" s="44">
        <f t="shared" si="5"/>
        <v>2.9440443562636913</v>
      </c>
      <c r="I40" s="42">
        <v>-33</v>
      </c>
      <c r="J40" s="44">
        <f>(I40-'pH-Potential calibration'!$E$26)/'pH-Potential calibration'!$D$26</f>
        <v>7.4837364470391989</v>
      </c>
      <c r="K40" s="42">
        <f t="shared" si="6"/>
        <v>91.705069124423972</v>
      </c>
    </row>
    <row r="41" spans="1:23" x14ac:dyDescent="0.2">
      <c r="A41">
        <v>5</v>
      </c>
      <c r="B41" s="35">
        <v>3.04</v>
      </c>
      <c r="C41">
        <v>184</v>
      </c>
      <c r="E41">
        <v>0.502</v>
      </c>
      <c r="F41" s="15">
        <f>E41-'Calibration standard'!$X$46</f>
        <v>0.45850000000000002</v>
      </c>
      <c r="G41" s="44">
        <f>F41/'Calibration standard'!$Y$28</f>
        <v>17.503644061914351</v>
      </c>
      <c r="H41" s="25">
        <f t="shared" si="5"/>
        <v>2.8624090913615632</v>
      </c>
      <c r="I41">
        <v>-33</v>
      </c>
      <c r="J41" s="25">
        <f>(I41-'pH-Potential calibration'!$E$26)/'pH-Potential calibration'!$D$26</f>
        <v>7.4837364470391989</v>
      </c>
      <c r="K41" s="42">
        <f t="shared" si="6"/>
        <v>84.516129032258078</v>
      </c>
    </row>
    <row r="42" spans="1:23" x14ac:dyDescent="0.2">
      <c r="A42">
        <v>6</v>
      </c>
      <c r="B42" s="35">
        <v>4.01</v>
      </c>
      <c r="C42">
        <v>241</v>
      </c>
      <c r="E42">
        <v>0.46100000000000002</v>
      </c>
      <c r="F42" s="15">
        <f>E42-'Calibration standard'!$X$46</f>
        <v>0.41750000000000004</v>
      </c>
      <c r="G42" s="44">
        <f>F42/'Calibration standard'!$Y$28</f>
        <v>15.938432706323317</v>
      </c>
      <c r="H42" s="25">
        <f t="shared" si="5"/>
        <v>2.7687333439559541</v>
      </c>
      <c r="I42">
        <v>-33</v>
      </c>
      <c r="J42" s="25">
        <f>(I42-'pH-Potential calibration'!$E$26)/'pH-Potential calibration'!$D$26</f>
        <v>7.4837364470391989</v>
      </c>
      <c r="K42" s="42">
        <f t="shared" si="6"/>
        <v>76.958525345622121</v>
      </c>
    </row>
    <row r="43" spans="1:23" x14ac:dyDescent="0.2">
      <c r="A43">
        <v>7</v>
      </c>
      <c r="B43" s="35">
        <v>5.1100000000000003</v>
      </c>
      <c r="C43">
        <v>311</v>
      </c>
      <c r="E43">
        <v>0.40600000000000003</v>
      </c>
      <c r="F43" s="15">
        <f>E43-'Calibration standard'!$X$46</f>
        <v>0.36250000000000004</v>
      </c>
      <c r="G43" s="44">
        <f>F43/'Calibration standard'!$Y$28</f>
        <v>13.838758936628031</v>
      </c>
      <c r="H43" s="25">
        <f t="shared" si="5"/>
        <v>2.6274732739597733</v>
      </c>
      <c r="I43">
        <v>-33</v>
      </c>
      <c r="J43" s="25">
        <f>(I43-'pH-Potential calibration'!$E$26)/'pH-Potential calibration'!$D$26</f>
        <v>7.4837364470391989</v>
      </c>
      <c r="K43" s="42">
        <f t="shared" si="6"/>
        <v>66.820276497695858</v>
      </c>
    </row>
    <row r="44" spans="1:23" x14ac:dyDescent="0.2">
      <c r="A44">
        <v>8</v>
      </c>
      <c r="B44" s="35">
        <v>6.03</v>
      </c>
      <c r="C44">
        <v>363</v>
      </c>
      <c r="E44">
        <v>0.35899999999999999</v>
      </c>
      <c r="F44" s="15">
        <f>E44-'Calibration standard'!$X$46</f>
        <v>0.3155</v>
      </c>
      <c r="G44" s="44">
        <f>F44/'Calibration standard'!$Y$28</f>
        <v>12.044492260706601</v>
      </c>
      <c r="H44" s="25">
        <f t="shared" si="5"/>
        <v>2.4886074816463113</v>
      </c>
      <c r="I44">
        <v>-33</v>
      </c>
      <c r="J44" s="25">
        <f>(I44-'pH-Potential calibration'!$E$26)/'pH-Potential calibration'!$D$26</f>
        <v>7.4837364470391989</v>
      </c>
      <c r="K44" s="42">
        <f t="shared" si="6"/>
        <v>58.156682027649772</v>
      </c>
    </row>
    <row r="45" spans="1:23" x14ac:dyDescent="0.2">
      <c r="A45">
        <v>9</v>
      </c>
      <c r="B45" s="35">
        <v>7.04</v>
      </c>
      <c r="C45">
        <v>424</v>
      </c>
      <c r="E45">
        <v>0.312</v>
      </c>
      <c r="F45" s="15">
        <f>E45-'Calibration standard'!$X$46</f>
        <v>0.26850000000000002</v>
      </c>
      <c r="G45" s="44">
        <f>F45/'Calibration standard'!$Y$28</f>
        <v>10.250225584785175</v>
      </c>
      <c r="H45" s="25">
        <f t="shared" si="5"/>
        <v>2.327299713613963</v>
      </c>
      <c r="I45">
        <v>-33</v>
      </c>
      <c r="J45" s="25">
        <f>(I45-'pH-Potential calibration'!$E$26)/'pH-Potential calibration'!$D$26</f>
        <v>7.4837364470391989</v>
      </c>
      <c r="K45" s="42">
        <f t="shared" si="6"/>
        <v>49.493087557603694</v>
      </c>
    </row>
    <row r="46" spans="1:23" x14ac:dyDescent="0.2">
      <c r="A46">
        <v>10</v>
      </c>
      <c r="B46" s="35">
        <v>8.0299999999999994</v>
      </c>
      <c r="C46">
        <v>483</v>
      </c>
      <c r="E46">
        <v>0.26800000000000002</v>
      </c>
      <c r="F46" s="15">
        <f>E46-'Calibration standard'!$X$46</f>
        <v>0.22450000000000003</v>
      </c>
      <c r="G46" s="44">
        <f>F46/'Calibration standard'!$Y$28</f>
        <v>8.5704865690289456</v>
      </c>
      <c r="H46" s="25">
        <f t="shared" si="5"/>
        <v>2.1483245068473527</v>
      </c>
      <c r="I46">
        <v>-33</v>
      </c>
      <c r="J46" s="25">
        <f>(I46-'pH-Potential calibration'!$E$26)/'pH-Potential calibration'!$D$26</f>
        <v>7.4837364470391989</v>
      </c>
      <c r="K46" s="42">
        <f t="shared" si="6"/>
        <v>41.382488479262676</v>
      </c>
    </row>
    <row r="47" spans="1:23" x14ac:dyDescent="0.2">
      <c r="B47" s="35"/>
      <c r="F47" s="15"/>
      <c r="G47" s="25"/>
      <c r="H47" s="25"/>
      <c r="J47" s="25"/>
    </row>
    <row r="48" spans="1:23" s="45" customFormat="1" x14ac:dyDescent="0.2">
      <c r="B48" s="46"/>
      <c r="F48" s="47"/>
      <c r="G48" s="48"/>
      <c r="H48" s="48"/>
      <c r="J48" s="48"/>
    </row>
    <row r="49" spans="1:23" x14ac:dyDescent="0.2">
      <c r="B49" s="1" t="s">
        <v>42</v>
      </c>
      <c r="C49" t="s">
        <v>40</v>
      </c>
      <c r="E49" s="34">
        <f>2*1000/(100+0.5+5)</f>
        <v>18.957345971563981</v>
      </c>
      <c r="F49" t="s">
        <v>38</v>
      </c>
      <c r="T49" t="s">
        <v>3</v>
      </c>
    </row>
    <row r="50" spans="1:23" x14ac:dyDescent="0.2">
      <c r="C50" t="s">
        <v>1</v>
      </c>
      <c r="E50" s="25">
        <f>AVERAGE(J52:J62)</f>
        <v>7.5012510425354444</v>
      </c>
      <c r="T50" t="s">
        <v>4</v>
      </c>
      <c r="U50" t="s">
        <v>5</v>
      </c>
      <c r="V50" cm="1">
        <f t="array" ref="V50:W54">LINEST(H53:H62,C53:C62,,TRUE)</f>
        <v>-1.2586327332617315E-3</v>
      </c>
      <c r="W50">
        <v>2.6661381437834448</v>
      </c>
    </row>
    <row r="51" spans="1:23" x14ac:dyDescent="0.2">
      <c r="B51" t="s">
        <v>31</v>
      </c>
      <c r="C51" t="s">
        <v>32</v>
      </c>
      <c r="E51" t="s">
        <v>21</v>
      </c>
      <c r="F51" t="s">
        <v>22</v>
      </c>
      <c r="G51" t="s">
        <v>33</v>
      </c>
      <c r="H51" t="s">
        <v>34</v>
      </c>
      <c r="I51" t="s">
        <v>35</v>
      </c>
      <c r="J51" t="s">
        <v>36</v>
      </c>
      <c r="K51" t="s">
        <v>48</v>
      </c>
      <c r="T51" t="s">
        <v>6</v>
      </c>
      <c r="U51" t="s">
        <v>7</v>
      </c>
      <c r="V51">
        <v>8.2336370694364492E-5</v>
      </c>
      <c r="W51">
        <v>2.2624979969649881E-2</v>
      </c>
    </row>
    <row r="52" spans="1:23" x14ac:dyDescent="0.2">
      <c r="A52">
        <v>0</v>
      </c>
      <c r="B52" t="s">
        <v>49</v>
      </c>
      <c r="C52">
        <v>0</v>
      </c>
      <c r="G52" s="25"/>
      <c r="H52" s="25"/>
      <c r="I52">
        <v>-34</v>
      </c>
      <c r="J52" s="25">
        <f>(I52-'pH-Potential calibration'!$E$26)/'pH-Potential calibration'!$D$26</f>
        <v>7.5012510425354462</v>
      </c>
      <c r="T52" t="s">
        <v>8</v>
      </c>
      <c r="U52" t="s">
        <v>9</v>
      </c>
      <c r="V52">
        <v>0.96689786663195809</v>
      </c>
      <c r="W52">
        <v>4.1513831536731279E-2</v>
      </c>
    </row>
    <row r="53" spans="1:23" x14ac:dyDescent="0.2">
      <c r="A53">
        <v>1</v>
      </c>
      <c r="B53" s="41">
        <v>0.11</v>
      </c>
      <c r="C53" s="42">
        <v>11</v>
      </c>
      <c r="D53" s="42"/>
      <c r="E53" s="42">
        <v>0.40100000000000002</v>
      </c>
      <c r="F53" s="43">
        <f>E53-'Calibration standard'!$X$46</f>
        <v>0.35750000000000004</v>
      </c>
      <c r="G53" s="44">
        <f>F53/'Calibration standard'!$Y$28</f>
        <v>13.647879503019368</v>
      </c>
      <c r="H53" s="44">
        <f t="shared" ref="H53:H62" si="7">LN(G53)</f>
        <v>2.613584161799106</v>
      </c>
      <c r="I53" s="42">
        <v>-34</v>
      </c>
      <c r="J53" s="44">
        <f>(I53-'pH-Potential calibration'!$E$26)/'pH-Potential calibration'!$D$26</f>
        <v>7.5012510425354462</v>
      </c>
      <c r="K53" s="42">
        <f>G53*100/$G$53</f>
        <v>99.999999999999986</v>
      </c>
      <c r="T53" t="s">
        <v>10</v>
      </c>
      <c r="U53" t="s">
        <v>11</v>
      </c>
      <c r="V53">
        <v>233.67626633162899</v>
      </c>
      <c r="W53">
        <v>8</v>
      </c>
    </row>
    <row r="54" spans="1:23" x14ac:dyDescent="0.2">
      <c r="A54">
        <v>2</v>
      </c>
      <c r="B54" s="41">
        <v>0.36</v>
      </c>
      <c r="C54" s="42">
        <v>36</v>
      </c>
      <c r="D54" s="42"/>
      <c r="E54" s="42">
        <v>0.39100000000000001</v>
      </c>
      <c r="F54" s="43">
        <f>E54-'Calibration standard'!$X$46</f>
        <v>0.34750000000000003</v>
      </c>
      <c r="G54" s="44">
        <f>F54/'Calibration standard'!$Y$28</f>
        <v>13.266120635802043</v>
      </c>
      <c r="H54" s="44">
        <f t="shared" si="7"/>
        <v>2.5852134646698905</v>
      </c>
      <c r="I54" s="42">
        <v>-34</v>
      </c>
      <c r="J54" s="44">
        <f>(I54-'pH-Potential calibration'!$E$26)/'pH-Potential calibration'!$D$26</f>
        <v>7.5012510425354462</v>
      </c>
      <c r="K54" s="42">
        <f t="shared" ref="K54:K62" si="8">G54*100/$G$53</f>
        <v>97.2027972027972</v>
      </c>
      <c r="T54" t="s">
        <v>12</v>
      </c>
      <c r="U54" t="s">
        <v>13</v>
      </c>
      <c r="V54">
        <v>0.40271725884904613</v>
      </c>
      <c r="W54">
        <v>1.3787185670880836E-2</v>
      </c>
    </row>
    <row r="55" spans="1:23" x14ac:dyDescent="0.2">
      <c r="A55">
        <v>3</v>
      </c>
      <c r="B55" s="41">
        <v>1.02</v>
      </c>
      <c r="C55" s="42">
        <v>62</v>
      </c>
      <c r="D55" s="42"/>
      <c r="E55" s="42">
        <v>0.39</v>
      </c>
      <c r="F55" s="43">
        <f>E55-'Calibration standard'!$X$46</f>
        <v>0.34650000000000003</v>
      </c>
      <c r="G55" s="44">
        <f>F55/'Calibration standard'!$Y$28</f>
        <v>13.22794474908031</v>
      </c>
      <c r="H55" s="44">
        <f t="shared" si="7"/>
        <v>2.5823316182950018</v>
      </c>
      <c r="I55" s="42">
        <v>-34</v>
      </c>
      <c r="J55" s="44">
        <f>(I55-'pH-Potential calibration'!$E$26)/'pH-Potential calibration'!$D$26</f>
        <v>7.5012510425354462</v>
      </c>
      <c r="K55" s="42">
        <f t="shared" si="8"/>
        <v>96.923076923076906</v>
      </c>
    </row>
    <row r="56" spans="1:23" x14ac:dyDescent="0.2">
      <c r="A56">
        <v>4</v>
      </c>
      <c r="B56" s="41">
        <v>2.04</v>
      </c>
      <c r="C56" s="42">
        <v>124</v>
      </c>
      <c r="D56" s="42"/>
      <c r="E56" s="42">
        <v>0.37</v>
      </c>
      <c r="F56" s="43">
        <f>E56-'Calibration standard'!$X$46</f>
        <v>0.32650000000000001</v>
      </c>
      <c r="G56" s="44">
        <f>F56/'Calibration standard'!$Y$28</f>
        <v>12.464427014645659</v>
      </c>
      <c r="H56" s="44">
        <f t="shared" si="7"/>
        <v>2.5228787483815296</v>
      </c>
      <c r="I56" s="42">
        <v>-34</v>
      </c>
      <c r="J56" s="44">
        <f>(I56-'pH-Potential calibration'!$E$26)/'pH-Potential calibration'!$D$26</f>
        <v>7.5012510425354462</v>
      </c>
      <c r="K56" s="42">
        <f t="shared" si="8"/>
        <v>91.328671328671319</v>
      </c>
    </row>
    <row r="57" spans="1:23" x14ac:dyDescent="0.2">
      <c r="A57">
        <v>5</v>
      </c>
      <c r="B57" s="35">
        <v>3</v>
      </c>
      <c r="C57">
        <v>180</v>
      </c>
      <c r="E57">
        <v>0.35699999999999998</v>
      </c>
      <c r="F57" s="15">
        <f>E57-'Calibration standard'!$X$46</f>
        <v>0.3135</v>
      </c>
      <c r="G57" s="44">
        <f>F57/'Calibration standard'!$Y$28</f>
        <v>11.968140487263137</v>
      </c>
      <c r="H57" s="25">
        <f t="shared" si="7"/>
        <v>2.482248159738019</v>
      </c>
      <c r="I57">
        <v>-34</v>
      </c>
      <c r="J57" s="25">
        <f>(I57-'pH-Potential calibration'!$E$26)/'pH-Potential calibration'!$D$26</f>
        <v>7.5012510425354462</v>
      </c>
      <c r="K57" s="50">
        <f t="shared" si="8"/>
        <v>87.692307692307679</v>
      </c>
    </row>
    <row r="58" spans="1:23" x14ac:dyDescent="0.2">
      <c r="A58">
        <v>6</v>
      </c>
      <c r="B58" s="35">
        <v>4.05</v>
      </c>
      <c r="C58">
        <v>245</v>
      </c>
      <c r="E58">
        <v>0.33100000000000002</v>
      </c>
      <c r="F58" s="15">
        <f>E58-'Calibration standard'!$X$46</f>
        <v>0.28750000000000003</v>
      </c>
      <c r="G58" s="44">
        <f>F58/'Calibration standard'!$Y$28</f>
        <v>10.975567432498092</v>
      </c>
      <c r="H58" s="25">
        <f t="shared" si="7"/>
        <v>2.3956716599024488</v>
      </c>
      <c r="I58">
        <v>-34</v>
      </c>
      <c r="J58" s="25">
        <f>(I58-'pH-Potential calibration'!$E$26)/'pH-Potential calibration'!$D$26</f>
        <v>7.5012510425354462</v>
      </c>
      <c r="K58" s="50">
        <f t="shared" si="8"/>
        <v>80.419580419580413</v>
      </c>
    </row>
    <row r="59" spans="1:23" x14ac:dyDescent="0.2">
      <c r="A59">
        <v>7</v>
      </c>
      <c r="B59" s="35">
        <v>5.03</v>
      </c>
      <c r="C59">
        <v>303</v>
      </c>
      <c r="E59">
        <v>0.313</v>
      </c>
      <c r="F59" s="15">
        <f>E59-'Calibration standard'!$X$46</f>
        <v>0.26950000000000002</v>
      </c>
      <c r="G59" s="44">
        <f>F59/'Calibration standard'!$Y$28</f>
        <v>10.288401471506907</v>
      </c>
      <c r="H59" s="25">
        <f t="shared" si="7"/>
        <v>2.3310171900140957</v>
      </c>
      <c r="I59">
        <v>-34</v>
      </c>
      <c r="J59" s="25">
        <f>(I59-'pH-Potential calibration'!$E$26)/'pH-Potential calibration'!$D$26</f>
        <v>7.5012510425354462</v>
      </c>
      <c r="K59" s="50">
        <f t="shared" si="8"/>
        <v>75.384615384615373</v>
      </c>
    </row>
    <row r="60" spans="1:23" x14ac:dyDescent="0.2">
      <c r="A60">
        <v>8</v>
      </c>
      <c r="B60" s="35">
        <v>6.1</v>
      </c>
      <c r="C60">
        <v>370</v>
      </c>
      <c r="E60">
        <v>0.28399999999999997</v>
      </c>
      <c r="F60" s="15">
        <f>E60-'Calibration standard'!$X$46</f>
        <v>0.24049999999999999</v>
      </c>
      <c r="G60" s="44">
        <f>F60/'Calibration standard'!$Y$28</f>
        <v>9.1813007565766647</v>
      </c>
      <c r="H60" s="25">
        <f t="shared" si="7"/>
        <v>2.2171688892108596</v>
      </c>
      <c r="I60">
        <v>-34</v>
      </c>
      <c r="J60" s="25">
        <f>(I60-'pH-Potential calibration'!$E$26)/'pH-Potential calibration'!$D$26</f>
        <v>7.5012510425354462</v>
      </c>
      <c r="K60" s="50">
        <f t="shared" si="8"/>
        <v>67.272727272727266</v>
      </c>
    </row>
    <row r="61" spans="1:23" x14ac:dyDescent="0.2">
      <c r="A61">
        <v>9</v>
      </c>
      <c r="B61" s="35">
        <v>7.02</v>
      </c>
      <c r="C61">
        <v>422</v>
      </c>
      <c r="E61">
        <v>0.26400000000000001</v>
      </c>
      <c r="F61" s="15">
        <f>E61-'Calibration standard'!$X$46</f>
        <v>0.22050000000000003</v>
      </c>
      <c r="G61" s="44">
        <f>F61/'Calibration standard'!$Y$28</f>
        <v>8.4177830221420162</v>
      </c>
      <c r="H61" s="25">
        <f t="shared" si="7"/>
        <v>2.1303464945519446</v>
      </c>
      <c r="I61">
        <v>-34</v>
      </c>
      <c r="J61" s="25">
        <f>(I61-'pH-Potential calibration'!$E$26)/'pH-Potential calibration'!$D$26</f>
        <v>7.5012510425354462</v>
      </c>
      <c r="K61" s="50">
        <f t="shared" si="8"/>
        <v>61.67832167832168</v>
      </c>
    </row>
    <row r="62" spans="1:23" x14ac:dyDescent="0.2">
      <c r="A62">
        <v>10</v>
      </c>
      <c r="B62" s="35">
        <v>8.0449999999999999</v>
      </c>
      <c r="C62">
        <v>485</v>
      </c>
      <c r="E62">
        <v>0.23400000000000001</v>
      </c>
      <c r="F62" s="15">
        <f>E62-'Calibration standard'!$X$46</f>
        <v>0.19050000000000003</v>
      </c>
      <c r="G62" s="44">
        <f>F62/'Calibration standard'!$Y$28</f>
        <v>7.2725064204900409</v>
      </c>
      <c r="H62" s="25">
        <f t="shared" si="7"/>
        <v>1.9841009942317995</v>
      </c>
      <c r="I62">
        <v>-34</v>
      </c>
      <c r="J62" s="25">
        <f>(I62-'pH-Potential calibration'!$E$26)/'pH-Potential calibration'!$D$26</f>
        <v>7.5012510425354462</v>
      </c>
      <c r="K62" s="50">
        <f t="shared" si="8"/>
        <v>53.286713286713287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pH-Potential calibration</vt:lpstr>
      <vt:lpstr>Calibration standard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Sarawud Saleesongsom</cp:lastModifiedBy>
  <cp:revision/>
  <dcterms:created xsi:type="dcterms:W3CDTF">2022-11-08T11:06:24Z</dcterms:created>
  <dcterms:modified xsi:type="dcterms:W3CDTF">2023-06-22T08:57:09Z</dcterms:modified>
  <cp:category/>
  <cp:contentStatus/>
</cp:coreProperties>
</file>