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zhoug/Desktop/7641 - Machine Learning/LearningCurves:"/>
    </mc:Choice>
  </mc:AlternateContent>
  <xr:revisionPtr revIDLastSave="0" documentId="13_ncr:1_{CF79E253-0CD2-0E48-9C79-87001536A97B}" xr6:coauthVersionLast="36" xr6:coauthVersionMax="36" xr10:uidLastSave="{00000000-0000-0000-0000-000000000000}"/>
  <bookViews>
    <workbookView xWindow="-37760" yWindow="-2920" windowWidth="31000" windowHeight="20220" activeTab="1" xr2:uid="{596318BC-5C3D-DC4D-8B99-467BB6FC9024}"/>
  </bookViews>
  <sheets>
    <sheet name="Learning Curve" sheetId="2" r:id="rId1"/>
    <sheet name="Model Evaluation" sheetId="3" r:id="rId2"/>
  </sheets>
  <externalReferences>
    <externalReference r:id="rId3"/>
  </externalReferences>
  <definedNames>
    <definedName name="_xlnm._FilterDatabase" localSheetId="1" hidden="1">'Model Evaluation'!$Q$38:$V$43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3" l="1"/>
  <c r="T43" i="3"/>
  <c r="U43" i="3"/>
  <c r="S43" i="3"/>
  <c r="T31" i="3"/>
  <c r="U31" i="3"/>
  <c r="S31" i="3"/>
  <c r="T42" i="3"/>
  <c r="U42" i="3"/>
  <c r="T30" i="3"/>
  <c r="U30" i="3"/>
  <c r="S42" i="3"/>
  <c r="S30" i="3"/>
  <c r="S28" i="3"/>
  <c r="S40" i="3"/>
  <c r="T28" i="3"/>
  <c r="U28" i="3"/>
  <c r="T40" i="3"/>
  <c r="U40" i="3"/>
  <c r="T41" i="3"/>
  <c r="U41" i="3"/>
  <c r="T29" i="3"/>
  <c r="U29" i="3"/>
  <c r="S29" i="3"/>
  <c r="T39" i="3"/>
  <c r="U39" i="3"/>
  <c r="S39" i="3"/>
  <c r="T27" i="3"/>
  <c r="U27" i="3"/>
  <c r="S27" i="3"/>
  <c r="E101" i="3"/>
  <c r="D104" i="3"/>
  <c r="C104" i="3"/>
  <c r="C103" i="3"/>
  <c r="D103" i="3"/>
  <c r="D102" i="3"/>
  <c r="C102" i="3"/>
  <c r="C101" i="3"/>
  <c r="D101" i="3"/>
  <c r="C100" i="3"/>
  <c r="D100" i="3"/>
  <c r="E92" i="3"/>
  <c r="C93" i="3"/>
  <c r="D93" i="3"/>
  <c r="D94" i="3"/>
  <c r="C94" i="3"/>
  <c r="C95" i="3"/>
  <c r="D95" i="3"/>
  <c r="D96" i="3"/>
  <c r="C96" i="3"/>
  <c r="C92" i="3"/>
  <c r="D92" i="3"/>
  <c r="D81" i="3"/>
  <c r="C81" i="3"/>
  <c r="C80" i="3"/>
  <c r="E80" i="3"/>
  <c r="D80" i="3"/>
  <c r="D79" i="3"/>
  <c r="C79" i="3"/>
  <c r="C78" i="3"/>
  <c r="E78" i="3"/>
  <c r="D78" i="3"/>
  <c r="E87" i="3"/>
  <c r="E85" i="3"/>
  <c r="D86" i="3"/>
  <c r="C86" i="3"/>
  <c r="C85" i="3"/>
  <c r="D85" i="3"/>
  <c r="D88" i="3"/>
  <c r="C88" i="3"/>
  <c r="D87" i="3"/>
  <c r="C87" i="3"/>
  <c r="G71" i="3"/>
  <c r="G69" i="3"/>
  <c r="G70" i="3"/>
  <c r="E67" i="3"/>
  <c r="F67" i="3"/>
  <c r="F68" i="3"/>
  <c r="E68" i="3"/>
  <c r="E69" i="3"/>
  <c r="F69" i="3"/>
  <c r="F70" i="3"/>
  <c r="E70" i="3"/>
  <c r="E71" i="3"/>
  <c r="F71" i="3"/>
  <c r="G61" i="3"/>
  <c r="E59" i="3"/>
  <c r="F59" i="3"/>
  <c r="F60" i="3"/>
  <c r="E60" i="3"/>
  <c r="E61" i="3"/>
  <c r="F61" i="3"/>
  <c r="F62" i="3"/>
  <c r="E62" i="3"/>
  <c r="E63" i="3"/>
  <c r="F63" i="3"/>
  <c r="H53" i="3"/>
  <c r="F19" i="3"/>
  <c r="F20" i="3"/>
  <c r="E26" i="3"/>
  <c r="D26" i="3"/>
  <c r="D25" i="3"/>
  <c r="E25" i="3"/>
  <c r="E24" i="3"/>
  <c r="D24" i="3"/>
  <c r="D23" i="3"/>
  <c r="E23" i="3"/>
  <c r="D22" i="3"/>
  <c r="E22" i="3"/>
  <c r="E21" i="3"/>
  <c r="D21" i="3"/>
  <c r="D20" i="3"/>
  <c r="E20" i="3"/>
  <c r="E19" i="3"/>
  <c r="D19" i="3"/>
  <c r="D18" i="3"/>
  <c r="E18" i="3"/>
  <c r="F13" i="3"/>
  <c r="F5" i="3"/>
  <c r="E13" i="3"/>
  <c r="D13" i="3"/>
  <c r="D12" i="3"/>
  <c r="E12" i="3"/>
  <c r="E11" i="3"/>
  <c r="D11" i="3"/>
  <c r="D10" i="3"/>
  <c r="E10" i="3"/>
  <c r="E9" i="3"/>
  <c r="D9" i="3"/>
  <c r="D8" i="3"/>
  <c r="E8" i="3"/>
  <c r="E7" i="3"/>
  <c r="D7" i="3"/>
  <c r="D6" i="3"/>
  <c r="E6" i="3"/>
  <c r="D5" i="3"/>
  <c r="E5" i="3"/>
  <c r="F34" i="3"/>
  <c r="F36" i="3"/>
  <c r="G36" i="3"/>
  <c r="F35" i="3"/>
  <c r="G35" i="3"/>
  <c r="G34" i="3"/>
  <c r="F32" i="3"/>
  <c r="G32" i="3"/>
  <c r="H37" i="3"/>
  <c r="G37" i="3"/>
  <c r="F37" i="3"/>
  <c r="F31" i="3"/>
  <c r="G31" i="3"/>
  <c r="F33" i="3"/>
  <c r="G33" i="3"/>
  <c r="G51" i="3"/>
  <c r="F51" i="3"/>
  <c r="F50" i="3"/>
  <c r="G50" i="3"/>
  <c r="F47" i="3"/>
  <c r="F48" i="3"/>
  <c r="F52" i="3"/>
  <c r="F53" i="3"/>
  <c r="G53" i="3"/>
  <c r="G52" i="3"/>
  <c r="G48" i="3"/>
  <c r="G47" i="3"/>
  <c r="F46" i="3"/>
  <c r="G46" i="3"/>
  <c r="F42" i="3"/>
  <c r="G42" i="3"/>
  <c r="F45" i="3"/>
  <c r="G45" i="3"/>
  <c r="G43" i="3"/>
  <c r="G44" i="3"/>
  <c r="F44" i="3"/>
  <c r="F43" i="3"/>
  <c r="G41" i="3"/>
  <c r="F41" i="3"/>
  <c r="G49" i="3"/>
  <c r="F49" i="3"/>
  <c r="O27" i="2"/>
  <c r="B34" i="2" s="1"/>
  <c r="L27" i="2"/>
  <c r="B33" i="2" s="1"/>
  <c r="F27" i="2"/>
  <c r="B31" i="2" s="1"/>
  <c r="I27" i="2"/>
  <c r="B32" i="2" s="1"/>
  <c r="C27" i="2"/>
  <c r="B30" i="2" s="1"/>
  <c r="N27" i="2"/>
  <c r="K27" i="2"/>
  <c r="E27" i="2"/>
  <c r="H27" i="2"/>
  <c r="B27" i="2"/>
  <c r="O26" i="2"/>
  <c r="L26" i="2"/>
  <c r="F26" i="2"/>
  <c r="I26" i="2"/>
  <c r="C26" i="2"/>
  <c r="N26" i="2"/>
  <c r="K26" i="2"/>
  <c r="E26" i="2"/>
  <c r="H26" i="2"/>
  <c r="B26" i="2"/>
  <c r="O25" i="2"/>
  <c r="L25" i="2"/>
  <c r="F25" i="2"/>
  <c r="I25" i="2"/>
  <c r="C25" i="2"/>
  <c r="N25" i="2"/>
  <c r="K25" i="2"/>
  <c r="E25" i="2"/>
  <c r="H25" i="2"/>
  <c r="B25" i="2"/>
  <c r="O24" i="2"/>
  <c r="L24" i="2"/>
  <c r="F24" i="2"/>
  <c r="I24" i="2"/>
  <c r="C24" i="2"/>
  <c r="N24" i="2"/>
  <c r="K24" i="2"/>
  <c r="E24" i="2"/>
  <c r="H24" i="2"/>
  <c r="B24" i="2"/>
  <c r="O23" i="2"/>
  <c r="L23" i="2"/>
  <c r="F23" i="2"/>
  <c r="I23" i="2"/>
  <c r="C23" i="2"/>
  <c r="N23" i="2"/>
  <c r="K23" i="2"/>
  <c r="E23" i="2"/>
  <c r="H23" i="2"/>
  <c r="B23" i="2"/>
  <c r="O22" i="2"/>
  <c r="L22" i="2"/>
  <c r="F22" i="2"/>
  <c r="I22" i="2"/>
  <c r="C22" i="2"/>
  <c r="N22" i="2"/>
  <c r="K22" i="2"/>
  <c r="E22" i="2"/>
  <c r="H22" i="2"/>
  <c r="B22" i="2"/>
  <c r="O21" i="2"/>
  <c r="L21" i="2"/>
  <c r="F21" i="2"/>
  <c r="I21" i="2"/>
  <c r="C21" i="2"/>
  <c r="N21" i="2"/>
  <c r="K21" i="2"/>
  <c r="E21" i="2"/>
  <c r="H21" i="2"/>
  <c r="B21" i="2"/>
  <c r="O20" i="2"/>
  <c r="L20" i="2"/>
  <c r="F20" i="2"/>
  <c r="I20" i="2"/>
  <c r="C20" i="2"/>
  <c r="N20" i="2"/>
  <c r="K20" i="2"/>
  <c r="E20" i="2"/>
  <c r="H20" i="2"/>
  <c r="B20" i="2"/>
  <c r="O19" i="2"/>
  <c r="L19" i="2"/>
  <c r="F19" i="2"/>
  <c r="I19" i="2"/>
  <c r="C19" i="2"/>
  <c r="N19" i="2"/>
  <c r="K19" i="2"/>
  <c r="E19" i="2"/>
  <c r="H19" i="2"/>
  <c r="B19" i="2"/>
  <c r="O18" i="2"/>
  <c r="L18" i="2"/>
  <c r="F18" i="2"/>
  <c r="I18" i="2"/>
  <c r="C18" i="2"/>
  <c r="N18" i="2"/>
  <c r="K18" i="2"/>
  <c r="E18" i="2"/>
  <c r="H18" i="2"/>
  <c r="B18" i="2"/>
  <c r="O13" i="2"/>
  <c r="C34" i="2" s="1"/>
  <c r="L13" i="2"/>
  <c r="C33" i="2" s="1"/>
  <c r="F13" i="2"/>
  <c r="C31" i="2" s="1"/>
  <c r="I13" i="2"/>
  <c r="C32" i="2" s="1"/>
  <c r="C13" i="2"/>
  <c r="C30" i="2" s="1"/>
  <c r="N13" i="2"/>
  <c r="K13" i="2"/>
  <c r="E13" i="2"/>
  <c r="H13" i="2"/>
  <c r="B13" i="2"/>
  <c r="O12" i="2"/>
  <c r="L12" i="2"/>
  <c r="F12" i="2"/>
  <c r="I12" i="2"/>
  <c r="C12" i="2"/>
  <c r="N12" i="2"/>
  <c r="K12" i="2"/>
  <c r="E12" i="2"/>
  <c r="H12" i="2"/>
  <c r="B12" i="2"/>
  <c r="O11" i="2"/>
  <c r="L11" i="2"/>
  <c r="F11" i="2"/>
  <c r="I11" i="2"/>
  <c r="C11" i="2"/>
  <c r="N11" i="2"/>
  <c r="K11" i="2"/>
  <c r="E11" i="2"/>
  <c r="H11" i="2"/>
  <c r="B11" i="2"/>
  <c r="O10" i="2"/>
  <c r="L10" i="2"/>
  <c r="F10" i="2"/>
  <c r="I10" i="2"/>
  <c r="C10" i="2"/>
  <c r="N10" i="2"/>
  <c r="K10" i="2"/>
  <c r="E10" i="2"/>
  <c r="H10" i="2"/>
  <c r="B10" i="2"/>
  <c r="O9" i="2"/>
  <c r="L9" i="2"/>
  <c r="F9" i="2"/>
  <c r="I9" i="2"/>
  <c r="C9" i="2"/>
  <c r="N9" i="2"/>
  <c r="K9" i="2"/>
  <c r="E9" i="2"/>
  <c r="H9" i="2"/>
  <c r="B9" i="2"/>
  <c r="O8" i="2"/>
  <c r="L8" i="2"/>
  <c r="F8" i="2"/>
  <c r="I8" i="2"/>
  <c r="C8" i="2"/>
  <c r="N8" i="2"/>
  <c r="K8" i="2"/>
  <c r="E8" i="2"/>
  <c r="H8" i="2"/>
  <c r="B8" i="2"/>
  <c r="O7" i="2"/>
  <c r="L7" i="2"/>
  <c r="F7" i="2"/>
  <c r="I7" i="2"/>
  <c r="C7" i="2"/>
  <c r="N7" i="2"/>
  <c r="K7" i="2"/>
  <c r="E7" i="2"/>
  <c r="H7" i="2"/>
  <c r="B7" i="2"/>
  <c r="O6" i="2"/>
  <c r="L6" i="2"/>
  <c r="F6" i="2"/>
  <c r="I6" i="2"/>
  <c r="C6" i="2"/>
  <c r="N6" i="2"/>
  <c r="K6" i="2"/>
  <c r="E6" i="2"/>
  <c r="H6" i="2"/>
  <c r="B6" i="2"/>
  <c r="O5" i="2"/>
  <c r="L5" i="2"/>
  <c r="F5" i="2"/>
  <c r="I5" i="2"/>
  <c r="C5" i="2"/>
  <c r="N5" i="2"/>
  <c r="K5" i="2"/>
  <c r="E5" i="2"/>
  <c r="H5" i="2"/>
  <c r="B5" i="2"/>
  <c r="O4" i="2"/>
  <c r="L4" i="2"/>
  <c r="F4" i="2"/>
  <c r="I4" i="2"/>
  <c r="C4" i="2"/>
  <c r="N4" i="2"/>
  <c r="K4" i="2"/>
  <c r="E4" i="2"/>
  <c r="H4" i="2"/>
  <c r="B4" i="2"/>
</calcChain>
</file>

<file path=xl/sharedStrings.xml><?xml version="1.0" encoding="utf-8"?>
<sst xmlns="http://schemas.openxmlformats.org/spreadsheetml/2006/main" count="202" uniqueCount="62">
  <si>
    <t>Boosting</t>
  </si>
  <si>
    <t>Tree</t>
  </si>
  <si>
    <t>ANN</t>
  </si>
  <si>
    <t>SVM</t>
  </si>
  <si>
    <t>Training</t>
  </si>
  <si>
    <t>Test</t>
  </si>
  <si>
    <t>CV</t>
  </si>
  <si>
    <t>Phishing Website</t>
  </si>
  <si>
    <t>Fault</t>
  </si>
  <si>
    <t>KNN</t>
  </si>
  <si>
    <t>Decision Tree</t>
  </si>
  <si>
    <t>Pruning</t>
  </si>
  <si>
    <t>Confidence Factor</t>
  </si>
  <si>
    <t>Phishing</t>
  </si>
  <si>
    <t>N/A</t>
  </si>
  <si>
    <t>Yes</t>
  </si>
  <si>
    <t>No</t>
  </si>
  <si>
    <t>Learning Rate</t>
  </si>
  <si>
    <t>Hidden Layers</t>
  </si>
  <si>
    <t>Neurons</t>
  </si>
  <si>
    <t xml:space="preserve">5, 5, 5 </t>
  </si>
  <si>
    <t>3, 6, 9</t>
  </si>
  <si>
    <t>10, 20</t>
  </si>
  <si>
    <t>Momentum</t>
  </si>
  <si>
    <t>248 Leaves</t>
  </si>
  <si>
    <t>432 Size of Tree</t>
  </si>
  <si>
    <t>335 Leaves</t>
  </si>
  <si>
    <t>579 Size of Tree</t>
  </si>
  <si>
    <t>129 Leaves</t>
  </si>
  <si>
    <t>257 Tree Size</t>
  </si>
  <si>
    <t>142 Leaves</t>
  </si>
  <si>
    <t>283 Tree Size</t>
  </si>
  <si>
    <t>Num Iterations</t>
  </si>
  <si>
    <t>Standardize for Fault</t>
  </si>
  <si>
    <t>Leaves</t>
  </si>
  <si>
    <t>Tree Size</t>
  </si>
  <si>
    <t>Kernel</t>
  </si>
  <si>
    <t>Radial Basis Function</t>
  </si>
  <si>
    <t>Sigmoid</t>
  </si>
  <si>
    <t>Linear</t>
  </si>
  <si>
    <t>Polynomial</t>
  </si>
  <si>
    <t>c, p</t>
  </si>
  <si>
    <t>c, gamma</t>
  </si>
  <si>
    <t>c, k, mu</t>
  </si>
  <si>
    <t>c</t>
  </si>
  <si>
    <t>Classifies mostly in g - other faults</t>
  </si>
  <si>
    <t>Kernels tend to classify in g and f a lot, the most common classes</t>
  </si>
  <si>
    <t>Lin</t>
  </si>
  <si>
    <t>Poly</t>
  </si>
  <si>
    <t>RBF</t>
  </si>
  <si>
    <t>Sig</t>
  </si>
  <si>
    <t># neighbors</t>
  </si>
  <si>
    <t>Faulty Plate</t>
  </si>
  <si>
    <t>Model</t>
  </si>
  <si>
    <t>DT</t>
  </si>
  <si>
    <t>Time</t>
  </si>
  <si>
    <t>Fast</t>
  </si>
  <si>
    <t>FP</t>
  </si>
  <si>
    <t>PW</t>
  </si>
  <si>
    <t>Very Slow</t>
  </si>
  <si>
    <t>Fast/Medium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</si>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</sst>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right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0" applyNumberFormat="1"/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horizontal="left" vertical="center"/>
    </xf>
    <xf numFmtId="10" fontId="0" fillId="0" borderId="1" xfId="1" applyNumberFormat="1" applyFont="1" applyBorder="1" applyAlignment="1">
      <alignment horizontal="center"/>
    </xf>
    <xf numFmtId="0" fontId="0" fillId="2" borderId="1" xfId="0" applyFill="1" applyBorder="1"/>
    <xf numFmtId="10" fontId="0" fillId="2" borderId="1" xfId="1" applyNumberFormat="1" applyFon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0" fontId="0" fillId="2" borderId="0" xfId="1" applyNumberFormat="1" applyFont="1" applyFill="1"/>
    <xf numFmtId="10" fontId="0" fillId="0" borderId="1" xfId="0" applyNumberFormat="1" applyBorder="1"/>
    <xf numFmtId="0" fontId="0" fillId="0" borderId="0" xfId="0" applyFill="1" applyAlignment="1">
      <alignment horizontal="center" vertical="center"/>
    </xf>
    <xf numFmtId="10" fontId="0" fillId="0" borderId="1" xfId="0" applyNumberFormat="1" applyFill="1" applyBorder="1"/>
    <xf numFmtId="0" fontId="0" fillId="0" borderId="1" xfId="0" applyFill="1" applyBorder="1"/>
  </cellXfs>
  <cellStyles count="2">
    <cellStyle name="Normal" xfId="0" builtinId="0"/>
    <cellStyle name="Percent" xfId="1" builtinId="5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Website</a:t>
            </a:r>
            <a:r>
              <a:rPr lang="en-US" baseline="0"/>
              <a:t> - </a:t>
            </a:r>
            <a:r>
              <a:rPr lang="en-US"/>
              <a:t>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Curve'!$H$3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Curve'!$A$4:$A$13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Curve'!$H$4:$H$13</c:f>
              <c:numCache>
                <c:formatCode>0.00%</c:formatCode>
                <c:ptCount val="10"/>
                <c:pt idx="0">
                  <c:v>0.99095022624434392</c:v>
                </c:pt>
                <c:pt idx="1">
                  <c:v>0.99208144796380093</c:v>
                </c:pt>
                <c:pt idx="2">
                  <c:v>0.9917075009423294</c:v>
                </c:pt>
                <c:pt idx="3">
                  <c:v>0.99067005937234942</c:v>
                </c:pt>
                <c:pt idx="4">
                  <c:v>0.99050203527815472</c:v>
                </c:pt>
                <c:pt idx="5">
                  <c:v>0.99001130795326042</c:v>
                </c:pt>
                <c:pt idx="6">
                  <c:v>0.98933764135702751</c:v>
                </c:pt>
                <c:pt idx="7">
                  <c:v>0.98954063604240283</c:v>
                </c:pt>
                <c:pt idx="8">
                  <c:v>0.98856640281442387</c:v>
                </c:pt>
                <c:pt idx="9">
                  <c:v>0.98869289914066039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F-634E-9229-957DF78AA976}"/>
            </c:ext>
          </c:extLst>
        </c:ser>
        <c:ser>
          <c:idx val="1"/>
          <c:order val="1"/>
          <c:tx>
            <c:strRef>
              <c:f>'Learning Curve'!$I$3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Curve'!$A$4:$A$13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Curve'!$I$4:$I$13</c:f>
              <c:numCache>
                <c:formatCode>0.00%</c:formatCode>
                <c:ptCount val="10"/>
                <c:pt idx="0">
                  <c:v>0.92307692307692313</c:v>
                </c:pt>
                <c:pt idx="1">
                  <c:v>0.93269230769230771</c:v>
                </c:pt>
                <c:pt idx="2">
                  <c:v>0.94534489257444398</c:v>
                </c:pt>
                <c:pt idx="3">
                  <c:v>0.94882668928470459</c:v>
                </c:pt>
                <c:pt idx="4">
                  <c:v>0.954093170511081</c:v>
                </c:pt>
                <c:pt idx="5">
                  <c:v>0.95307199396909159</c:v>
                </c:pt>
                <c:pt idx="6">
                  <c:v>0.96090468497576742</c:v>
                </c:pt>
                <c:pt idx="7">
                  <c:v>0.95915194346289756</c:v>
                </c:pt>
                <c:pt idx="8">
                  <c:v>0.9600452318130418</c:v>
                </c:pt>
                <c:pt idx="9">
                  <c:v>0.96212121212121215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F-634E-9229-957DF78AA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592528"/>
        <c:axId val="1442647632"/>
      </c:lineChart>
      <c:catAx>
        <c:axId val="14865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47632"/>
        <c:crosses val="autoZero"/>
        <c:auto val="1"/>
        <c:lblAlgn val="ctr"/>
        <c:lblOffset val="100"/>
        <c:noMultiLvlLbl val="0"/>
      </c:catAx>
      <c:valAx>
        <c:axId val="14426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Faulty Plates - KNN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Curve'!$N$17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Curve'!$A$18:$A$27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Curve'!$N$18:$N$27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1-4540-AB1D-53B5927A01D9}"/>
            </c:ext>
          </c:extLst>
        </c:ser>
        <c:ser>
          <c:idx val="1"/>
          <c:order val="1"/>
          <c:tx>
            <c:strRef>
              <c:f>'Learning Curve'!$O$17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Curve'!$A$18:$A$27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Curve'!$O$18:$O$27</c:f>
              <c:numCache>
                <c:formatCode>0.00%</c:formatCode>
                <c:ptCount val="10"/>
                <c:pt idx="0">
                  <c:v>0.68387096774193545</c:v>
                </c:pt>
                <c:pt idx="1">
                  <c:v>0.64193548387096777</c:v>
                </c:pt>
                <c:pt idx="2">
                  <c:v>0.66236559139784945</c:v>
                </c:pt>
                <c:pt idx="3">
                  <c:v>0.66774193548387095</c:v>
                </c:pt>
                <c:pt idx="4">
                  <c:v>0.68427835051546393</c:v>
                </c:pt>
                <c:pt idx="5">
                  <c:v>0.69280343716433945</c:v>
                </c:pt>
                <c:pt idx="6">
                  <c:v>0.70257826887661146</c:v>
                </c:pt>
                <c:pt idx="7">
                  <c:v>0.72522159548751008</c:v>
                </c:pt>
                <c:pt idx="8">
                  <c:v>0.71060171919770776</c:v>
                </c:pt>
                <c:pt idx="9">
                  <c:v>0.71005154639175261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1-4540-AB1D-53B5927A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368112"/>
        <c:axId val="1532015536"/>
      </c:lineChart>
      <c:catAx>
        <c:axId val="15283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15536"/>
        <c:crosses val="autoZero"/>
        <c:auto val="1"/>
        <c:lblAlgn val="ctr"/>
        <c:lblOffset val="100"/>
        <c:noMultiLvlLbl val="0"/>
      </c:catAx>
      <c:valAx>
        <c:axId val="1532015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 Model Complexity -</a:t>
            </a:r>
            <a:r>
              <a:rPr lang="en-US" baseline="0"/>
              <a:t> </a:t>
            </a:r>
            <a:r>
              <a:rPr lang="en-US"/>
              <a:t>DT (Confidence</a:t>
            </a:r>
            <a:r>
              <a:rPr lang="en-US" baseline="0"/>
              <a:t> Factor)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Evaluation'!$C$6:$C$13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'Model Evaluation'!$D$6:$D$13</c:f>
              <c:numCache>
                <c:formatCode>0.00%</c:formatCode>
                <c:ptCount val="8"/>
                <c:pt idx="0">
                  <c:v>0.96641791044776115</c:v>
                </c:pt>
                <c:pt idx="1">
                  <c:v>0.97026232473993668</c:v>
                </c:pt>
                <c:pt idx="2">
                  <c:v>0.97354138398914514</c:v>
                </c:pt>
                <c:pt idx="3">
                  <c:v>0.97591587516960654</c:v>
                </c:pt>
                <c:pt idx="4">
                  <c:v>0.97591587516960654</c:v>
                </c:pt>
                <c:pt idx="5">
                  <c:v>0.97908186341022163</c:v>
                </c:pt>
                <c:pt idx="6">
                  <c:v>0.98032564450474902</c:v>
                </c:pt>
                <c:pt idx="7">
                  <c:v>0.98055178652193575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AB-8E43-A678-CE75C2E3E0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'Model Evaluation'!$C$6:$C$13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'Model Evaluation'!$E$6:$E$13</c:f>
              <c:numCache>
                <c:formatCode>0.00%</c:formatCode>
                <c:ptCount val="8"/>
                <c:pt idx="0">
                  <c:v>0.95183175033921308</c:v>
                </c:pt>
                <c:pt idx="1">
                  <c:v>0.95228403437358666</c:v>
                </c:pt>
                <c:pt idx="2">
                  <c:v>0.95375395748530079</c:v>
                </c:pt>
                <c:pt idx="3">
                  <c:v>0.95431931252826774</c:v>
                </c:pt>
                <c:pt idx="4">
                  <c:v>0.95545002261420175</c:v>
                </c:pt>
                <c:pt idx="5">
                  <c:v>0.95522388059701491</c:v>
                </c:pt>
                <c:pt idx="6">
                  <c:v>0.95511080958842154</c:v>
                </c:pt>
                <c:pt idx="7">
                  <c:v>0.95556309362279512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AB-8E43-A678-CE75C2E3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768928"/>
        <c:axId val="1527634048"/>
      </c:lineChart>
      <c:catAx>
        <c:axId val="148576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34048"/>
        <c:crosses val="autoZero"/>
        <c:auto val="1"/>
        <c:lblAlgn val="ctr"/>
        <c:lblOffset val="100"/>
        <c:noMultiLvlLbl val="0"/>
      </c:catAx>
      <c:valAx>
        <c:axId val="152763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 Model Complexity - DT (Confidence Factor)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Evaluation'!$C$19:$C$26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'Model Evaluation'!$D$19:$D$26</c:f>
              <c:numCache>
                <c:formatCode>0.00%</c:formatCode>
                <c:ptCount val="8"/>
                <c:pt idx="0">
                  <c:v>0.91945876288659789</c:v>
                </c:pt>
                <c:pt idx="1">
                  <c:v>0.93170103092783507</c:v>
                </c:pt>
                <c:pt idx="2">
                  <c:v>0.93363402061855671</c:v>
                </c:pt>
                <c:pt idx="3">
                  <c:v>0.93814432989690721</c:v>
                </c:pt>
                <c:pt idx="4">
                  <c:v>0.93814432989690721</c:v>
                </c:pt>
                <c:pt idx="5">
                  <c:v>0.93814432989690721</c:v>
                </c:pt>
                <c:pt idx="6">
                  <c:v>0.93943298969072164</c:v>
                </c:pt>
                <c:pt idx="7">
                  <c:v>0.93943298969072164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48-2244-8F4F-7C9B2CC929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'Model Evaluation'!$C$19:$C$26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'Model Evaluation'!$E$19:$E$26</c:f>
              <c:numCache>
                <c:formatCode>0.00%</c:formatCode>
                <c:ptCount val="8"/>
                <c:pt idx="0">
                  <c:v>0.73324742268041232</c:v>
                </c:pt>
                <c:pt idx="1">
                  <c:v>0.73324742268041232</c:v>
                </c:pt>
                <c:pt idx="2">
                  <c:v>0.73260309278350511</c:v>
                </c:pt>
                <c:pt idx="3">
                  <c:v>0.73195876288659789</c:v>
                </c:pt>
                <c:pt idx="4">
                  <c:v>0.73131443298969068</c:v>
                </c:pt>
                <c:pt idx="5">
                  <c:v>0.73131443298969068</c:v>
                </c:pt>
                <c:pt idx="6">
                  <c:v>0.73067010309278346</c:v>
                </c:pt>
                <c:pt idx="7">
                  <c:v>0.72938144329896903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D48-2244-8F4F-7C9B2CC92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66032"/>
        <c:axId val="1530836992"/>
      </c:lineChart>
      <c:catAx>
        <c:axId val="1519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6992"/>
        <c:crosses val="autoZero"/>
        <c:auto val="1"/>
        <c:lblAlgn val="ctr"/>
        <c:lblOffset val="100"/>
        <c:noMultiLvlLbl val="0"/>
      </c:catAx>
      <c:valAx>
        <c:axId val="153083699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- ANN (Learning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Evaluation'!$D$32:$D$36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'Model Evaluation'!$F$32:$F$36</c:f>
              <c:numCache>
                <c:formatCode>0.00%</c:formatCode>
                <c:ptCount val="5"/>
                <c:pt idx="0">
                  <c:v>0.98801447308909995</c:v>
                </c:pt>
                <c:pt idx="1">
                  <c:v>0.98710990502035278</c:v>
                </c:pt>
                <c:pt idx="2">
                  <c:v>0.987449118046133</c:v>
                </c:pt>
                <c:pt idx="3">
                  <c:v>0.98484848484848486</c:v>
                </c:pt>
                <c:pt idx="4">
                  <c:v>0.98541383989145181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432-924C-A9C2-A1199F021E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'Model Evaluation'!$D$32:$D$36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'Model Evaluation'!$G$32:$G$36</c:f>
              <c:numCache>
                <c:formatCode>0.00%</c:formatCode>
                <c:ptCount val="5"/>
                <c:pt idx="0">
                  <c:v>0.96404341926729986</c:v>
                </c:pt>
                <c:pt idx="1">
                  <c:v>0.96426956128448671</c:v>
                </c:pt>
                <c:pt idx="2">
                  <c:v>0.96426956128448671</c:v>
                </c:pt>
                <c:pt idx="3">
                  <c:v>0.96381727725011312</c:v>
                </c:pt>
                <c:pt idx="4">
                  <c:v>0.96404341926729986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432-924C-A9C2-A1199F021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833104"/>
        <c:axId val="1528716000"/>
      </c:lineChart>
      <c:catAx>
        <c:axId val="153283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16000"/>
        <c:crosses val="autoZero"/>
        <c:auto val="1"/>
        <c:lblAlgn val="ctr"/>
        <c:lblOffset val="100"/>
        <c:noMultiLvlLbl val="0"/>
      </c:catAx>
      <c:valAx>
        <c:axId val="152871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Faulty Plates - ANN (Learning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Evaluation'!$D$48:$D$52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'Model Evaluation'!$F$48:$F$52</c:f>
              <c:numCache>
                <c:formatCode>0.00%</c:formatCode>
                <c:ptCount val="5"/>
                <c:pt idx="0">
                  <c:v>0.85889175257731953</c:v>
                </c:pt>
                <c:pt idx="1">
                  <c:v>0.85567010309278346</c:v>
                </c:pt>
                <c:pt idx="2">
                  <c:v>0.85309278350515461</c:v>
                </c:pt>
                <c:pt idx="3">
                  <c:v>0.83891752577319589</c:v>
                </c:pt>
                <c:pt idx="4">
                  <c:v>0.82538659793814428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850-EE48-B102-329BC5D236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'Model Evaluation'!$D$48:$D$52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'Model Evaluation'!$G$48:$G$52</c:f>
              <c:numCache>
                <c:formatCode>0.00%</c:formatCode>
                <c:ptCount val="5"/>
                <c:pt idx="0">
                  <c:v>0.72551546391752575</c:v>
                </c:pt>
                <c:pt idx="1">
                  <c:v>0.71649484536082475</c:v>
                </c:pt>
                <c:pt idx="2">
                  <c:v>0.71713917525773196</c:v>
                </c:pt>
                <c:pt idx="3">
                  <c:v>0.70747422680412375</c:v>
                </c:pt>
                <c:pt idx="4">
                  <c:v>0.70554123711340211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850-EE48-B102-329BC5D2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642736"/>
        <c:axId val="1535053616"/>
      </c:lineChart>
      <c:catAx>
        <c:axId val="152864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53616"/>
        <c:crosses val="autoZero"/>
        <c:auto val="1"/>
        <c:lblAlgn val="ctr"/>
        <c:lblOffset val="100"/>
        <c:noMultiLvlLbl val="0"/>
      </c:catAx>
      <c:valAx>
        <c:axId val="15350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- Boosting (Number of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Evaluation'!$B$59:$B$63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'Model Evaluation'!$E$59:$E$63</c:f>
              <c:numCache>
                <c:formatCode>0.00%</c:formatCode>
                <c:ptCount val="5"/>
                <c:pt idx="0">
                  <c:v>0.99016282225237451</c:v>
                </c:pt>
                <c:pt idx="1">
                  <c:v>0.99016282225237451</c:v>
                </c:pt>
                <c:pt idx="2">
                  <c:v>0.99016282225237451</c:v>
                </c:pt>
                <c:pt idx="3">
                  <c:v>0.99016282225237451</c:v>
                </c:pt>
                <c:pt idx="4">
                  <c:v>0.99016282225237451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7B0-0E4C-B409-8DD188576E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'Model Evaluation'!$B$59:$B$63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'Model Evaluation'!$F$59:$F$63</c:f>
              <c:numCache>
                <c:formatCode>0.00%</c:formatCode>
                <c:ptCount val="5"/>
                <c:pt idx="0">
                  <c:v>0.96924468566259614</c:v>
                </c:pt>
                <c:pt idx="1">
                  <c:v>0.96901854364540929</c:v>
                </c:pt>
                <c:pt idx="2">
                  <c:v>0.96958389868837636</c:v>
                </c:pt>
                <c:pt idx="3">
                  <c:v>0.96958389868837636</c:v>
                </c:pt>
                <c:pt idx="4">
                  <c:v>0.96958389868837636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7B0-0E4C-B409-8DD18857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652432"/>
        <c:axId val="1527039152"/>
      </c:lineChart>
      <c:catAx>
        <c:axId val="148865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039152"/>
        <c:crosses val="autoZero"/>
        <c:auto val="1"/>
        <c:lblAlgn val="ctr"/>
        <c:lblOffset val="100"/>
        <c:noMultiLvlLbl val="0"/>
      </c:catAx>
      <c:valAx>
        <c:axId val="152703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Faulty Plates</a:t>
            </a:r>
            <a:r>
              <a:rPr lang="en-US" baseline="0"/>
              <a:t> - Boosting (Number of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Evaluation'!$B$67:$B$71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'Model Evaluation'!$E$67:$E$71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3F-E549-BDD1-D97BCAB4EF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'Model Evaluation'!$B$67:$B$71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'Model Evaluation'!$F$67:$F$71</c:f>
              <c:numCache>
                <c:formatCode>0.00%</c:formatCode>
                <c:ptCount val="5"/>
                <c:pt idx="0">
                  <c:v>0.78092783505154639</c:v>
                </c:pt>
                <c:pt idx="1">
                  <c:v>0.78028350515463918</c:v>
                </c:pt>
                <c:pt idx="2">
                  <c:v>0.79510309278350511</c:v>
                </c:pt>
                <c:pt idx="3">
                  <c:v>0.79703608247422686</c:v>
                </c:pt>
                <c:pt idx="4">
                  <c:v>0.79574742268041232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3F-E549-BDD1-D97BCAB4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688064"/>
        <c:axId val="1527090784"/>
      </c:lineChart>
      <c:catAx>
        <c:axId val="154668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090784"/>
        <c:crosses val="autoZero"/>
        <c:auto val="1"/>
        <c:lblAlgn val="ctr"/>
        <c:lblOffset val="100"/>
        <c:noMultiLvlLbl val="0"/>
      </c:catAx>
      <c:valAx>
        <c:axId val="152709078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- SVM (Kernel)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'Model Evaluation'!$B$78:$B$81</c:f>
              <c:strCache>
                <c:ptCount val="4"/>
                <c:pt idx="0">
                  <c:v>Lin</c:v>
                </c:pt>
                <c:pt idx="1">
                  <c:v>Poly</c:v>
                </c:pt>
                <c:pt idx="2">
                  <c:v>RBF</c:v>
                </c:pt>
                <c:pt idx="3">
                  <c:v>Sig</c:v>
                </c:pt>
              </c:strCache>
            </c:strRef>
          </c:cat>
          <c:val>
            <c:numRef>
              <c:f>'Model Evaluation'!$C$78:$C$81</c:f>
              <c:numCache>
                <c:formatCode>0.00%</c:formatCode>
                <c:ptCount val="4"/>
                <c:pt idx="0">
                  <c:v>0.94086386250565357</c:v>
                </c:pt>
                <c:pt idx="1">
                  <c:v>0.93317503392130263</c:v>
                </c:pt>
                <c:pt idx="2">
                  <c:v>0.94629127091813658</c:v>
                </c:pt>
                <c:pt idx="3">
                  <c:v>0.93588873812754414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D5F-A34C-A899-68EAF7C3A6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'Model Evaluation'!$B$78:$B$81</c:f>
              <c:strCache>
                <c:ptCount val="4"/>
                <c:pt idx="0">
                  <c:v>Lin</c:v>
                </c:pt>
                <c:pt idx="1">
                  <c:v>Poly</c:v>
                </c:pt>
                <c:pt idx="2">
                  <c:v>RBF</c:v>
                </c:pt>
                <c:pt idx="3">
                  <c:v>Sig</c:v>
                </c:pt>
              </c:strCache>
            </c:strRef>
          </c:cat>
          <c:val>
            <c:numRef>
              <c:f>'Model Evaluation'!$D$78:$D$81</c:f>
              <c:numCache>
                <c:formatCode>0.00%</c:formatCode>
                <c:ptCount val="4"/>
                <c:pt idx="0">
                  <c:v>0.9391677973767526</c:v>
                </c:pt>
                <c:pt idx="1">
                  <c:v>0.93125282677521481</c:v>
                </c:pt>
                <c:pt idx="2">
                  <c:v>0.94278606965174128</c:v>
                </c:pt>
                <c:pt idx="3">
                  <c:v>0.9340796019900498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D5F-A34C-A899-68EAF7C3A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901776"/>
        <c:axId val="1524254224"/>
      </c:lineChart>
      <c:catAx>
        <c:axId val="153290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54224"/>
        <c:crosses val="autoZero"/>
        <c:auto val="1"/>
        <c:lblAlgn val="ctr"/>
        <c:lblOffset val="100"/>
        <c:noMultiLvlLbl val="0"/>
      </c:catAx>
      <c:valAx>
        <c:axId val="1524254224"/>
        <c:scaling>
          <c:orientation val="minMax"/>
          <c:max val="1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Faulty Plates - SVM (Kernel)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'Model Evaluation'!$B$85:$B$88</c:f>
              <c:strCache>
                <c:ptCount val="4"/>
                <c:pt idx="0">
                  <c:v>Lin</c:v>
                </c:pt>
                <c:pt idx="1">
                  <c:v>Poly</c:v>
                </c:pt>
                <c:pt idx="2">
                  <c:v>RBF</c:v>
                </c:pt>
                <c:pt idx="3">
                  <c:v>Sig</c:v>
                </c:pt>
              </c:strCache>
            </c:strRef>
          </c:cat>
          <c:val>
            <c:numRef>
              <c:f>'Model Evaluation'!$C$85:$C$88</c:f>
              <c:numCache>
                <c:formatCode>0.00%</c:formatCode>
                <c:ptCount val="4"/>
                <c:pt idx="0">
                  <c:v>0.71842783505154639</c:v>
                </c:pt>
                <c:pt idx="1">
                  <c:v>0.34987113402061853</c:v>
                </c:pt>
                <c:pt idx="2">
                  <c:v>0.63015463917525771</c:v>
                </c:pt>
                <c:pt idx="3">
                  <c:v>0.61469072164948457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481-F14E-B6D9-9EC1E0037F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'Model Evaluation'!$B$85:$B$88</c:f>
              <c:strCache>
                <c:ptCount val="4"/>
                <c:pt idx="0">
                  <c:v>Lin</c:v>
                </c:pt>
                <c:pt idx="1">
                  <c:v>Poly</c:v>
                </c:pt>
                <c:pt idx="2">
                  <c:v>RBF</c:v>
                </c:pt>
                <c:pt idx="3">
                  <c:v>Sig</c:v>
                </c:pt>
              </c:strCache>
            </c:strRef>
          </c:cat>
          <c:val>
            <c:numRef>
              <c:f>'Model Evaluation'!$D$85:$D$88</c:f>
              <c:numCache>
                <c:formatCode>0.00%</c:formatCode>
                <c:ptCount val="4"/>
                <c:pt idx="0">
                  <c:v>0.69909793814432986</c:v>
                </c:pt>
                <c:pt idx="1">
                  <c:v>0.3550257731958763</c:v>
                </c:pt>
                <c:pt idx="2">
                  <c:v>0.62177835051546393</c:v>
                </c:pt>
                <c:pt idx="3">
                  <c:v>0.59729381443298968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481-F14E-B6D9-9EC1E00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22784"/>
        <c:axId val="1534439744"/>
      </c:lineChart>
      <c:catAx>
        <c:axId val="152812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39744"/>
        <c:crosses val="autoZero"/>
        <c:auto val="1"/>
        <c:lblAlgn val="ctr"/>
        <c:lblOffset val="100"/>
        <c:noMultiLvlLbl val="0"/>
      </c:catAx>
      <c:valAx>
        <c:axId val="1534439744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- KNN (Number</a:t>
            </a:r>
            <a:r>
              <a:rPr lang="en-US" baseline="0"/>
              <a:t> of Neighbors)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Evaluation'!$B$92:$B$96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'Model Evaluation'!$C$92:$C$96</c:f>
              <c:numCache>
                <c:formatCode>0.00%</c:formatCode>
                <c:ptCount val="5"/>
                <c:pt idx="0">
                  <c:v>0.99016282225237451</c:v>
                </c:pt>
                <c:pt idx="1">
                  <c:v>0.96257349615558574</c:v>
                </c:pt>
                <c:pt idx="2">
                  <c:v>0.94945725915875168</c:v>
                </c:pt>
                <c:pt idx="3">
                  <c:v>0.94549977385798278</c:v>
                </c:pt>
                <c:pt idx="4">
                  <c:v>0.94222071460877432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26C-6C4D-A96E-4F3EAE61DB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'Model Evaluation'!$B$92:$B$96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'Model Evaluation'!$D$92:$D$96</c:f>
              <c:numCache>
                <c:formatCode>0.00%</c:formatCode>
                <c:ptCount val="5"/>
                <c:pt idx="0">
                  <c:v>0.97037539574853005</c:v>
                </c:pt>
                <c:pt idx="1">
                  <c:v>0.95058796924468569</c:v>
                </c:pt>
                <c:pt idx="2">
                  <c:v>0.94448213478064225</c:v>
                </c:pt>
                <c:pt idx="3">
                  <c:v>0.94165535956580737</c:v>
                </c:pt>
                <c:pt idx="4">
                  <c:v>0.93894165535956575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26C-6C4D-A96E-4F3EAE61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602000"/>
        <c:axId val="1534848496"/>
      </c:lineChart>
      <c:catAx>
        <c:axId val="152860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Neighbors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48496"/>
        <c:crosses val="autoZero"/>
        <c:auto val="1"/>
        <c:lblAlgn val="ctr"/>
        <c:lblOffset val="100"/>
        <c:noMultiLvlLbl val="0"/>
      </c:catAx>
      <c:valAx>
        <c:axId val="1534848496"/>
        <c:scaling>
          <c:orientation val="minMax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Website - 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Curve'!$B$3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Curve'!$A$4:$A$13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Curve'!$B$4:$B$13</c:f>
              <c:numCache>
                <c:formatCode>0.00%</c:formatCode>
                <c:ptCount val="10"/>
                <c:pt idx="0">
                  <c:v>0.94683257918552033</c:v>
                </c:pt>
                <c:pt idx="1">
                  <c:v>0.95984162895927605</c:v>
                </c:pt>
                <c:pt idx="2">
                  <c:v>0.96306068601583117</c:v>
                </c:pt>
                <c:pt idx="3">
                  <c:v>0.9587220808594854</c:v>
                </c:pt>
                <c:pt idx="4">
                  <c:v>0.96675712347354137</c:v>
                </c:pt>
                <c:pt idx="5">
                  <c:v>0.96928006030908409</c:v>
                </c:pt>
                <c:pt idx="6">
                  <c:v>0.97027463651050083</c:v>
                </c:pt>
                <c:pt idx="7">
                  <c:v>0.97243816254416959</c:v>
                </c:pt>
                <c:pt idx="8">
                  <c:v>0.9733634878753612</c:v>
                </c:pt>
                <c:pt idx="9">
                  <c:v>0.97354138398914514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6-6448-A104-3D64B7BF22B7}"/>
            </c:ext>
          </c:extLst>
        </c:ser>
        <c:ser>
          <c:idx val="1"/>
          <c:order val="1"/>
          <c:tx>
            <c:strRef>
              <c:f>'Learning Curve'!$C$3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Curve'!$A$4:$A$13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Curve'!$C$4:$C$13</c:f>
              <c:numCache>
                <c:formatCode>0.00%</c:formatCode>
                <c:ptCount val="10"/>
                <c:pt idx="0">
                  <c:v>0.91968325791855199</c:v>
                </c:pt>
                <c:pt idx="1">
                  <c:v>0.93269230769230771</c:v>
                </c:pt>
                <c:pt idx="2">
                  <c:v>0.92725216735770821</c:v>
                </c:pt>
                <c:pt idx="3">
                  <c:v>0.93327678823862026</c:v>
                </c:pt>
                <c:pt idx="4">
                  <c:v>0.94142921754862052</c:v>
                </c:pt>
                <c:pt idx="5">
                  <c:v>0.94364869958537501</c:v>
                </c:pt>
                <c:pt idx="6">
                  <c:v>0.94911147011308561</c:v>
                </c:pt>
                <c:pt idx="7">
                  <c:v>0.95123674911660783</c:v>
                </c:pt>
                <c:pt idx="8">
                  <c:v>0.95401432340746328</c:v>
                </c:pt>
                <c:pt idx="9">
                  <c:v>0.95635459068294892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6-6448-A104-3D64B7BF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943040"/>
        <c:axId val="1522687968"/>
      </c:lineChart>
      <c:catAx>
        <c:axId val="152294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87968"/>
        <c:crosses val="autoZero"/>
        <c:auto val="1"/>
        <c:lblAlgn val="ctr"/>
        <c:lblOffset val="100"/>
        <c:noMultiLvlLbl val="0"/>
      </c:catAx>
      <c:valAx>
        <c:axId val="1522687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Faulty Plates - KNN</a:t>
            </a:r>
            <a:r>
              <a:rPr lang="en-US" baseline="0"/>
              <a:t> (Number of Neighbors)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Evaluation'!$B$100:$B$104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'Model Evaluation'!$C$100:$C$104</c:f>
              <c:numCache>
                <c:formatCode>0.00%</c:formatCode>
                <c:ptCount val="5"/>
                <c:pt idx="0">
                  <c:v>1</c:v>
                </c:pt>
                <c:pt idx="1">
                  <c:v>0.79574742268041232</c:v>
                </c:pt>
                <c:pt idx="2">
                  <c:v>0.75644329896907214</c:v>
                </c:pt>
                <c:pt idx="3">
                  <c:v>0.73453608247422686</c:v>
                </c:pt>
                <c:pt idx="4">
                  <c:v>0.71391752577319589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562-E545-95E3-9CFFA9C631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'Model Evaluation'!$B$100:$B$104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'Model Evaluation'!$D$100:$D$104</c:f>
              <c:numCache>
                <c:formatCode>0.00%</c:formatCode>
                <c:ptCount val="5"/>
                <c:pt idx="0">
                  <c:v>0.71327319587628868</c:v>
                </c:pt>
                <c:pt idx="1">
                  <c:v>0.71585051546391754</c:v>
                </c:pt>
                <c:pt idx="2">
                  <c:v>0.69523195876288657</c:v>
                </c:pt>
                <c:pt idx="3">
                  <c:v>0.68492268041237114</c:v>
                </c:pt>
                <c:pt idx="4">
                  <c:v>0.67912371134020622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562-E545-95E3-9CFFA9C63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035040"/>
        <c:axId val="1534935824"/>
      </c:lineChart>
      <c:catAx>
        <c:axId val="15460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Neighbors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35824"/>
        <c:crosses val="autoZero"/>
        <c:auto val="1"/>
        <c:lblAlgn val="ctr"/>
        <c:lblOffset val="100"/>
        <c:noMultiLvlLbl val="0"/>
      </c:catAx>
      <c:valAx>
        <c:axId val="153493582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Website - Boosting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Curve'!$E$3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Curve'!$A$4:$A$13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Curve'!$E$4:$E$13</c:f>
              <c:numCache>
                <c:formatCode>0.00%</c:formatCode>
                <c:ptCount val="10"/>
                <c:pt idx="0">
                  <c:v>0.99016282225237451</c:v>
                </c:pt>
                <c:pt idx="1">
                  <c:v>0.99264705882352944</c:v>
                </c:pt>
                <c:pt idx="2">
                  <c:v>0.9917075009423294</c:v>
                </c:pt>
                <c:pt idx="3">
                  <c:v>0.99208368674017533</c:v>
                </c:pt>
                <c:pt idx="4">
                  <c:v>0.99231117141564906</c:v>
                </c:pt>
                <c:pt idx="5">
                  <c:v>0.99151903505465511</c:v>
                </c:pt>
                <c:pt idx="6">
                  <c:v>0.99127625201938607</c:v>
                </c:pt>
                <c:pt idx="7">
                  <c:v>0.99067137809187278</c:v>
                </c:pt>
                <c:pt idx="8">
                  <c:v>0.99070234954139968</c:v>
                </c:pt>
                <c:pt idx="9">
                  <c:v>0.99016282225237451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0-A544-BB48-2A256A4DA3DB}"/>
            </c:ext>
          </c:extLst>
        </c:ser>
        <c:ser>
          <c:idx val="1"/>
          <c:order val="1"/>
          <c:tx>
            <c:strRef>
              <c:f>'Learning Curve'!$F$3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Curve'!$A$4:$A$13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Curve'!$F$4:$F$13</c:f>
              <c:numCache>
                <c:formatCode>0.00%</c:formatCode>
                <c:ptCount val="10"/>
                <c:pt idx="0">
                  <c:v>0.92533936651583715</c:v>
                </c:pt>
                <c:pt idx="1">
                  <c:v>0.94570135746606332</c:v>
                </c:pt>
                <c:pt idx="2">
                  <c:v>0.94722955145118737</c:v>
                </c:pt>
                <c:pt idx="3">
                  <c:v>0.95419847328244278</c:v>
                </c:pt>
                <c:pt idx="4">
                  <c:v>0.96313885119855269</c:v>
                </c:pt>
                <c:pt idx="5">
                  <c:v>0.9602336977007162</c:v>
                </c:pt>
                <c:pt idx="6">
                  <c:v>0.96445880452342492</c:v>
                </c:pt>
                <c:pt idx="7">
                  <c:v>0.96607773851590106</c:v>
                </c:pt>
                <c:pt idx="8">
                  <c:v>0.96632742806885286</c:v>
                </c:pt>
                <c:pt idx="9">
                  <c:v>0.97037539574853005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0-A544-BB48-2A256A4DA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85328"/>
        <c:axId val="1522883536"/>
      </c:lineChart>
      <c:catAx>
        <c:axId val="153088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83536"/>
        <c:crosses val="autoZero"/>
        <c:auto val="1"/>
        <c:lblAlgn val="ctr"/>
        <c:lblOffset val="100"/>
        <c:noMultiLvlLbl val="0"/>
      </c:catAx>
      <c:valAx>
        <c:axId val="15228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Website - 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Curve'!$K$3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Curve'!$A$4:$A$13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Curve'!$K$4:$K$13</c:f>
              <c:numCache>
                <c:formatCode>0.00%</c:formatCode>
                <c:ptCount val="10"/>
                <c:pt idx="0">
                  <c:v>0.92194570135746612</c:v>
                </c:pt>
                <c:pt idx="1">
                  <c:v>0.93891402714932126</c:v>
                </c:pt>
                <c:pt idx="2">
                  <c:v>0.94195250659630603</c:v>
                </c:pt>
                <c:pt idx="3">
                  <c:v>0.9406276505513147</c:v>
                </c:pt>
                <c:pt idx="4">
                  <c:v>0.94255992763455454</c:v>
                </c:pt>
                <c:pt idx="5">
                  <c:v>0.94251790425932902</c:v>
                </c:pt>
                <c:pt idx="6">
                  <c:v>0.94458804523424877</c:v>
                </c:pt>
                <c:pt idx="7">
                  <c:v>0.94614840989399296</c:v>
                </c:pt>
                <c:pt idx="8">
                  <c:v>0.9467269757507224</c:v>
                </c:pt>
                <c:pt idx="9">
                  <c:v>0.94629127091813658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3-124F-8FC8-04470D7CADEA}"/>
            </c:ext>
          </c:extLst>
        </c:ser>
        <c:ser>
          <c:idx val="1"/>
          <c:order val="1"/>
          <c:tx>
            <c:strRef>
              <c:f>'Learning Curve'!$L$3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Curve'!$A$4:$A$13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Curve'!$L$4:$L$13</c:f>
              <c:numCache>
                <c:formatCode>0.00%</c:formatCode>
                <c:ptCount val="10"/>
                <c:pt idx="0">
                  <c:v>0.91742081447963797</c:v>
                </c:pt>
                <c:pt idx="1">
                  <c:v>0.93382352941176472</c:v>
                </c:pt>
                <c:pt idx="2">
                  <c:v>0.9366754617414248</c:v>
                </c:pt>
                <c:pt idx="3">
                  <c:v>0.93723494486853265</c:v>
                </c:pt>
                <c:pt idx="4">
                  <c:v>0.93781094527363185</c:v>
                </c:pt>
                <c:pt idx="5">
                  <c:v>0.93931398416886547</c:v>
                </c:pt>
                <c:pt idx="6">
                  <c:v>0.94135702746365102</c:v>
                </c:pt>
                <c:pt idx="7">
                  <c:v>0.94219081272084804</c:v>
                </c:pt>
                <c:pt idx="8">
                  <c:v>0.94371152154793314</c:v>
                </c:pt>
                <c:pt idx="9">
                  <c:v>0.94301221166892812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3-124F-8FC8-04470D7C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709312"/>
        <c:axId val="1522130752"/>
      </c:lineChart>
      <c:catAx>
        <c:axId val="152170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30752"/>
        <c:crosses val="autoZero"/>
        <c:auto val="1"/>
        <c:lblAlgn val="ctr"/>
        <c:lblOffset val="100"/>
        <c:noMultiLvlLbl val="0"/>
      </c:catAx>
      <c:valAx>
        <c:axId val="1522130752"/>
        <c:scaling>
          <c:orientation val="minMax"/>
          <c:max val="1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Website -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Curve'!$N$3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Curve'!$A$4:$A$13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Curve'!$N$4:$N$13</c:f>
              <c:numCache>
                <c:formatCode>0.00%</c:formatCode>
                <c:ptCount val="10"/>
                <c:pt idx="0">
                  <c:v>0.99321266968325794</c:v>
                </c:pt>
                <c:pt idx="1">
                  <c:v>0.99264705882352944</c:v>
                </c:pt>
                <c:pt idx="2">
                  <c:v>0.9920844327176781</c:v>
                </c:pt>
                <c:pt idx="3">
                  <c:v>0.99208368674017533</c:v>
                </c:pt>
                <c:pt idx="4">
                  <c:v>0.99231117141564906</c:v>
                </c:pt>
                <c:pt idx="5">
                  <c:v>0.99151903505465511</c:v>
                </c:pt>
                <c:pt idx="6">
                  <c:v>0.99127625201938607</c:v>
                </c:pt>
                <c:pt idx="7">
                  <c:v>0.99067137809187278</c:v>
                </c:pt>
                <c:pt idx="8">
                  <c:v>0.99070234954139968</c:v>
                </c:pt>
                <c:pt idx="9">
                  <c:v>0.99016282225237451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2-0545-8137-6B340166C086}"/>
            </c:ext>
          </c:extLst>
        </c:ser>
        <c:ser>
          <c:idx val="1"/>
          <c:order val="1"/>
          <c:tx>
            <c:strRef>
              <c:f>'Learning Curve'!$O$3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Curve'!$A$4:$A$13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Curve'!$O$4:$O$13</c:f>
              <c:numCache>
                <c:formatCode>0.00%</c:formatCode>
                <c:ptCount val="10"/>
                <c:pt idx="0">
                  <c:v>0.90384615384615385</c:v>
                </c:pt>
                <c:pt idx="1">
                  <c:v>0.93269230769230771</c:v>
                </c:pt>
                <c:pt idx="2">
                  <c:v>0.93856012061816807</c:v>
                </c:pt>
                <c:pt idx="3">
                  <c:v>0.94713033644331357</c:v>
                </c:pt>
                <c:pt idx="4">
                  <c:v>0.95567616463138849</c:v>
                </c:pt>
                <c:pt idx="5">
                  <c:v>0.95702977761025254</c:v>
                </c:pt>
                <c:pt idx="6">
                  <c:v>0.96025848142164782</c:v>
                </c:pt>
                <c:pt idx="7">
                  <c:v>0.9609893992932862</c:v>
                </c:pt>
                <c:pt idx="8">
                  <c:v>0.96406583741676088</c:v>
                </c:pt>
                <c:pt idx="9">
                  <c:v>0.96641791044776115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2-0545-8137-6B340166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577024"/>
        <c:axId val="1530841136"/>
      </c:lineChart>
      <c:catAx>
        <c:axId val="152257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41136"/>
        <c:crosses val="autoZero"/>
        <c:auto val="1"/>
        <c:lblAlgn val="ctr"/>
        <c:lblOffset val="100"/>
        <c:noMultiLvlLbl val="0"/>
      </c:catAx>
      <c:valAx>
        <c:axId val="15308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Faulty Plates - 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Curve'!$B$17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Curve'!$A$18:$A$27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Curve'!$B$18:$B$27</c:f>
              <c:numCache>
                <c:formatCode>0.00%</c:formatCode>
                <c:ptCount val="10"/>
                <c:pt idx="0">
                  <c:v>0.9096774193548387</c:v>
                </c:pt>
                <c:pt idx="1">
                  <c:v>0.92258064516129035</c:v>
                </c:pt>
                <c:pt idx="2">
                  <c:v>0.94408602150537635</c:v>
                </c:pt>
                <c:pt idx="3">
                  <c:v>0.94032258064516128</c:v>
                </c:pt>
                <c:pt idx="4">
                  <c:v>0.92654639175257736</c:v>
                </c:pt>
                <c:pt idx="5">
                  <c:v>0.94522019334049412</c:v>
                </c:pt>
                <c:pt idx="6">
                  <c:v>0.94843462246777166</c:v>
                </c:pt>
                <c:pt idx="7">
                  <c:v>0.94842868654311041</c:v>
                </c:pt>
                <c:pt idx="8">
                  <c:v>0.94699140401146131</c:v>
                </c:pt>
                <c:pt idx="9">
                  <c:v>0.93363402061855671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D-0143-A2B3-80A23B0ACADD}"/>
            </c:ext>
          </c:extLst>
        </c:ser>
        <c:ser>
          <c:idx val="1"/>
          <c:order val="1"/>
          <c:tx>
            <c:strRef>
              <c:f>'Learning Curve'!$C$17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Curve'!$A$18:$A$27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Curve'!$C$18:$C$27</c:f>
              <c:numCache>
                <c:formatCode>0.00%</c:formatCode>
                <c:ptCount val="10"/>
                <c:pt idx="0">
                  <c:v>0.61935483870967745</c:v>
                </c:pt>
                <c:pt idx="1">
                  <c:v>0.68709677419354842</c:v>
                </c:pt>
                <c:pt idx="2">
                  <c:v>0.64946236559139781</c:v>
                </c:pt>
                <c:pt idx="3">
                  <c:v>0.68709677419354842</c:v>
                </c:pt>
                <c:pt idx="4">
                  <c:v>0.73067010309278346</c:v>
                </c:pt>
                <c:pt idx="5">
                  <c:v>0.72180451127819545</c:v>
                </c:pt>
                <c:pt idx="6">
                  <c:v>0.74217311233885819</c:v>
                </c:pt>
                <c:pt idx="7">
                  <c:v>0.72441579371474618</c:v>
                </c:pt>
                <c:pt idx="8">
                  <c:v>0.74068767908309452</c:v>
                </c:pt>
                <c:pt idx="9">
                  <c:v>0.74613402061855671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D-0143-A2B3-80A23B0A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599648"/>
        <c:axId val="1520251200"/>
      </c:lineChart>
      <c:catAx>
        <c:axId val="152459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51200"/>
        <c:crosses val="autoZero"/>
        <c:auto val="1"/>
        <c:lblAlgn val="ctr"/>
        <c:lblOffset val="100"/>
        <c:noMultiLvlLbl val="0"/>
      </c:catAx>
      <c:valAx>
        <c:axId val="15202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Faulty Plates - 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Curve'!$H$17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Curve'!$A$18:$A$27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Curve'!$H$18:$H$27</c:f>
              <c:numCache>
                <c:formatCode>0.00%</c:formatCode>
                <c:ptCount val="10"/>
                <c:pt idx="0">
                  <c:v>0.95483870967741935</c:v>
                </c:pt>
                <c:pt idx="1">
                  <c:v>0.91935483870967738</c:v>
                </c:pt>
                <c:pt idx="2">
                  <c:v>0.90322580645161288</c:v>
                </c:pt>
                <c:pt idx="3">
                  <c:v>0.90483870967741931</c:v>
                </c:pt>
                <c:pt idx="4">
                  <c:v>0.89432989690721654</c:v>
                </c:pt>
                <c:pt idx="5">
                  <c:v>0.87755102040816324</c:v>
                </c:pt>
                <c:pt idx="6">
                  <c:v>0.86003683241252304</c:v>
                </c:pt>
                <c:pt idx="7">
                  <c:v>0.84125705076551172</c:v>
                </c:pt>
                <c:pt idx="8">
                  <c:v>0.85100286532951286</c:v>
                </c:pt>
                <c:pt idx="9">
                  <c:v>0.83569587628865982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4-5148-832D-28C85B4D0566}"/>
            </c:ext>
          </c:extLst>
        </c:ser>
        <c:ser>
          <c:idx val="1"/>
          <c:order val="1"/>
          <c:tx>
            <c:strRef>
              <c:f>'Learning Curve'!$I$17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Curve'!$A$18:$A$27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Curve'!$I$18:$I$27</c:f>
              <c:numCache>
                <c:formatCode>0.00%</c:formatCode>
                <c:ptCount val="10"/>
                <c:pt idx="0">
                  <c:v>0.6645161290322581</c:v>
                </c:pt>
                <c:pt idx="1">
                  <c:v>0.64838709677419359</c:v>
                </c:pt>
                <c:pt idx="2">
                  <c:v>0.65806451612903227</c:v>
                </c:pt>
                <c:pt idx="3">
                  <c:v>0.68709677419354842</c:v>
                </c:pt>
                <c:pt idx="4">
                  <c:v>0.69716494845360821</c:v>
                </c:pt>
                <c:pt idx="5">
                  <c:v>0.68528464017185819</c:v>
                </c:pt>
                <c:pt idx="6">
                  <c:v>0.68784530386740328</c:v>
                </c:pt>
                <c:pt idx="7">
                  <c:v>0.71313456889605153</c:v>
                </c:pt>
                <c:pt idx="8">
                  <c:v>0.70272206303724927</c:v>
                </c:pt>
                <c:pt idx="9">
                  <c:v>0.70811855670103097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5148-832D-28C85B4D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390656"/>
        <c:axId val="1524408896"/>
      </c:lineChart>
      <c:catAx>
        <c:axId val="15303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08896"/>
        <c:crosses val="autoZero"/>
        <c:auto val="1"/>
        <c:lblAlgn val="ctr"/>
        <c:lblOffset val="100"/>
        <c:noMultiLvlLbl val="0"/>
      </c:catAx>
      <c:valAx>
        <c:axId val="1524408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Faulty</a:t>
            </a:r>
            <a:r>
              <a:rPr lang="en-US" baseline="0"/>
              <a:t> Plates - Boosting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Curve'!$E$17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Curve'!$A$18:$A$27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Curve'!$E$18:$E$27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7-684A-998F-C1076F3BC6B2}"/>
            </c:ext>
          </c:extLst>
        </c:ser>
        <c:ser>
          <c:idx val="1"/>
          <c:order val="1"/>
          <c:tx>
            <c:strRef>
              <c:f>'Learning Curve'!$F$17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Curve'!$A$18:$A$27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Curve'!$F$18:$F$27</c:f>
              <c:numCache>
                <c:formatCode>0.00%</c:formatCode>
                <c:ptCount val="10"/>
                <c:pt idx="0">
                  <c:v>0.64516129032258063</c:v>
                </c:pt>
                <c:pt idx="1">
                  <c:v>0.73548387096774193</c:v>
                </c:pt>
                <c:pt idx="2">
                  <c:v>0.70107526881720428</c:v>
                </c:pt>
                <c:pt idx="3">
                  <c:v>0.70806451612903221</c:v>
                </c:pt>
                <c:pt idx="4">
                  <c:v>0.75515463917525771</c:v>
                </c:pt>
                <c:pt idx="5">
                  <c:v>0.77443609022556392</c:v>
                </c:pt>
                <c:pt idx="6">
                  <c:v>0.76335174953959484</c:v>
                </c:pt>
                <c:pt idx="7">
                  <c:v>0.76712328767123283</c:v>
                </c:pt>
                <c:pt idx="8">
                  <c:v>0.76719197707736386</c:v>
                </c:pt>
                <c:pt idx="9">
                  <c:v>0.78930412371134018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7-684A-998F-C1076F3B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33328"/>
        <c:axId val="1528745856"/>
      </c:lineChart>
      <c:catAx>
        <c:axId val="15226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45856"/>
        <c:crosses val="autoZero"/>
        <c:auto val="1"/>
        <c:lblAlgn val="ctr"/>
        <c:lblOffset val="100"/>
        <c:noMultiLvlLbl val="0"/>
      </c:catAx>
      <c:valAx>
        <c:axId val="152874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Faulty Plates - 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 Curve'!$K$17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Curve'!$A$18:$A$27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Curve'!$K$18:$K$27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3-FD44-92D0-9AE8DE635A88}"/>
            </c:ext>
          </c:extLst>
        </c:ser>
        <c:ser>
          <c:idx val="1"/>
          <c:order val="1"/>
          <c:tx>
            <c:strRef>
              <c:f>'Learning Curve'!$L$17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Curve'!$A$18:$A$27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'Learning Curve'!$L$18:$L$27</c:f>
              <c:numCache>
                <c:formatCode>0.00%</c:formatCode>
                <c:ptCount val="10"/>
                <c:pt idx="0">
                  <c:v>0.47096774193548385</c:v>
                </c:pt>
                <c:pt idx="1">
                  <c:v>0.51935483870967747</c:v>
                </c:pt>
                <c:pt idx="2">
                  <c:v>0.52043010752688168</c:v>
                </c:pt>
                <c:pt idx="3">
                  <c:v>0.54032258064516125</c:v>
                </c:pt>
                <c:pt idx="4">
                  <c:v>0.57731958762886593</c:v>
                </c:pt>
                <c:pt idx="5">
                  <c:v>0.61224489795918369</c:v>
                </c:pt>
                <c:pt idx="6">
                  <c:v>0.63904235727440151</c:v>
                </c:pt>
                <c:pt idx="7">
                  <c:v>0.63255439161966154</c:v>
                </c:pt>
                <c:pt idx="8">
                  <c:v>0.63252148997134672</c:v>
                </c:pt>
                <c:pt idx="9">
                  <c:v>0.62435567010309279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3-FD44-92D0-9AE8DE63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585648"/>
        <c:axId val="1530332016"/>
      </c:lineChart>
      <c:catAx>
        <c:axId val="15305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32016"/>
        <c:crosses val="autoZero"/>
        <c:auto val="1"/>
        <c:lblAlgn val="ctr"/>
        <c:lblOffset val="100"/>
        <c:noMultiLvlLbl val="0"/>
      </c:catAx>
      <c:valAx>
        <c:axId val="1530332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146050</xdr:colOff>
      <xdr:row>14</xdr:row>
      <xdr:rowOff>222250</xdr:rowOff>
    </xdr:from>
    <xdr:to>
      <xdr:col>20</xdr:col>
      <xdr:colOff>590550</xdr:colOff>
      <xdr:row>28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DECCDB-B68C-9745-AEB6-372FCF6B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184150</xdr:colOff>
      <xdr:row>0</xdr:row>
      <xdr:rowOff>139700</xdr:rowOff>
    </xdr:from>
    <xdr:to>
      <xdr:col>20</xdr:col>
      <xdr:colOff>628650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DD79DB-9847-B244-BA22-A79B0860C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31750</xdr:colOff>
      <xdr:row>0</xdr:row>
      <xdr:rowOff>114300</xdr:rowOff>
    </xdr:from>
    <xdr:to>
      <xdr:col>26</xdr:col>
      <xdr:colOff>476250</xdr:colOff>
      <xdr:row>13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436D53-A657-694F-B866-E6DB905BE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14</xdr:row>
      <xdr:rowOff>190500</xdr:rowOff>
    </xdr:from>
    <xdr:to>
      <xdr:col>26</xdr:col>
      <xdr:colOff>476250</xdr:colOff>
      <xdr:row>28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209C7A-FEA6-BA43-A541-389DC6A45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158750</xdr:colOff>
      <xdr:row>29</xdr:row>
      <xdr:rowOff>38100</xdr:rowOff>
    </xdr:from>
    <xdr:to>
      <xdr:col>26</xdr:col>
      <xdr:colOff>603250</xdr:colOff>
      <xdr:row>42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8A0BFB-2358-154D-8660-8BDB44B38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800100</xdr:colOff>
      <xdr:row>50</xdr:row>
      <xdr:rowOff>152400</xdr:rowOff>
    </xdr:from>
    <xdr:to>
      <xdr:col>20</xdr:col>
      <xdr:colOff>419100</xdr:colOff>
      <xdr:row>64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5401F1-9B4F-5E44-B66B-2241B3189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304800</xdr:colOff>
      <xdr:row>34</xdr:row>
      <xdr:rowOff>63500</xdr:rowOff>
    </xdr:from>
    <xdr:to>
      <xdr:col>14</xdr:col>
      <xdr:colOff>533400</xdr:colOff>
      <xdr:row>47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C7607-85D9-694A-8C0A-C6705345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349250</xdr:colOff>
      <xdr:row>31</xdr:row>
      <xdr:rowOff>165100</xdr:rowOff>
    </xdr:from>
    <xdr:to>
      <xdr:col>20</xdr:col>
      <xdr:colOff>793750</xdr:colOff>
      <xdr:row>45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404187-D974-1C40-84E0-AC94E4290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609600</xdr:colOff>
      <xdr:row>50</xdr:row>
      <xdr:rowOff>127000</xdr:rowOff>
    </xdr:from>
    <xdr:to>
      <xdr:col>26</xdr:col>
      <xdr:colOff>228600</xdr:colOff>
      <xdr:row>64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1B075C-748B-7E45-8FA1-1C4879FB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190500</xdr:colOff>
      <xdr:row>51</xdr:row>
      <xdr:rowOff>0</xdr:rowOff>
    </xdr:from>
    <xdr:to>
      <xdr:col>14</xdr:col>
      <xdr:colOff>495300</xdr:colOff>
      <xdr:row>64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06578B-5B19-C447-AD31-19A974AA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336550</xdr:colOff>
      <xdr:row>0</xdr:row>
      <xdr:rowOff>38100</xdr:rowOff>
    </xdr:from>
    <xdr:to>
      <xdr:col>15</xdr:col>
      <xdr:colOff>781050</xdr:colOff>
      <xdr:row>13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2547B-3EA8-9346-B6C6-8DE5AB99C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717550</xdr:colOff>
      <xdr:row>5</xdr:row>
      <xdr:rowOff>152400</xdr:rowOff>
    </xdr:from>
    <xdr:to>
      <xdr:col>21</xdr:col>
      <xdr:colOff>336550</xdr:colOff>
      <xdr:row>19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D9F38-81B6-3B41-8A3B-C6FF638AA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18</xdr:row>
      <xdr:rowOff>38100</xdr:rowOff>
    </xdr:from>
    <xdr:to>
      <xdr:col>15</xdr:col>
      <xdr:colOff>285750</xdr:colOff>
      <xdr:row>31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F300A7-7DC8-C540-9ACC-DB7BC5C3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34</xdr:row>
      <xdr:rowOff>50800</xdr:rowOff>
    </xdr:from>
    <xdr:to>
      <xdr:col>13</xdr:col>
      <xdr:colOff>463550</xdr:colOff>
      <xdr:row>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3057B5-3E0A-254E-B3D3-9D06A8CC1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120650</xdr:colOff>
      <xdr:row>48</xdr:row>
      <xdr:rowOff>25400</xdr:rowOff>
    </xdr:from>
    <xdr:to>
      <xdr:col>16</xdr:col>
      <xdr:colOff>565150</xdr:colOff>
      <xdr:row>61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5429FA-4620-BD49-95FF-DF09E3BCA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704850</xdr:colOff>
      <xdr:row>61</xdr:row>
      <xdr:rowOff>165100</xdr:rowOff>
    </xdr:from>
    <xdr:to>
      <xdr:col>16</xdr:col>
      <xdr:colOff>323850</xdr:colOff>
      <xdr:row>75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920EAA-1C92-9044-9562-7ABA07536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539750</xdr:colOff>
      <xdr:row>75</xdr:row>
      <xdr:rowOff>139700</xdr:rowOff>
    </xdr:from>
    <xdr:to>
      <xdr:col>17</xdr:col>
      <xdr:colOff>158750</xdr:colOff>
      <xdr:row>89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0BB26E-6E3D-7E41-99E0-D3700F5E5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</xdr:colOff>
      <xdr:row>91</xdr:row>
      <xdr:rowOff>190500</xdr:rowOff>
    </xdr:from>
    <xdr:to>
      <xdr:col>17</xdr:col>
      <xdr:colOff>463550</xdr:colOff>
      <xdr:row>105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B28630-6C14-3E4F-BF33-93306A256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488950</xdr:colOff>
      <xdr:row>91</xdr:row>
      <xdr:rowOff>25400</xdr:rowOff>
    </xdr:from>
    <xdr:to>
      <xdr:col>11</xdr:col>
      <xdr:colOff>158750</xdr:colOff>
      <xdr:row>104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5594F7-90C2-FE4E-A8B0-D5E4ADF60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336550</xdr:colOff>
      <xdr:row>107</xdr:row>
      <xdr:rowOff>76200</xdr:rowOff>
    </xdr:from>
    <xdr:to>
      <xdr:col>11</xdr:col>
      <xdr:colOff>6350</xdr:colOff>
      <xdr:row>120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B0793D-70F8-984E-A8F0-CE480A49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gzhoug/GA%20Tech/Fall%202018/CS%207641%20-%20Machine%20Learning/Assignments/LearningCurves:WEKA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Learning Curve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  <sheetName val="Model E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DBEC2-46CE-2F47-96EC-9D968D9950D3}" name="Table1" displayName="Table1" ref="R26:V31" totalsRowShown="0" headerRowDxfId="10" dataDxfId="9">
  <autoFilter ref="R26:V31" xr:uid="{56CE1C69-0500-1B4F-827F-508ADA2AA880}"/>
  <tableColumns count="5">
    <tableColumn id="1" xr3:uid="{1CD32CE7-BEF8-784B-829A-10137EC21E4B}" name="Model" dataDxfId="8"/>
    <tableColumn id="2" xr3:uid="{A1B38D7C-59A7-6946-A80C-7549A482EFF5}" name="Training" dataDxfId="7"/>
    <tableColumn id="3" xr3:uid="{D1877318-F1D3-EE44-95CE-8759C5990AEB}" name="CV" dataDxfId="6"/>
    <tableColumn id="4" xr3:uid="{8D167109-060B-8E4A-88DB-066A19697A18}" name="Test" dataDxfId="5"/>
    <tableColumn id="5" xr3:uid="{64DBBBE1-8DEE-FA44-83EC-0FAFD4384482}" name="Tim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556B01-081D-3347-9B2E-114D65F2E533}" name="Table3" displayName="Table3" ref="R38:V43" totalsRowShown="0">
  <autoFilter ref="R38:V43" xr:uid="{1F53C1A6-F7F2-704F-A180-6A6BBCB51BA3}"/>
  <tableColumns count="5">
    <tableColumn id="1" xr3:uid="{645762E8-6938-1B4A-A657-C0CE03ADF2D8}" name="Model"/>
    <tableColumn id="2" xr3:uid="{C8ABDFB9-97B8-0640-B753-497CE2343B51}" name="Training" dataDxfId="3"/>
    <tableColumn id="3" xr3:uid="{D79F7CC3-1547-604E-987A-5988149F84E9}" name="CV" dataDxfId="2"/>
    <tableColumn id="4" xr3:uid="{234CF569-49A6-0542-ABB5-FA7AF93E1DC7}" name="Test" dataDxfId="1"/>
    <tableColumn id="5" xr3:uid="{592EA4D8-7D43-BD4E-9CB1-139E09CC02E5}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6419-5AF6-A149-AE72-129068F78CE9}">
  <dimension ref="A1:Q34"/>
  <sheetViews>
    <sheetView topLeftCell="A18" workbookViewId="0">
      <selection activeCell="E40" sqref="E40"/>
    </sheetView>
  </sheetViews>
  <sheetFormatPr baseColWidth="10" defaultRowHeight="16" x14ac:dyDescent="0.2"/>
  <cols>
    <col min="1" max="1" width="12.33203125" bestFit="1" customWidth="1"/>
    <col min="2" max="2" width="10.83203125" customWidth="1"/>
    <col min="4" max="4" width="2.83203125" customWidth="1"/>
    <col min="7" max="7" width="2.83203125" customWidth="1"/>
    <col min="8" max="8" width="10.83203125" customWidth="1"/>
    <col min="10" max="10" width="2.83203125" customWidth="1"/>
    <col min="11" max="11" width="10.83203125" customWidth="1"/>
    <col min="13" max="13" width="2.83203125" customWidth="1"/>
  </cols>
  <sheetData>
    <row r="1" spans="1:17" ht="19" x14ac:dyDescent="0.25">
      <c r="A1" s="9" t="s">
        <v>7</v>
      </c>
    </row>
    <row r="2" spans="1:17" x14ac:dyDescent="0.2">
      <c r="B2" s="7" t="s">
        <v>1</v>
      </c>
      <c r="C2" s="7"/>
      <c r="D2" s="8"/>
      <c r="E2" s="7" t="s">
        <v>0</v>
      </c>
      <c r="F2" s="7"/>
      <c r="G2" s="8"/>
      <c r="H2" s="7" t="s">
        <v>2</v>
      </c>
      <c r="I2" s="7"/>
      <c r="J2" s="7"/>
      <c r="K2" s="7" t="s">
        <v>3</v>
      </c>
      <c r="L2" s="7"/>
      <c r="M2" s="7"/>
      <c r="N2" s="7" t="s">
        <v>9</v>
      </c>
      <c r="O2" s="7"/>
    </row>
    <row r="3" spans="1:17" x14ac:dyDescent="0.2">
      <c r="B3" s="1" t="s">
        <v>4</v>
      </c>
      <c r="C3" s="1" t="s">
        <v>6</v>
      </c>
      <c r="D3" s="1"/>
      <c r="E3" s="1" t="s">
        <v>4</v>
      </c>
      <c r="F3" s="1" t="s">
        <v>6</v>
      </c>
      <c r="G3" s="1"/>
      <c r="H3" s="1" t="s">
        <v>4</v>
      </c>
      <c r="I3" s="1" t="s">
        <v>6</v>
      </c>
      <c r="J3" s="1"/>
      <c r="K3" s="1" t="s">
        <v>4</v>
      </c>
      <c r="L3" s="1" t="s">
        <v>6</v>
      </c>
      <c r="M3" s="1"/>
      <c r="N3" s="1" t="s">
        <v>4</v>
      </c>
      <c r="O3" s="1" t="s">
        <v>6</v>
      </c>
    </row>
    <row r="4" spans="1:17" x14ac:dyDescent="0.2">
      <c r="A4" s="2">
        <v>0.1</v>
      </c>
      <c r="B4" s="3">
        <f>837/884</f>
        <v>0.94683257918552033</v>
      </c>
      <c r="C4" s="3">
        <f>813/884</f>
        <v>0.91968325791855199</v>
      </c>
      <c r="D4" s="3"/>
      <c r="E4" s="6">
        <f>8757/8844</f>
        <v>0.99016282225237451</v>
      </c>
      <c r="F4" s="6">
        <f>818/884</f>
        <v>0.92533936651583715</v>
      </c>
      <c r="G4" s="3"/>
      <c r="H4" s="3">
        <f>876/884</f>
        <v>0.99095022624434392</v>
      </c>
      <c r="I4" s="3">
        <f>816/884</f>
        <v>0.92307692307692313</v>
      </c>
      <c r="J4" s="6"/>
      <c r="K4" s="3">
        <f>815/884</f>
        <v>0.92194570135746612</v>
      </c>
      <c r="L4" s="3">
        <f>811/884</f>
        <v>0.91742081447963797</v>
      </c>
      <c r="M4" s="3"/>
      <c r="N4" s="3">
        <f>878/884</f>
        <v>0.99321266968325794</v>
      </c>
      <c r="O4" s="3">
        <f>799/884</f>
        <v>0.90384615384615385</v>
      </c>
      <c r="P4" s="4"/>
      <c r="Q4" s="4"/>
    </row>
    <row r="5" spans="1:17" x14ac:dyDescent="0.2">
      <c r="A5" s="2">
        <v>0.2</v>
      </c>
      <c r="B5" s="3">
        <f>1697/1768</f>
        <v>0.95984162895927605</v>
      </c>
      <c r="C5" s="3">
        <f>1649/1768</f>
        <v>0.93269230769230771</v>
      </c>
      <c r="D5" s="3"/>
      <c r="E5" s="6">
        <f>1755/1768</f>
        <v>0.99264705882352944</v>
      </c>
      <c r="F5" s="6">
        <f>1672/1768</f>
        <v>0.94570135746606332</v>
      </c>
      <c r="G5" s="3"/>
      <c r="H5" s="3">
        <f>1754/1768</f>
        <v>0.99208144796380093</v>
      </c>
      <c r="I5" s="3">
        <f>1649/1768</f>
        <v>0.93269230769230771</v>
      </c>
      <c r="J5" s="6"/>
      <c r="K5" s="3">
        <f>1660/1768</f>
        <v>0.93891402714932126</v>
      </c>
      <c r="L5" s="3">
        <f>1651/1768</f>
        <v>0.93382352941176472</v>
      </c>
      <c r="M5" s="3"/>
      <c r="N5" s="3">
        <f>1755/1768</f>
        <v>0.99264705882352944</v>
      </c>
      <c r="O5" s="3">
        <f>1649/1768</f>
        <v>0.93269230769230771</v>
      </c>
      <c r="P5" s="4"/>
      <c r="Q5" s="4"/>
    </row>
    <row r="6" spans="1:17" x14ac:dyDescent="0.2">
      <c r="A6" s="2">
        <v>0.3</v>
      </c>
      <c r="B6" s="3">
        <f>2555/2653</f>
        <v>0.96306068601583117</v>
      </c>
      <c r="C6" s="3">
        <f>2460/2653</f>
        <v>0.92725216735770821</v>
      </c>
      <c r="D6" s="3"/>
      <c r="E6" s="6">
        <f>2631/2653</f>
        <v>0.9917075009423294</v>
      </c>
      <c r="F6" s="6">
        <f>2513/2653</f>
        <v>0.94722955145118737</v>
      </c>
      <c r="G6" s="3"/>
      <c r="H6" s="3">
        <f>2631/2653</f>
        <v>0.9917075009423294</v>
      </c>
      <c r="I6" s="3">
        <f>2508/2653</f>
        <v>0.94534489257444398</v>
      </c>
      <c r="J6" s="6"/>
      <c r="K6" s="3">
        <f>2499/2653</f>
        <v>0.94195250659630603</v>
      </c>
      <c r="L6" s="3">
        <f>2485/2653</f>
        <v>0.9366754617414248</v>
      </c>
      <c r="M6" s="3"/>
      <c r="N6" s="3">
        <f>2632/2653</f>
        <v>0.9920844327176781</v>
      </c>
      <c r="O6" s="3">
        <f>2490/2653</f>
        <v>0.93856012061816807</v>
      </c>
      <c r="P6" s="4"/>
      <c r="Q6" s="4"/>
    </row>
    <row r="7" spans="1:17" x14ac:dyDescent="0.2">
      <c r="A7" s="2">
        <v>0.4</v>
      </c>
      <c r="B7" s="3">
        <f>3391/3537</f>
        <v>0.9587220808594854</v>
      </c>
      <c r="C7" s="3">
        <f>3301/3537</f>
        <v>0.93327678823862026</v>
      </c>
      <c r="D7" s="3"/>
      <c r="E7" s="6">
        <f>3509/3537</f>
        <v>0.99208368674017533</v>
      </c>
      <c r="F7" s="6">
        <f>3375/3537</f>
        <v>0.95419847328244278</v>
      </c>
      <c r="G7" s="3"/>
      <c r="H7" s="3">
        <f>3504/3537</f>
        <v>0.99067005937234942</v>
      </c>
      <c r="I7" s="3">
        <f>3356/3537</f>
        <v>0.94882668928470459</v>
      </c>
      <c r="J7" s="6"/>
      <c r="K7" s="3">
        <f>3327/3537</f>
        <v>0.9406276505513147</v>
      </c>
      <c r="L7" s="3">
        <f>3315/3537</f>
        <v>0.93723494486853265</v>
      </c>
      <c r="M7" s="3"/>
      <c r="N7" s="3">
        <f>3509/3537</f>
        <v>0.99208368674017533</v>
      </c>
      <c r="O7" s="3">
        <f>3350/3537</f>
        <v>0.94713033644331357</v>
      </c>
      <c r="P7" s="4"/>
      <c r="Q7" s="4"/>
    </row>
    <row r="8" spans="1:17" x14ac:dyDescent="0.2">
      <c r="A8" s="2">
        <v>0.5</v>
      </c>
      <c r="B8" s="3">
        <f>4275/4422</f>
        <v>0.96675712347354137</v>
      </c>
      <c r="C8" s="3">
        <f>4163/4422</f>
        <v>0.94142921754862052</v>
      </c>
      <c r="D8" s="3"/>
      <c r="E8" s="6">
        <f>4388/4422</f>
        <v>0.99231117141564906</v>
      </c>
      <c r="F8" s="6">
        <f>4259/4422</f>
        <v>0.96313885119855269</v>
      </c>
      <c r="G8" s="3"/>
      <c r="H8" s="3">
        <f>4380/4422</f>
        <v>0.99050203527815472</v>
      </c>
      <c r="I8" s="3">
        <f>4219/4422</f>
        <v>0.954093170511081</v>
      </c>
      <c r="J8" s="6"/>
      <c r="K8" s="3">
        <f>4168/4422</f>
        <v>0.94255992763455454</v>
      </c>
      <c r="L8" s="3">
        <f>4147/4422</f>
        <v>0.93781094527363185</v>
      </c>
      <c r="M8" s="3"/>
      <c r="N8" s="3">
        <f>4388/4422</f>
        <v>0.99231117141564906</v>
      </c>
      <c r="O8" s="3">
        <f>4226/4422</f>
        <v>0.95567616463138849</v>
      </c>
      <c r="P8" s="4"/>
      <c r="Q8" s="4"/>
    </row>
    <row r="9" spans="1:17" x14ac:dyDescent="0.2">
      <c r="A9" s="2">
        <v>0.6</v>
      </c>
      <c r="B9" s="3">
        <f>5143/5306</f>
        <v>0.96928006030908409</v>
      </c>
      <c r="C9" s="3">
        <f>5007/5306</f>
        <v>0.94364869958537501</v>
      </c>
      <c r="D9" s="3"/>
      <c r="E9" s="6">
        <f>5261/5306</f>
        <v>0.99151903505465511</v>
      </c>
      <c r="F9" s="6">
        <f>5095/5306</f>
        <v>0.9602336977007162</v>
      </c>
      <c r="G9" s="3"/>
      <c r="H9" s="3">
        <f>5253/5306</f>
        <v>0.99001130795326042</v>
      </c>
      <c r="I9" s="3">
        <f>5057/5306</f>
        <v>0.95307199396909159</v>
      </c>
      <c r="J9" s="6"/>
      <c r="K9" s="3">
        <f>5001/5306</f>
        <v>0.94251790425932902</v>
      </c>
      <c r="L9" s="3">
        <f>4984/5306</f>
        <v>0.93931398416886547</v>
      </c>
      <c r="M9" s="3"/>
      <c r="N9" s="3">
        <f>5261/5306</f>
        <v>0.99151903505465511</v>
      </c>
      <c r="O9" s="3">
        <f>5078/5306</f>
        <v>0.95702977761025254</v>
      </c>
      <c r="P9" s="4"/>
      <c r="Q9" s="4"/>
    </row>
    <row r="10" spans="1:17" x14ac:dyDescent="0.2">
      <c r="A10" s="2">
        <v>0.7</v>
      </c>
      <c r="B10" s="3">
        <f>6006/6190</f>
        <v>0.97027463651050083</v>
      </c>
      <c r="C10" s="3">
        <f>5875/6190</f>
        <v>0.94911147011308561</v>
      </c>
      <c r="D10" s="3"/>
      <c r="E10" s="6">
        <f>6136/6190</f>
        <v>0.99127625201938607</v>
      </c>
      <c r="F10" s="6">
        <f>5970/6190</f>
        <v>0.96445880452342492</v>
      </c>
      <c r="G10" s="3"/>
      <c r="H10" s="3">
        <f>6124/6190</f>
        <v>0.98933764135702751</v>
      </c>
      <c r="I10" s="3">
        <f>5948/6190</f>
        <v>0.96090468497576742</v>
      </c>
      <c r="J10" s="6"/>
      <c r="K10" s="3">
        <f>5847/6190</f>
        <v>0.94458804523424877</v>
      </c>
      <c r="L10" s="3">
        <f>5827/6190</f>
        <v>0.94135702746365102</v>
      </c>
      <c r="M10" s="3"/>
      <c r="N10" s="3">
        <f>6136/6190</f>
        <v>0.99127625201938607</v>
      </c>
      <c r="O10" s="3">
        <f>5944/6190</f>
        <v>0.96025848142164782</v>
      </c>
      <c r="P10" s="4"/>
      <c r="Q10" s="4"/>
    </row>
    <row r="11" spans="1:17" x14ac:dyDescent="0.2">
      <c r="A11" s="2">
        <v>0.8</v>
      </c>
      <c r="B11" s="3">
        <f>6880/7075</f>
        <v>0.97243816254416959</v>
      </c>
      <c r="C11" s="3">
        <f>6730/7075</f>
        <v>0.95123674911660783</v>
      </c>
      <c r="D11" s="3"/>
      <c r="E11" s="6">
        <f>7009/7075</f>
        <v>0.99067137809187278</v>
      </c>
      <c r="F11" s="6">
        <f>6835/7075</f>
        <v>0.96607773851590106</v>
      </c>
      <c r="G11" s="3"/>
      <c r="H11" s="3">
        <f>7001/7075</f>
        <v>0.98954063604240283</v>
      </c>
      <c r="I11" s="3">
        <f>6786/7075</f>
        <v>0.95915194346289756</v>
      </c>
      <c r="J11" s="6"/>
      <c r="K11" s="3">
        <f>6694/7075</f>
        <v>0.94614840989399296</v>
      </c>
      <c r="L11" s="3">
        <f>6666/7075</f>
        <v>0.94219081272084804</v>
      </c>
      <c r="M11" s="3"/>
      <c r="N11" s="3">
        <f>7009/7075</f>
        <v>0.99067137809187278</v>
      </c>
      <c r="O11" s="3">
        <f>6799/7075</f>
        <v>0.9609893992932862</v>
      </c>
      <c r="P11" s="4"/>
      <c r="Q11" s="4"/>
    </row>
    <row r="12" spans="1:17" x14ac:dyDescent="0.2">
      <c r="A12" s="2">
        <v>0.9</v>
      </c>
      <c r="B12" s="3">
        <f>7747/7959</f>
        <v>0.9733634878753612</v>
      </c>
      <c r="C12" s="3">
        <f>7593/7959</f>
        <v>0.95401432340746328</v>
      </c>
      <c r="D12" s="3"/>
      <c r="E12" s="6">
        <f>7885/7959</f>
        <v>0.99070234954139968</v>
      </c>
      <c r="F12" s="6">
        <f>7691/7959</f>
        <v>0.96632742806885286</v>
      </c>
      <c r="G12" s="3"/>
      <c r="H12" s="3">
        <f>7868/7959</f>
        <v>0.98856640281442387</v>
      </c>
      <c r="I12" s="3">
        <f>7641/7959</f>
        <v>0.9600452318130418</v>
      </c>
      <c r="J12" s="6"/>
      <c r="K12" s="3">
        <f>7535/7959</f>
        <v>0.9467269757507224</v>
      </c>
      <c r="L12" s="3">
        <f>7511/7959</f>
        <v>0.94371152154793314</v>
      </c>
      <c r="M12" s="3"/>
      <c r="N12" s="3">
        <f>7885/7959</f>
        <v>0.99070234954139968</v>
      </c>
      <c r="O12" s="3">
        <f>7673/7959</f>
        <v>0.96406583741676088</v>
      </c>
      <c r="P12" s="4"/>
      <c r="Q12" s="4"/>
    </row>
    <row r="13" spans="1:17" x14ac:dyDescent="0.2">
      <c r="A13" s="2">
        <v>1</v>
      </c>
      <c r="B13" s="3">
        <f>8610/8844</f>
        <v>0.97354138398914514</v>
      </c>
      <c r="C13" s="3">
        <f>8458/8844</f>
        <v>0.95635459068294892</v>
      </c>
      <c r="D13" s="3"/>
      <c r="E13" s="6">
        <f>8757/8844</f>
        <v>0.99016282225237451</v>
      </c>
      <c r="F13" s="6">
        <f>8582/8844</f>
        <v>0.97037539574853005</v>
      </c>
      <c r="G13" s="3"/>
      <c r="H13" s="3">
        <f>8744/8844</f>
        <v>0.98869289914066039</v>
      </c>
      <c r="I13" s="3">
        <f>8509/8844</f>
        <v>0.96212121212121215</v>
      </c>
      <c r="J13" s="6"/>
      <c r="K13" s="3">
        <f>8369/8844</f>
        <v>0.94629127091813658</v>
      </c>
      <c r="L13" s="3">
        <f>8340/8844</f>
        <v>0.94301221166892812</v>
      </c>
      <c r="M13" s="3"/>
      <c r="N13" s="3">
        <f>8757/8844</f>
        <v>0.99016282225237451</v>
      </c>
      <c r="O13" s="3">
        <f>8547/8844</f>
        <v>0.96641791044776115</v>
      </c>
      <c r="P13" s="4"/>
      <c r="Q13" s="4"/>
    </row>
    <row r="14" spans="1:17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7" ht="19" x14ac:dyDescent="0.25">
      <c r="A15" s="9" t="s">
        <v>52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7" x14ac:dyDescent="0.2">
      <c r="B16" s="7" t="s">
        <v>1</v>
      </c>
      <c r="C16" s="7"/>
      <c r="D16" s="8"/>
      <c r="E16" s="7" t="s">
        <v>0</v>
      </c>
      <c r="F16" s="7"/>
      <c r="G16" s="8"/>
      <c r="H16" s="7" t="s">
        <v>2</v>
      </c>
      <c r="I16" s="7"/>
      <c r="J16" s="7"/>
      <c r="K16" s="7" t="s">
        <v>3</v>
      </c>
      <c r="L16" s="7"/>
      <c r="M16" s="7"/>
      <c r="N16" s="7" t="s">
        <v>9</v>
      </c>
      <c r="O16" s="7"/>
    </row>
    <row r="17" spans="1:17" x14ac:dyDescent="0.2">
      <c r="B17" s="1" t="s">
        <v>4</v>
      </c>
      <c r="C17" s="1" t="s">
        <v>6</v>
      </c>
      <c r="D17" s="1"/>
      <c r="E17" s="1" t="s">
        <v>4</v>
      </c>
      <c r="F17" s="1" t="s">
        <v>6</v>
      </c>
      <c r="G17" s="1"/>
      <c r="H17" s="1" t="s">
        <v>4</v>
      </c>
      <c r="I17" s="1" t="s">
        <v>6</v>
      </c>
      <c r="J17" s="1"/>
      <c r="K17" s="1" t="s">
        <v>4</v>
      </c>
      <c r="L17" s="1" t="s">
        <v>6</v>
      </c>
      <c r="M17" s="1"/>
      <c r="N17" s="1" t="s">
        <v>4</v>
      </c>
      <c r="O17" s="1" t="s">
        <v>6</v>
      </c>
    </row>
    <row r="18" spans="1:17" x14ac:dyDescent="0.2">
      <c r="A18" s="2">
        <v>0.1</v>
      </c>
      <c r="B18" s="3">
        <f>141/155</f>
        <v>0.9096774193548387</v>
      </c>
      <c r="C18" s="3">
        <f>96/155</f>
        <v>0.61935483870967745</v>
      </c>
      <c r="D18" s="3"/>
      <c r="E18" s="3">
        <f>155/155</f>
        <v>1</v>
      </c>
      <c r="F18" s="3">
        <f>100/155</f>
        <v>0.64516129032258063</v>
      </c>
      <c r="G18" s="3"/>
      <c r="H18" s="3">
        <f>148/155</f>
        <v>0.95483870967741935</v>
      </c>
      <c r="I18" s="3">
        <f>103/155</f>
        <v>0.6645161290322581</v>
      </c>
      <c r="J18" s="3"/>
      <c r="K18" s="6">
        <f>155/155</f>
        <v>1</v>
      </c>
      <c r="L18" s="6">
        <f>73/155</f>
        <v>0.47096774193548385</v>
      </c>
      <c r="M18" s="6"/>
      <c r="N18" s="3">
        <f>155/155</f>
        <v>1</v>
      </c>
      <c r="O18" s="3">
        <f>106/155</f>
        <v>0.68387096774193545</v>
      </c>
      <c r="P18" s="4"/>
      <c r="Q18" s="4"/>
    </row>
    <row r="19" spans="1:17" x14ac:dyDescent="0.2">
      <c r="A19" s="2">
        <v>0.2</v>
      </c>
      <c r="B19" s="3">
        <f>286/310</f>
        <v>0.92258064516129035</v>
      </c>
      <c r="C19" s="3">
        <f>213/310</f>
        <v>0.68709677419354842</v>
      </c>
      <c r="D19" s="3"/>
      <c r="E19" s="3">
        <f t="shared" ref="E19:N23" si="0">1086/1086</f>
        <v>1</v>
      </c>
      <c r="F19" s="3">
        <f>228/310</f>
        <v>0.73548387096774193</v>
      </c>
      <c r="G19" s="3"/>
      <c r="H19" s="3">
        <f>285/310</f>
        <v>0.91935483870967738</v>
      </c>
      <c r="I19" s="3">
        <f>201/310</f>
        <v>0.64838709677419359</v>
      </c>
      <c r="J19" s="3"/>
      <c r="K19" s="6">
        <f t="shared" si="0"/>
        <v>1</v>
      </c>
      <c r="L19" s="6">
        <f>161/310</f>
        <v>0.51935483870967747</v>
      </c>
      <c r="M19" s="6"/>
      <c r="N19" s="3">
        <f t="shared" si="0"/>
        <v>1</v>
      </c>
      <c r="O19" s="3">
        <f>199/310</f>
        <v>0.64193548387096777</v>
      </c>
      <c r="P19" s="4"/>
      <c r="Q19" s="4"/>
    </row>
    <row r="20" spans="1:17" x14ac:dyDescent="0.2">
      <c r="A20" s="2">
        <v>0.3</v>
      </c>
      <c r="B20" s="3">
        <f>439/465</f>
        <v>0.94408602150537635</v>
      </c>
      <c r="C20" s="3">
        <f>302/465</f>
        <v>0.64946236559139781</v>
      </c>
      <c r="D20" s="3"/>
      <c r="E20" s="3">
        <f t="shared" si="0"/>
        <v>1</v>
      </c>
      <c r="F20" s="3">
        <f>326/465</f>
        <v>0.70107526881720428</v>
      </c>
      <c r="G20" s="3"/>
      <c r="H20" s="3">
        <f>420/465</f>
        <v>0.90322580645161288</v>
      </c>
      <c r="I20" s="3">
        <f>306/465</f>
        <v>0.65806451612903227</v>
      </c>
      <c r="J20" s="3"/>
      <c r="K20" s="6">
        <f t="shared" si="0"/>
        <v>1</v>
      </c>
      <c r="L20" s="6">
        <f>242/465</f>
        <v>0.52043010752688168</v>
      </c>
      <c r="M20" s="6"/>
      <c r="N20" s="3">
        <f t="shared" si="0"/>
        <v>1</v>
      </c>
      <c r="O20" s="3">
        <f>308/465</f>
        <v>0.66236559139784945</v>
      </c>
      <c r="P20" s="4"/>
      <c r="Q20" s="4"/>
    </row>
    <row r="21" spans="1:17" x14ac:dyDescent="0.2">
      <c r="A21" s="2">
        <v>0.4</v>
      </c>
      <c r="B21" s="3">
        <f>583/620</f>
        <v>0.94032258064516128</v>
      </c>
      <c r="C21" s="3">
        <f>426/620</f>
        <v>0.68709677419354842</v>
      </c>
      <c r="D21" s="3"/>
      <c r="E21" s="3">
        <f t="shared" si="0"/>
        <v>1</v>
      </c>
      <c r="F21" s="3">
        <f>439/620</f>
        <v>0.70806451612903221</v>
      </c>
      <c r="G21" s="3"/>
      <c r="H21" s="3">
        <f>561/620</f>
        <v>0.90483870967741931</v>
      </c>
      <c r="I21" s="3">
        <f>426/620</f>
        <v>0.68709677419354842</v>
      </c>
      <c r="J21" s="3"/>
      <c r="K21" s="6">
        <f t="shared" si="0"/>
        <v>1</v>
      </c>
      <c r="L21" s="6">
        <f>335/620</f>
        <v>0.54032258064516125</v>
      </c>
      <c r="M21" s="6"/>
      <c r="N21" s="3">
        <f t="shared" si="0"/>
        <v>1</v>
      </c>
      <c r="O21" s="3">
        <f>414/620</f>
        <v>0.66774193548387095</v>
      </c>
      <c r="P21" s="4"/>
      <c r="Q21" s="4"/>
    </row>
    <row r="22" spans="1:17" x14ac:dyDescent="0.2">
      <c r="A22" s="2">
        <v>0.5</v>
      </c>
      <c r="B22" s="3">
        <f>719/776</f>
        <v>0.92654639175257736</v>
      </c>
      <c r="C22" s="3">
        <f>567/776</f>
        <v>0.73067010309278346</v>
      </c>
      <c r="D22" s="3"/>
      <c r="E22" s="3">
        <f t="shared" si="0"/>
        <v>1</v>
      </c>
      <c r="F22" s="3">
        <f>586/776</f>
        <v>0.75515463917525771</v>
      </c>
      <c r="G22" s="3"/>
      <c r="H22" s="3">
        <f>694/776</f>
        <v>0.89432989690721654</v>
      </c>
      <c r="I22" s="3">
        <f>541/776</f>
        <v>0.69716494845360821</v>
      </c>
      <c r="J22" s="3"/>
      <c r="K22" s="6">
        <f t="shared" si="0"/>
        <v>1</v>
      </c>
      <c r="L22" s="6">
        <f>448/776</f>
        <v>0.57731958762886593</v>
      </c>
      <c r="M22" s="6"/>
      <c r="N22" s="3">
        <f t="shared" si="0"/>
        <v>1</v>
      </c>
      <c r="O22" s="3">
        <f>531/776</f>
        <v>0.68427835051546393</v>
      </c>
      <c r="P22" s="4"/>
      <c r="Q22" s="4"/>
    </row>
    <row r="23" spans="1:17" x14ac:dyDescent="0.2">
      <c r="A23" s="2">
        <v>0.6</v>
      </c>
      <c r="B23" s="3">
        <f>880/931</f>
        <v>0.94522019334049412</v>
      </c>
      <c r="C23" s="3">
        <f>672/931</f>
        <v>0.72180451127819545</v>
      </c>
      <c r="D23" s="3"/>
      <c r="E23" s="3">
        <f t="shared" si="0"/>
        <v>1</v>
      </c>
      <c r="F23" s="3">
        <f>721/931</f>
        <v>0.77443609022556392</v>
      </c>
      <c r="G23" s="3"/>
      <c r="H23" s="3">
        <f>817/931</f>
        <v>0.87755102040816324</v>
      </c>
      <c r="I23" s="3">
        <f>638/931</f>
        <v>0.68528464017185819</v>
      </c>
      <c r="J23" s="3"/>
      <c r="K23" s="6">
        <f t="shared" si="0"/>
        <v>1</v>
      </c>
      <c r="L23" s="6">
        <f>570/931</f>
        <v>0.61224489795918369</v>
      </c>
      <c r="M23" s="6"/>
      <c r="N23" s="3">
        <f t="shared" si="0"/>
        <v>1</v>
      </c>
      <c r="O23" s="3">
        <f>645/931</f>
        <v>0.69280343716433945</v>
      </c>
      <c r="P23" s="4"/>
      <c r="Q23" s="4"/>
    </row>
    <row r="24" spans="1:17" x14ac:dyDescent="0.2">
      <c r="A24" s="2">
        <v>0.7</v>
      </c>
      <c r="B24" s="3">
        <f>1030/1086</f>
        <v>0.94843462246777166</v>
      </c>
      <c r="C24" s="3">
        <f>806/1086</f>
        <v>0.74217311233885819</v>
      </c>
      <c r="D24" s="3"/>
      <c r="E24" s="3">
        <f>1086/1086</f>
        <v>1</v>
      </c>
      <c r="F24" s="3">
        <f>829/1086</f>
        <v>0.76335174953959484</v>
      </c>
      <c r="G24" s="3"/>
      <c r="H24" s="3">
        <f>934/1086</f>
        <v>0.86003683241252304</v>
      </c>
      <c r="I24" s="3">
        <f>747/1086</f>
        <v>0.68784530386740328</v>
      </c>
      <c r="J24" s="3"/>
      <c r="K24" s="6">
        <f>1086/1086</f>
        <v>1</v>
      </c>
      <c r="L24" s="6">
        <f>694/1086</f>
        <v>0.63904235727440151</v>
      </c>
      <c r="M24" s="6"/>
      <c r="N24" s="3">
        <f>1086/1086</f>
        <v>1</v>
      </c>
      <c r="O24" s="3">
        <f>763/1086</f>
        <v>0.70257826887661146</v>
      </c>
      <c r="P24" s="4"/>
      <c r="Q24" s="4"/>
    </row>
    <row r="25" spans="1:17" x14ac:dyDescent="0.2">
      <c r="A25" s="2">
        <v>0.8</v>
      </c>
      <c r="B25" s="3">
        <f>1177/1241</f>
        <v>0.94842868654311041</v>
      </c>
      <c r="C25" s="3">
        <f>899/1241</f>
        <v>0.72441579371474618</v>
      </c>
      <c r="D25" s="3"/>
      <c r="E25" s="3">
        <f>1241/1241</f>
        <v>1</v>
      </c>
      <c r="F25" s="3">
        <f>952/1241</f>
        <v>0.76712328767123283</v>
      </c>
      <c r="G25" s="3"/>
      <c r="H25" s="3">
        <f>1044/1241</f>
        <v>0.84125705076551172</v>
      </c>
      <c r="I25" s="3">
        <f>885/1241</f>
        <v>0.71313456889605153</v>
      </c>
      <c r="J25" s="3"/>
      <c r="K25" s="6">
        <f>1396/1396</f>
        <v>1</v>
      </c>
      <c r="L25" s="6">
        <f>785/1241</f>
        <v>0.63255439161966154</v>
      </c>
      <c r="M25" s="6"/>
      <c r="N25" s="3">
        <f>1396/1396</f>
        <v>1</v>
      </c>
      <c r="O25" s="3">
        <f>900/1241</f>
        <v>0.72522159548751008</v>
      </c>
      <c r="P25" s="4"/>
      <c r="Q25" s="4"/>
    </row>
    <row r="26" spans="1:17" x14ac:dyDescent="0.2">
      <c r="A26" s="2">
        <v>0.9</v>
      </c>
      <c r="B26" s="3">
        <f>1322/1396</f>
        <v>0.94699140401146131</v>
      </c>
      <c r="C26" s="3">
        <f>1034/1396</f>
        <v>0.74068767908309452</v>
      </c>
      <c r="D26" s="3"/>
      <c r="E26" s="3">
        <f>1396/1396</f>
        <v>1</v>
      </c>
      <c r="F26" s="3">
        <f>1071/1396</f>
        <v>0.76719197707736386</v>
      </c>
      <c r="G26" s="3"/>
      <c r="H26" s="3">
        <f>1188/1396</f>
        <v>0.85100286532951286</v>
      </c>
      <c r="I26" s="3">
        <f>981/1396</f>
        <v>0.70272206303724927</v>
      </c>
      <c r="J26" s="3"/>
      <c r="K26" s="6">
        <f>1396/1396</f>
        <v>1</v>
      </c>
      <c r="L26" s="6">
        <f>883/1396</f>
        <v>0.63252148997134672</v>
      </c>
      <c r="M26" s="6"/>
      <c r="N26" s="3">
        <f>1396/1396</f>
        <v>1</v>
      </c>
      <c r="O26" s="3">
        <f>992/1396</f>
        <v>0.71060171919770776</v>
      </c>
      <c r="P26" s="4"/>
      <c r="Q26" s="4"/>
    </row>
    <row r="27" spans="1:17" x14ac:dyDescent="0.2">
      <c r="A27" s="2">
        <v>1</v>
      </c>
      <c r="B27" s="3">
        <f>1449/1552</f>
        <v>0.93363402061855671</v>
      </c>
      <c r="C27" s="3">
        <f>1158/1552</f>
        <v>0.74613402061855671</v>
      </c>
      <c r="D27" s="3"/>
      <c r="E27" s="3">
        <f>1552/1552</f>
        <v>1</v>
      </c>
      <c r="F27" s="3">
        <f>1225/1552</f>
        <v>0.78930412371134018</v>
      </c>
      <c r="G27" s="3"/>
      <c r="H27" s="3">
        <f>1297/1552</f>
        <v>0.83569587628865982</v>
      </c>
      <c r="I27" s="3">
        <f>1099/1552</f>
        <v>0.70811855670103097</v>
      </c>
      <c r="J27" s="3"/>
      <c r="K27" s="6">
        <f>1552/1552</f>
        <v>1</v>
      </c>
      <c r="L27" s="6">
        <f>969/1552</f>
        <v>0.62435567010309279</v>
      </c>
      <c r="M27" s="6"/>
      <c r="N27" s="3">
        <f>1552/1552</f>
        <v>1</v>
      </c>
      <c r="O27" s="3">
        <f>1102/1552</f>
        <v>0.71005154639175261</v>
      </c>
      <c r="P27" s="4"/>
      <c r="Q27" s="4"/>
    </row>
    <row r="29" spans="1:17" x14ac:dyDescent="0.2">
      <c r="B29" s="1" t="s">
        <v>57</v>
      </c>
      <c r="C29" s="1" t="s">
        <v>58</v>
      </c>
    </row>
    <row r="30" spans="1:17" x14ac:dyDescent="0.2">
      <c r="A30" t="s">
        <v>1</v>
      </c>
      <c r="B30" s="28">
        <f>C27</f>
        <v>0.74613402061855671</v>
      </c>
      <c r="C30" s="28">
        <f>C13</f>
        <v>0.95635459068294892</v>
      </c>
    </row>
    <row r="31" spans="1:17" x14ac:dyDescent="0.2">
      <c r="A31" t="s">
        <v>0</v>
      </c>
      <c r="B31" s="28">
        <f>F27</f>
        <v>0.78930412371134018</v>
      </c>
      <c r="C31" s="28">
        <f>F13</f>
        <v>0.97037539574853005</v>
      </c>
    </row>
    <row r="32" spans="1:17" x14ac:dyDescent="0.2">
      <c r="A32" t="s">
        <v>2</v>
      </c>
      <c r="B32" s="28">
        <f>I27</f>
        <v>0.70811855670103097</v>
      </c>
      <c r="C32" s="28">
        <f>I13</f>
        <v>0.96212121212121215</v>
      </c>
    </row>
    <row r="33" spans="1:3" x14ac:dyDescent="0.2">
      <c r="A33" t="s">
        <v>3</v>
      </c>
      <c r="B33" s="28">
        <f>L27</f>
        <v>0.62435567010309279</v>
      </c>
      <c r="C33" s="28">
        <f>L13</f>
        <v>0.94301221166892812</v>
      </c>
    </row>
    <row r="34" spans="1:3" x14ac:dyDescent="0.2">
      <c r="A34" t="s">
        <v>9</v>
      </c>
      <c r="B34" s="28">
        <f>O27</f>
        <v>0.71005154639175261</v>
      </c>
      <c r="C34" s="28">
        <f>O13</f>
        <v>0.96641791044776115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E309-32CD-2449-A790-EB20DA33B1DB}">
  <dimension ref="A1:V104"/>
  <sheetViews>
    <sheetView tabSelected="1" workbookViewId="0">
      <selection activeCell="E16" sqref="E16"/>
    </sheetView>
  </sheetViews>
  <sheetFormatPr baseColWidth="10" defaultRowHeight="16" x14ac:dyDescent="0.2"/>
  <cols>
    <col min="1" max="1" width="12.33203125" style="16" bestFit="1" customWidth="1"/>
    <col min="2" max="2" width="12.5" bestFit="1" customWidth="1"/>
    <col min="3" max="3" width="15.83203125" bestFit="1" customWidth="1"/>
    <col min="4" max="4" width="12.33203125" bestFit="1" customWidth="1"/>
    <col min="5" max="5" width="10.83203125" bestFit="1" customWidth="1"/>
    <col min="6" max="6" width="10.1640625" customWidth="1"/>
    <col min="22" max="22" width="12.33203125" bestFit="1" customWidth="1"/>
  </cols>
  <sheetData>
    <row r="1" spans="1:8" x14ac:dyDescent="0.2">
      <c r="A1" s="21" t="s">
        <v>10</v>
      </c>
    </row>
    <row r="3" spans="1:8" x14ac:dyDescent="0.2">
      <c r="A3" s="21" t="s">
        <v>13</v>
      </c>
    </row>
    <row r="4" spans="1:8" x14ac:dyDescent="0.2">
      <c r="B4" s="1" t="s">
        <v>11</v>
      </c>
      <c r="C4" s="1" t="s">
        <v>12</v>
      </c>
      <c r="D4" s="1" t="s">
        <v>4</v>
      </c>
      <c r="E4" s="1" t="s">
        <v>6</v>
      </c>
      <c r="F4" s="1" t="s">
        <v>5</v>
      </c>
    </row>
    <row r="5" spans="1:8" x14ac:dyDescent="0.2">
      <c r="B5" s="1" t="s">
        <v>16</v>
      </c>
      <c r="C5" s="1" t="s">
        <v>14</v>
      </c>
      <c r="D5" s="11">
        <f>8699/8844</f>
        <v>0.98360470375395748</v>
      </c>
      <c r="E5" s="13">
        <f>8473/8844</f>
        <v>0.95805065581184989</v>
      </c>
      <c r="F5" s="13">
        <f>2130/2211</f>
        <v>0.96336499321573943</v>
      </c>
      <c r="G5" t="s">
        <v>26</v>
      </c>
      <c r="H5" t="s">
        <v>27</v>
      </c>
    </row>
    <row r="6" spans="1:8" x14ac:dyDescent="0.2">
      <c r="B6" s="17" t="s">
        <v>15</v>
      </c>
      <c r="C6" s="17">
        <v>0.1</v>
      </c>
      <c r="D6" s="3">
        <f>8547/8844</f>
        <v>0.96641791044776115</v>
      </c>
      <c r="E6" s="22">
        <f>8418/8844</f>
        <v>0.95183175033921308</v>
      </c>
      <c r="F6" s="1"/>
    </row>
    <row r="7" spans="1:8" x14ac:dyDescent="0.2">
      <c r="B7" s="17" t="s">
        <v>15</v>
      </c>
      <c r="C7" s="17">
        <v>0.2</v>
      </c>
      <c r="D7" s="3">
        <f>8581/8844</f>
        <v>0.97026232473993668</v>
      </c>
      <c r="E7" s="22">
        <f>8422/8844</f>
        <v>0.95228403437358666</v>
      </c>
      <c r="F7" s="1"/>
    </row>
    <row r="8" spans="1:8" x14ac:dyDescent="0.2">
      <c r="B8" s="17" t="s">
        <v>15</v>
      </c>
      <c r="C8" s="17">
        <v>0.25</v>
      </c>
      <c r="D8" s="3">
        <f>8610/8844</f>
        <v>0.97354138398914514</v>
      </c>
      <c r="E8" s="22">
        <f>8435/8844</f>
        <v>0.95375395748530079</v>
      </c>
      <c r="F8" s="1"/>
    </row>
    <row r="9" spans="1:8" x14ac:dyDescent="0.2">
      <c r="B9" s="17" t="s">
        <v>15</v>
      </c>
      <c r="C9" s="17">
        <v>0.3</v>
      </c>
      <c r="D9" s="3">
        <f>8631/8844</f>
        <v>0.97591587516960654</v>
      </c>
      <c r="E9" s="22">
        <f>8440/8844</f>
        <v>0.95431931252826774</v>
      </c>
      <c r="F9" s="1"/>
    </row>
    <row r="10" spans="1:8" x14ac:dyDescent="0.2">
      <c r="B10" s="17" t="s">
        <v>15</v>
      </c>
      <c r="C10" s="17">
        <v>0.35</v>
      </c>
      <c r="D10" s="3">
        <f>8631/8844</f>
        <v>0.97591587516960654</v>
      </c>
      <c r="E10" s="3">
        <f>8450/8844</f>
        <v>0.95545002261420175</v>
      </c>
    </row>
    <row r="11" spans="1:8" x14ac:dyDescent="0.2">
      <c r="B11" s="17" t="s">
        <v>15</v>
      </c>
      <c r="C11" s="17">
        <v>0.4</v>
      </c>
      <c r="D11" s="3">
        <f>8659/8844</f>
        <v>0.97908186341022163</v>
      </c>
      <c r="E11" s="3">
        <f>8448/8844</f>
        <v>0.95522388059701491</v>
      </c>
    </row>
    <row r="12" spans="1:8" x14ac:dyDescent="0.2">
      <c r="B12" s="17" t="s">
        <v>15</v>
      </c>
      <c r="C12" s="17">
        <v>0.45</v>
      </c>
      <c r="D12" s="3">
        <f>8670/8844</f>
        <v>0.98032564450474902</v>
      </c>
      <c r="E12" s="3">
        <f>8447/8844</f>
        <v>0.95511080958842154</v>
      </c>
    </row>
    <row r="13" spans="1:8" x14ac:dyDescent="0.2">
      <c r="A13" s="21"/>
      <c r="B13" s="17" t="s">
        <v>15</v>
      </c>
      <c r="C13" s="17">
        <v>0.5</v>
      </c>
      <c r="D13" s="3">
        <f>8672/8844</f>
        <v>0.98055178652193575</v>
      </c>
      <c r="E13" s="5">
        <f>8451/8844</f>
        <v>0.95556309362279512</v>
      </c>
      <c r="F13" s="14">
        <f>2126/2211</f>
        <v>0.96155585707824509</v>
      </c>
      <c r="G13" t="s">
        <v>24</v>
      </c>
      <c r="H13" t="s">
        <v>25</v>
      </c>
    </row>
    <row r="14" spans="1:8" x14ac:dyDescent="0.2">
      <c r="A14" s="21"/>
      <c r="C14" s="1"/>
    </row>
    <row r="15" spans="1:8" x14ac:dyDescent="0.2">
      <c r="A15" s="21"/>
      <c r="C15" s="1"/>
    </row>
    <row r="16" spans="1:8" x14ac:dyDescent="0.2">
      <c r="A16" s="21" t="s">
        <v>8</v>
      </c>
      <c r="C16" s="1"/>
    </row>
    <row r="17" spans="1:22" x14ac:dyDescent="0.2">
      <c r="B17" s="1" t="s">
        <v>11</v>
      </c>
      <c r="C17" s="1" t="s">
        <v>12</v>
      </c>
      <c r="D17" s="1" t="s">
        <v>4</v>
      </c>
      <c r="E17" s="1" t="s">
        <v>6</v>
      </c>
      <c r="F17" s="1" t="s">
        <v>5</v>
      </c>
    </row>
    <row r="18" spans="1:22" x14ac:dyDescent="0.2">
      <c r="B18" s="1" t="s">
        <v>16</v>
      </c>
      <c r="C18" s="1" t="s">
        <v>14</v>
      </c>
      <c r="D18" s="11">
        <f>1458/1552</f>
        <v>0.93943298969072164</v>
      </c>
      <c r="E18" s="11">
        <f>1126/1552</f>
        <v>0.72551546391752575</v>
      </c>
      <c r="F18" s="1"/>
    </row>
    <row r="19" spans="1:22" x14ac:dyDescent="0.2">
      <c r="B19" s="17" t="s">
        <v>15</v>
      </c>
      <c r="C19" s="17">
        <v>0.1</v>
      </c>
      <c r="D19" s="3">
        <f>1427/1552</f>
        <v>0.91945876288659789</v>
      </c>
      <c r="E19" s="3">
        <f>1138/1552</f>
        <v>0.73324742268041232</v>
      </c>
      <c r="F19" s="11">
        <f>284/389</f>
        <v>0.73007712082262211</v>
      </c>
      <c r="G19" t="s">
        <v>28</v>
      </c>
      <c r="H19" t="s">
        <v>29</v>
      </c>
    </row>
    <row r="20" spans="1:22" x14ac:dyDescent="0.2">
      <c r="B20" s="17" t="s">
        <v>15</v>
      </c>
      <c r="C20" s="17">
        <v>0.2</v>
      </c>
      <c r="D20" s="3">
        <f>1446/1552</f>
        <v>0.93170103092783507</v>
      </c>
      <c r="E20" s="5">
        <f>1138/1552</f>
        <v>0.73324742268041232</v>
      </c>
      <c r="F20" s="14">
        <f>286/389</f>
        <v>0.73521850899742935</v>
      </c>
      <c r="G20" t="s">
        <v>30</v>
      </c>
      <c r="H20" t="s">
        <v>31</v>
      </c>
    </row>
    <row r="21" spans="1:22" x14ac:dyDescent="0.2">
      <c r="B21" s="17" t="s">
        <v>15</v>
      </c>
      <c r="C21" s="17">
        <v>0.25</v>
      </c>
      <c r="D21" s="3">
        <f>1449/1552</f>
        <v>0.93363402061855671</v>
      </c>
      <c r="E21" s="3">
        <f>1137/1552</f>
        <v>0.73260309278350511</v>
      </c>
      <c r="F21" s="1"/>
    </row>
    <row r="22" spans="1:22" x14ac:dyDescent="0.2">
      <c r="B22" s="17" t="s">
        <v>15</v>
      </c>
      <c r="C22" s="17">
        <v>0.3</v>
      </c>
      <c r="D22" s="3">
        <f>1456/1552</f>
        <v>0.93814432989690721</v>
      </c>
      <c r="E22" s="3">
        <f>1136/1552</f>
        <v>0.73195876288659789</v>
      </c>
      <c r="F22" s="1"/>
    </row>
    <row r="23" spans="1:22" x14ac:dyDescent="0.2">
      <c r="B23" s="17" t="s">
        <v>15</v>
      </c>
      <c r="C23" s="17">
        <v>0.35</v>
      </c>
      <c r="D23" s="3">
        <f>1456/1552</f>
        <v>0.93814432989690721</v>
      </c>
      <c r="E23" s="3">
        <f>1135/1552</f>
        <v>0.73131443298969068</v>
      </c>
      <c r="F23" s="1"/>
    </row>
    <row r="24" spans="1:22" x14ac:dyDescent="0.2">
      <c r="B24" s="17" t="s">
        <v>15</v>
      </c>
      <c r="C24" s="17">
        <v>0.4</v>
      </c>
      <c r="D24" s="3">
        <f>1456/1552</f>
        <v>0.93814432989690721</v>
      </c>
      <c r="E24" s="3">
        <f>1135/1552</f>
        <v>0.73131443298969068</v>
      </c>
      <c r="F24" s="1"/>
    </row>
    <row r="25" spans="1:22" x14ac:dyDescent="0.2">
      <c r="B25" s="17" t="s">
        <v>15</v>
      </c>
      <c r="C25" s="17">
        <v>0.45</v>
      </c>
      <c r="D25" s="3">
        <f>1458/1552</f>
        <v>0.93943298969072164</v>
      </c>
      <c r="E25" s="3">
        <f>1134/1552</f>
        <v>0.73067010309278346</v>
      </c>
      <c r="F25" s="1"/>
      <c r="Q25" t="s">
        <v>13</v>
      </c>
    </row>
    <row r="26" spans="1:22" x14ac:dyDescent="0.2">
      <c r="B26" s="17" t="s">
        <v>15</v>
      </c>
      <c r="C26" s="17">
        <v>0.5</v>
      </c>
      <c r="D26" s="3">
        <f>1458/1552</f>
        <v>0.93943298969072164</v>
      </c>
      <c r="E26" s="3">
        <f>1132/1552</f>
        <v>0.72938144329896903</v>
      </c>
      <c r="F26" s="1"/>
      <c r="R26" s="20" t="s">
        <v>53</v>
      </c>
      <c r="S26" s="29" t="s">
        <v>4</v>
      </c>
      <c r="T26" s="29" t="s">
        <v>6</v>
      </c>
      <c r="U26" s="20" t="s">
        <v>5</v>
      </c>
      <c r="V26" s="20" t="s">
        <v>55</v>
      </c>
    </row>
    <row r="27" spans="1:22" x14ac:dyDescent="0.2">
      <c r="B27" s="1"/>
      <c r="C27" s="1"/>
      <c r="D27" s="1"/>
      <c r="E27" s="1"/>
      <c r="F27" s="1"/>
      <c r="R27" s="20" t="s">
        <v>54</v>
      </c>
      <c r="S27" s="30">
        <f>D13</f>
        <v>0.98055178652193575</v>
      </c>
      <c r="T27" s="30">
        <f t="shared" ref="T27:U27" si="0">E13</f>
        <v>0.95556309362279512</v>
      </c>
      <c r="U27" s="30">
        <f t="shared" si="0"/>
        <v>0.96155585707824509</v>
      </c>
      <c r="V27" s="31" t="s">
        <v>56</v>
      </c>
    </row>
    <row r="28" spans="1:22" x14ac:dyDescent="0.2">
      <c r="A28" s="21" t="s">
        <v>2</v>
      </c>
      <c r="B28" s="1"/>
      <c r="C28" s="1"/>
      <c r="D28" s="1"/>
      <c r="E28" s="1"/>
      <c r="F28" s="1"/>
      <c r="R28" s="20" t="s">
        <v>0</v>
      </c>
      <c r="S28" s="30">
        <f>E61</f>
        <v>0.99016282225237451</v>
      </c>
      <c r="T28" s="30">
        <f t="shared" ref="T28:U28" si="1">F61</f>
        <v>0.96958389868837636</v>
      </c>
      <c r="U28" s="30">
        <f t="shared" si="1"/>
        <v>0.96788783355947539</v>
      </c>
      <c r="V28" s="31" t="s">
        <v>61</v>
      </c>
    </row>
    <row r="29" spans="1:22" x14ac:dyDescent="0.2">
      <c r="A29" s="21" t="s">
        <v>13</v>
      </c>
      <c r="B29" s="1"/>
      <c r="C29" s="1"/>
      <c r="D29" s="1"/>
      <c r="E29" s="1"/>
      <c r="F29" s="1"/>
      <c r="R29" s="20" t="s">
        <v>2</v>
      </c>
      <c r="S29" s="30">
        <f>F37</f>
        <v>0.98778833107191311</v>
      </c>
      <c r="T29" s="30">
        <f t="shared" ref="T29:U29" si="2">G37</f>
        <v>0.96687019448213474</v>
      </c>
      <c r="U29" s="30">
        <f t="shared" si="2"/>
        <v>0.96834011759384897</v>
      </c>
      <c r="V29" s="31" t="s">
        <v>59</v>
      </c>
    </row>
    <row r="30" spans="1:22" x14ac:dyDescent="0.2">
      <c r="A30" s="21"/>
      <c r="B30" s="1" t="s">
        <v>18</v>
      </c>
      <c r="C30" s="1" t="s">
        <v>19</v>
      </c>
      <c r="D30" t="s">
        <v>17</v>
      </c>
      <c r="E30" s="1" t="s">
        <v>23</v>
      </c>
      <c r="F30" s="1" t="s">
        <v>4</v>
      </c>
      <c r="G30" s="1" t="s">
        <v>6</v>
      </c>
      <c r="H30" s="1" t="s">
        <v>5</v>
      </c>
      <c r="R30" s="20" t="s">
        <v>3</v>
      </c>
      <c r="S30" s="30">
        <f>C80</f>
        <v>0.94629127091813658</v>
      </c>
      <c r="T30" s="30">
        <f t="shared" ref="T30:U30" si="3">D80</f>
        <v>0.94278606965174128</v>
      </c>
      <c r="U30" s="30">
        <f t="shared" si="3"/>
        <v>0.94301221166892812</v>
      </c>
      <c r="V30" s="31" t="s">
        <v>60</v>
      </c>
    </row>
    <row r="31" spans="1:22" x14ac:dyDescent="0.2">
      <c r="B31" s="1">
        <v>1</v>
      </c>
      <c r="C31" s="1">
        <v>14</v>
      </c>
      <c r="D31" s="1">
        <v>0.2</v>
      </c>
      <c r="E31" s="1">
        <v>0.3</v>
      </c>
      <c r="F31" s="11">
        <f>8695/8844</f>
        <v>0.98315241971958389</v>
      </c>
      <c r="G31" s="11">
        <f>8490/8844</f>
        <v>0.9599728629579376</v>
      </c>
      <c r="R31" s="20" t="s">
        <v>9</v>
      </c>
      <c r="S31" s="30">
        <f>C92</f>
        <v>0.99016282225237451</v>
      </c>
      <c r="T31" s="30">
        <f t="shared" ref="T31:U31" si="4">D92</f>
        <v>0.97037539574853005</v>
      </c>
      <c r="U31" s="30">
        <f t="shared" si="4"/>
        <v>0.97060153776571689</v>
      </c>
      <c r="V31" s="31" t="s">
        <v>56</v>
      </c>
    </row>
    <row r="32" spans="1:22" x14ac:dyDescent="0.2">
      <c r="B32" s="26">
        <v>1</v>
      </c>
      <c r="C32" s="26">
        <v>16</v>
      </c>
      <c r="D32" s="17">
        <v>0.1</v>
      </c>
      <c r="E32" s="26">
        <v>0.3</v>
      </c>
      <c r="F32" s="3">
        <f>8738/8844</f>
        <v>0.98801447308909995</v>
      </c>
      <c r="G32" s="3">
        <f>8526/8844</f>
        <v>0.96404341926729986</v>
      </c>
    </row>
    <row r="33" spans="1:22" x14ac:dyDescent="0.2">
      <c r="B33" s="26">
        <v>1</v>
      </c>
      <c r="C33" s="26">
        <v>16</v>
      </c>
      <c r="D33" s="17">
        <v>0.2</v>
      </c>
      <c r="E33" s="26">
        <v>0.3</v>
      </c>
      <c r="F33" s="3">
        <f>8730/8844</f>
        <v>0.98710990502035278</v>
      </c>
      <c r="G33" s="3">
        <f>8528/8844</f>
        <v>0.96426956128448671</v>
      </c>
    </row>
    <row r="34" spans="1:22" x14ac:dyDescent="0.2">
      <c r="B34" s="26">
        <v>1</v>
      </c>
      <c r="C34" s="26">
        <v>16</v>
      </c>
      <c r="D34" s="17">
        <v>0.3</v>
      </c>
      <c r="E34" s="26">
        <v>0.3</v>
      </c>
      <c r="F34" s="3">
        <f>8733/8844</f>
        <v>0.987449118046133</v>
      </c>
      <c r="G34" s="3">
        <f>8528/8844</f>
        <v>0.96426956128448671</v>
      </c>
    </row>
    <row r="35" spans="1:22" x14ac:dyDescent="0.2">
      <c r="B35" s="26">
        <v>1</v>
      </c>
      <c r="C35" s="26">
        <v>16</v>
      </c>
      <c r="D35" s="17">
        <v>0.4</v>
      </c>
      <c r="E35" s="26">
        <v>0.3</v>
      </c>
      <c r="F35" s="3">
        <f>8710/8844</f>
        <v>0.98484848484848486</v>
      </c>
      <c r="G35" s="3">
        <f>8524/8844</f>
        <v>0.96381727725011312</v>
      </c>
    </row>
    <row r="36" spans="1:22" x14ac:dyDescent="0.2">
      <c r="B36" s="26">
        <v>1</v>
      </c>
      <c r="C36" s="26">
        <v>16</v>
      </c>
      <c r="D36" s="17">
        <v>0.5</v>
      </c>
      <c r="E36" s="26">
        <v>0.3</v>
      </c>
      <c r="F36" s="3">
        <f>8715/8844</f>
        <v>0.98541383989145181</v>
      </c>
      <c r="G36" s="3">
        <f>8526/8844</f>
        <v>0.96404341926729986</v>
      </c>
    </row>
    <row r="37" spans="1:22" x14ac:dyDescent="0.2">
      <c r="B37" s="15">
        <v>1</v>
      </c>
      <c r="C37" s="15">
        <v>16</v>
      </c>
      <c r="D37" s="15">
        <v>0.1</v>
      </c>
      <c r="E37" s="15">
        <v>0.1</v>
      </c>
      <c r="F37" s="14">
        <f>8736/8844</f>
        <v>0.98778833107191311</v>
      </c>
      <c r="G37" s="14">
        <f>8551/8844</f>
        <v>0.96687019448213474</v>
      </c>
      <c r="H37" s="14">
        <f>2141/2211</f>
        <v>0.96834011759384897</v>
      </c>
      <c r="I37" s="20"/>
      <c r="Q37" t="s">
        <v>8</v>
      </c>
    </row>
    <row r="38" spans="1:22" x14ac:dyDescent="0.2">
      <c r="B38" s="1"/>
      <c r="C38" s="1"/>
      <c r="D38" s="1"/>
      <c r="E38" s="1"/>
      <c r="F38" s="11"/>
      <c r="R38" t="s">
        <v>53</v>
      </c>
      <c r="S38" s="1" t="s">
        <v>4</v>
      </c>
      <c r="T38" s="1" t="s">
        <v>6</v>
      </c>
      <c r="U38" t="s">
        <v>5</v>
      </c>
      <c r="V38" t="s">
        <v>55</v>
      </c>
    </row>
    <row r="39" spans="1:22" x14ac:dyDescent="0.2">
      <c r="A39" s="21" t="s">
        <v>8</v>
      </c>
      <c r="B39" s="1"/>
      <c r="C39" s="1"/>
      <c r="D39" s="1"/>
      <c r="E39" s="11"/>
      <c r="F39" s="11"/>
      <c r="R39" t="s">
        <v>54</v>
      </c>
      <c r="S39" s="28">
        <f>D20</f>
        <v>0.93170103092783507</v>
      </c>
      <c r="T39" s="28">
        <f t="shared" ref="T39:U39" si="5">E20</f>
        <v>0.73324742268041232</v>
      </c>
      <c r="U39" s="28">
        <f t="shared" si="5"/>
        <v>0.73521850899742935</v>
      </c>
      <c r="V39" s="18" t="s">
        <v>56</v>
      </c>
    </row>
    <row r="40" spans="1:22" x14ac:dyDescent="0.2">
      <c r="B40" s="1" t="s">
        <v>18</v>
      </c>
      <c r="C40" s="1" t="s">
        <v>19</v>
      </c>
      <c r="D40" t="s">
        <v>17</v>
      </c>
      <c r="E40" s="1" t="s">
        <v>23</v>
      </c>
      <c r="F40" s="1" t="s">
        <v>4</v>
      </c>
      <c r="G40" s="1" t="s">
        <v>6</v>
      </c>
      <c r="H40" s="1" t="s">
        <v>5</v>
      </c>
      <c r="R40" t="s">
        <v>0</v>
      </c>
      <c r="S40" s="28">
        <f>E70</f>
        <v>1</v>
      </c>
      <c r="T40" s="28">
        <f t="shared" ref="T40:U40" si="6">F70</f>
        <v>0.79703608247422686</v>
      </c>
      <c r="U40" s="30">
        <f t="shared" si="6"/>
        <v>0.77120822622107965</v>
      </c>
      <c r="V40" s="18" t="s">
        <v>61</v>
      </c>
    </row>
    <row r="41" spans="1:22" x14ac:dyDescent="0.2">
      <c r="B41" s="1">
        <v>3</v>
      </c>
      <c r="C41" s="1" t="s">
        <v>20</v>
      </c>
      <c r="D41" s="1">
        <v>0.2</v>
      </c>
      <c r="E41" s="1">
        <v>0.3</v>
      </c>
      <c r="F41" s="11">
        <f>1065/1552</f>
        <v>0.68621134020618557</v>
      </c>
      <c r="G41" s="11">
        <f>1014/1552</f>
        <v>0.65335051546391754</v>
      </c>
      <c r="R41" t="s">
        <v>2</v>
      </c>
      <c r="S41" s="28">
        <f t="shared" ref="S41:U41" si="7">F53</f>
        <v>0.84407216494845361</v>
      </c>
      <c r="T41" s="28">
        <f t="shared" si="7"/>
        <v>0.72873711340206182</v>
      </c>
      <c r="U41" s="28">
        <f t="shared" si="7"/>
        <v>0.70951156812339333</v>
      </c>
      <c r="V41" s="18" t="s">
        <v>59</v>
      </c>
    </row>
    <row r="42" spans="1:22" x14ac:dyDescent="0.2">
      <c r="B42" s="1">
        <v>3</v>
      </c>
      <c r="C42" s="1" t="s">
        <v>21</v>
      </c>
      <c r="D42" s="1">
        <v>0.2</v>
      </c>
      <c r="E42" s="1">
        <v>0.3</v>
      </c>
      <c r="F42" s="11">
        <f>927/1552</f>
        <v>0.59729381443298968</v>
      </c>
      <c r="G42" s="11">
        <f>923/1552</f>
        <v>0.59471649484536082</v>
      </c>
      <c r="R42" t="s">
        <v>3</v>
      </c>
      <c r="S42" s="28">
        <f>C85</f>
        <v>0.71842783505154639</v>
      </c>
      <c r="T42" s="28">
        <f t="shared" ref="T42:U42" si="8">D85</f>
        <v>0.69909793814432986</v>
      </c>
      <c r="U42" s="28">
        <f t="shared" si="8"/>
        <v>0.69151670951156807</v>
      </c>
      <c r="V42" s="18" t="s">
        <v>60</v>
      </c>
    </row>
    <row r="43" spans="1:22" x14ac:dyDescent="0.2">
      <c r="B43" s="1">
        <v>1</v>
      </c>
      <c r="C43" s="1">
        <v>20</v>
      </c>
      <c r="D43" s="1">
        <v>0.2</v>
      </c>
      <c r="E43" s="1">
        <v>0.3</v>
      </c>
      <c r="F43" s="11">
        <f>1341/1552</f>
        <v>0.86404639175257736</v>
      </c>
      <c r="G43" s="11">
        <f>1100/1552</f>
        <v>0.70876288659793818</v>
      </c>
      <c r="R43" t="s">
        <v>9</v>
      </c>
      <c r="S43" s="28">
        <f>C101</f>
        <v>0.79574742268041232</v>
      </c>
      <c r="T43" s="28">
        <f t="shared" ref="T43:U43" si="9">D101</f>
        <v>0.71585051546391754</v>
      </c>
      <c r="U43" s="28">
        <f t="shared" si="9"/>
        <v>0.70694087403598971</v>
      </c>
      <c r="V43" s="18" t="s">
        <v>56</v>
      </c>
    </row>
    <row r="44" spans="1:22" x14ac:dyDescent="0.2">
      <c r="B44" s="1">
        <v>2</v>
      </c>
      <c r="C44" s="1" t="s">
        <v>22</v>
      </c>
      <c r="D44" s="1">
        <v>0.2</v>
      </c>
      <c r="E44" s="1">
        <v>0.3</v>
      </c>
      <c r="F44" s="11">
        <f>1260/1552</f>
        <v>0.81185567010309279</v>
      </c>
      <c r="G44" s="11">
        <f>1098/1552</f>
        <v>0.70747422680412375</v>
      </c>
    </row>
    <row r="45" spans="1:22" x14ac:dyDescent="0.2">
      <c r="B45" s="1">
        <v>1</v>
      </c>
      <c r="C45" s="1">
        <v>25</v>
      </c>
      <c r="D45" s="1">
        <v>0.2</v>
      </c>
      <c r="E45" s="1">
        <v>0.3</v>
      </c>
      <c r="F45" s="11">
        <f>1374/1552</f>
        <v>0.88530927835051543</v>
      </c>
      <c r="G45" s="11">
        <f>1110/1552</f>
        <v>0.71520618556701032</v>
      </c>
    </row>
    <row r="46" spans="1:22" x14ac:dyDescent="0.2">
      <c r="B46" s="1">
        <v>1</v>
      </c>
      <c r="C46" s="1">
        <v>14</v>
      </c>
      <c r="D46" s="1">
        <v>0.2</v>
      </c>
      <c r="E46" s="1">
        <v>0.3</v>
      </c>
      <c r="F46" s="11">
        <f>1294/1552</f>
        <v>0.83376288659793818</v>
      </c>
      <c r="G46" s="11">
        <f>1116/1552</f>
        <v>0.71907216494845361</v>
      </c>
    </row>
    <row r="47" spans="1:22" x14ac:dyDescent="0.2">
      <c r="B47" s="1">
        <v>1</v>
      </c>
      <c r="C47" s="1">
        <v>12</v>
      </c>
      <c r="D47" s="1">
        <v>0.2</v>
      </c>
      <c r="E47" s="1">
        <v>0.3</v>
      </c>
      <c r="F47" s="11">
        <f>1276/1552</f>
        <v>0.82216494845360821</v>
      </c>
      <c r="G47" s="11">
        <f>1096/1552</f>
        <v>0.70618556701030932</v>
      </c>
    </row>
    <row r="48" spans="1:22" x14ac:dyDescent="0.2">
      <c r="B48" s="26">
        <v>1</v>
      </c>
      <c r="C48" s="26">
        <v>16</v>
      </c>
      <c r="D48" s="17">
        <v>0.1</v>
      </c>
      <c r="E48" s="26">
        <v>0.3</v>
      </c>
      <c r="F48" s="3">
        <f>1333/1552</f>
        <v>0.85889175257731953</v>
      </c>
      <c r="G48" s="3">
        <f>1126/1552</f>
        <v>0.72551546391752575</v>
      </c>
    </row>
    <row r="49" spans="1:9" x14ac:dyDescent="0.2">
      <c r="B49" s="26">
        <v>1</v>
      </c>
      <c r="C49" s="26">
        <v>16</v>
      </c>
      <c r="D49" s="17">
        <v>0.2</v>
      </c>
      <c r="E49" s="26">
        <v>0.3</v>
      </c>
      <c r="F49" s="3">
        <f>1328/1552</f>
        <v>0.85567010309278346</v>
      </c>
      <c r="G49" s="3">
        <f>1112/1552</f>
        <v>0.71649484536082475</v>
      </c>
    </row>
    <row r="50" spans="1:9" x14ac:dyDescent="0.2">
      <c r="B50" s="26">
        <v>1</v>
      </c>
      <c r="C50" s="26">
        <v>16</v>
      </c>
      <c r="D50" s="17">
        <v>0.3</v>
      </c>
      <c r="E50" s="26">
        <v>0.3</v>
      </c>
      <c r="F50" s="3">
        <f>1324/1552</f>
        <v>0.85309278350515461</v>
      </c>
      <c r="G50" s="3">
        <f>1113/1552</f>
        <v>0.71713917525773196</v>
      </c>
    </row>
    <row r="51" spans="1:9" x14ac:dyDescent="0.2">
      <c r="B51" s="26">
        <v>1</v>
      </c>
      <c r="C51" s="26">
        <v>16</v>
      </c>
      <c r="D51" s="17">
        <v>0.4</v>
      </c>
      <c r="E51" s="26">
        <v>0.3</v>
      </c>
      <c r="F51" s="3">
        <f>1302/1552</f>
        <v>0.83891752577319589</v>
      </c>
      <c r="G51" s="3">
        <f>1098/1552</f>
        <v>0.70747422680412375</v>
      </c>
    </row>
    <row r="52" spans="1:9" x14ac:dyDescent="0.2">
      <c r="B52" s="26">
        <v>1</v>
      </c>
      <c r="C52" s="26">
        <v>16</v>
      </c>
      <c r="D52" s="17">
        <v>0.5</v>
      </c>
      <c r="E52" s="26">
        <v>0.3</v>
      </c>
      <c r="F52" s="3">
        <f>1281/1552</f>
        <v>0.82538659793814428</v>
      </c>
      <c r="G52" s="3">
        <f>1095/1552</f>
        <v>0.70554123711340211</v>
      </c>
    </row>
    <row r="53" spans="1:9" x14ac:dyDescent="0.2">
      <c r="B53" s="15">
        <v>1</v>
      </c>
      <c r="C53" s="15">
        <v>16</v>
      </c>
      <c r="D53" s="15">
        <v>0.1</v>
      </c>
      <c r="E53" s="15">
        <v>0.1</v>
      </c>
      <c r="F53" s="14">
        <f>1310/1552</f>
        <v>0.84407216494845361</v>
      </c>
      <c r="G53" s="14">
        <f>1131/1552</f>
        <v>0.72873711340206182</v>
      </c>
      <c r="H53" s="14">
        <f>276/389</f>
        <v>0.70951156812339333</v>
      </c>
    </row>
    <row r="54" spans="1:9" x14ac:dyDescent="0.2">
      <c r="D54" s="11"/>
      <c r="E54" s="11"/>
      <c r="F54" s="11"/>
    </row>
    <row r="55" spans="1:9" x14ac:dyDescent="0.2">
      <c r="D55" s="11"/>
      <c r="E55" s="11"/>
    </row>
    <row r="56" spans="1:9" x14ac:dyDescent="0.2">
      <c r="A56" s="21" t="s">
        <v>0</v>
      </c>
      <c r="D56" s="11"/>
      <c r="E56" s="11"/>
    </row>
    <row r="57" spans="1:9" x14ac:dyDescent="0.2">
      <c r="A57" s="21" t="s">
        <v>13</v>
      </c>
      <c r="D57" s="11"/>
      <c r="E57" s="11"/>
    </row>
    <row r="58" spans="1:9" x14ac:dyDescent="0.2">
      <c r="A58" s="21"/>
      <c r="B58" t="s">
        <v>32</v>
      </c>
      <c r="C58" s="1" t="s">
        <v>11</v>
      </c>
      <c r="D58" s="1" t="s">
        <v>12</v>
      </c>
      <c r="E58" s="1" t="s">
        <v>4</v>
      </c>
      <c r="F58" s="1" t="s">
        <v>6</v>
      </c>
      <c r="G58" s="1" t="s">
        <v>5</v>
      </c>
      <c r="H58" s="1" t="s">
        <v>34</v>
      </c>
      <c r="I58" s="1" t="s">
        <v>35</v>
      </c>
    </row>
    <row r="59" spans="1:9" x14ac:dyDescent="0.2">
      <c r="B59" s="18">
        <v>10</v>
      </c>
      <c r="C59" s="1" t="s">
        <v>15</v>
      </c>
      <c r="D59" s="1">
        <v>0.25</v>
      </c>
      <c r="E59" s="3">
        <f>8757/8844</f>
        <v>0.99016282225237451</v>
      </c>
      <c r="F59" s="22">
        <f>8572/8844</f>
        <v>0.96924468566259614</v>
      </c>
      <c r="H59">
        <v>192</v>
      </c>
      <c r="I59">
        <v>127</v>
      </c>
    </row>
    <row r="60" spans="1:9" x14ac:dyDescent="0.2">
      <c r="B60" s="18">
        <v>20</v>
      </c>
      <c r="C60" s="1" t="s">
        <v>15</v>
      </c>
      <c r="D60" s="1">
        <v>0.25</v>
      </c>
      <c r="E60" s="3">
        <f>8757/8844</f>
        <v>0.99016282225237451</v>
      </c>
      <c r="F60" s="22">
        <f>8570/8844</f>
        <v>0.96901854364540929</v>
      </c>
      <c r="H60">
        <v>74</v>
      </c>
      <c r="I60">
        <v>123</v>
      </c>
    </row>
    <row r="61" spans="1:9" x14ac:dyDescent="0.2">
      <c r="B61" s="23">
        <v>30</v>
      </c>
      <c r="C61" s="15" t="s">
        <v>15</v>
      </c>
      <c r="D61" s="15">
        <v>0.25</v>
      </c>
      <c r="E61" s="5">
        <f>8757/8844</f>
        <v>0.99016282225237451</v>
      </c>
      <c r="F61" s="24">
        <f>8575/8844</f>
        <v>0.96958389868837636</v>
      </c>
      <c r="G61" s="13">
        <f>2140/2211</f>
        <v>0.96788783355947539</v>
      </c>
      <c r="H61" s="19">
        <v>11</v>
      </c>
      <c r="I61" s="19">
        <v>19</v>
      </c>
    </row>
    <row r="62" spans="1:9" x14ac:dyDescent="0.2">
      <c r="B62" s="18">
        <v>40</v>
      </c>
      <c r="C62" s="1" t="s">
        <v>15</v>
      </c>
      <c r="D62" s="1">
        <v>0.25</v>
      </c>
      <c r="E62" s="3">
        <f>8757/8844</f>
        <v>0.99016282225237451</v>
      </c>
      <c r="F62" s="22">
        <f>8575/8844</f>
        <v>0.96958389868837636</v>
      </c>
      <c r="H62">
        <v>43</v>
      </c>
      <c r="I62">
        <v>73</v>
      </c>
    </row>
    <row r="63" spans="1:9" x14ac:dyDescent="0.2">
      <c r="B63" s="18">
        <v>50</v>
      </c>
      <c r="C63" s="1" t="s">
        <v>15</v>
      </c>
      <c r="D63" s="1">
        <v>0.25</v>
      </c>
      <c r="E63" s="3">
        <f>8757/8844</f>
        <v>0.99016282225237451</v>
      </c>
      <c r="F63" s="22">
        <f>8575/8844</f>
        <v>0.96958389868837636</v>
      </c>
      <c r="H63">
        <v>30</v>
      </c>
      <c r="I63">
        <v>51</v>
      </c>
    </row>
    <row r="64" spans="1:9" x14ac:dyDescent="0.2">
      <c r="C64" s="1"/>
      <c r="D64" s="1"/>
      <c r="E64" s="11"/>
      <c r="F64" s="12"/>
    </row>
    <row r="65" spans="1:9" x14ac:dyDescent="0.2">
      <c r="A65" s="21" t="s">
        <v>8</v>
      </c>
    </row>
    <row r="66" spans="1:9" x14ac:dyDescent="0.2">
      <c r="B66" t="s">
        <v>32</v>
      </c>
      <c r="C66" s="1" t="s">
        <v>11</v>
      </c>
      <c r="D66" s="1" t="s">
        <v>12</v>
      </c>
      <c r="E66" s="1" t="s">
        <v>4</v>
      </c>
      <c r="F66" s="1" t="s">
        <v>6</v>
      </c>
      <c r="G66" s="1" t="s">
        <v>5</v>
      </c>
      <c r="H66" s="1" t="s">
        <v>34</v>
      </c>
      <c r="I66" s="1" t="s">
        <v>35</v>
      </c>
    </row>
    <row r="67" spans="1:9" x14ac:dyDescent="0.2">
      <c r="B67" s="18">
        <v>10</v>
      </c>
      <c r="C67" s="1" t="s">
        <v>15</v>
      </c>
      <c r="D67" s="1">
        <v>0.25</v>
      </c>
      <c r="E67" s="3">
        <f>1552/1552</f>
        <v>1</v>
      </c>
      <c r="F67" s="22">
        <f>1212/1552</f>
        <v>0.78092783505154639</v>
      </c>
      <c r="G67" s="12"/>
      <c r="H67">
        <v>134</v>
      </c>
      <c r="I67">
        <v>267</v>
      </c>
    </row>
    <row r="68" spans="1:9" x14ac:dyDescent="0.2">
      <c r="B68" s="18">
        <v>20</v>
      </c>
      <c r="C68" s="1" t="s">
        <v>15</v>
      </c>
      <c r="D68" s="1">
        <v>0.25</v>
      </c>
      <c r="E68" s="3">
        <f>1552/1552</f>
        <v>1</v>
      </c>
      <c r="F68" s="22">
        <f>1211/1552</f>
        <v>0.78028350515463918</v>
      </c>
      <c r="G68" s="12"/>
      <c r="H68">
        <v>122</v>
      </c>
      <c r="I68">
        <v>243</v>
      </c>
    </row>
    <row r="69" spans="1:9" x14ac:dyDescent="0.2">
      <c r="B69" s="18">
        <v>30</v>
      </c>
      <c r="C69" s="1" t="s">
        <v>15</v>
      </c>
      <c r="D69" s="1">
        <v>0.25</v>
      </c>
      <c r="E69" s="3">
        <f>1552/1552</f>
        <v>1</v>
      </c>
      <c r="F69" s="22">
        <f>1234/1552</f>
        <v>0.79510309278350511</v>
      </c>
      <c r="G69" s="12">
        <f>299/389</f>
        <v>0.76863753213367614</v>
      </c>
      <c r="H69">
        <v>137</v>
      </c>
      <c r="I69">
        <v>273</v>
      </c>
    </row>
    <row r="70" spans="1:9" x14ac:dyDescent="0.2">
      <c r="B70" s="23">
        <v>40</v>
      </c>
      <c r="C70" s="15" t="s">
        <v>15</v>
      </c>
      <c r="D70" s="15">
        <v>0.25</v>
      </c>
      <c r="E70" s="5">
        <f>1552/1552</f>
        <v>1</v>
      </c>
      <c r="F70" s="24">
        <f>1237/1552</f>
        <v>0.79703608247422686</v>
      </c>
      <c r="G70" s="13">
        <f>300/389</f>
        <v>0.77120822622107965</v>
      </c>
      <c r="H70" s="19">
        <v>147</v>
      </c>
      <c r="I70" s="19">
        <v>293</v>
      </c>
    </row>
    <row r="71" spans="1:9" x14ac:dyDescent="0.2">
      <c r="B71" s="18">
        <v>50</v>
      </c>
      <c r="C71" s="1" t="s">
        <v>15</v>
      </c>
      <c r="D71" s="1">
        <v>0.25</v>
      </c>
      <c r="E71" s="3">
        <f>1552/1552</f>
        <v>1</v>
      </c>
      <c r="F71" s="25">
        <f>1235/1552</f>
        <v>0.79574742268041232</v>
      </c>
      <c r="G71" s="12">
        <f>1235/1552</f>
        <v>0.79574742268041232</v>
      </c>
      <c r="H71">
        <v>137</v>
      </c>
      <c r="I71">
        <v>273</v>
      </c>
    </row>
    <row r="72" spans="1:9" x14ac:dyDescent="0.2">
      <c r="B72" s="1"/>
      <c r="C72" s="1"/>
      <c r="D72" s="11"/>
      <c r="E72" s="12"/>
    </row>
    <row r="73" spans="1:9" x14ac:dyDescent="0.2">
      <c r="B73" s="1"/>
      <c r="C73" s="1"/>
      <c r="D73" s="11"/>
      <c r="E73" s="12"/>
    </row>
    <row r="76" spans="1:9" x14ac:dyDescent="0.2">
      <c r="A76" s="21" t="s">
        <v>3</v>
      </c>
    </row>
    <row r="77" spans="1:9" x14ac:dyDescent="0.2">
      <c r="A77" s="21" t="s">
        <v>13</v>
      </c>
      <c r="B77" t="s">
        <v>36</v>
      </c>
      <c r="C77" s="1" t="s">
        <v>4</v>
      </c>
      <c r="D77" s="1" t="s">
        <v>6</v>
      </c>
      <c r="E77" s="1" t="s">
        <v>5</v>
      </c>
    </row>
    <row r="78" spans="1:9" x14ac:dyDescent="0.2">
      <c r="B78" t="s">
        <v>47</v>
      </c>
      <c r="C78" s="3">
        <f>8321/8844</f>
        <v>0.94086386250565357</v>
      </c>
      <c r="D78" s="3">
        <f>8306/8844</f>
        <v>0.9391677973767526</v>
      </c>
      <c r="E78" s="10">
        <f>2078/2211</f>
        <v>0.93984622342831303</v>
      </c>
      <c r="H78" t="s">
        <v>39</v>
      </c>
    </row>
    <row r="79" spans="1:9" x14ac:dyDescent="0.2">
      <c r="B79" t="s">
        <v>48</v>
      </c>
      <c r="C79" s="3">
        <f>8253/8844</f>
        <v>0.93317503392130263</v>
      </c>
      <c r="D79" s="3">
        <f>8236/8844</f>
        <v>0.93125282677521481</v>
      </c>
      <c r="E79" s="10"/>
      <c r="H79" t="s">
        <v>40</v>
      </c>
    </row>
    <row r="80" spans="1:9" x14ac:dyDescent="0.2">
      <c r="B80" s="19" t="s">
        <v>49</v>
      </c>
      <c r="C80" s="5">
        <f>8369/8844</f>
        <v>0.94629127091813658</v>
      </c>
      <c r="D80" s="5">
        <f>8338/8844</f>
        <v>0.94278606965174128</v>
      </c>
      <c r="E80" s="27">
        <f>2085/2211</f>
        <v>0.94301221166892812</v>
      </c>
      <c r="H80" t="s">
        <v>37</v>
      </c>
    </row>
    <row r="81" spans="1:8" x14ac:dyDescent="0.2">
      <c r="B81" t="s">
        <v>50</v>
      </c>
      <c r="C81" s="3">
        <f>8277/8844</f>
        <v>0.93588873812754414</v>
      </c>
      <c r="D81" s="3">
        <f>8261/8844</f>
        <v>0.9340796019900498</v>
      </c>
      <c r="E81" s="10"/>
      <c r="H81" t="s">
        <v>38</v>
      </c>
    </row>
    <row r="83" spans="1:8" x14ac:dyDescent="0.2">
      <c r="A83" s="16" t="s">
        <v>33</v>
      </c>
      <c r="C83" s="1"/>
      <c r="D83" s="1"/>
      <c r="E83" s="1"/>
    </row>
    <row r="84" spans="1:8" x14ac:dyDescent="0.2">
      <c r="A84" s="21" t="s">
        <v>8</v>
      </c>
      <c r="B84" t="s">
        <v>36</v>
      </c>
      <c r="C84" s="1" t="s">
        <v>4</v>
      </c>
      <c r="D84" s="1" t="s">
        <v>6</v>
      </c>
      <c r="E84" s="1" t="s">
        <v>5</v>
      </c>
    </row>
    <row r="85" spans="1:8" x14ac:dyDescent="0.2">
      <c r="B85" s="19" t="s">
        <v>47</v>
      </c>
      <c r="C85" s="5">
        <f>1115/1552</f>
        <v>0.71842783505154639</v>
      </c>
      <c r="D85" s="5">
        <f>1085/1552</f>
        <v>0.69909793814432986</v>
      </c>
      <c r="E85" s="27">
        <f>269/389</f>
        <v>0.69151670951156807</v>
      </c>
      <c r="G85" t="s">
        <v>42</v>
      </c>
    </row>
    <row r="86" spans="1:8" x14ac:dyDescent="0.2">
      <c r="B86" t="s">
        <v>48</v>
      </c>
      <c r="C86" s="3">
        <f>543/1552</f>
        <v>0.34987113402061853</v>
      </c>
      <c r="D86" s="3">
        <f>551/1552</f>
        <v>0.3550257731958763</v>
      </c>
      <c r="E86" s="10"/>
      <c r="G86" t="s">
        <v>41</v>
      </c>
      <c r="H86" t="s">
        <v>45</v>
      </c>
    </row>
    <row r="87" spans="1:8" x14ac:dyDescent="0.2">
      <c r="B87" t="s">
        <v>49</v>
      </c>
      <c r="C87" s="3">
        <f>978/1552</f>
        <v>0.63015463917525771</v>
      </c>
      <c r="D87" s="3">
        <f>965/1552</f>
        <v>0.62177835051546393</v>
      </c>
      <c r="E87" s="10">
        <f>965/1552</f>
        <v>0.62177835051546393</v>
      </c>
      <c r="G87" t="s">
        <v>44</v>
      </c>
      <c r="H87" t="s">
        <v>46</v>
      </c>
    </row>
    <row r="88" spans="1:8" x14ac:dyDescent="0.2">
      <c r="B88" t="s">
        <v>50</v>
      </c>
      <c r="C88" s="3">
        <f>954/1552</f>
        <v>0.61469072164948457</v>
      </c>
      <c r="D88" s="3">
        <f>927/1552</f>
        <v>0.59729381443298968</v>
      </c>
      <c r="E88" s="10"/>
      <c r="G88" t="s">
        <v>43</v>
      </c>
    </row>
    <row r="90" spans="1:8" x14ac:dyDescent="0.2">
      <c r="A90" s="21" t="s">
        <v>9</v>
      </c>
    </row>
    <row r="91" spans="1:8" x14ac:dyDescent="0.2">
      <c r="A91" s="21" t="s">
        <v>13</v>
      </c>
      <c r="B91" t="s">
        <v>51</v>
      </c>
      <c r="C91" s="1" t="s">
        <v>4</v>
      </c>
      <c r="D91" s="1" t="s">
        <v>6</v>
      </c>
      <c r="E91" s="1" t="s">
        <v>5</v>
      </c>
    </row>
    <row r="92" spans="1:8" x14ac:dyDescent="0.2">
      <c r="B92" s="19">
        <v>1</v>
      </c>
      <c r="C92" s="5">
        <f>8757/8844</f>
        <v>0.99016282225237451</v>
      </c>
      <c r="D92" s="5">
        <f>8582/8844</f>
        <v>0.97037539574853005</v>
      </c>
      <c r="E92" s="27">
        <f>2146/2211</f>
        <v>0.97060153776571689</v>
      </c>
    </row>
    <row r="93" spans="1:8" x14ac:dyDescent="0.2">
      <c r="B93">
        <v>5</v>
      </c>
      <c r="C93" s="3">
        <f>8513/8844</f>
        <v>0.96257349615558574</v>
      </c>
      <c r="D93" s="3">
        <f>8407/8844</f>
        <v>0.95058796924468569</v>
      </c>
      <c r="E93" s="10"/>
    </row>
    <row r="94" spans="1:8" x14ac:dyDescent="0.2">
      <c r="B94">
        <v>10</v>
      </c>
      <c r="C94" s="3">
        <f>8397/8844</f>
        <v>0.94945725915875168</v>
      </c>
      <c r="D94" s="3">
        <f>8353/8844</f>
        <v>0.94448213478064225</v>
      </c>
      <c r="E94" s="10"/>
    </row>
    <row r="95" spans="1:8" x14ac:dyDescent="0.2">
      <c r="B95">
        <v>15</v>
      </c>
      <c r="C95" s="3">
        <f>8362/8844</f>
        <v>0.94549977385798278</v>
      </c>
      <c r="D95" s="3">
        <f>8328/8844</f>
        <v>0.94165535956580737</v>
      </c>
      <c r="E95" s="10"/>
    </row>
    <row r="96" spans="1:8" x14ac:dyDescent="0.2">
      <c r="B96">
        <v>20</v>
      </c>
      <c r="C96" s="3">
        <f>8333/8844</f>
        <v>0.94222071460877432</v>
      </c>
      <c r="D96" s="3">
        <f>8304/8844</f>
        <v>0.93894165535956575</v>
      </c>
      <c r="E96" s="10"/>
    </row>
    <row r="99" spans="1:5" x14ac:dyDescent="0.2">
      <c r="A99" s="21" t="s">
        <v>8</v>
      </c>
      <c r="B99" t="s">
        <v>51</v>
      </c>
      <c r="C99" s="1" t="s">
        <v>4</v>
      </c>
      <c r="D99" s="1" t="s">
        <v>6</v>
      </c>
      <c r="E99" s="1" t="s">
        <v>5</v>
      </c>
    </row>
    <row r="100" spans="1:5" x14ac:dyDescent="0.2">
      <c r="B100">
        <v>1</v>
      </c>
      <c r="C100" s="3">
        <f>1552/1552</f>
        <v>1</v>
      </c>
      <c r="D100" s="3">
        <f>1107/1552</f>
        <v>0.71327319587628868</v>
      </c>
      <c r="E100" s="10"/>
    </row>
    <row r="101" spans="1:5" x14ac:dyDescent="0.2">
      <c r="B101" s="19">
        <v>5</v>
      </c>
      <c r="C101" s="5">
        <f>1235/1552</f>
        <v>0.79574742268041232</v>
      </c>
      <c r="D101" s="5">
        <f>1111/1552</f>
        <v>0.71585051546391754</v>
      </c>
      <c r="E101" s="27">
        <f>275/389</f>
        <v>0.70694087403598971</v>
      </c>
    </row>
    <row r="102" spans="1:5" x14ac:dyDescent="0.2">
      <c r="B102">
        <v>10</v>
      </c>
      <c r="C102" s="3">
        <f>1174/1552</f>
        <v>0.75644329896907214</v>
      </c>
      <c r="D102" s="3">
        <f>1079/1552</f>
        <v>0.69523195876288657</v>
      </c>
      <c r="E102" s="10"/>
    </row>
    <row r="103" spans="1:5" x14ac:dyDescent="0.2">
      <c r="B103">
        <v>15</v>
      </c>
      <c r="C103" s="3">
        <f>1140/1552</f>
        <v>0.73453608247422686</v>
      </c>
      <c r="D103" s="3">
        <f>1063/1552</f>
        <v>0.68492268041237114</v>
      </c>
      <c r="E103" s="10"/>
    </row>
    <row r="104" spans="1:5" x14ac:dyDescent="0.2">
      <c r="B104">
        <v>20</v>
      </c>
      <c r="C104" s="3">
        <f>1108/1552</f>
        <v>0.71391752577319589</v>
      </c>
      <c r="D104" s="3">
        <f>1054/1552</f>
        <v>0.67912371134020622</v>
      </c>
      <c r="E104" s="10"/>
    </row>
  </sheetData>
  <pageMargins left="0.7" right="0.7" top="0.75" bottom="0.75" header="0.3" footer="0.3"/>
  <ignoredErrors>
    <ignoredError sqref="C42" twoDigitTextYear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Learning Curve</vt:lpstr>
      <vt:lpstr>Model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Jing-Jing Gong</dc:creator>
  <cp:lastModifiedBy>Jing-Jing Gong</cp:lastModifiedBy>
  <dcterms:created xsi:type="dcterms:W3CDTF">2018-09-21T23:36:55Z</dcterms:created>
  <dcterms:modified xsi:type="dcterms:W3CDTF">2018-09-24T03:30:49Z</dcterms:modified>
</cp:coreProperties>
</file>