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bookViews>
    <workbookView xWindow="0" yWindow="0" windowWidth="28800" windowHeight="12210" activeTab="3"/>
  </bookViews>
  <sheets>
    <sheet name="PLAN DE INVERSIONES" sheetId="4" r:id="rId1"/>
    <sheet name="Ingresos x Ventas" sheetId="3" r:id="rId2"/>
    <sheet name="Costos Y Gastos" sheetId="1" r:id="rId3"/>
    <sheet name="FLUJO NETO DE EFCTIVO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2" l="1"/>
  <c r="F17" i="2"/>
  <c r="G17" i="2"/>
  <c r="H17" i="2"/>
  <c r="D17" i="2"/>
  <c r="E16" i="2"/>
  <c r="F16" i="2"/>
  <c r="G16" i="2"/>
  <c r="H16" i="2"/>
  <c r="D16" i="2"/>
  <c r="E15" i="2"/>
  <c r="F15" i="2"/>
  <c r="G15" i="2"/>
  <c r="H15" i="2"/>
  <c r="D15" i="2"/>
  <c r="D14" i="2" a="1"/>
  <c r="F14" i="2" s="1"/>
  <c r="E13" i="2"/>
  <c r="F13" i="2"/>
  <c r="G13" i="2"/>
  <c r="H13" i="2"/>
  <c r="D13" i="2"/>
  <c r="E12" i="2"/>
  <c r="F12" i="2"/>
  <c r="G12" i="2"/>
  <c r="H12" i="2"/>
  <c r="D12" i="2"/>
  <c r="F11" i="2"/>
  <c r="G11" i="2" s="1"/>
  <c r="H11" i="2" s="1"/>
  <c r="E11" i="2"/>
  <c r="D11" i="2"/>
  <c r="F10" i="2"/>
  <c r="G10" i="2" s="1"/>
  <c r="H10" i="2" s="1"/>
  <c r="E10" i="2"/>
  <c r="D10" i="2"/>
  <c r="E9" i="2"/>
  <c r="F9" i="2"/>
  <c r="G9" i="2"/>
  <c r="H9" i="2"/>
  <c r="D9" i="2"/>
  <c r="E8" i="2"/>
  <c r="F8" i="2"/>
  <c r="G8" i="2"/>
  <c r="H8" i="2"/>
  <c r="E7" i="2"/>
  <c r="F7" i="2"/>
  <c r="G7" i="2"/>
  <c r="H7" i="2"/>
  <c r="E6" i="2"/>
  <c r="F6" i="2"/>
  <c r="G6" i="2"/>
  <c r="H6" i="2"/>
  <c r="D7" i="2"/>
  <c r="D8" i="2"/>
  <c r="D5" i="2"/>
  <c r="D6" i="2"/>
  <c r="E5" i="2"/>
  <c r="F5" i="2"/>
  <c r="M11" i="1"/>
  <c r="M12" i="1"/>
  <c r="M13" i="1"/>
  <c r="M14" i="1"/>
  <c r="M15" i="1"/>
  <c r="M16" i="1"/>
  <c r="M17" i="1"/>
  <c r="M18" i="1"/>
  <c r="M19" i="1"/>
  <c r="M20" i="1"/>
  <c r="M21" i="1"/>
  <c r="M22" i="1"/>
  <c r="M10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J10" i="1"/>
  <c r="K10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10" i="1"/>
  <c r="G21" i="1"/>
  <c r="G11" i="1"/>
  <c r="G12" i="1"/>
  <c r="G13" i="1"/>
  <c r="G14" i="1"/>
  <c r="G15" i="1"/>
  <c r="G16" i="1"/>
  <c r="G17" i="1"/>
  <c r="G18" i="1"/>
  <c r="G19" i="1"/>
  <c r="G20" i="1"/>
  <c r="G22" i="1"/>
  <c r="G10" i="1"/>
  <c r="E11" i="1"/>
  <c r="E12" i="1"/>
  <c r="E13" i="1"/>
  <c r="E14" i="1"/>
  <c r="E15" i="1"/>
  <c r="E16" i="1"/>
  <c r="E17" i="1"/>
  <c r="E18" i="1"/>
  <c r="E19" i="1"/>
  <c r="E20" i="1"/>
  <c r="E21" i="1"/>
  <c r="E10" i="1"/>
  <c r="E4" i="1"/>
  <c r="F6" i="3"/>
  <c r="F7" i="3"/>
  <c r="F5" i="3"/>
  <c r="E35" i="4"/>
  <c r="E34" i="4"/>
  <c r="E25" i="4"/>
  <c r="E26" i="4"/>
  <c r="E24" i="4"/>
  <c r="E21" i="4"/>
  <c r="E20" i="4"/>
  <c r="E17" i="4"/>
  <c r="E18" i="4"/>
  <c r="E16" i="4"/>
  <c r="E8" i="4"/>
  <c r="E9" i="4"/>
  <c r="E10" i="4"/>
  <c r="E11" i="4"/>
  <c r="E12" i="4"/>
  <c r="E13" i="4"/>
  <c r="E14" i="4"/>
  <c r="E15" i="4"/>
  <c r="E7" i="4"/>
  <c r="E14" i="2" l="1"/>
  <c r="D14" i="2"/>
  <c r="H14" i="2"/>
  <c r="G14" i="2"/>
  <c r="H5" i="2"/>
  <c r="G5" i="2"/>
  <c r="C22" i="2"/>
  <c r="D7" i="3"/>
  <c r="D6" i="3"/>
  <c r="D5" i="3"/>
  <c r="C55" i="4"/>
  <c r="E43" i="1"/>
  <c r="E22" i="4"/>
  <c r="D40" i="4"/>
  <c r="D30" i="4" l="1"/>
  <c r="E30" i="4" s="1"/>
  <c r="F8" i="3"/>
  <c r="D4" i="2" s="1"/>
  <c r="E27" i="4"/>
  <c r="E4" i="2" l="1"/>
  <c r="F15" i="1"/>
  <c r="F4" i="2" l="1"/>
  <c r="I15" i="1"/>
  <c r="J15" i="1"/>
  <c r="K15" i="1"/>
  <c r="G4" i="2" l="1"/>
  <c r="E22" i="1"/>
  <c r="D22" i="1"/>
  <c r="F21" i="1"/>
  <c r="F20" i="1"/>
  <c r="F19" i="1"/>
  <c r="F18" i="1"/>
  <c r="F17" i="1"/>
  <c r="F16" i="1"/>
  <c r="F14" i="1"/>
  <c r="F13" i="1"/>
  <c r="F12" i="1"/>
  <c r="F11" i="1"/>
  <c r="F10" i="1"/>
  <c r="H4" i="2" l="1"/>
  <c r="I11" i="1"/>
  <c r="J11" i="1"/>
  <c r="K11" i="1"/>
  <c r="I13" i="1"/>
  <c r="J13" i="1"/>
  <c r="K13" i="1"/>
  <c r="I16" i="1"/>
  <c r="J16" i="1"/>
  <c r="K16" i="1"/>
  <c r="I18" i="1"/>
  <c r="J18" i="1"/>
  <c r="K18" i="1"/>
  <c r="I20" i="1"/>
  <c r="J20" i="1"/>
  <c r="K20" i="1"/>
  <c r="F22" i="1"/>
  <c r="D29" i="4" s="1"/>
  <c r="I12" i="1"/>
  <c r="J12" i="1"/>
  <c r="K12" i="1"/>
  <c r="I14" i="1"/>
  <c r="J14" i="1"/>
  <c r="K14" i="1"/>
  <c r="I17" i="1"/>
  <c r="J17" i="1"/>
  <c r="K17" i="1"/>
  <c r="I19" i="1"/>
  <c r="J19" i="1"/>
  <c r="K19" i="1"/>
  <c r="I21" i="1"/>
  <c r="J21" i="1"/>
  <c r="K21" i="1"/>
  <c r="E29" i="4" l="1"/>
  <c r="E31" i="4" s="1"/>
  <c r="E32" i="4" s="1"/>
  <c r="I22" i="1"/>
  <c r="J22" i="1"/>
  <c r="M6" i="1"/>
  <c r="C21" i="2" l="1"/>
  <c r="E39" i="4"/>
  <c r="E38" i="4"/>
  <c r="K22" i="1"/>
  <c r="E40" i="4" l="1"/>
  <c r="C54" i="4"/>
  <c r="F46" i="4"/>
  <c r="D47" i="4" l="1"/>
  <c r="C48" i="4"/>
  <c r="C49" i="4"/>
  <c r="C50" i="4"/>
  <c r="C51" i="4"/>
  <c r="C47" i="4"/>
  <c r="F43" i="1"/>
  <c r="E47" i="4" l="1"/>
  <c r="F47" i="4" s="1"/>
  <c r="D48" i="4" l="1"/>
  <c r="E48" i="4" s="1"/>
  <c r="F48" i="4" s="1"/>
  <c r="D49" i="4" l="1"/>
  <c r="E49" i="4" l="1"/>
  <c r="C24" i="2"/>
  <c r="F49" i="4" l="1"/>
  <c r="D50" i="4" s="1"/>
  <c r="E50" i="4" l="1"/>
  <c r="F50" i="4" l="1"/>
  <c r="D51" i="4" l="1"/>
  <c r="E51" i="4" l="1"/>
  <c r="F51" i="4" l="1"/>
  <c r="E21" i="2" l="1"/>
  <c r="E23" i="2" s="1"/>
  <c r="F21" i="2"/>
  <c r="F23" i="2" s="1"/>
  <c r="G21" i="2"/>
  <c r="G23" i="2" s="1"/>
  <c r="D21" i="2"/>
  <c r="H21" i="2"/>
  <c r="H23" i="2" s="1"/>
  <c r="C26" i="2" l="1"/>
  <c r="D23" i="2"/>
  <c r="D25" i="2"/>
  <c r="D28" i="2" l="1"/>
  <c r="E28" i="2" s="1"/>
  <c r="C23" i="2"/>
  <c r="C25" i="2" l="1"/>
  <c r="C27" i="2"/>
</calcChain>
</file>

<file path=xl/sharedStrings.xml><?xml version="1.0" encoding="utf-8"?>
<sst xmlns="http://schemas.openxmlformats.org/spreadsheetml/2006/main" count="149" uniqueCount="131">
  <si>
    <t>PLAN DE INVERSIONES</t>
  </si>
  <si>
    <t>CANTIDAD</t>
  </si>
  <si>
    <t>DETALLE</t>
  </si>
  <si>
    <t>P/UNIT</t>
  </si>
  <si>
    <t>TOTAL</t>
  </si>
  <si>
    <t>COMPUTADORES</t>
  </si>
  <si>
    <t>ESCRITORIOS</t>
  </si>
  <si>
    <t>AIRE ACONDICIONADO</t>
  </si>
  <si>
    <t>MUEBLES Y ENSERES</t>
  </si>
  <si>
    <t>FUENTES DE FINANCIAMIENTO</t>
  </si>
  <si>
    <t>PERIODO</t>
  </si>
  <si>
    <t>INTERES</t>
  </si>
  <si>
    <t>AMORTIZACION</t>
  </si>
  <si>
    <t>SALDO</t>
  </si>
  <si>
    <t>TABLA DE AMORTIZACION</t>
  </si>
  <si>
    <t>VA</t>
  </si>
  <si>
    <t>No. CARGOS</t>
  </si>
  <si>
    <t>CARGO</t>
  </si>
  <si>
    <t>PRESUPUESTO DE PERSONAL ADMINISTRATIVO Y VENTAS</t>
  </si>
  <si>
    <t>SALARIO BASICO</t>
  </si>
  <si>
    <t>AUXILIO DE TRANSPORTE</t>
  </si>
  <si>
    <t>TOTAL SALARIO</t>
  </si>
  <si>
    <t>VALOR ANUAL</t>
  </si>
  <si>
    <t>CESANTIAS</t>
  </si>
  <si>
    <t>PRIMA</t>
  </si>
  <si>
    <t>VACACIONES</t>
  </si>
  <si>
    <t>INTERES CESANTIA</t>
  </si>
  <si>
    <t>INTERES CESANTIAS</t>
  </si>
  <si>
    <t>total</t>
  </si>
  <si>
    <t>Presupuesto de gastos de administracion y ventas</t>
  </si>
  <si>
    <t>ITEM</t>
  </si>
  <si>
    <t>DESCRIPCION</t>
  </si>
  <si>
    <t>VALOR MENSUAL</t>
  </si>
  <si>
    <t>CAPITAL DE TRABAJO</t>
  </si>
  <si>
    <t>SERVICIOS PUBLICOS</t>
  </si>
  <si>
    <t>PAPELERIA</t>
  </si>
  <si>
    <t>IMPLEMENTOS DE ASEO</t>
  </si>
  <si>
    <t>DOTACION</t>
  </si>
  <si>
    <t>GASTOS VARIOS</t>
  </si>
  <si>
    <t>FLUJO NETO DE EFECTIVO</t>
  </si>
  <si>
    <t>INFLACION</t>
  </si>
  <si>
    <t>IMPUESTO DE RENTA</t>
  </si>
  <si>
    <t>Incremento anual unidades</t>
  </si>
  <si>
    <t>TOTAL VENTAS</t>
  </si>
  <si>
    <t>Unidades vender</t>
  </si>
  <si>
    <t>precio de venta</t>
  </si>
  <si>
    <t>Costo de produccion</t>
  </si>
  <si>
    <t>COSTO DE PRODUCCION</t>
  </si>
  <si>
    <t>UTILIDAD BRUTA</t>
  </si>
  <si>
    <t>GASTOS DE PERSONAL</t>
  </si>
  <si>
    <t>GASTOS GENERALES</t>
  </si>
  <si>
    <t>DEPRECIACION</t>
  </si>
  <si>
    <t>AMORTIZACION PREOPERATIVOS</t>
  </si>
  <si>
    <t>GASTOS FINANCIEROS</t>
  </si>
  <si>
    <t>UAI</t>
  </si>
  <si>
    <t>IMPUESTO</t>
  </si>
  <si>
    <t>UDI</t>
  </si>
  <si>
    <t>MAS DEPRECIACION</t>
  </si>
  <si>
    <t>MAS AMORTIZACION PREOPERATIVOS</t>
  </si>
  <si>
    <t>MENOS AMORTIZACION PRESTAMO</t>
  </si>
  <si>
    <t>FNE</t>
  </si>
  <si>
    <t>VPN</t>
  </si>
  <si>
    <t>TIR</t>
  </si>
  <si>
    <t>SEGURIDAD SOCIAL Y PARAFISCALES</t>
  </si>
  <si>
    <t>SEGURIDAD SOCIAL</t>
  </si>
  <si>
    <t xml:space="preserve">SALUD </t>
  </si>
  <si>
    <t>PENSION</t>
  </si>
  <si>
    <t>PARAFISCALES</t>
  </si>
  <si>
    <t>ARRIENDO</t>
  </si>
  <si>
    <t>Honorario contador</t>
  </si>
  <si>
    <t>VP DE LOS BENEFICIOS</t>
  </si>
  <si>
    <t>VP DE COSTOS DE INVERSION</t>
  </si>
  <si>
    <t>TIO (WACC)</t>
  </si>
  <si>
    <t>PRI VP</t>
  </si>
  <si>
    <t>B/C</t>
  </si>
  <si>
    <t>ACTIVOS FIJOS</t>
  </si>
  <si>
    <t>ACTIVOS   INTANGIBLES</t>
  </si>
  <si>
    <t>ACTIVOS PREOPERATIVOS</t>
  </si>
  <si>
    <t>ESTUDIO DE MERCADO</t>
  </si>
  <si>
    <t>GASTOS NOTARIALES</t>
  </si>
  <si>
    <t>ADECUACIONES</t>
  </si>
  <si>
    <t xml:space="preserve">administrador </t>
  </si>
  <si>
    <t>guia</t>
  </si>
  <si>
    <t xml:space="preserve">guia </t>
  </si>
  <si>
    <t>conductor</t>
  </si>
  <si>
    <t xml:space="preserve">recreadores </t>
  </si>
  <si>
    <t xml:space="preserve">asesor comercial </t>
  </si>
  <si>
    <t xml:space="preserve"> </t>
  </si>
  <si>
    <t>Publicidad</t>
  </si>
  <si>
    <t>BUSES adecuados chivas</t>
  </si>
  <si>
    <t>SILLAS GERENCIALES</t>
  </si>
  <si>
    <t>SILLAS AUXILIARES</t>
  </si>
  <si>
    <t>ARCHIVADOR</t>
  </si>
  <si>
    <t>SUBTOTAL ACTIVOS FIJOS</t>
  </si>
  <si>
    <t>SOFWARE ESPECIAL</t>
  </si>
  <si>
    <t>SOFWARE OFFICE</t>
  </si>
  <si>
    <t>SUBTOTAL ACTIVOS INTANGIBLES</t>
  </si>
  <si>
    <t>SUBTOTAL PREOPERATIVOS</t>
  </si>
  <si>
    <t>SUBTOTAL CAPITAL DE TRABAJO</t>
  </si>
  <si>
    <t>NOMINA 1 MES</t>
  </si>
  <si>
    <t>GASTOS 1 MES</t>
  </si>
  <si>
    <t>TOTAL INVERSIONES</t>
  </si>
  <si>
    <t>Producto 1</t>
  </si>
  <si>
    <t>Producto 2</t>
  </si>
  <si>
    <t>Producto 3</t>
  </si>
  <si>
    <t>Total Año 1</t>
  </si>
  <si>
    <t>DEMANDA PROYECTADA  AÑO 1</t>
  </si>
  <si>
    <t>1 Años + 9 Meses</t>
  </si>
  <si>
    <t>El Proyecto se acepta debido a que el VPN es mayor a cero; en este caso el proyecto recupero la inversion inicial ($232,037.000) Obteniendo beneficios por $371'560,348, lo cual nos demuestra que la rentabilidad del proyecto  (TIR) fue del 65%, el cual es mucho mayor que la tasa de oportunidad (WACC) que fue del 12%. La relacion beneficio costo es mayor a 1; (2,6 veces). La recuperacion de la inversion se dio a los 1 años y 9 meses.</t>
  </si>
  <si>
    <t>Mano de obra Directa</t>
  </si>
  <si>
    <t>Coostos Indirectos de Fabricacion</t>
  </si>
  <si>
    <t>Materia Prima</t>
  </si>
  <si>
    <t>Costos Indirectos de Fabricacion</t>
  </si>
  <si>
    <t>Mano de Obra Directa</t>
  </si>
  <si>
    <t>Tasa de Interes de Oportunidad</t>
  </si>
  <si>
    <t>Variables Economicas</t>
  </si>
  <si>
    <t>SILLAS RIMAX</t>
  </si>
  <si>
    <t>MESAS RIMAX</t>
  </si>
  <si>
    <t>RECURSOS PROPIOS</t>
  </si>
  <si>
    <t>RECURSO EXTERNO</t>
  </si>
  <si>
    <t>CUOTA</t>
  </si>
  <si>
    <t>E. A.</t>
  </si>
  <si>
    <t>N° PERIODOS</t>
  </si>
  <si>
    <t>PRODUCTO</t>
  </si>
  <si>
    <t>PR. UNITARIO</t>
  </si>
  <si>
    <t># DE UNIDADES MENSUALES</t>
  </si>
  <si>
    <t># DE UNIDADES ANUALES</t>
  </si>
  <si>
    <t>VENTAS TOTALES</t>
  </si>
  <si>
    <t xml:space="preserve">S.M.L.V </t>
  </si>
  <si>
    <t>MAXIMO DE PAGO DE UAXILIO DE TRANSPORTE</t>
  </si>
  <si>
    <t>Materiales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</si>
</sst>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\ #,##0;[Red]\-&quot;$&quot;\ #,##0"/>
    <numFmt numFmtId="42" formatCode="_-&quot;$&quot;\ * #,##0_-;\-&quot;$&quot;\ * #,##0_-;_-&quot;$&quot;\ * &quot;-&quot;_-;_-@_-"/>
    <numFmt numFmtId="164" formatCode="_-&quot;$&quot;* #,##0.00_-;\-&quot;$&quot;* #,##0.00_-;_-&quot;$&quot;* &quot;-&quot;??_-;_-@_-"/>
    <numFmt numFmtId="165" formatCode="&quot;$&quot;#,##0"/>
    <numFmt numFmtId="166" formatCode="_-&quot;$&quot;* #,##0_-;\-&quot;$&quot;* #,##0_-;_-&quot;$&quot;* &quot;-&quot;??_-;_-@_-"/>
    <numFmt numFmtId="167" formatCode="0.0%"/>
    <numFmt numFmtId="168" formatCode="0.0"/>
    <numFmt numFmtId="169" formatCode="&quot;$&quot;\ 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2" fontId="2" fillId="0" borderId="0" applyFont="0" applyFill="0" applyBorder="0" applyAlignment="0" applyProtection="0"/>
  </cellStyleXfs>
  <cellXfs count="1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/>
    <xf numFmtId="9" fontId="0" fillId="0" borderId="1" xfId="0" applyNumberFormat="1" applyBorder="1"/>
    <xf numFmtId="3" fontId="0" fillId="0" borderId="1" xfId="0" applyNumberFormat="1" applyBorder="1"/>
    <xf numFmtId="166" fontId="0" fillId="0" borderId="0" xfId="1" applyNumberFormat="1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165" fontId="0" fillId="0" borderId="0" xfId="0" applyNumberFormat="1"/>
    <xf numFmtId="0" fontId="0" fillId="0" borderId="9" xfId="0" applyBorder="1"/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0" xfId="0" applyNumberFormat="1" applyBorder="1"/>
    <xf numFmtId="0" fontId="4" fillId="0" borderId="13" xfId="0" applyFont="1" applyFill="1" applyBorder="1" applyAlignment="1">
      <alignment horizontal="center"/>
    </xf>
    <xf numFmtId="165" fontId="0" fillId="0" borderId="14" xfId="0" applyNumberFormat="1" applyBorder="1"/>
    <xf numFmtId="0" fontId="4" fillId="0" borderId="1" xfId="0" applyFont="1" applyBorder="1" applyAlignment="1">
      <alignment horizontal="center"/>
    </xf>
    <xf numFmtId="167" fontId="0" fillId="0" borderId="6" xfId="2" applyNumberFormat="1" applyFont="1" applyBorder="1"/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1" xfId="0" applyFont="1" applyBorder="1" applyAlignment="1">
      <alignment wrapText="1"/>
    </xf>
    <xf numFmtId="165" fontId="5" fillId="0" borderId="6" xfId="0" applyNumberFormat="1" applyFont="1" applyBorder="1" applyAlignment="1">
      <alignment wrapText="1"/>
    </xf>
    <xf numFmtId="0" fontId="4" fillId="0" borderId="1" xfId="0" applyFont="1" applyFill="1" applyBorder="1" applyAlignment="1">
      <alignment horizontal="center"/>
    </xf>
    <xf numFmtId="165" fontId="5" fillId="0" borderId="1" xfId="0" applyNumberFormat="1" applyFont="1" applyBorder="1" applyAlignment="1">
      <alignment horizontal="center" wrapText="1"/>
    </xf>
    <xf numFmtId="9" fontId="0" fillId="0" borderId="9" xfId="0" applyNumberFormat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9" fontId="0" fillId="0" borderId="0" xfId="0" applyNumberFormat="1" applyBorder="1" applyAlignment="1">
      <alignment horizontal="center"/>
    </xf>
    <xf numFmtId="10" fontId="0" fillId="0" borderId="1" xfId="0" applyNumberFormat="1" applyBorder="1"/>
    <xf numFmtId="167" fontId="0" fillId="0" borderId="1" xfId="0" applyNumberFormat="1" applyBorder="1"/>
    <xf numFmtId="165" fontId="0" fillId="2" borderId="1" xfId="0" applyNumberFormat="1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/>
    </xf>
    <xf numFmtId="169" fontId="5" fillId="0" borderId="1" xfId="3" applyNumberFormat="1" applyFont="1" applyBorder="1" applyAlignment="1">
      <alignment horizontal="center" wrapText="1"/>
    </xf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2" fontId="0" fillId="0" borderId="0" xfId="0" applyNumberFormat="1"/>
    <xf numFmtId="42" fontId="1" fillId="0" borderId="22" xfId="0" applyNumberFormat="1" applyFont="1" applyBorder="1"/>
    <xf numFmtId="42" fontId="1" fillId="0" borderId="21" xfId="0" applyNumberFormat="1" applyFont="1" applyBorder="1"/>
    <xf numFmtId="9" fontId="0" fillId="0" borderId="1" xfId="2" applyFont="1" applyBorder="1"/>
    <xf numFmtId="42" fontId="0" fillId="0" borderId="1" xfId="0" applyNumberFormat="1" applyBorder="1"/>
    <xf numFmtId="6" fontId="0" fillId="0" borderId="1" xfId="0" applyNumberFormat="1" applyBorder="1"/>
    <xf numFmtId="42" fontId="0" fillId="0" borderId="1" xfId="3" applyFont="1" applyBorder="1"/>
    <xf numFmtId="42" fontId="1" fillId="0" borderId="21" xfId="3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3" fontId="0" fillId="0" borderId="26" xfId="0" applyNumberFormat="1" applyBorder="1"/>
    <xf numFmtId="42" fontId="0" fillId="0" borderId="26" xfId="3" applyFont="1" applyBorder="1"/>
    <xf numFmtId="1" fontId="5" fillId="0" borderId="1" xfId="0" applyNumberFormat="1" applyFont="1" applyBorder="1" applyAlignment="1">
      <alignment horizontal="center" wrapText="1"/>
    </xf>
    <xf numFmtId="165" fontId="0" fillId="2" borderId="6" xfId="0" applyNumberFormat="1" applyFill="1" applyBorder="1"/>
    <xf numFmtId="0" fontId="3" fillId="0" borderId="2" xfId="0" applyFont="1" applyBorder="1" applyAlignment="1">
      <alignment horizontal="center"/>
    </xf>
    <xf numFmtId="0" fontId="0" fillId="3" borderId="1" xfId="0" applyFill="1" applyBorder="1"/>
    <xf numFmtId="9" fontId="0" fillId="3" borderId="1" xfId="0" applyNumberFormat="1" applyFill="1" applyBorder="1"/>
    <xf numFmtId="169" fontId="0" fillId="0" borderId="1" xfId="0" applyNumberFormat="1" applyBorder="1"/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center"/>
    </xf>
    <xf numFmtId="42" fontId="1" fillId="0" borderId="1" xfId="3" applyFont="1" applyBorder="1"/>
    <xf numFmtId="0" fontId="1" fillId="0" borderId="1" xfId="0" applyFont="1" applyBorder="1"/>
    <xf numFmtId="42" fontId="1" fillId="0" borderId="1" xfId="0" applyNumberFormat="1" applyFont="1" applyBorder="1"/>
    <xf numFmtId="0" fontId="0" fillId="4" borderId="0" xfId="0" applyFill="1" applyBorder="1"/>
    <xf numFmtId="169" fontId="0" fillId="4" borderId="0" xfId="0" applyNumberFormat="1" applyFill="1" applyBorder="1"/>
    <xf numFmtId="0" fontId="0" fillId="4" borderId="0" xfId="0" applyFill="1" applyBorder="1" applyAlignment="1">
      <alignment wrapText="1"/>
    </xf>
    <xf numFmtId="0" fontId="0" fillId="4" borderId="0" xfId="0" applyFill="1" applyBorder="1" applyAlignment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6" fillId="0" borderId="15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0" fillId="0" borderId="27" xfId="0" applyFill="1" applyBorder="1" applyAlignment="1">
      <alignment horizontal="center"/>
    </xf>
    <xf numFmtId="42" fontId="0" fillId="0" borderId="27" xfId="3" applyFont="1" applyFill="1" applyBorder="1"/>
    <xf numFmtId="0" fontId="0" fillId="0" borderId="28" xfId="0" applyBorder="1"/>
    <xf numFmtId="3" fontId="0" fillId="0" borderId="2" xfId="0" applyNumberFormat="1" applyBorder="1"/>
    <xf numFmtId="42" fontId="0" fillId="0" borderId="2" xfId="3" applyFont="1" applyBorder="1"/>
    <xf numFmtId="42" fontId="0" fillId="0" borderId="29" xfId="3" applyFont="1" applyBorder="1"/>
    <xf numFmtId="0" fontId="1" fillId="0" borderId="21" xfId="0" applyFont="1" applyBorder="1" applyAlignment="1">
      <alignment horizontal="center"/>
    </xf>
    <xf numFmtId="0" fontId="1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1" xfId="0" applyFont="1" applyBorder="1" applyAlignment="1">
      <alignment horizontal="center" wrapText="1"/>
    </xf>
    <xf numFmtId="0" fontId="1" fillId="0" borderId="32" xfId="0" applyFont="1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</cellXfs>
  <cellStyles count="4">
    <cellStyle name="Moneda" xfId="1" builtinId="4"/>
    <cellStyle name="Moneda [0]" xfId="3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6"/>
  <sheetViews>
    <sheetView topLeftCell="A25" zoomScale="110" zoomScaleNormal="110" workbookViewId="0">
      <selection activeCell="F52" sqref="F52"/>
    </sheetView>
  </sheetViews>
  <sheetFormatPr baseColWidth="10" defaultRowHeight="15" x14ac:dyDescent="0.25"/>
  <cols>
    <col min="3" max="3" width="24.5703125" customWidth="1"/>
    <col min="4" max="4" width="16.5703125" customWidth="1"/>
    <col min="5" max="5" width="14" bestFit="1" customWidth="1"/>
    <col min="6" max="6" width="17" customWidth="1"/>
  </cols>
  <sheetData>
    <row r="3" spans="2:5" ht="15.75" thickBot="1" x14ac:dyDescent="0.3"/>
    <row r="4" spans="2:5" ht="15.75" x14ac:dyDescent="0.25">
      <c r="B4" s="84" t="s">
        <v>0</v>
      </c>
      <c r="C4" s="85"/>
      <c r="D4" s="85"/>
      <c r="E4" s="86"/>
    </row>
    <row r="5" spans="2:5" x14ac:dyDescent="0.25">
      <c r="B5" s="70" t="s">
        <v>1</v>
      </c>
      <c r="C5" s="70" t="s">
        <v>2</v>
      </c>
      <c r="D5" s="70" t="s">
        <v>3</v>
      </c>
      <c r="E5" s="70" t="s">
        <v>4</v>
      </c>
    </row>
    <row r="6" spans="2:5" x14ac:dyDescent="0.25">
      <c r="B6" s="1"/>
      <c r="C6" s="70" t="s">
        <v>75</v>
      </c>
      <c r="D6" s="1"/>
      <c r="E6" s="1"/>
    </row>
    <row r="7" spans="2:5" x14ac:dyDescent="0.25">
      <c r="B7" s="45">
        <v>1</v>
      </c>
      <c r="C7" s="1" t="s">
        <v>80</v>
      </c>
      <c r="D7" s="55">
        <v>4000000</v>
      </c>
      <c r="E7" s="55">
        <f>+D7*B7</f>
        <v>4000000</v>
      </c>
    </row>
    <row r="8" spans="2:5" x14ac:dyDescent="0.25">
      <c r="B8" s="45">
        <v>1</v>
      </c>
      <c r="C8" s="1" t="s">
        <v>5</v>
      </c>
      <c r="D8" s="55">
        <v>1000000</v>
      </c>
      <c r="E8" s="55">
        <f t="shared" ref="E8:E17" si="0">+D8*B8</f>
        <v>1000000</v>
      </c>
    </row>
    <row r="9" spans="2:5" x14ac:dyDescent="0.25">
      <c r="B9" s="45">
        <v>2</v>
      </c>
      <c r="C9" s="1" t="s">
        <v>89</v>
      </c>
      <c r="D9" s="55">
        <v>100000000</v>
      </c>
      <c r="E9" s="55">
        <f t="shared" si="0"/>
        <v>200000000</v>
      </c>
    </row>
    <row r="10" spans="2:5" x14ac:dyDescent="0.25">
      <c r="B10" s="45">
        <v>2</v>
      </c>
      <c r="C10" s="1" t="s">
        <v>6</v>
      </c>
      <c r="D10" s="55">
        <v>200000</v>
      </c>
      <c r="E10" s="55">
        <f t="shared" si="0"/>
        <v>400000</v>
      </c>
    </row>
    <row r="11" spans="2:5" x14ac:dyDescent="0.25">
      <c r="B11" s="45">
        <v>2</v>
      </c>
      <c r="C11" s="1" t="s">
        <v>90</v>
      </c>
      <c r="D11" s="55">
        <v>120000</v>
      </c>
      <c r="E11" s="55">
        <f t="shared" si="0"/>
        <v>240000</v>
      </c>
    </row>
    <row r="12" spans="2:5" x14ac:dyDescent="0.25">
      <c r="B12" s="45">
        <v>1</v>
      </c>
      <c r="C12" s="1" t="s">
        <v>92</v>
      </c>
      <c r="D12" s="55">
        <v>300000</v>
      </c>
      <c r="E12" s="55">
        <f t="shared" si="0"/>
        <v>300000</v>
      </c>
    </row>
    <row r="13" spans="2:5" x14ac:dyDescent="0.25">
      <c r="B13" s="45">
        <v>1</v>
      </c>
      <c r="C13" s="1" t="s">
        <v>7</v>
      </c>
      <c r="D13" s="55">
        <v>1000000</v>
      </c>
      <c r="E13" s="55">
        <f t="shared" si="0"/>
        <v>1000000</v>
      </c>
    </row>
    <row r="14" spans="2:5" x14ac:dyDescent="0.25">
      <c r="B14" s="45">
        <v>1</v>
      </c>
      <c r="C14" s="1" t="s">
        <v>8</v>
      </c>
      <c r="D14" s="55">
        <v>1000000</v>
      </c>
      <c r="E14" s="55">
        <f t="shared" si="0"/>
        <v>1000000</v>
      </c>
    </row>
    <row r="15" spans="2:5" x14ac:dyDescent="0.25">
      <c r="B15" s="45">
        <v>15</v>
      </c>
      <c r="C15" s="1" t="s">
        <v>91</v>
      </c>
      <c r="D15" s="55">
        <v>50000</v>
      </c>
      <c r="E15" s="55">
        <f t="shared" si="0"/>
        <v>750000</v>
      </c>
    </row>
    <row r="16" spans="2:5" x14ac:dyDescent="0.25">
      <c r="B16" s="45">
        <v>100</v>
      </c>
      <c r="C16" s="1" t="s">
        <v>116</v>
      </c>
      <c r="D16" s="55">
        <v>56000</v>
      </c>
      <c r="E16" s="55">
        <f>+D16*B16</f>
        <v>5600000</v>
      </c>
    </row>
    <row r="17" spans="1:5" x14ac:dyDescent="0.25">
      <c r="B17" s="105">
        <v>20</v>
      </c>
      <c r="C17" t="s">
        <v>117</v>
      </c>
      <c r="D17" s="106">
        <v>95000</v>
      </c>
      <c r="E17" s="106">
        <f>+D17*B17</f>
        <v>1900000</v>
      </c>
    </row>
    <row r="18" spans="1:5" x14ac:dyDescent="0.25">
      <c r="B18" s="45" t="s">
        <v>87</v>
      </c>
      <c r="C18" s="87" t="s">
        <v>93</v>
      </c>
      <c r="D18" s="87"/>
      <c r="E18" s="71">
        <f>SUM(E7:E17)</f>
        <v>216190000</v>
      </c>
    </row>
    <row r="19" spans="1:5" x14ac:dyDescent="0.25">
      <c r="B19" s="45"/>
      <c r="C19" s="72" t="s">
        <v>76</v>
      </c>
      <c r="D19" s="55"/>
      <c r="E19" s="55"/>
    </row>
    <row r="20" spans="1:5" x14ac:dyDescent="0.25">
      <c r="B20" s="45">
        <v>1</v>
      </c>
      <c r="C20" s="72" t="s">
        <v>94</v>
      </c>
      <c r="D20" s="55">
        <v>2000000</v>
      </c>
      <c r="E20" s="55">
        <f>+D20*B20</f>
        <v>2000000</v>
      </c>
    </row>
    <row r="21" spans="1:5" x14ac:dyDescent="0.25">
      <c r="B21" s="45">
        <v>1</v>
      </c>
      <c r="C21" s="72" t="s">
        <v>95</v>
      </c>
      <c r="D21" s="55">
        <v>2000000</v>
      </c>
      <c r="E21" s="55">
        <f>+D21*B21</f>
        <v>2000000</v>
      </c>
    </row>
    <row r="22" spans="1:5" x14ac:dyDescent="0.25">
      <c r="B22" s="45"/>
      <c r="C22" s="87" t="s">
        <v>96</v>
      </c>
      <c r="D22" s="87"/>
      <c r="E22" s="71">
        <f>+E20+E21</f>
        <v>4000000</v>
      </c>
    </row>
    <row r="23" spans="1:5" x14ac:dyDescent="0.25">
      <c r="B23" s="45"/>
      <c r="C23" s="72" t="s">
        <v>77</v>
      </c>
      <c r="D23" s="55"/>
      <c r="E23" s="55"/>
    </row>
    <row r="24" spans="1:5" x14ac:dyDescent="0.25">
      <c r="B24" s="45">
        <v>1</v>
      </c>
      <c r="C24" s="1" t="s">
        <v>78</v>
      </c>
      <c r="D24" s="55">
        <v>4000000</v>
      </c>
      <c r="E24" s="55">
        <f>+D24*B24</f>
        <v>4000000</v>
      </c>
    </row>
    <row r="25" spans="1:5" x14ac:dyDescent="0.25">
      <c r="B25" s="45">
        <v>1</v>
      </c>
      <c r="C25" s="1" t="s">
        <v>79</v>
      </c>
      <c r="D25" s="55">
        <v>1200000</v>
      </c>
      <c r="E25" s="55">
        <f t="shared" ref="E25:E26" si="1">+D25*B25</f>
        <v>1200000</v>
      </c>
    </row>
    <row r="26" spans="1:5" x14ac:dyDescent="0.25">
      <c r="B26" s="45">
        <v>1</v>
      </c>
      <c r="C26" s="1" t="s">
        <v>88</v>
      </c>
      <c r="D26" s="55">
        <v>2000000</v>
      </c>
      <c r="E26" s="55">
        <f t="shared" si="1"/>
        <v>2000000</v>
      </c>
    </row>
    <row r="27" spans="1:5" x14ac:dyDescent="0.25">
      <c r="B27" s="45">
        <v>1</v>
      </c>
      <c r="C27" s="87" t="s">
        <v>97</v>
      </c>
      <c r="D27" s="87"/>
      <c r="E27" s="71">
        <f>SUM(E24:E26)</f>
        <v>7200000</v>
      </c>
    </row>
    <row r="28" spans="1:5" x14ac:dyDescent="0.25">
      <c r="B28" s="45"/>
      <c r="C28" s="1" t="s">
        <v>33</v>
      </c>
      <c r="D28" s="55"/>
      <c r="E28" s="55"/>
    </row>
    <row r="29" spans="1:5" x14ac:dyDescent="0.25">
      <c r="B29" s="45">
        <v>1</v>
      </c>
      <c r="C29" s="1" t="s">
        <v>99</v>
      </c>
      <c r="D29" s="55">
        <f>+'Costos Y Gastos'!F22</f>
        <v>24058000</v>
      </c>
      <c r="E29" s="55">
        <f>+B29*D29</f>
        <v>24058000</v>
      </c>
    </row>
    <row r="30" spans="1:5" x14ac:dyDescent="0.25">
      <c r="A30" s="46">
        <v>1</v>
      </c>
      <c r="B30" s="45">
        <v>1</v>
      </c>
      <c r="C30" s="1" t="s">
        <v>100</v>
      </c>
      <c r="D30" s="55">
        <f>+'Costos Y Gastos'!E43</f>
        <v>19400000</v>
      </c>
      <c r="E30" s="55">
        <f>+B30*D30</f>
        <v>19400000</v>
      </c>
    </row>
    <row r="31" spans="1:5" x14ac:dyDescent="0.25">
      <c r="B31" s="1"/>
      <c r="C31" s="87" t="s">
        <v>98</v>
      </c>
      <c r="D31" s="87"/>
      <c r="E31" s="71">
        <f>SUM(E29:E30)</f>
        <v>43458000</v>
      </c>
    </row>
    <row r="32" spans="1:5" x14ac:dyDescent="0.25">
      <c r="B32" s="1"/>
      <c r="C32" s="87" t="s">
        <v>101</v>
      </c>
      <c r="D32" s="87"/>
      <c r="E32" s="73">
        <f>SUM(E18+E22+E27+E31)</f>
        <v>270848000</v>
      </c>
    </row>
    <row r="33" spans="2:10" ht="15.75" thickBot="1" x14ac:dyDescent="0.3">
      <c r="C33" s="48"/>
      <c r="D33" s="48"/>
      <c r="E33" s="49"/>
    </row>
    <row r="34" spans="2:10" ht="15.75" thickBot="1" x14ac:dyDescent="0.3">
      <c r="C34" s="78" t="s">
        <v>51</v>
      </c>
      <c r="D34" s="79"/>
      <c r="E34" s="51">
        <f>+(E18+E22)/5</f>
        <v>44038000</v>
      </c>
    </row>
    <row r="35" spans="2:10" ht="15.75" thickBot="1" x14ac:dyDescent="0.3">
      <c r="C35" s="78" t="s">
        <v>12</v>
      </c>
      <c r="D35" s="79"/>
      <c r="E35" s="50">
        <f>+E27/5</f>
        <v>1440000</v>
      </c>
    </row>
    <row r="36" spans="2:10" ht="15.75" thickBot="1" x14ac:dyDescent="0.3"/>
    <row r="37" spans="2:10" x14ac:dyDescent="0.25">
      <c r="C37" s="80" t="s">
        <v>9</v>
      </c>
      <c r="D37" s="81"/>
      <c r="E37" s="82"/>
    </row>
    <row r="38" spans="2:10" x14ac:dyDescent="0.25">
      <c r="C38" s="1" t="s">
        <v>118</v>
      </c>
      <c r="D38" s="52">
        <v>0.6</v>
      </c>
      <c r="E38" s="53">
        <f>+E32*D38</f>
        <v>162508800</v>
      </c>
    </row>
    <row r="39" spans="2:10" x14ac:dyDescent="0.25">
      <c r="C39" s="1" t="s">
        <v>119</v>
      </c>
      <c r="D39" s="52">
        <v>0.4</v>
      </c>
      <c r="E39" s="53">
        <f>+E32*D39</f>
        <v>108339200</v>
      </c>
    </row>
    <row r="40" spans="2:10" x14ac:dyDescent="0.25">
      <c r="C40" s="1" t="s">
        <v>4</v>
      </c>
      <c r="D40" s="52">
        <f>SUM(D38:D39)</f>
        <v>1</v>
      </c>
      <c r="E40" s="53">
        <f>SUM(E38:E39)</f>
        <v>270848000</v>
      </c>
    </row>
    <row r="44" spans="2:10" ht="15.75" x14ac:dyDescent="0.25">
      <c r="B44" s="83" t="s">
        <v>14</v>
      </c>
      <c r="C44" s="83"/>
      <c r="D44" s="83"/>
      <c r="E44" s="83"/>
      <c r="F44" s="83"/>
      <c r="J44" s="53"/>
    </row>
    <row r="45" spans="2:10" x14ac:dyDescent="0.25">
      <c r="B45" s="48" t="s">
        <v>10</v>
      </c>
      <c r="C45" s="48" t="s">
        <v>120</v>
      </c>
      <c r="D45" s="48" t="s">
        <v>11</v>
      </c>
      <c r="E45" s="48" t="s">
        <v>12</v>
      </c>
      <c r="F45" s="48" t="s">
        <v>13</v>
      </c>
      <c r="J45" s="53"/>
    </row>
    <row r="46" spans="2:10" x14ac:dyDescent="0.25">
      <c r="B46" s="1">
        <v>0</v>
      </c>
      <c r="C46" s="1"/>
      <c r="D46" s="1"/>
      <c r="E46" s="1"/>
      <c r="F46" s="53">
        <f>+E39</f>
        <v>108339200</v>
      </c>
    </row>
    <row r="47" spans="2:10" x14ac:dyDescent="0.25">
      <c r="B47" s="1">
        <v>1</v>
      </c>
      <c r="C47" s="54">
        <f>PMT($C$56,$C$55,-$C$54)</f>
        <v>34644475.557773776</v>
      </c>
      <c r="D47" s="54">
        <f>+F46*$C$56</f>
        <v>19501056</v>
      </c>
      <c r="E47" s="54">
        <f>+C47-D47</f>
        <v>15143419.557773776</v>
      </c>
      <c r="F47" s="53">
        <f>+F46-E47</f>
        <v>93195780.442226231</v>
      </c>
    </row>
    <row r="48" spans="2:10" x14ac:dyDescent="0.25">
      <c r="B48" s="1">
        <v>2</v>
      </c>
      <c r="C48" s="54">
        <f t="shared" ref="C48:C51" si="2">PMT($C$56,$C$55,-$C$54)</f>
        <v>34644475.557773776</v>
      </c>
      <c r="D48" s="54">
        <f t="shared" ref="D48:D51" si="3">+F47*$C$56</f>
        <v>16775240.47960072</v>
      </c>
      <c r="E48" s="54">
        <f t="shared" ref="E48:E51" si="4">+C48-D48</f>
        <v>17869235.078173056</v>
      </c>
      <c r="F48" s="53">
        <f t="shared" ref="F48:F51" si="5">+F47-E48</f>
        <v>75326545.364053175</v>
      </c>
    </row>
    <row r="49" spans="2:8" x14ac:dyDescent="0.25">
      <c r="B49" s="1">
        <v>3</v>
      </c>
      <c r="C49" s="54">
        <f t="shared" si="2"/>
        <v>34644475.557773776</v>
      </c>
      <c r="D49" s="54">
        <f t="shared" si="3"/>
        <v>13558778.165529571</v>
      </c>
      <c r="E49" s="54">
        <f t="shared" si="4"/>
        <v>21085697.392244205</v>
      </c>
      <c r="F49" s="53">
        <f t="shared" si="5"/>
        <v>54240847.97180897</v>
      </c>
      <c r="H49" s="53"/>
    </row>
    <row r="50" spans="2:8" x14ac:dyDescent="0.25">
      <c r="B50" s="1">
        <v>4</v>
      </c>
      <c r="C50" s="54">
        <f t="shared" si="2"/>
        <v>34644475.557773776</v>
      </c>
      <c r="D50" s="54">
        <f t="shared" si="3"/>
        <v>9763352.634925615</v>
      </c>
      <c r="E50" s="54">
        <f t="shared" si="4"/>
        <v>24881122.922848161</v>
      </c>
      <c r="F50" s="53">
        <f t="shared" si="5"/>
        <v>29359725.048960809</v>
      </c>
    </row>
    <row r="51" spans="2:8" x14ac:dyDescent="0.25">
      <c r="B51" s="1">
        <v>5</v>
      </c>
      <c r="C51" s="54">
        <f t="shared" si="2"/>
        <v>34644475.557773776</v>
      </c>
      <c r="D51" s="54">
        <f t="shared" si="3"/>
        <v>5284750.5088129453</v>
      </c>
      <c r="E51" s="54">
        <f t="shared" si="4"/>
        <v>29359725.048960831</v>
      </c>
      <c r="F51" s="53">
        <f>+F50-E51</f>
        <v>0</v>
      </c>
    </row>
    <row r="54" spans="2:8" x14ac:dyDescent="0.25">
      <c r="B54" s="39" t="s">
        <v>15</v>
      </c>
      <c r="C54" s="4">
        <f>+E39</f>
        <v>108339200</v>
      </c>
    </row>
    <row r="55" spans="2:8" x14ac:dyDescent="0.25">
      <c r="B55" s="39" t="s">
        <v>122</v>
      </c>
      <c r="C55" s="1">
        <f>+B51</f>
        <v>5</v>
      </c>
    </row>
    <row r="56" spans="2:8" x14ac:dyDescent="0.25">
      <c r="B56" s="39" t="s">
        <v>11</v>
      </c>
      <c r="C56" s="5">
        <v>0.18</v>
      </c>
      <c r="D56" t="s">
        <v>121</v>
      </c>
    </row>
  </sheetData>
  <mergeCells count="10">
    <mergeCell ref="C34:D34"/>
    <mergeCell ref="C35:D35"/>
    <mergeCell ref="C37:E37"/>
    <mergeCell ref="B44:F44"/>
    <mergeCell ref="B4:E4"/>
    <mergeCell ref="C18:D18"/>
    <mergeCell ref="C22:D22"/>
    <mergeCell ref="C27:D27"/>
    <mergeCell ref="C31:D31"/>
    <mergeCell ref="C32:D3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8" sqref="B8:E8"/>
    </sheetView>
  </sheetViews>
  <sheetFormatPr baseColWidth="10" defaultRowHeight="15" x14ac:dyDescent="0.25"/>
  <cols>
    <col min="3" max="3" width="14.140625" customWidth="1"/>
    <col min="4" max="4" width="12.85546875" customWidth="1"/>
    <col min="5" max="5" width="13.28515625" customWidth="1"/>
    <col min="6" max="6" width="15.5703125" bestFit="1" customWidth="1"/>
  </cols>
  <sheetData>
    <row r="2" spans="2:6" ht="15.75" thickBot="1" x14ac:dyDescent="0.3"/>
    <row r="3" spans="2:6" ht="15.75" thickBot="1" x14ac:dyDescent="0.3">
      <c r="B3" s="80" t="s">
        <v>106</v>
      </c>
      <c r="C3" s="81"/>
      <c r="D3" s="81"/>
      <c r="E3" s="81"/>
      <c r="F3" s="82"/>
    </row>
    <row r="4" spans="2:6" ht="45.75" thickBot="1" x14ac:dyDescent="0.3">
      <c r="B4" s="112" t="s">
        <v>123</v>
      </c>
      <c r="C4" s="113" t="s">
        <v>125</v>
      </c>
      <c r="D4" s="114" t="s">
        <v>126</v>
      </c>
      <c r="E4" s="115" t="s">
        <v>124</v>
      </c>
      <c r="F4" s="111" t="s">
        <v>127</v>
      </c>
    </row>
    <row r="5" spans="2:6" x14ac:dyDescent="0.25">
      <c r="B5" s="107" t="s">
        <v>102</v>
      </c>
      <c r="C5" s="2">
        <v>500</v>
      </c>
      <c r="D5" s="108">
        <f>+C5*12</f>
        <v>6000</v>
      </c>
      <c r="E5" s="109">
        <v>80000</v>
      </c>
      <c r="F5" s="110">
        <f>+D5*E5</f>
        <v>480000000</v>
      </c>
    </row>
    <row r="6" spans="2:6" x14ac:dyDescent="0.25">
      <c r="B6" s="57" t="s">
        <v>103</v>
      </c>
      <c r="C6" s="1">
        <v>600</v>
      </c>
      <c r="D6" s="6">
        <f t="shared" ref="D6:D7" si="0">+C6*12</f>
        <v>7200</v>
      </c>
      <c r="E6" s="55">
        <v>120000</v>
      </c>
      <c r="F6" s="110">
        <f t="shared" ref="F6:F7" si="1">+D6*E6</f>
        <v>864000000</v>
      </c>
    </row>
    <row r="7" spans="2:6" ht="15.75" thickBot="1" x14ac:dyDescent="0.3">
      <c r="B7" s="58" t="s">
        <v>104</v>
      </c>
      <c r="C7" s="59">
        <v>100</v>
      </c>
      <c r="D7" s="60">
        <f t="shared" si="0"/>
        <v>1200</v>
      </c>
      <c r="E7" s="61">
        <v>350000</v>
      </c>
      <c r="F7" s="110">
        <f t="shared" si="1"/>
        <v>420000000</v>
      </c>
    </row>
    <row r="8" spans="2:6" ht="16.5" thickBot="1" x14ac:dyDescent="0.3">
      <c r="B8" s="88" t="s">
        <v>105</v>
      </c>
      <c r="C8" s="89"/>
      <c r="D8" s="89"/>
      <c r="E8" s="90"/>
      <c r="F8" s="56">
        <f>SUM(F5:F7)</f>
        <v>1764000000</v>
      </c>
    </row>
  </sheetData>
  <mergeCells count="2">
    <mergeCell ref="B3:F3"/>
    <mergeCell ref="B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7"/>
  <sheetViews>
    <sheetView topLeftCell="C25" zoomScale="115" zoomScaleNormal="115" workbookViewId="0">
      <selection activeCell="E43" sqref="E43"/>
    </sheetView>
  </sheetViews>
  <sheetFormatPr baseColWidth="10" defaultRowHeight="15" x14ac:dyDescent="0.25"/>
  <cols>
    <col min="1" max="1" width="12.42578125" customWidth="1"/>
    <col min="2" max="2" width="15.140625" bestFit="1" customWidth="1"/>
    <col min="3" max="3" width="15.28515625" customWidth="1"/>
    <col min="4" max="4" width="28.140625" customWidth="1"/>
    <col min="5" max="5" width="16.5703125" customWidth="1"/>
    <col min="6" max="6" width="14.140625" customWidth="1"/>
    <col min="7" max="7" width="32.7109375" customWidth="1"/>
    <col min="8" max="8" width="13.42578125" customWidth="1"/>
    <col min="9" max="9" width="16.140625" customWidth="1"/>
    <col min="10" max="10" width="29.5703125" customWidth="1"/>
    <col min="11" max="11" width="18.140625" customWidth="1"/>
    <col min="12" max="12" width="13.85546875" customWidth="1"/>
    <col min="13" max="13" width="15" customWidth="1"/>
  </cols>
  <sheetData>
    <row r="1" spans="2:14" x14ac:dyDescent="0.25">
      <c r="D1">
        <v>2024</v>
      </c>
    </row>
    <row r="2" spans="2:14" x14ac:dyDescent="0.25">
      <c r="D2" t="s">
        <v>128</v>
      </c>
      <c r="E2" s="4">
        <v>1300000</v>
      </c>
      <c r="I2" s="3" t="s">
        <v>23</v>
      </c>
      <c r="J2" s="11">
        <v>8.3299999999999999E-2</v>
      </c>
      <c r="L2" t="s">
        <v>64</v>
      </c>
    </row>
    <row r="3" spans="2:14" x14ac:dyDescent="0.25">
      <c r="D3" t="s">
        <v>20</v>
      </c>
      <c r="E3" s="4">
        <v>162000</v>
      </c>
      <c r="I3" s="3" t="s">
        <v>24</v>
      </c>
      <c r="J3" s="11">
        <v>8.3299999999999999E-2</v>
      </c>
      <c r="L3" s="1" t="s">
        <v>65</v>
      </c>
      <c r="M3" s="35">
        <v>8.5000000000000006E-2</v>
      </c>
    </row>
    <row r="4" spans="2:14" ht="30" x14ac:dyDescent="0.25">
      <c r="D4" s="116" t="s">
        <v>129</v>
      </c>
      <c r="E4" s="4">
        <f>+E2*2</f>
        <v>2600000</v>
      </c>
      <c r="I4" s="3" t="s">
        <v>25</v>
      </c>
      <c r="J4" s="11">
        <v>4.1700000000000001E-2</v>
      </c>
      <c r="L4" s="1" t="s">
        <v>66</v>
      </c>
      <c r="M4" s="5">
        <v>0.12</v>
      </c>
    </row>
    <row r="5" spans="2:14" x14ac:dyDescent="0.25">
      <c r="I5" s="12"/>
      <c r="J5" s="11"/>
      <c r="L5" s="1" t="s">
        <v>67</v>
      </c>
      <c r="M5" s="5">
        <v>0.09</v>
      </c>
    </row>
    <row r="6" spans="2:14" ht="30" x14ac:dyDescent="0.25">
      <c r="I6" s="9" t="s">
        <v>26</v>
      </c>
      <c r="J6" s="10">
        <v>0.12</v>
      </c>
      <c r="L6" s="1"/>
      <c r="M6" s="36">
        <f>+M3+M4+M5</f>
        <v>0.29500000000000004</v>
      </c>
    </row>
    <row r="7" spans="2:14" ht="19.5" customHeight="1" thickBot="1" x14ac:dyDescent="0.3">
      <c r="B7" s="7"/>
    </row>
    <row r="8" spans="2:14" ht="19.5" thickBot="1" x14ac:dyDescent="0.35">
      <c r="B8" s="93" t="s">
        <v>18</v>
      </c>
      <c r="C8" s="94"/>
      <c r="D8" s="94"/>
      <c r="E8" s="94"/>
      <c r="F8" s="95"/>
    </row>
    <row r="9" spans="2:14" ht="18.75" customHeight="1" x14ac:dyDescent="0.25">
      <c r="B9" s="2" t="s">
        <v>16</v>
      </c>
      <c r="C9" s="2" t="s">
        <v>17</v>
      </c>
      <c r="D9" s="2" t="s">
        <v>19</v>
      </c>
      <c r="E9" s="13" t="s">
        <v>20</v>
      </c>
      <c r="F9" s="2" t="s">
        <v>21</v>
      </c>
      <c r="G9" s="117" t="s">
        <v>22</v>
      </c>
      <c r="H9" s="1" t="s">
        <v>23</v>
      </c>
      <c r="I9" s="1" t="s">
        <v>24</v>
      </c>
      <c r="J9" s="1" t="s">
        <v>25</v>
      </c>
      <c r="K9" s="8" t="s">
        <v>27</v>
      </c>
      <c r="L9" s="8" t="s">
        <v>63</v>
      </c>
      <c r="M9" s="1" t="s">
        <v>4</v>
      </c>
    </row>
    <row r="10" spans="2:14" ht="26.25" customHeight="1" x14ac:dyDescent="0.25">
      <c r="B10" s="45">
        <v>1</v>
      </c>
      <c r="C10" s="1" t="s">
        <v>81</v>
      </c>
      <c r="D10" s="4">
        <v>3500000</v>
      </c>
      <c r="E10" s="4">
        <f>IF(D10&lt;=$E$4,$E$3,0)</f>
        <v>0</v>
      </c>
      <c r="F10" s="4">
        <f t="shared" ref="F10:F21" si="0">+D10+E10</f>
        <v>3500000</v>
      </c>
      <c r="G10" s="37">
        <f>+F10*12</f>
        <v>42000000</v>
      </c>
      <c r="H10" s="4">
        <f>+G10*$J$2</f>
        <v>3498600</v>
      </c>
      <c r="I10" s="4">
        <f>+G10*J3</f>
        <v>3498600</v>
      </c>
      <c r="J10" s="4">
        <f>+G10*J4</f>
        <v>1751400</v>
      </c>
      <c r="K10" s="4">
        <f>+H10*J6</f>
        <v>419832</v>
      </c>
      <c r="L10" s="4">
        <f>+G10*M6</f>
        <v>12390000.000000002</v>
      </c>
      <c r="M10" s="4">
        <f>+G10+H10+I10+J10+K10+L10</f>
        <v>63558432</v>
      </c>
    </row>
    <row r="11" spans="2:14" ht="18.75" customHeight="1" x14ac:dyDescent="0.25">
      <c r="B11" s="45">
        <v>1</v>
      </c>
      <c r="C11" s="1" t="s">
        <v>82</v>
      </c>
      <c r="D11" s="4">
        <v>1500000</v>
      </c>
      <c r="E11" s="4">
        <f t="shared" ref="E11:E21" si="1">IF(D11&lt;=$E$4,$E$3,0)</f>
        <v>162000</v>
      </c>
      <c r="F11" s="4">
        <f t="shared" si="0"/>
        <v>1662000</v>
      </c>
      <c r="G11" s="37">
        <f t="shared" ref="G11:G22" si="2">+F11*12</f>
        <v>19944000</v>
      </c>
      <c r="H11" s="4">
        <f t="shared" ref="H11:H22" si="3">+G11*$J$2</f>
        <v>1661335.2</v>
      </c>
      <c r="I11" s="4">
        <f t="shared" ref="I10:I15" si="4">+G11*$J$3</f>
        <v>1661335.2</v>
      </c>
      <c r="J11" s="4">
        <f t="shared" ref="J10:J15" si="5">+G11*$J$4</f>
        <v>831664.8</v>
      </c>
      <c r="K11" s="4">
        <f t="shared" ref="K10:K21" si="6">+H11*$J$6</f>
        <v>199360.22399999999</v>
      </c>
      <c r="L11" s="4">
        <f t="shared" ref="L11:L22" si="7">+G11*$M$6</f>
        <v>5883480.0000000009</v>
      </c>
      <c r="M11" s="4">
        <f t="shared" ref="M11:M22" si="8">+G11+H11+I11+J11+K11+L11</f>
        <v>30181175.423999999</v>
      </c>
      <c r="N11" s="1"/>
    </row>
    <row r="12" spans="2:14" x14ac:dyDescent="0.25">
      <c r="B12" s="45">
        <v>1</v>
      </c>
      <c r="C12" s="1" t="s">
        <v>82</v>
      </c>
      <c r="D12" s="4">
        <v>1500000</v>
      </c>
      <c r="E12" s="4">
        <f t="shared" si="1"/>
        <v>162000</v>
      </c>
      <c r="F12" s="4">
        <f t="shared" si="0"/>
        <v>1662000</v>
      </c>
      <c r="G12" s="37">
        <f t="shared" si="2"/>
        <v>19944000</v>
      </c>
      <c r="H12" s="4">
        <f t="shared" si="3"/>
        <v>1661335.2</v>
      </c>
      <c r="I12" s="4">
        <f t="shared" si="4"/>
        <v>1661335.2</v>
      </c>
      <c r="J12" s="4">
        <f t="shared" si="5"/>
        <v>831664.8</v>
      </c>
      <c r="K12" s="4">
        <f t="shared" si="6"/>
        <v>199360.22399999999</v>
      </c>
      <c r="L12" s="4">
        <f t="shared" si="7"/>
        <v>5883480.0000000009</v>
      </c>
      <c r="M12" s="4">
        <f t="shared" si="8"/>
        <v>30181175.423999999</v>
      </c>
      <c r="N12" s="4"/>
    </row>
    <row r="13" spans="2:14" x14ac:dyDescent="0.25">
      <c r="B13" s="45">
        <v>1</v>
      </c>
      <c r="C13" s="1" t="s">
        <v>83</v>
      </c>
      <c r="D13" s="4">
        <v>1500000</v>
      </c>
      <c r="E13" s="4">
        <f t="shared" si="1"/>
        <v>162000</v>
      </c>
      <c r="F13" s="4">
        <f t="shared" si="0"/>
        <v>1662000</v>
      </c>
      <c r="G13" s="37">
        <f t="shared" si="2"/>
        <v>19944000</v>
      </c>
      <c r="H13" s="4">
        <f t="shared" si="3"/>
        <v>1661335.2</v>
      </c>
      <c r="I13" s="4">
        <f t="shared" si="4"/>
        <v>1661335.2</v>
      </c>
      <c r="J13" s="4">
        <f t="shared" si="5"/>
        <v>831664.8</v>
      </c>
      <c r="K13" s="4">
        <f t="shared" si="6"/>
        <v>199360.22399999999</v>
      </c>
      <c r="L13" s="4">
        <f t="shared" si="7"/>
        <v>5883480.0000000009</v>
      </c>
      <c r="M13" s="4">
        <f t="shared" si="8"/>
        <v>30181175.423999999</v>
      </c>
      <c r="N13" s="4"/>
    </row>
    <row r="14" spans="2:14" x14ac:dyDescent="0.25">
      <c r="B14" s="45">
        <v>1</v>
      </c>
      <c r="C14" s="1" t="s">
        <v>84</v>
      </c>
      <c r="D14" s="4">
        <v>2000000</v>
      </c>
      <c r="E14" s="4">
        <f t="shared" si="1"/>
        <v>162000</v>
      </c>
      <c r="F14" s="4">
        <f t="shared" si="0"/>
        <v>2162000</v>
      </c>
      <c r="G14" s="37">
        <f t="shared" si="2"/>
        <v>25944000</v>
      </c>
      <c r="H14" s="4">
        <f t="shared" si="3"/>
        <v>2161135.2000000002</v>
      </c>
      <c r="I14" s="4">
        <f t="shared" si="4"/>
        <v>2161135.2000000002</v>
      </c>
      <c r="J14" s="4">
        <f t="shared" si="5"/>
        <v>1081864.8</v>
      </c>
      <c r="K14" s="4">
        <f t="shared" si="6"/>
        <v>259336.22400000002</v>
      </c>
      <c r="L14" s="4">
        <f t="shared" si="7"/>
        <v>7653480.0000000009</v>
      </c>
      <c r="M14" s="4">
        <f t="shared" si="8"/>
        <v>39260951.424000002</v>
      </c>
      <c r="N14" s="4"/>
    </row>
    <row r="15" spans="2:14" x14ac:dyDescent="0.25">
      <c r="B15" s="45">
        <v>1</v>
      </c>
      <c r="C15" s="1" t="s">
        <v>84</v>
      </c>
      <c r="D15" s="4">
        <v>2000000</v>
      </c>
      <c r="E15" s="4">
        <f t="shared" si="1"/>
        <v>162000</v>
      </c>
      <c r="F15" s="4">
        <f t="shared" ref="F15" si="9">+D15+E15</f>
        <v>2162000</v>
      </c>
      <c r="G15" s="37">
        <f t="shared" si="2"/>
        <v>25944000</v>
      </c>
      <c r="H15" s="4">
        <f t="shared" si="3"/>
        <v>2161135.2000000002</v>
      </c>
      <c r="I15" s="4">
        <f t="shared" si="4"/>
        <v>2161135.2000000002</v>
      </c>
      <c r="J15" s="4">
        <f t="shared" si="5"/>
        <v>1081864.8</v>
      </c>
      <c r="K15" s="4">
        <f t="shared" si="6"/>
        <v>259336.22400000002</v>
      </c>
      <c r="L15" s="4">
        <f t="shared" si="7"/>
        <v>7653480.0000000009</v>
      </c>
      <c r="M15" s="4">
        <f t="shared" si="8"/>
        <v>39260951.424000002</v>
      </c>
      <c r="N15" s="4"/>
    </row>
    <row r="16" spans="2:14" x14ac:dyDescent="0.25">
      <c r="B16" s="45">
        <v>1</v>
      </c>
      <c r="C16" s="1" t="s">
        <v>85</v>
      </c>
      <c r="D16" s="4">
        <v>1300000</v>
      </c>
      <c r="E16" s="4">
        <f t="shared" si="1"/>
        <v>162000</v>
      </c>
      <c r="F16" s="4">
        <f t="shared" si="0"/>
        <v>1462000</v>
      </c>
      <c r="G16" s="37">
        <f t="shared" si="2"/>
        <v>17544000</v>
      </c>
      <c r="H16" s="4">
        <f t="shared" si="3"/>
        <v>1461415.2</v>
      </c>
      <c r="I16" s="4">
        <f t="shared" ref="I16:I21" si="10">+G16*$J$3</f>
        <v>1461415.2</v>
      </c>
      <c r="J16" s="4">
        <f t="shared" ref="J16:J21" si="11">+G16*$J$4</f>
        <v>731584.8</v>
      </c>
      <c r="K16" s="4">
        <f t="shared" si="6"/>
        <v>175369.82399999999</v>
      </c>
      <c r="L16" s="4">
        <f t="shared" si="7"/>
        <v>5175480.0000000009</v>
      </c>
      <c r="M16" s="4">
        <f t="shared" si="8"/>
        <v>26549265.024</v>
      </c>
      <c r="N16" s="4"/>
    </row>
    <row r="17" spans="2:14" x14ac:dyDescent="0.25">
      <c r="B17" s="45">
        <v>1</v>
      </c>
      <c r="C17" s="1" t="s">
        <v>85</v>
      </c>
      <c r="D17" s="4">
        <v>1300000</v>
      </c>
      <c r="E17" s="4">
        <f t="shared" si="1"/>
        <v>162000</v>
      </c>
      <c r="F17" s="4">
        <f t="shared" si="0"/>
        <v>1462000</v>
      </c>
      <c r="G17" s="37">
        <f t="shared" si="2"/>
        <v>17544000</v>
      </c>
      <c r="H17" s="4">
        <f t="shared" si="3"/>
        <v>1461415.2</v>
      </c>
      <c r="I17" s="4">
        <f t="shared" si="10"/>
        <v>1461415.2</v>
      </c>
      <c r="J17" s="4">
        <f t="shared" si="11"/>
        <v>731584.8</v>
      </c>
      <c r="K17" s="4">
        <f t="shared" si="6"/>
        <v>175369.82399999999</v>
      </c>
      <c r="L17" s="4">
        <f t="shared" si="7"/>
        <v>5175480.0000000009</v>
      </c>
      <c r="M17" s="4">
        <f t="shared" si="8"/>
        <v>26549265.024</v>
      </c>
      <c r="N17" s="4"/>
    </row>
    <row r="18" spans="2:14" x14ac:dyDescent="0.25">
      <c r="B18" s="45">
        <v>1</v>
      </c>
      <c r="C18" s="1" t="s">
        <v>85</v>
      </c>
      <c r="D18" s="4">
        <v>1300000</v>
      </c>
      <c r="E18" s="4">
        <f t="shared" si="1"/>
        <v>162000</v>
      </c>
      <c r="F18" s="4">
        <f t="shared" si="0"/>
        <v>1462000</v>
      </c>
      <c r="G18" s="37">
        <f t="shared" si="2"/>
        <v>17544000</v>
      </c>
      <c r="H18" s="4">
        <f t="shared" si="3"/>
        <v>1461415.2</v>
      </c>
      <c r="I18" s="4">
        <f t="shared" si="10"/>
        <v>1461415.2</v>
      </c>
      <c r="J18" s="4">
        <f t="shared" si="11"/>
        <v>731584.8</v>
      </c>
      <c r="K18" s="4">
        <f t="shared" si="6"/>
        <v>175369.82399999999</v>
      </c>
      <c r="L18" s="4">
        <f t="shared" si="7"/>
        <v>5175480.0000000009</v>
      </c>
      <c r="M18" s="4">
        <f t="shared" si="8"/>
        <v>26549265.024</v>
      </c>
      <c r="N18" s="4"/>
    </row>
    <row r="19" spans="2:14" x14ac:dyDescent="0.25">
      <c r="B19" s="45">
        <v>1</v>
      </c>
      <c r="C19" s="1" t="s">
        <v>85</v>
      </c>
      <c r="D19" s="4">
        <v>1300000</v>
      </c>
      <c r="E19" s="4">
        <f t="shared" si="1"/>
        <v>162000</v>
      </c>
      <c r="F19" s="4">
        <f t="shared" si="0"/>
        <v>1462000</v>
      </c>
      <c r="G19" s="37">
        <f t="shared" si="2"/>
        <v>17544000</v>
      </c>
      <c r="H19" s="4">
        <f t="shared" si="3"/>
        <v>1461415.2</v>
      </c>
      <c r="I19" s="4">
        <f t="shared" si="10"/>
        <v>1461415.2</v>
      </c>
      <c r="J19" s="4">
        <f t="shared" si="11"/>
        <v>731584.8</v>
      </c>
      <c r="K19" s="4">
        <f t="shared" si="6"/>
        <v>175369.82399999999</v>
      </c>
      <c r="L19" s="4">
        <f t="shared" si="7"/>
        <v>5175480.0000000009</v>
      </c>
      <c r="M19" s="4">
        <f t="shared" si="8"/>
        <v>26549265.024</v>
      </c>
      <c r="N19" s="4"/>
    </row>
    <row r="20" spans="2:14" x14ac:dyDescent="0.25">
      <c r="B20" s="45">
        <v>1</v>
      </c>
      <c r="C20" s="1" t="s">
        <v>86</v>
      </c>
      <c r="D20" s="4">
        <v>2700000</v>
      </c>
      <c r="E20" s="4">
        <f t="shared" si="1"/>
        <v>0</v>
      </c>
      <c r="F20" s="4">
        <f t="shared" si="0"/>
        <v>2700000</v>
      </c>
      <c r="G20" s="37">
        <f t="shared" si="2"/>
        <v>32400000</v>
      </c>
      <c r="H20" s="4">
        <f t="shared" si="3"/>
        <v>2698920</v>
      </c>
      <c r="I20" s="4">
        <f t="shared" si="10"/>
        <v>2698920</v>
      </c>
      <c r="J20" s="4">
        <f t="shared" si="11"/>
        <v>1351080</v>
      </c>
      <c r="K20" s="4">
        <f t="shared" si="6"/>
        <v>323870.39999999997</v>
      </c>
      <c r="L20" s="4">
        <f t="shared" si="7"/>
        <v>9558000.0000000019</v>
      </c>
      <c r="M20" s="4">
        <f t="shared" si="8"/>
        <v>49030790.399999999</v>
      </c>
      <c r="N20" s="4"/>
    </row>
    <row r="21" spans="2:14" x14ac:dyDescent="0.25">
      <c r="B21" s="45">
        <v>1</v>
      </c>
      <c r="C21" s="1" t="s">
        <v>86</v>
      </c>
      <c r="D21" s="4">
        <v>2700000</v>
      </c>
      <c r="E21" s="4">
        <f t="shared" si="1"/>
        <v>0</v>
      </c>
      <c r="F21" s="4">
        <f t="shared" si="0"/>
        <v>2700000</v>
      </c>
      <c r="G21" s="37">
        <f>+F21*12</f>
        <v>32400000</v>
      </c>
      <c r="H21" s="4">
        <f t="shared" si="3"/>
        <v>2698920</v>
      </c>
      <c r="I21" s="4">
        <f t="shared" si="10"/>
        <v>2698920</v>
      </c>
      <c r="J21" s="4">
        <f t="shared" si="11"/>
        <v>1351080</v>
      </c>
      <c r="K21" s="4">
        <f t="shared" si="6"/>
        <v>323870.39999999997</v>
      </c>
      <c r="L21" s="4">
        <f t="shared" si="7"/>
        <v>9558000.0000000019</v>
      </c>
      <c r="M21" s="4">
        <f t="shared" si="8"/>
        <v>49030790.399999999</v>
      </c>
      <c r="N21" s="4"/>
    </row>
    <row r="22" spans="2:14" x14ac:dyDescent="0.25">
      <c r="B22" s="45"/>
      <c r="C22" s="1" t="s">
        <v>28</v>
      </c>
      <c r="D22" s="4">
        <f t="shared" ref="D22:K22" si="12">SUM(D10:D21)</f>
        <v>22600000</v>
      </c>
      <c r="E22" s="4">
        <f t="shared" si="12"/>
        <v>1458000</v>
      </c>
      <c r="F22" s="4">
        <f t="shared" si="12"/>
        <v>24058000</v>
      </c>
      <c r="G22" s="37">
        <f t="shared" si="2"/>
        <v>288696000</v>
      </c>
      <c r="H22" s="4">
        <f t="shared" si="3"/>
        <v>24048376.800000001</v>
      </c>
      <c r="I22" s="4">
        <f t="shared" si="12"/>
        <v>24048376.799999997</v>
      </c>
      <c r="J22" s="4">
        <f t="shared" si="12"/>
        <v>12038623.199999999</v>
      </c>
      <c r="K22" s="4">
        <f t="shared" si="12"/>
        <v>2885805.2159999995</v>
      </c>
      <c r="L22" s="4">
        <f t="shared" si="7"/>
        <v>85165320.000000015</v>
      </c>
      <c r="M22" s="4">
        <f t="shared" si="8"/>
        <v>436882502.01600003</v>
      </c>
      <c r="N22" s="4"/>
    </row>
    <row r="23" spans="2:14" x14ac:dyDescent="0.25">
      <c r="B23" s="7"/>
      <c r="I23" s="33"/>
      <c r="J23" s="34"/>
    </row>
    <row r="24" spans="2:14" x14ac:dyDescent="0.25">
      <c r="B24" s="7"/>
      <c r="I24" s="33"/>
      <c r="J24" s="34"/>
    </row>
    <row r="25" spans="2:14" x14ac:dyDescent="0.25">
      <c r="C25" s="38"/>
      <c r="D25" s="38"/>
      <c r="E25" s="38"/>
      <c r="F25" s="38"/>
      <c r="G25" s="38"/>
    </row>
    <row r="26" spans="2:14" x14ac:dyDescent="0.25">
      <c r="C26" s="40"/>
      <c r="D26" s="40"/>
      <c r="E26" s="40"/>
      <c r="F26" s="41"/>
      <c r="G26" s="40"/>
      <c r="H26" s="40"/>
      <c r="I26" s="40"/>
      <c r="J26" s="40"/>
      <c r="K26" s="40"/>
      <c r="L26" s="41"/>
      <c r="M26" s="41"/>
    </row>
    <row r="27" spans="2:14" x14ac:dyDescent="0.25">
      <c r="C27" s="40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47"/>
    </row>
    <row r="28" spans="2:14" x14ac:dyDescent="0.25">
      <c r="C28" s="40"/>
      <c r="D28" s="40"/>
      <c r="E28" s="20"/>
      <c r="F28" s="20"/>
      <c r="G28" s="20"/>
      <c r="H28" s="20"/>
      <c r="I28" s="20"/>
      <c r="J28" s="20"/>
      <c r="K28" s="20"/>
      <c r="L28" s="20"/>
      <c r="M28" s="20"/>
    </row>
    <row r="29" spans="2:14" x14ac:dyDescent="0.25">
      <c r="C29" s="40"/>
      <c r="D29" s="40"/>
      <c r="E29" s="20"/>
      <c r="F29" s="20"/>
      <c r="G29" s="20"/>
      <c r="H29" s="20"/>
      <c r="I29" s="20"/>
      <c r="J29" s="20"/>
      <c r="K29" s="20"/>
      <c r="L29" s="20"/>
      <c r="M29" s="20"/>
    </row>
    <row r="30" spans="2:14" ht="18.75" x14ac:dyDescent="0.3">
      <c r="C30" s="40"/>
      <c r="D30" s="41"/>
      <c r="E30" s="20"/>
      <c r="F30" s="20"/>
      <c r="G30" s="96" t="s">
        <v>46</v>
      </c>
      <c r="H30" s="97"/>
      <c r="I30" s="20"/>
      <c r="J30" s="20"/>
      <c r="K30" s="20"/>
      <c r="L30" s="20"/>
      <c r="M30" s="20"/>
    </row>
    <row r="31" spans="2:14" x14ac:dyDescent="0.25">
      <c r="C31" s="40"/>
      <c r="D31" s="40"/>
      <c r="E31" s="20"/>
      <c r="F31" s="20"/>
      <c r="G31" s="65" t="s">
        <v>130</v>
      </c>
      <c r="H31" s="66">
        <v>0.35</v>
      </c>
      <c r="I31" s="20"/>
      <c r="J31" s="20"/>
      <c r="K31" s="20"/>
      <c r="L31" s="20"/>
      <c r="M31" s="20"/>
    </row>
    <row r="32" spans="2:14" x14ac:dyDescent="0.25">
      <c r="G32" s="65" t="s">
        <v>109</v>
      </c>
      <c r="H32" s="66">
        <v>0.15</v>
      </c>
    </row>
    <row r="33" spans="3:12" x14ac:dyDescent="0.25">
      <c r="G33" s="65" t="s">
        <v>110</v>
      </c>
      <c r="H33" s="66">
        <v>0.04</v>
      </c>
      <c r="I33" s="77"/>
      <c r="J33" s="77"/>
      <c r="K33" s="77"/>
      <c r="L33" s="77"/>
    </row>
    <row r="34" spans="3:12" ht="15.75" x14ac:dyDescent="0.25">
      <c r="C34" s="83" t="s">
        <v>29</v>
      </c>
      <c r="D34" s="83"/>
      <c r="E34" s="83"/>
      <c r="F34" s="83"/>
      <c r="I34" s="74"/>
      <c r="J34" s="74"/>
      <c r="K34" s="74"/>
      <c r="L34" s="74"/>
    </row>
    <row r="35" spans="3:12" x14ac:dyDescent="0.25">
      <c r="C35" s="1" t="s">
        <v>30</v>
      </c>
      <c r="D35" s="1" t="s">
        <v>31</v>
      </c>
      <c r="E35" s="1" t="s">
        <v>32</v>
      </c>
      <c r="F35" s="1" t="s">
        <v>22</v>
      </c>
      <c r="I35" s="74"/>
      <c r="J35" s="74"/>
      <c r="K35" s="74"/>
      <c r="L35" s="74"/>
    </row>
    <row r="36" spans="3:12" x14ac:dyDescent="0.25">
      <c r="C36" s="3">
        <v>1</v>
      </c>
      <c r="D36" s="1" t="s">
        <v>34</v>
      </c>
      <c r="E36" s="4">
        <v>1500000</v>
      </c>
      <c r="F36" s="4"/>
      <c r="I36" s="74"/>
      <c r="J36" s="74"/>
      <c r="K36" s="74"/>
      <c r="L36" s="74"/>
    </row>
    <row r="37" spans="3:12" x14ac:dyDescent="0.25">
      <c r="C37" s="3">
        <v>2</v>
      </c>
      <c r="D37" s="1" t="s">
        <v>35</v>
      </c>
      <c r="E37" s="4">
        <v>400000</v>
      </c>
      <c r="F37" s="4"/>
      <c r="I37" s="74"/>
      <c r="J37" s="74"/>
      <c r="K37" s="74"/>
      <c r="L37" s="74"/>
    </row>
    <row r="38" spans="3:12" x14ac:dyDescent="0.25">
      <c r="C38" s="3">
        <v>3</v>
      </c>
      <c r="D38" s="1" t="s">
        <v>36</v>
      </c>
      <c r="E38" s="4">
        <v>500000</v>
      </c>
      <c r="F38" s="4"/>
      <c r="I38" s="74"/>
      <c r="J38" s="74"/>
      <c r="K38" s="74"/>
      <c r="L38" s="74"/>
    </row>
    <row r="39" spans="3:12" x14ac:dyDescent="0.25">
      <c r="C39" s="19">
        <v>4</v>
      </c>
      <c r="D39" s="1" t="s">
        <v>68</v>
      </c>
      <c r="E39" s="4">
        <v>10000000</v>
      </c>
      <c r="F39" s="4"/>
      <c r="I39" s="74"/>
      <c r="J39" s="74"/>
      <c r="K39" s="74"/>
      <c r="L39" s="74"/>
    </row>
    <row r="40" spans="3:12" x14ac:dyDescent="0.25">
      <c r="C40" s="19">
        <v>5</v>
      </c>
      <c r="D40" s="1" t="s">
        <v>69</v>
      </c>
      <c r="E40" s="4">
        <v>1500000</v>
      </c>
      <c r="F40" s="4"/>
    </row>
    <row r="41" spans="3:12" x14ac:dyDescent="0.25">
      <c r="C41" s="19">
        <v>6</v>
      </c>
      <c r="D41" s="1" t="s">
        <v>37</v>
      </c>
      <c r="E41" s="4">
        <v>3000000</v>
      </c>
      <c r="F41" s="4"/>
    </row>
    <row r="42" spans="3:12" x14ac:dyDescent="0.25">
      <c r="C42" s="42">
        <v>5</v>
      </c>
      <c r="D42" s="1" t="s">
        <v>38</v>
      </c>
      <c r="E42" s="4">
        <v>2500000</v>
      </c>
      <c r="F42" s="4"/>
    </row>
    <row r="43" spans="3:12" ht="15.75" thickBot="1" x14ac:dyDescent="0.3">
      <c r="D43" s="1" t="s">
        <v>4</v>
      </c>
      <c r="E43" s="37">
        <f>SUM(E36:E42)</f>
        <v>19400000</v>
      </c>
      <c r="F43" s="4">
        <f>SUM(F36:F42)</f>
        <v>0</v>
      </c>
    </row>
    <row r="44" spans="3:12" ht="18.75" x14ac:dyDescent="0.3">
      <c r="G44" s="91" t="s">
        <v>115</v>
      </c>
      <c r="H44" s="92"/>
    </row>
    <row r="45" spans="3:12" x14ac:dyDescent="0.25">
      <c r="G45" s="1" t="s">
        <v>40</v>
      </c>
      <c r="H45" s="5">
        <v>0.08</v>
      </c>
      <c r="J45" s="74"/>
      <c r="K45" s="74"/>
    </row>
    <row r="46" spans="3:12" ht="18.75" x14ac:dyDescent="0.3">
      <c r="G46" s="1" t="s">
        <v>41</v>
      </c>
      <c r="H46" s="5">
        <v>0.35</v>
      </c>
      <c r="J46" s="98"/>
      <c r="K46" s="98"/>
    </row>
    <row r="47" spans="3:12" x14ac:dyDescent="0.25">
      <c r="G47" s="1" t="s">
        <v>42</v>
      </c>
      <c r="H47" s="5">
        <v>0.04</v>
      </c>
      <c r="J47" s="74"/>
      <c r="K47" s="75"/>
    </row>
    <row r="48" spans="3:12" x14ac:dyDescent="0.25">
      <c r="G48" s="1" t="s">
        <v>44</v>
      </c>
      <c r="H48" s="6">
        <v>1500</v>
      </c>
      <c r="J48" s="74"/>
      <c r="K48" s="75"/>
    </row>
    <row r="49" spans="7:11" x14ac:dyDescent="0.25">
      <c r="G49" s="1"/>
      <c r="H49" s="6"/>
      <c r="J49" s="74"/>
      <c r="K49" s="75"/>
    </row>
    <row r="50" spans="7:11" x14ac:dyDescent="0.25">
      <c r="G50" s="1" t="s">
        <v>45</v>
      </c>
      <c r="H50" s="67">
        <v>360000</v>
      </c>
      <c r="J50" s="74"/>
      <c r="K50" s="75"/>
    </row>
    <row r="51" spans="7:11" x14ac:dyDescent="0.25">
      <c r="G51" s="68" t="s">
        <v>114</v>
      </c>
      <c r="H51" s="69">
        <v>0.12</v>
      </c>
      <c r="J51" s="74"/>
      <c r="K51" s="75"/>
    </row>
    <row r="52" spans="7:11" x14ac:dyDescent="0.25">
      <c r="J52" s="74"/>
      <c r="K52" s="75"/>
    </row>
    <row r="53" spans="7:11" ht="33" customHeight="1" x14ac:dyDescent="0.25">
      <c r="J53" s="76"/>
      <c r="K53" s="75"/>
    </row>
    <row r="54" spans="7:11" x14ac:dyDescent="0.25">
      <c r="J54" s="74"/>
      <c r="K54" s="75"/>
    </row>
    <row r="55" spans="7:11" x14ac:dyDescent="0.25">
      <c r="J55" s="74"/>
      <c r="K55" s="75"/>
    </row>
    <row r="56" spans="7:11" x14ac:dyDescent="0.25">
      <c r="J56" s="74"/>
      <c r="K56" s="74"/>
    </row>
    <row r="57" spans="7:11" x14ac:dyDescent="0.25">
      <c r="J57" s="74"/>
      <c r="K57" s="74"/>
    </row>
  </sheetData>
  <mergeCells count="5">
    <mergeCell ref="G44:H44"/>
    <mergeCell ref="C34:F34"/>
    <mergeCell ref="B8:F8"/>
    <mergeCell ref="G30:H30"/>
    <mergeCell ref="J46:K4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zoomScale="120" zoomScaleNormal="120" workbookViewId="0">
      <selection activeCell="K12" sqref="K12"/>
    </sheetView>
  </sheetViews>
  <sheetFormatPr baseColWidth="10" defaultRowHeight="15" x14ac:dyDescent="0.25"/>
  <cols>
    <col min="2" max="2" width="34.42578125" customWidth="1"/>
    <col min="3" max="3" width="16.28515625" customWidth="1"/>
    <col min="4" max="4" width="16.5703125" customWidth="1"/>
    <col min="5" max="5" width="14.7109375" bestFit="1" customWidth="1"/>
    <col min="6" max="6" width="16.28515625" customWidth="1"/>
    <col min="7" max="7" width="15.28515625" customWidth="1"/>
    <col min="8" max="8" width="15.42578125" customWidth="1"/>
  </cols>
  <sheetData>
    <row r="1" spans="2:8" ht="15.75" thickBot="1" x14ac:dyDescent="0.3"/>
    <row r="2" spans="2:8" ht="19.5" thickBot="1" x14ac:dyDescent="0.35">
      <c r="B2" s="93" t="s">
        <v>39</v>
      </c>
      <c r="C2" s="94"/>
      <c r="D2" s="94"/>
      <c r="E2" s="94"/>
      <c r="F2" s="94"/>
      <c r="G2" s="94"/>
      <c r="H2" s="95"/>
    </row>
    <row r="3" spans="2:8" ht="15.75" x14ac:dyDescent="0.25">
      <c r="B3" s="2" t="s">
        <v>31</v>
      </c>
      <c r="C3" s="64">
        <v>0</v>
      </c>
      <c r="D3" s="64">
        <v>1</v>
      </c>
      <c r="E3" s="64">
        <v>2</v>
      </c>
      <c r="F3" s="64">
        <v>3</v>
      </c>
      <c r="G3" s="64">
        <v>4</v>
      </c>
      <c r="H3" s="64">
        <v>5</v>
      </c>
    </row>
    <row r="4" spans="2:8" x14ac:dyDescent="0.25">
      <c r="B4" s="1" t="s">
        <v>43</v>
      </c>
      <c r="C4" s="1"/>
      <c r="D4" s="37">
        <f>+'Ingresos x Ventas'!F8</f>
        <v>1764000000</v>
      </c>
      <c r="E4" s="37">
        <f>+D4*(1+'Costos Y Gastos'!$H$45)</f>
        <v>1905120000.0000002</v>
      </c>
      <c r="F4" s="37">
        <f>+E4*(1+'Costos Y Gastos'!$H$45)</f>
        <v>2057529600.0000005</v>
      </c>
      <c r="G4" s="37">
        <f>+F4*(1+'Costos Y Gastos'!$H$45)</f>
        <v>2222131968.0000005</v>
      </c>
      <c r="H4" s="37">
        <f>+G4*(1+'Costos Y Gastos'!$H$45)</f>
        <v>2399902525.4400005</v>
      </c>
    </row>
    <row r="5" spans="2:8" x14ac:dyDescent="0.25">
      <c r="B5" s="1" t="s">
        <v>47</v>
      </c>
      <c r="C5" s="1"/>
      <c r="D5" s="4">
        <f>D6+D7+D8</f>
        <v>952560000</v>
      </c>
      <c r="E5" s="4">
        <f t="shared" ref="E5:H5" si="0">E6+E7+E8</f>
        <v>1028764800</v>
      </c>
      <c r="F5" s="4">
        <f t="shared" si="0"/>
        <v>1111065984.0000002</v>
      </c>
      <c r="G5" s="4">
        <f t="shared" si="0"/>
        <v>1199951262.72</v>
      </c>
      <c r="H5" s="4">
        <f t="shared" si="0"/>
        <v>1295947363.7376003</v>
      </c>
    </row>
    <row r="6" spans="2:8" x14ac:dyDescent="0.25">
      <c r="B6" s="117" t="s">
        <v>111</v>
      </c>
      <c r="C6" s="1"/>
      <c r="D6" s="4">
        <f>+D4*'Costos Y Gastos'!$H$31</f>
        <v>617400000</v>
      </c>
      <c r="E6" s="4">
        <f>+E4*'Costos Y Gastos'!$H$31</f>
        <v>666792000</v>
      </c>
      <c r="F6" s="4">
        <f>+F4*'Costos Y Gastos'!$H$31</f>
        <v>720135360.00000012</v>
      </c>
      <c r="G6" s="4">
        <f>+G4*'Costos Y Gastos'!$H$31</f>
        <v>777746188.80000007</v>
      </c>
      <c r="H6" s="4">
        <f>+H4*'Costos Y Gastos'!$H$31</f>
        <v>839965883.90400016</v>
      </c>
    </row>
    <row r="7" spans="2:8" x14ac:dyDescent="0.25">
      <c r="B7" s="117" t="s">
        <v>113</v>
      </c>
      <c r="C7" s="1"/>
      <c r="D7" s="4">
        <f>+D4*'Costos Y Gastos'!$H$32</f>
        <v>264600000</v>
      </c>
      <c r="E7" s="4">
        <f>+E4*'Costos Y Gastos'!$H$32</f>
        <v>285768000</v>
      </c>
      <c r="F7" s="4">
        <f>+F4*'Costos Y Gastos'!$H$32</f>
        <v>308629440.00000006</v>
      </c>
      <c r="G7" s="4">
        <f>+G4*'Costos Y Gastos'!$H$32</f>
        <v>333319795.20000005</v>
      </c>
      <c r="H7" s="4">
        <f>+H4*'Costos Y Gastos'!$H$32</f>
        <v>359985378.81600004</v>
      </c>
    </row>
    <row r="8" spans="2:8" x14ac:dyDescent="0.25">
      <c r="B8" s="117" t="s">
        <v>112</v>
      </c>
      <c r="C8" s="1"/>
      <c r="D8" s="4">
        <f>+D4*'Costos Y Gastos'!$H$33</f>
        <v>70560000</v>
      </c>
      <c r="E8" s="4">
        <f>+E4*'Costos Y Gastos'!$H$33</f>
        <v>76204800.000000015</v>
      </c>
      <c r="F8" s="4">
        <f>+F4*'Costos Y Gastos'!$H$33</f>
        <v>82301184.000000015</v>
      </c>
      <c r="G8" s="4">
        <f>+G4*'Costos Y Gastos'!$H$33</f>
        <v>88885278.720000014</v>
      </c>
      <c r="H8" s="4">
        <f>+H4*'Costos Y Gastos'!$H$33</f>
        <v>95996101.01760003</v>
      </c>
    </row>
    <row r="9" spans="2:8" x14ac:dyDescent="0.25">
      <c r="B9" s="1" t="s">
        <v>48</v>
      </c>
      <c r="C9" s="1"/>
      <c r="D9" s="4">
        <f>+D4-D5</f>
        <v>811440000</v>
      </c>
      <c r="E9" s="4">
        <f t="shared" ref="E9:H9" si="1">+E4-E5</f>
        <v>876355200.00000024</v>
      </c>
      <c r="F9" s="4">
        <f t="shared" si="1"/>
        <v>946463616.00000024</v>
      </c>
      <c r="G9" s="4">
        <f t="shared" si="1"/>
        <v>1022180705.2800004</v>
      </c>
      <c r="H9" s="4">
        <f t="shared" si="1"/>
        <v>1103955161.7024002</v>
      </c>
    </row>
    <row r="10" spans="2:8" x14ac:dyDescent="0.25">
      <c r="B10" s="1" t="s">
        <v>49</v>
      </c>
      <c r="C10" s="1"/>
      <c r="D10" s="4">
        <f>+'Costos Y Gastos'!$M$22</f>
        <v>436882502.01600003</v>
      </c>
      <c r="E10" s="4">
        <f>+D10*(1+'Costos Y Gastos'!$H$45)</f>
        <v>471833102.17728007</v>
      </c>
      <c r="F10" s="4">
        <f>+E10*(1+'Costos Y Gastos'!$H$45)</f>
        <v>509579750.35146248</v>
      </c>
      <c r="G10" s="4">
        <f>+F10*(1+'Costos Y Gastos'!$H$45)</f>
        <v>550346130.37957954</v>
      </c>
      <c r="H10" s="4">
        <f>+G10*(1+'Costos Y Gastos'!$H$45)</f>
        <v>594373820.80994594</v>
      </c>
    </row>
    <row r="11" spans="2:8" x14ac:dyDescent="0.25">
      <c r="B11" s="1" t="s">
        <v>50</v>
      </c>
      <c r="C11" s="1"/>
      <c r="D11" s="4">
        <f>+'Costos Y Gastos'!E43</f>
        <v>19400000</v>
      </c>
      <c r="E11" s="4">
        <f>+D11*(1+'Costos Y Gastos'!$H$45)</f>
        <v>20952000</v>
      </c>
      <c r="F11" s="4">
        <f>+E11*(1+'Costos Y Gastos'!$H$45)</f>
        <v>22628160</v>
      </c>
      <c r="G11" s="4">
        <f>+F11*(1+'Costos Y Gastos'!$H$45)</f>
        <v>24438412.800000001</v>
      </c>
      <c r="H11" s="4">
        <f>+G11*(1+'Costos Y Gastos'!$H$45)</f>
        <v>26393485.824000001</v>
      </c>
    </row>
    <row r="12" spans="2:8" x14ac:dyDescent="0.25">
      <c r="B12" s="1" t="s">
        <v>51</v>
      </c>
      <c r="C12" s="1"/>
      <c r="D12" s="6">
        <f>+'PLAN DE INVERSIONES'!$E$34</f>
        <v>44038000</v>
      </c>
      <c r="E12" s="6">
        <f>+'PLAN DE INVERSIONES'!$E$34</f>
        <v>44038000</v>
      </c>
      <c r="F12" s="6">
        <f>+'PLAN DE INVERSIONES'!$E$34</f>
        <v>44038000</v>
      </c>
      <c r="G12" s="6">
        <f>+'PLAN DE INVERSIONES'!$E$34</f>
        <v>44038000</v>
      </c>
      <c r="H12" s="6">
        <f>+'PLAN DE INVERSIONES'!$E$34</f>
        <v>44038000</v>
      </c>
    </row>
    <row r="13" spans="2:8" x14ac:dyDescent="0.25">
      <c r="B13" s="1" t="s">
        <v>52</v>
      </c>
      <c r="C13" s="1"/>
      <c r="D13" s="4">
        <f>+'PLAN DE INVERSIONES'!$E$35</f>
        <v>1440000</v>
      </c>
      <c r="E13" s="4">
        <f>+'PLAN DE INVERSIONES'!$E$35</f>
        <v>1440000</v>
      </c>
      <c r="F13" s="4">
        <f>+'PLAN DE INVERSIONES'!$E$35</f>
        <v>1440000</v>
      </c>
      <c r="G13" s="4">
        <f>+'PLAN DE INVERSIONES'!$E$35</f>
        <v>1440000</v>
      </c>
      <c r="H13" s="4">
        <f>+'PLAN DE INVERSIONES'!$E$35</f>
        <v>1440000</v>
      </c>
    </row>
    <row r="14" spans="2:8" x14ac:dyDescent="0.25">
      <c r="B14" s="1" t="s">
        <v>53</v>
      </c>
      <c r="C14" s="1"/>
      <c r="D14" s="4">
        <f t="array" ref="D14:H14">+TRANSPOSE('PLAN DE INVERSIONES'!D47:D51)</f>
        <v>19501056</v>
      </c>
      <c r="E14" s="4">
        <v>16775240.47960072</v>
      </c>
      <c r="F14" s="4">
        <v>13558778.165529571</v>
      </c>
      <c r="G14" s="4">
        <v>9763352.634925615</v>
      </c>
      <c r="H14" s="4">
        <v>5284750.5088129453</v>
      </c>
    </row>
    <row r="15" spans="2:8" x14ac:dyDescent="0.25">
      <c r="B15" s="1" t="s">
        <v>54</v>
      </c>
      <c r="C15" s="1"/>
      <c r="D15" s="4">
        <f>+D9-D10-D11-D12-D13-D14</f>
        <v>290178441.98399997</v>
      </c>
      <c r="E15" s="4">
        <f t="shared" ref="E15:H15" si="2">+E9-E10-E11-E12-E13-E14</f>
        <v>321316857.34311944</v>
      </c>
      <c r="F15" s="4">
        <f t="shared" si="2"/>
        <v>355218927.48300821</v>
      </c>
      <c r="G15" s="4">
        <f t="shared" si="2"/>
        <v>392154809.46549529</v>
      </c>
      <c r="H15" s="4">
        <f t="shared" si="2"/>
        <v>432425104.5596413</v>
      </c>
    </row>
    <row r="16" spans="2:8" x14ac:dyDescent="0.25">
      <c r="B16" s="1" t="s">
        <v>55</v>
      </c>
      <c r="C16" s="1"/>
      <c r="D16" s="4">
        <f>+IF(D15&gt;0,D15*'Costos Y Gastos'!$H$46,0)</f>
        <v>101562454.69439998</v>
      </c>
      <c r="E16" s="4">
        <f>+IF(E15&gt;0,E15*'Costos Y Gastos'!$H$46,0)</f>
        <v>112460900.0700918</v>
      </c>
      <c r="F16" s="4">
        <f>+IF(F15&gt;0,F15*'Costos Y Gastos'!$H$46,0)</f>
        <v>124326624.61905286</v>
      </c>
      <c r="G16" s="4">
        <f>+IF(G15&gt;0,G15*'Costos Y Gastos'!$H$46,0)</f>
        <v>137254183.31292334</v>
      </c>
      <c r="H16" s="4">
        <f>+IF(H15&gt;0,H15*'Costos Y Gastos'!$H$46,0)</f>
        <v>151348786.59587446</v>
      </c>
    </row>
    <row r="17" spans="2:8" x14ac:dyDescent="0.25">
      <c r="B17" s="1" t="s">
        <v>56</v>
      </c>
      <c r="C17" s="1"/>
      <c r="D17" s="37">
        <f>+D15-D16</f>
        <v>188615987.28959998</v>
      </c>
      <c r="E17" s="37">
        <f t="shared" ref="E17:H17" si="3">+E15-E16</f>
        <v>208855957.27302766</v>
      </c>
      <c r="F17" s="37">
        <f t="shared" si="3"/>
        <v>230892302.86395535</v>
      </c>
      <c r="G17" s="37">
        <f t="shared" si="3"/>
        <v>254900626.15257195</v>
      </c>
      <c r="H17" s="37">
        <f t="shared" si="3"/>
        <v>281076317.96376681</v>
      </c>
    </row>
    <row r="18" spans="2:8" x14ac:dyDescent="0.25">
      <c r="B18" s="1" t="s">
        <v>57</v>
      </c>
      <c r="C18" s="1"/>
      <c r="D18" s="4"/>
      <c r="E18" s="4"/>
      <c r="F18" s="4"/>
      <c r="G18" s="4"/>
      <c r="H18" s="4"/>
    </row>
    <row r="19" spans="2:8" x14ac:dyDescent="0.25">
      <c r="B19" s="1" t="s">
        <v>58</v>
      </c>
      <c r="C19" s="1"/>
      <c r="D19" s="4"/>
      <c r="E19" s="4"/>
      <c r="F19" s="4"/>
      <c r="G19" s="4"/>
      <c r="H19" s="4"/>
    </row>
    <row r="20" spans="2:8" x14ac:dyDescent="0.25">
      <c r="B20" s="1" t="s">
        <v>59</v>
      </c>
      <c r="C20" s="1"/>
      <c r="D20" s="4"/>
      <c r="E20" s="4"/>
      <c r="F20" s="4"/>
      <c r="G20" s="4"/>
      <c r="H20" s="4"/>
    </row>
    <row r="21" spans="2:8" ht="18.75" x14ac:dyDescent="0.3">
      <c r="B21" s="18" t="s">
        <v>60</v>
      </c>
      <c r="C21" s="63">
        <f>-'PLAN DE INVERSIONES'!E32</f>
        <v>-270848000</v>
      </c>
      <c r="D21" s="37">
        <f>+D17+D18+D19-D20</f>
        <v>188615987.28959998</v>
      </c>
      <c r="E21" s="37">
        <f t="shared" ref="E21:H21" si="4">+E17+E18+E19-E20</f>
        <v>208855957.27302766</v>
      </c>
      <c r="F21" s="37">
        <f t="shared" si="4"/>
        <v>230892302.86395535</v>
      </c>
      <c r="G21" s="37">
        <f t="shared" si="4"/>
        <v>254900626.15257195</v>
      </c>
      <c r="H21" s="37">
        <f t="shared" si="4"/>
        <v>281076317.96376681</v>
      </c>
    </row>
    <row r="22" spans="2:8" ht="18.75" x14ac:dyDescent="0.3">
      <c r="B22" s="18" t="s">
        <v>72</v>
      </c>
      <c r="C22" s="24">
        <f>+'Costos Y Gastos'!H51*'PLAN DE INVERSIONES'!D38+'PLAN DE INVERSIONES'!C56*(1-'Costos Y Gastos'!H46)*'PLAN DE INVERSIONES'!D39</f>
        <v>0.11879999999999999</v>
      </c>
      <c r="D22" s="4"/>
      <c r="E22" s="4"/>
      <c r="F22" s="4"/>
      <c r="G22" s="4"/>
      <c r="H22" s="4"/>
    </row>
    <row r="23" spans="2:8" ht="18.75" x14ac:dyDescent="0.3">
      <c r="B23" s="23" t="s">
        <v>70</v>
      </c>
      <c r="C23" s="4">
        <f>SUM(D23:H23)</f>
        <v>823355269.91863644</v>
      </c>
      <c r="D23" s="4">
        <f>PV($C$22,D3,0,-D21)</f>
        <v>168587761.25277081</v>
      </c>
      <c r="E23" s="4">
        <f>PV($C$22,E3,0,-E21)</f>
        <v>166856047.55752054</v>
      </c>
      <c r="F23" s="4">
        <f>PV($C$22,F3,0,-F21)</f>
        <v>164873964.97804287</v>
      </c>
      <c r="G23" s="4">
        <f>PV($C$22,G3,0,-G21)</f>
        <v>162690079.54548979</v>
      </c>
      <c r="H23" s="4">
        <f>PV($C$22,H3,0,-H21)</f>
        <v>160347416.5848124</v>
      </c>
    </row>
    <row r="24" spans="2:8" ht="19.5" thickBot="1" x14ac:dyDescent="0.35">
      <c r="B24" s="23" t="s">
        <v>71</v>
      </c>
      <c r="C24" s="4">
        <f>-C21</f>
        <v>270848000</v>
      </c>
      <c r="D24" s="20"/>
      <c r="E24" s="20"/>
      <c r="F24" s="20"/>
      <c r="G24" s="20"/>
      <c r="H24" s="20"/>
    </row>
    <row r="25" spans="2:8" ht="26.25" customHeight="1" x14ac:dyDescent="0.3">
      <c r="B25" s="21" t="s">
        <v>61</v>
      </c>
      <c r="C25" s="22">
        <f>+C23-C24</f>
        <v>552507269.91863644</v>
      </c>
      <c r="D25" s="28">
        <f>NPV(C22,D21:H21)+C21</f>
        <v>552507269.91863656</v>
      </c>
      <c r="E25" s="25"/>
      <c r="F25" s="25"/>
      <c r="G25" s="25"/>
      <c r="H25" s="26"/>
    </row>
    <row r="26" spans="2:8" ht="38.25" customHeight="1" x14ac:dyDescent="0.3">
      <c r="B26" s="16" t="s">
        <v>62</v>
      </c>
      <c r="C26" s="31">
        <f>IRR(C21:H21)</f>
        <v>0.72750398563124707</v>
      </c>
      <c r="D26" s="99" t="s">
        <v>108</v>
      </c>
      <c r="E26" s="100"/>
      <c r="F26" s="100"/>
      <c r="G26" s="100"/>
      <c r="H26" s="101"/>
    </row>
    <row r="27" spans="2:8" ht="38.25" customHeight="1" x14ac:dyDescent="0.3">
      <c r="B27" s="29" t="s">
        <v>74</v>
      </c>
      <c r="C27" s="32">
        <f>+C23/C24</f>
        <v>3.0399163734590489</v>
      </c>
      <c r="D27" s="102"/>
      <c r="E27" s="103"/>
      <c r="F27" s="103"/>
      <c r="G27" s="103"/>
      <c r="H27" s="104"/>
    </row>
    <row r="28" spans="2:8" ht="28.5" customHeight="1" thickBot="1" x14ac:dyDescent="0.35">
      <c r="B28" s="17" t="s">
        <v>73</v>
      </c>
      <c r="C28" s="15" t="s">
        <v>107</v>
      </c>
      <c r="D28" s="30">
        <f>-C21-D23</f>
        <v>102260238.74722919</v>
      </c>
      <c r="E28" s="62">
        <f>+(D28/E23)*12</f>
        <v>7.3543805149988488</v>
      </c>
      <c r="F28" s="43"/>
      <c r="G28" s="44"/>
      <c r="H28" s="27"/>
    </row>
    <row r="29" spans="2:8" x14ac:dyDescent="0.25">
      <c r="D29" s="14"/>
      <c r="E29" s="14"/>
    </row>
  </sheetData>
  <mergeCells count="2">
    <mergeCell ref="B2:H2"/>
    <mergeCell ref="D26:H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 DE INVERSIONES</vt:lpstr>
      <vt:lpstr>Ingresos x Ventas</vt:lpstr>
      <vt:lpstr>Costos Y Gastos</vt:lpstr>
      <vt:lpstr>FLUJO NETO DE EFCTIVO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Cuenta Audiovisuales</dc:creator>
  <cp:lastModifiedBy>SENA</cp:lastModifiedBy>
  <dcterms:created xsi:type="dcterms:W3CDTF">2016-05-04T23:30:25Z</dcterms:created>
  <dcterms:modified xsi:type="dcterms:W3CDTF">2024-09-05T22:31:13Z</dcterms:modified>
</cp:coreProperties>
</file>