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sa\Green FS\Cost Report\"/>
    </mc:Choice>
  </mc:AlternateContent>
  <bookViews>
    <workbookView xWindow="0" yWindow="0" windowWidth="20490" windowHeight="6930" tabRatio="693" activeTab="4"/>
  </bookViews>
  <sheets>
    <sheet name="BOM" sheetId="8" r:id="rId1"/>
    <sheet name="EN Assemblies" sheetId="1" r:id="rId2"/>
    <sheet name="EN Parts" sheetId="2" r:id="rId3"/>
    <sheet name="FR Assemblies" sheetId="10" r:id="rId4"/>
    <sheet name="FR Parts" sheetId="11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AN_A0005_f">'EN Assemblies'!$J$270</definedName>
    <definedName name="AN_A0005_p">'EN Assemblies'!$I$256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EL_01001">#REF!</definedName>
    <definedName name="dqwdqd">#REF!</definedName>
    <definedName name="eded">#REF!</definedName>
    <definedName name="EN_01001">'EN Parts'!$B$6</definedName>
    <definedName name="EN_01001_f">'EN Parts'!$J$40</definedName>
    <definedName name="EN_01001_m">'EN Parts'!$N$16</definedName>
    <definedName name="EN_01001_p">'EN Parts'!$I$33</definedName>
    <definedName name="EN_01001_q">'EN Parts'!$N$3</definedName>
    <definedName name="EN_01002">'EN Parts'!$B$49</definedName>
    <definedName name="EN_01002_m">'EN Parts'!$N$55</definedName>
    <definedName name="EN_01002_p">'EN Parts'!$I$62</definedName>
    <definedName name="EN_01002_q">'EN Parts'!$N$46</definedName>
    <definedName name="EN_01003">'EN Parts'!$B$71</definedName>
    <definedName name="EN_01003_m">'EN Parts'!$N$77</definedName>
    <definedName name="EN_01003_p">'EN Parts'!$I$82</definedName>
    <definedName name="EN_01003_q">'EN Parts'!$N$68</definedName>
    <definedName name="EN_01004">'EN Parts'!$B$91</definedName>
    <definedName name="EN_01004_m">'EN Parts'!$N$97</definedName>
    <definedName name="EN_01004_p">'EN Parts'!$I$102</definedName>
    <definedName name="EN_01004_q">'EN Parts'!$N$88</definedName>
    <definedName name="EN_02001">'EN Parts'!$B$111</definedName>
    <definedName name="EN_02001_m">'EN Parts'!$N$117</definedName>
    <definedName name="EN_02001_p">'EN Parts'!$I$122</definedName>
    <definedName name="EN_02001_q">'EN Parts'!$N$108</definedName>
    <definedName name="EN_02002">'EN Parts'!$B$131</definedName>
    <definedName name="EN_02002_m">'EN Parts'!$N$137</definedName>
    <definedName name="EN_02002_p">'EN Parts'!$I$143</definedName>
    <definedName name="EN_02002_q">'EN Parts'!$N$128</definedName>
    <definedName name="EN_02003">'EN Parts'!$B$152</definedName>
    <definedName name="EN_02003_m">'EN Parts'!$N$158</definedName>
    <definedName name="EN_02003_p">'EN Parts'!$I$163</definedName>
    <definedName name="EN_02003_q">'EN Parts'!$N$149</definedName>
    <definedName name="EN_03001">'EN Parts'!$B$172</definedName>
    <definedName name="EN_03001_m">'EN Parts'!$N$178</definedName>
    <definedName name="EN_03001_p">'EN Parts'!$I$185</definedName>
    <definedName name="EN_03001_q">'EN Parts'!$N$169</definedName>
    <definedName name="EN_03002">'EN Parts'!$B$218</definedName>
    <definedName name="EN_03002_m">'EN Parts'!$N$224</definedName>
    <definedName name="EN_03002_p">'EN Parts'!$I$233</definedName>
    <definedName name="EN_03002_q">'EN Parts'!$N$215</definedName>
    <definedName name="EN_03003">'EN Parts'!$B$267</definedName>
    <definedName name="EN_03003_m">'EN Parts'!$N$273</definedName>
    <definedName name="EN_03003_p">'EN Parts'!$I$280</definedName>
    <definedName name="EN_03003_q">'EN Parts'!$N$264</definedName>
    <definedName name="EN_03004">'EN Parts'!$B$307</definedName>
    <definedName name="EN_03004_m">'EN Parts'!$N$313</definedName>
    <definedName name="EN_03004_p">'EN Parts'!$I$320</definedName>
    <definedName name="EN_03004_q">'EN Parts'!$N$304</definedName>
    <definedName name="EN_04001">'EN Parts'!$B$343</definedName>
    <definedName name="EN_04001_m">'EN Parts'!$N$349</definedName>
    <definedName name="EN_04001_p">'EN Parts'!$I$356</definedName>
    <definedName name="EN_04001_q">'EN Parts'!$N$340</definedName>
    <definedName name="EN_04002">'EN Parts'!$B$386</definedName>
    <definedName name="EN_04002_m">'EN Parts'!$N$392</definedName>
    <definedName name="EN_04002_p">'EN Parts'!$I$397</definedName>
    <definedName name="EN_04002_q">'EN Parts'!$N$383</definedName>
    <definedName name="EN_04003">'EN Parts'!$B$426</definedName>
    <definedName name="EN_04003_m">'EN Parts'!$N$432</definedName>
    <definedName name="EN_04003_p">'EN Parts'!$I$442</definedName>
    <definedName name="EN_04003_q">'EN Parts'!$N$423</definedName>
    <definedName name="EN_04004">'EN Parts'!$B$473</definedName>
    <definedName name="EN_04004_m">'EN Parts'!$N$479</definedName>
    <definedName name="EN_04004_p">'EN Parts'!$I$484</definedName>
    <definedName name="EN_04004_q">'EN Parts'!$N$470</definedName>
    <definedName name="EN_04005">'EN Parts'!$B$493</definedName>
    <definedName name="EN_04005_m">'EN Parts'!$N$499</definedName>
    <definedName name="EN_04005_p">'EN Parts'!$I$506</definedName>
    <definedName name="EN_04005_q">'EN Parts'!$N$490</definedName>
    <definedName name="EN_05001">'EN Parts'!$B$515</definedName>
    <definedName name="EN_05001_m">'EN Parts'!$N$521</definedName>
    <definedName name="EN_05001_p">'EN Parts'!$I$526</definedName>
    <definedName name="EN_05001_q">'EN Parts'!$N$512</definedName>
    <definedName name="EN_05002">'EN Parts'!$B$556</definedName>
    <definedName name="EN_05002_m">'EN Parts'!$N$562</definedName>
    <definedName name="EN_05002_p">'EN Parts'!$I$566</definedName>
    <definedName name="EN_05002_q">'EN Parts'!$N$553</definedName>
    <definedName name="EN_05003">'EN Parts'!$B$593</definedName>
    <definedName name="EN_05003_m">'EN Parts'!$N$599</definedName>
    <definedName name="EN_05003_p">'EN Parts'!$I$603</definedName>
    <definedName name="EN_05003_q">'EN Parts'!$N$590</definedName>
    <definedName name="EN_05004">'EN Parts'!$B$632</definedName>
    <definedName name="EN_05004_m">'EN Parts'!$N$638</definedName>
    <definedName name="EN_05004_p">'EN Parts'!$I$642</definedName>
    <definedName name="EN_05004_q">'EN Parts'!$N$629</definedName>
    <definedName name="EN_05005">'EN Parts'!$B$666</definedName>
    <definedName name="EN_05005_m">'EN Parts'!$N$672</definedName>
    <definedName name="EN_05005_p">'EN Parts'!$I$677</definedName>
    <definedName name="EN_05005_q">'EN Parts'!$N$663</definedName>
    <definedName name="EN_05006">'EN Parts'!$B$706</definedName>
    <definedName name="EN_05006_m">'EN Parts'!$N$712</definedName>
    <definedName name="EN_05006_p">'EN Parts'!$I$718</definedName>
    <definedName name="EN_05006_q">'EN Parts'!$N$703</definedName>
    <definedName name="EN_06001">'EN Parts'!$B$746</definedName>
    <definedName name="EN_06001_m">'EN Parts'!$N$752</definedName>
    <definedName name="EN_06001_p">'EN Parts'!$I$758</definedName>
    <definedName name="EN_06001_q">'EN Parts'!$N$743</definedName>
    <definedName name="EN_06002">'EN Parts'!$B$771</definedName>
    <definedName name="EN_06002_m">'EN Parts'!$N$777</definedName>
    <definedName name="EN_06002_p">'EN Parts'!$I$784</definedName>
    <definedName name="EN_06002_q">'EN Parts'!$N$768</definedName>
    <definedName name="EN_06003">'EN Parts'!$B$792</definedName>
    <definedName name="EN_06003_m">'EN Parts'!$N$798</definedName>
    <definedName name="EN_06003_p">'EN Parts'!$I$805</definedName>
    <definedName name="EN_06003_q">'EN Parts'!$N$789</definedName>
    <definedName name="EN_06004">'EN Parts'!$B$813</definedName>
    <definedName name="EN_06004_m">'EN Parts'!$N$819</definedName>
    <definedName name="EN_06004_p">'EN Parts'!$I$826</definedName>
    <definedName name="EN_06004_q">'EN Parts'!$N$810</definedName>
    <definedName name="EN_06005">'EN Parts'!$B$834</definedName>
    <definedName name="EN_06005_m">'EN Parts'!$N$840</definedName>
    <definedName name="EN_06005_p">'EN Parts'!$I$847</definedName>
    <definedName name="EN_06005_q">'EN Parts'!$N$831</definedName>
    <definedName name="EN_06006">'EN Parts'!$B$855</definedName>
    <definedName name="EN_06006_m">'EN Parts'!$N$861</definedName>
    <definedName name="EN_06006_p">'EN Parts'!$I$868</definedName>
    <definedName name="EN_06006_q">'EN Parts'!$N$852</definedName>
    <definedName name="EN_06007">'EN Parts'!$B$876</definedName>
    <definedName name="EN_06007_m">'EN Parts'!$N$882</definedName>
    <definedName name="EN_06007_p">'EN Parts'!$I$887</definedName>
    <definedName name="EN_06007_q">'EN Parts'!$N$873</definedName>
    <definedName name="EN_06008">'EN Parts'!$B$895</definedName>
    <definedName name="EN_06008_m">'EN Parts'!$N$901</definedName>
    <definedName name="EN_06008_p">'EN Parts'!$I$906</definedName>
    <definedName name="EN_06008_q">'EN Parts'!$N$892</definedName>
    <definedName name="EN_06009">'EN Parts'!$B$914</definedName>
    <definedName name="EN_06009_m">'EN Parts'!$N$920</definedName>
    <definedName name="EN_06009_p">'EN Parts'!$I$925</definedName>
    <definedName name="EN_06009_q">'EN Parts'!$N$911</definedName>
    <definedName name="EN_06010">'EN Parts'!$B$933</definedName>
    <definedName name="EN_06010_m">'EN Parts'!$N$939</definedName>
    <definedName name="EN_06010_p">'EN Parts'!$I$944</definedName>
    <definedName name="EN_06010_q">'EN Parts'!$N$930</definedName>
    <definedName name="EN_06011">'EN Parts'!$B$964</definedName>
    <definedName name="EN_06011_m">'EN Parts'!$N$970</definedName>
    <definedName name="EN_06011_p">'EN Parts'!$I$974</definedName>
    <definedName name="EN_06011_q">'EN Parts'!$N$961</definedName>
    <definedName name="EN_06012">'EN Parts'!$B$996</definedName>
    <definedName name="EN_06012_m">'EN Parts'!$N$1002</definedName>
    <definedName name="EN_06012_p">'EN Parts'!$I$1006</definedName>
    <definedName name="EN_06012_q">'EN Parts'!$N$993</definedName>
    <definedName name="EN_06013">'EN Parts'!$B$1027</definedName>
    <definedName name="EN_06013_m">'EN Parts'!$N$1033</definedName>
    <definedName name="EN_06013_p">'EN Parts'!$I$1038</definedName>
    <definedName name="EN_06013_q">'EN Parts'!$N$1024</definedName>
    <definedName name="EN_A0001">'EN Assemblies'!$B$5</definedName>
    <definedName name="EN_A0001_f">'EN Assemblies'!$J$44</definedName>
    <definedName name="EN_A0001_m">'EN Assemblies'!$N$22</definedName>
    <definedName name="EN_A0001_p">'EN Assemblies'!$I$35</definedName>
    <definedName name="EN_A0001_q">'EN Assemblies'!$N$3</definedName>
    <definedName name="EN_A0001_t">'EN Assemblies'!$I$48</definedName>
    <definedName name="EN_A0002">'EN Assemblies'!$B$74</definedName>
    <definedName name="EN_A0002_f">'EN Assemblies'!$J$111</definedName>
    <definedName name="EN_A0002_m">'EN Assemblies'!$N$87</definedName>
    <definedName name="EN_A0002_p">'EN Assemblies'!$I$102</definedName>
    <definedName name="EN_A0002_q">'EN Assemblies'!$N$72</definedName>
    <definedName name="EN_A0002_t">'EN Assemblies'!$I$115</definedName>
    <definedName name="EN_A0003">'EN Assemblies'!$B$123</definedName>
    <definedName name="EN_A0003_f">'EN Assemblies'!$J$161</definedName>
    <definedName name="EN_A0003_m">'EN Assemblies'!$N$137</definedName>
    <definedName name="EN_A0003_p">'EN Assemblies'!$I$153</definedName>
    <definedName name="EN_A0003_q">'EN Assemblies'!$N$121</definedName>
    <definedName name="EN_A0004">'EN Assemblies'!$B$168</definedName>
    <definedName name="EN_A0004_f">'EN Assemblies'!$J$216</definedName>
    <definedName name="EN_A0004_m">'EN Assemblies'!$N$182</definedName>
    <definedName name="EN_A0004_p">'EN Assemblies'!$I$202</definedName>
    <definedName name="EN_A0004_q">'EN Assemblies'!$N$166</definedName>
    <definedName name="EN_A0005">'EN Assemblies'!$B$224</definedName>
    <definedName name="EN_A0005_f">'EN Assemblies'!$J$270</definedName>
    <definedName name="EN_A0005_m">'EN Assemblies'!$N$239</definedName>
    <definedName name="EN_A0005_p">'EN Assemblies'!$I$256</definedName>
    <definedName name="EN_A0005_q">'EN Assemblies'!$N$222</definedName>
    <definedName name="EN_A0005_t">'EN Assemblies'!$I$274</definedName>
    <definedName name="EN_A0006">'EN Assemblies'!$B$281</definedName>
    <definedName name="EN_A0006_f">'EN Assemblies'!$J$357</definedName>
    <definedName name="EN_A0006_m">'EN Assemblies'!$N$311</definedName>
    <definedName name="EN_A0006_p">'EN Assemblies'!$I$343</definedName>
    <definedName name="EN_A0006_q">'EN Assemblies'!$N$279</definedName>
    <definedName name="EN_A0006_t">'EN Assemblies'!$I$361</definedName>
    <definedName name="er">#REF!</definedName>
    <definedName name="ervcdx">#REF!</definedName>
    <definedName name="ezfdscx">#REF!</definedName>
    <definedName name="FR_06001">'FR Parts'!$B$6</definedName>
    <definedName name="FR_06001_m">'FR Parts'!$N$12</definedName>
    <definedName name="FR_06001_p">'FR Parts'!$I$21</definedName>
    <definedName name="FR_06001_q">'FR Parts'!$N$3</definedName>
    <definedName name="FR_06002">'FR Parts'!$B$46</definedName>
    <definedName name="FR_06002_m">'FR Parts'!$N$52</definedName>
    <definedName name="FR_06002_p">'FR Parts'!$I$60</definedName>
    <definedName name="FR_06002_q">'FR Parts'!$N$43</definedName>
    <definedName name="FR_06003">'FR Parts'!$B$83</definedName>
    <definedName name="FR_06003_m">'FR Parts'!$N$89</definedName>
    <definedName name="FR_06003_p">'FR Parts'!$I$94</definedName>
    <definedName name="FR_06003_q">'FR Parts'!$N$80</definedName>
    <definedName name="FR_06004">'FR Parts'!$B$118</definedName>
    <definedName name="FR_06004_m">'FR Parts'!$N$124</definedName>
    <definedName name="FR_06004_p">'FR Parts'!$I$130</definedName>
    <definedName name="FR_06004_q">'FR Parts'!$N$115</definedName>
    <definedName name="FR_06005">'FR Parts'!$B$155</definedName>
    <definedName name="FR_06005_m">'FR Parts'!$N$161</definedName>
    <definedName name="FR_06005_p">'FR Parts'!$I$167</definedName>
    <definedName name="FR_06005_q">'FR Parts'!$N$152</definedName>
    <definedName name="FR_06006">'FR Parts'!$B$194</definedName>
    <definedName name="FR_06006_f">'FR Parts'!$J$215</definedName>
    <definedName name="FR_06006_m">'FR Parts'!$N$200</definedName>
    <definedName name="FR_06006_p">'FR Parts'!$I$211</definedName>
    <definedName name="FR_06006_q">'FR Parts'!$N$191</definedName>
    <definedName name="FR_A0006">'FR Assemblies'!$B$5</definedName>
    <definedName name="FR_A0006_f">'FR Assemblies'!$J$88</definedName>
    <definedName name="FR_A0006_m">'FR Assemblies'!$N$22</definedName>
    <definedName name="FR_A0006_p">'FR Assemblies'!$I$79</definedName>
    <definedName name="FR_A0006_q">'FR Assemblies'!$N$3</definedName>
    <definedName name="FR_A0006_t">'FR Assemblies'!$I$92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b_Total">'FR Assemblies'!$I$79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BOM!$A$1:$Q$58</definedName>
    <definedName name="_xlnm.Print_Area" localSheetId="2">'EN Parts'!$A$1:$O$1051</definedName>
    <definedName name="_xlnm.Print_Area" localSheetId="4">'FR Parts'!$A$1:$O$270</definedName>
  </definedNames>
  <calcPr calcId="171027" iterateDelta="1E-4"/>
</workbook>
</file>

<file path=xl/calcChain.xml><?xml version="1.0" encoding="utf-8"?>
<calcChain xmlns="http://schemas.openxmlformats.org/spreadsheetml/2006/main">
  <c r="M48" i="8" l="1"/>
  <c r="L48" i="8"/>
  <c r="K48" i="8"/>
  <c r="J56" i="8"/>
  <c r="N56" i="8"/>
  <c r="M56" i="8"/>
  <c r="L56" i="8"/>
  <c r="K56" i="8"/>
  <c r="I55" i="8" l="1"/>
  <c r="I54" i="8"/>
  <c r="I53" i="8"/>
  <c r="I52" i="8"/>
  <c r="I51" i="8"/>
  <c r="I50" i="8"/>
  <c r="B192" i="11"/>
  <c r="B153" i="11"/>
  <c r="B116" i="11"/>
  <c r="B81" i="11"/>
  <c r="B44" i="11"/>
  <c r="B4" i="11"/>
  <c r="F55" i="8"/>
  <c r="F54" i="8"/>
  <c r="F53" i="8"/>
  <c r="F52" i="8"/>
  <c r="F51" i="8"/>
  <c r="F50" i="8"/>
  <c r="E55" i="8"/>
  <c r="E54" i="8"/>
  <c r="E53" i="8"/>
  <c r="E52" i="8"/>
  <c r="E51" i="8"/>
  <c r="E50" i="8"/>
  <c r="M49" i="8"/>
  <c r="L49" i="8"/>
  <c r="J49" i="8"/>
  <c r="K49" i="8"/>
  <c r="I49" i="8"/>
  <c r="C49" i="8"/>
  <c r="F49" i="8"/>
  <c r="I47" i="8"/>
  <c r="F47" i="8"/>
  <c r="C47" i="8"/>
  <c r="H49" i="8" l="1"/>
  <c r="N49" i="8" s="1"/>
  <c r="D15" i="10"/>
  <c r="D14" i="10"/>
  <c r="D13" i="10"/>
  <c r="D12" i="10"/>
  <c r="D11" i="10"/>
  <c r="D10" i="10"/>
  <c r="B10" i="10"/>
  <c r="J87" i="10"/>
  <c r="J86" i="10"/>
  <c r="I72" i="10" l="1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78" i="10"/>
  <c r="I77" i="10"/>
  <c r="I76" i="10"/>
  <c r="I75" i="10"/>
  <c r="I74" i="10"/>
  <c r="I73" i="10"/>
  <c r="I79" i="10" l="1"/>
  <c r="J214" i="11"/>
  <c r="J215" i="11" s="1"/>
  <c r="L55" i="8" s="1"/>
  <c r="I210" i="11"/>
  <c r="I209" i="11"/>
  <c r="I208" i="11"/>
  <c r="I207" i="11"/>
  <c r="I206" i="11"/>
  <c r="I205" i="11"/>
  <c r="I204" i="11"/>
  <c r="I203" i="11"/>
  <c r="N199" i="11"/>
  <c r="N200" i="11" s="1"/>
  <c r="I166" i="11"/>
  <c r="I165" i="11"/>
  <c r="I164" i="11"/>
  <c r="N160" i="11"/>
  <c r="N161" i="11" s="1"/>
  <c r="I129" i="11"/>
  <c r="I128" i="11"/>
  <c r="I127" i="11"/>
  <c r="N123" i="11"/>
  <c r="N124" i="11" s="1"/>
  <c r="I93" i="11"/>
  <c r="I92" i="11"/>
  <c r="N88" i="11"/>
  <c r="N89" i="11" s="1"/>
  <c r="I59" i="11"/>
  <c r="I58" i="11"/>
  <c r="I57" i="11"/>
  <c r="I56" i="11"/>
  <c r="I55" i="11"/>
  <c r="N51" i="11"/>
  <c r="N52" i="11" s="1"/>
  <c r="I20" i="11"/>
  <c r="I19" i="11"/>
  <c r="I18" i="11"/>
  <c r="I17" i="11"/>
  <c r="I16" i="11"/>
  <c r="I15" i="11"/>
  <c r="N11" i="11"/>
  <c r="N12" i="11" s="1"/>
  <c r="I91" i="10"/>
  <c r="I92" i="10" s="1"/>
  <c r="J85" i="10"/>
  <c r="J84" i="10"/>
  <c r="J83" i="10"/>
  <c r="J82" i="10"/>
  <c r="N21" i="10"/>
  <c r="N20" i="10"/>
  <c r="N19" i="10"/>
  <c r="B15" i="10"/>
  <c r="B14" i="10"/>
  <c r="B13" i="10"/>
  <c r="B12" i="10"/>
  <c r="B11" i="10"/>
  <c r="I1036" i="2"/>
  <c r="I1038" i="2" s="1"/>
  <c r="K47" i="8" s="1"/>
  <c r="N1032" i="2"/>
  <c r="N1033" i="2" s="1"/>
  <c r="I1005" i="2"/>
  <c r="I1006" i="2" s="1"/>
  <c r="K46" i="8" s="1"/>
  <c r="N1001" i="2"/>
  <c r="N1002" i="2" s="1"/>
  <c r="I973" i="2"/>
  <c r="I974" i="2" s="1"/>
  <c r="N969" i="2"/>
  <c r="N970" i="2" s="1"/>
  <c r="J45" i="8" s="1"/>
  <c r="I943" i="2"/>
  <c r="I942" i="2"/>
  <c r="N938" i="2"/>
  <c r="N939" i="2" s="1"/>
  <c r="I924" i="2"/>
  <c r="I923" i="2"/>
  <c r="N919" i="2"/>
  <c r="N920" i="2" s="1"/>
  <c r="I905" i="2"/>
  <c r="I904" i="2"/>
  <c r="N900" i="2"/>
  <c r="N901" i="2" s="1"/>
  <c r="J42" i="8" s="1"/>
  <c r="I886" i="2"/>
  <c r="I885" i="2"/>
  <c r="N881" i="2"/>
  <c r="N882" i="2" s="1"/>
  <c r="J41" i="8" s="1"/>
  <c r="I867" i="2"/>
  <c r="I866" i="2"/>
  <c r="I865" i="2"/>
  <c r="I864" i="2"/>
  <c r="N860" i="2"/>
  <c r="N861" i="2" s="1"/>
  <c r="J40" i="8" s="1"/>
  <c r="I846" i="2"/>
  <c r="I845" i="2"/>
  <c r="I844" i="2"/>
  <c r="I843" i="2"/>
  <c r="N839" i="2"/>
  <c r="N840" i="2" s="1"/>
  <c r="I825" i="2"/>
  <c r="I824" i="2"/>
  <c r="I823" i="2"/>
  <c r="I822" i="2"/>
  <c r="N818" i="2"/>
  <c r="N819" i="2" s="1"/>
  <c r="I804" i="2"/>
  <c r="I803" i="2"/>
  <c r="I802" i="2"/>
  <c r="I801" i="2"/>
  <c r="N797" i="2"/>
  <c r="N798" i="2" s="1"/>
  <c r="I783" i="2"/>
  <c r="I782" i="2"/>
  <c r="I781" i="2"/>
  <c r="I780" i="2"/>
  <c r="N776" i="2"/>
  <c r="N777" i="2" s="1"/>
  <c r="J36" i="8" s="1"/>
  <c r="I757" i="2"/>
  <c r="I756" i="2"/>
  <c r="I755" i="2"/>
  <c r="N751" i="2"/>
  <c r="N752" i="2" s="1"/>
  <c r="I717" i="2"/>
  <c r="I716" i="2"/>
  <c r="I715" i="2"/>
  <c r="N711" i="2"/>
  <c r="N712" i="2" s="1"/>
  <c r="I676" i="2"/>
  <c r="I675" i="2"/>
  <c r="N671" i="2"/>
  <c r="N672" i="2" s="1"/>
  <c r="J32" i="8" s="1"/>
  <c r="I641" i="2"/>
  <c r="I642" i="2" s="1"/>
  <c r="K31" i="8" s="1"/>
  <c r="N637" i="2"/>
  <c r="N638" i="2" s="1"/>
  <c r="I602" i="2"/>
  <c r="I603" i="2" s="1"/>
  <c r="N598" i="2"/>
  <c r="N599" i="2" s="1"/>
  <c r="J30" i="8" s="1"/>
  <c r="B591" i="2"/>
  <c r="I565" i="2"/>
  <c r="I566" i="2" s="1"/>
  <c r="K29" i="8" s="1"/>
  <c r="N561" i="2"/>
  <c r="N562" i="2" s="1"/>
  <c r="J29" i="8" s="1"/>
  <c r="B554" i="2"/>
  <c r="I525" i="2"/>
  <c r="I524" i="2"/>
  <c r="N520" i="2"/>
  <c r="N521" i="2" s="1"/>
  <c r="B513" i="2"/>
  <c r="I505" i="2"/>
  <c r="I504" i="2"/>
  <c r="I503" i="2"/>
  <c r="I502" i="2"/>
  <c r="K498" i="2"/>
  <c r="J498" i="2"/>
  <c r="I483" i="2"/>
  <c r="H482" i="2"/>
  <c r="I482" i="2" s="1"/>
  <c r="J478" i="2"/>
  <c r="N478" i="2" s="1"/>
  <c r="N479" i="2" s="1"/>
  <c r="J25" i="8" s="1"/>
  <c r="I441" i="2"/>
  <c r="I440" i="2"/>
  <c r="I439" i="2"/>
  <c r="I438" i="2"/>
  <c r="I437" i="2"/>
  <c r="I435" i="2"/>
  <c r="J431" i="2"/>
  <c r="F436" i="2" s="1"/>
  <c r="I436" i="2" s="1"/>
  <c r="I395" i="2"/>
  <c r="J391" i="2"/>
  <c r="F396" i="2" s="1"/>
  <c r="I396" i="2" s="1"/>
  <c r="I355" i="2"/>
  <c r="I354" i="2"/>
  <c r="I352" i="2"/>
  <c r="J348" i="2"/>
  <c r="F353" i="2" s="1"/>
  <c r="I353" i="2" s="1"/>
  <c r="N303" i="2"/>
  <c r="N306" i="2" s="1"/>
  <c r="N263" i="2"/>
  <c r="N266" i="2" s="1"/>
  <c r="N214" i="2"/>
  <c r="N217" i="2" s="1"/>
  <c r="N168" i="2"/>
  <c r="N171" i="2" s="1"/>
  <c r="N148" i="2"/>
  <c r="N151" i="2" s="1"/>
  <c r="N127" i="2"/>
  <c r="C80" i="1" s="1"/>
  <c r="E80" i="1" s="1"/>
  <c r="N117" i="2"/>
  <c r="N107" i="2" s="1"/>
  <c r="N110" i="2" s="1"/>
  <c r="N87" i="2"/>
  <c r="N90" i="2" s="1"/>
  <c r="N67" i="2"/>
  <c r="N70" i="2" s="1"/>
  <c r="N45" i="2"/>
  <c r="N48" i="2" s="1"/>
  <c r="N2" i="2"/>
  <c r="N5" i="2" s="1"/>
  <c r="I360" i="1"/>
  <c r="I361" i="1" s="1"/>
  <c r="M34" i="8" s="1"/>
  <c r="J356" i="1"/>
  <c r="J355" i="1"/>
  <c r="J354" i="1"/>
  <c r="J353" i="1"/>
  <c r="J352" i="1"/>
  <c r="J351" i="1"/>
  <c r="J350" i="1"/>
  <c r="J349" i="1"/>
  <c r="J348" i="1"/>
  <c r="J347" i="1"/>
  <c r="J346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N310" i="1"/>
  <c r="N309" i="1"/>
  <c r="N308" i="1"/>
  <c r="N307" i="1"/>
  <c r="N306" i="1"/>
  <c r="N305" i="1"/>
  <c r="N304" i="1"/>
  <c r="N303" i="1"/>
  <c r="N302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I273" i="1"/>
  <c r="I274" i="1" s="1"/>
  <c r="M27" i="8" s="1"/>
  <c r="J269" i="1"/>
  <c r="J268" i="1"/>
  <c r="J267" i="1"/>
  <c r="J266" i="1"/>
  <c r="J265" i="1"/>
  <c r="J264" i="1"/>
  <c r="J263" i="1"/>
  <c r="J262" i="1"/>
  <c r="J261" i="1"/>
  <c r="J260" i="1"/>
  <c r="J259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D238" i="1"/>
  <c r="N238" i="1" s="1"/>
  <c r="N239" i="1" s="1"/>
  <c r="J27" i="8" s="1"/>
  <c r="D234" i="1"/>
  <c r="D233" i="1"/>
  <c r="D232" i="1"/>
  <c r="D231" i="1"/>
  <c r="D230" i="1"/>
  <c r="D229" i="1"/>
  <c r="N165" i="1"/>
  <c r="N168" i="1" s="1"/>
  <c r="I114" i="1"/>
  <c r="I115" i="1" s="1"/>
  <c r="M12" i="8" s="1"/>
  <c r="I47" i="1"/>
  <c r="I48" i="1" s="1"/>
  <c r="M7" i="8" s="1"/>
  <c r="C13" i="1"/>
  <c r="E13" i="1" s="1"/>
  <c r="C12" i="1"/>
  <c r="E12" i="1" s="1"/>
  <c r="C11" i="1"/>
  <c r="E11" i="1" s="1"/>
  <c r="C10" i="1"/>
  <c r="E10" i="1" s="1"/>
  <c r="I46" i="8"/>
  <c r="F46" i="8"/>
  <c r="C46" i="8"/>
  <c r="I45" i="8"/>
  <c r="F45" i="8"/>
  <c r="C45" i="8"/>
  <c r="I44" i="8"/>
  <c r="F44" i="8"/>
  <c r="C44" i="8"/>
  <c r="I43" i="8"/>
  <c r="F43" i="8"/>
  <c r="C43" i="8"/>
  <c r="I42" i="8"/>
  <c r="F42" i="8"/>
  <c r="C42" i="8"/>
  <c r="I41" i="8"/>
  <c r="F41" i="8"/>
  <c r="C41" i="8"/>
  <c r="I40" i="8"/>
  <c r="F40" i="8"/>
  <c r="C40" i="8"/>
  <c r="I39" i="8"/>
  <c r="F39" i="8"/>
  <c r="C39" i="8"/>
  <c r="I38" i="8"/>
  <c r="F38" i="8"/>
  <c r="C38" i="8"/>
  <c r="I37" i="8"/>
  <c r="F37" i="8"/>
  <c r="C37" i="8"/>
  <c r="I36" i="8"/>
  <c r="F36" i="8"/>
  <c r="C36" i="8"/>
  <c r="I35" i="8"/>
  <c r="F35" i="8"/>
  <c r="C35" i="8"/>
  <c r="I34" i="8"/>
  <c r="F34" i="8"/>
  <c r="E46" i="8" s="1"/>
  <c r="C34" i="8"/>
  <c r="I33" i="8"/>
  <c r="F33" i="8"/>
  <c r="C33" i="8"/>
  <c r="I32" i="8"/>
  <c r="F32" i="8"/>
  <c r="C32" i="8"/>
  <c r="I31" i="8"/>
  <c r="F31" i="8"/>
  <c r="C31" i="8"/>
  <c r="I30" i="8"/>
  <c r="F30" i="8"/>
  <c r="C30" i="8"/>
  <c r="I29" i="8"/>
  <c r="F29" i="8"/>
  <c r="C29" i="8"/>
  <c r="I28" i="8"/>
  <c r="F28" i="8"/>
  <c r="C28" i="8"/>
  <c r="I27" i="8"/>
  <c r="F27" i="8"/>
  <c r="E33" i="8" s="1"/>
  <c r="C27" i="8"/>
  <c r="I26" i="8"/>
  <c r="F26" i="8"/>
  <c r="C26" i="8"/>
  <c r="I25" i="8"/>
  <c r="F25" i="8"/>
  <c r="C25" i="8"/>
  <c r="I24" i="8"/>
  <c r="F24" i="8"/>
  <c r="C24" i="8"/>
  <c r="I23" i="8"/>
  <c r="F23" i="8"/>
  <c r="C23" i="8"/>
  <c r="I22" i="8"/>
  <c r="F22" i="8"/>
  <c r="C22" i="8"/>
  <c r="L21" i="8"/>
  <c r="K21" i="8"/>
  <c r="J21" i="8"/>
  <c r="I21" i="8"/>
  <c r="F21" i="8"/>
  <c r="E26" i="8" s="1"/>
  <c r="C21" i="8"/>
  <c r="K20" i="8"/>
  <c r="J20" i="8"/>
  <c r="I20" i="8"/>
  <c r="F20" i="8"/>
  <c r="C20" i="8"/>
  <c r="K19" i="8"/>
  <c r="J19" i="8"/>
  <c r="I19" i="8"/>
  <c r="F19" i="8"/>
  <c r="C19" i="8"/>
  <c r="K18" i="8"/>
  <c r="J18" i="8"/>
  <c r="I18" i="8"/>
  <c r="F18" i="8"/>
  <c r="C18" i="8"/>
  <c r="K17" i="8"/>
  <c r="J17" i="8"/>
  <c r="I17" i="8"/>
  <c r="F17" i="8"/>
  <c r="C17" i="8"/>
  <c r="L16" i="8"/>
  <c r="K16" i="8"/>
  <c r="J16" i="8"/>
  <c r="I16" i="8"/>
  <c r="F16" i="8"/>
  <c r="E20" i="8" s="1"/>
  <c r="C16" i="8"/>
  <c r="K15" i="8"/>
  <c r="J15" i="8"/>
  <c r="I15" i="8"/>
  <c r="F15" i="8"/>
  <c r="C15" i="8"/>
  <c r="K14" i="8"/>
  <c r="J14" i="8"/>
  <c r="I14" i="8"/>
  <c r="F14" i="8"/>
  <c r="C14" i="8"/>
  <c r="K13" i="8"/>
  <c r="I13" i="8"/>
  <c r="F13" i="8"/>
  <c r="C13" i="8"/>
  <c r="L12" i="8"/>
  <c r="K12" i="8"/>
  <c r="J12" i="8"/>
  <c r="I12" i="8"/>
  <c r="F12" i="8"/>
  <c r="E14" i="8" s="1"/>
  <c r="C12" i="8"/>
  <c r="K11" i="8"/>
  <c r="J11" i="8"/>
  <c r="I11" i="8"/>
  <c r="F11" i="8"/>
  <c r="C11" i="8"/>
  <c r="K10" i="8"/>
  <c r="J10" i="8"/>
  <c r="I10" i="8"/>
  <c r="F10" i="8"/>
  <c r="C10" i="8"/>
  <c r="K9" i="8"/>
  <c r="J9" i="8"/>
  <c r="I9" i="8"/>
  <c r="F9" i="8"/>
  <c r="C9" i="8"/>
  <c r="L8" i="8"/>
  <c r="K8" i="8"/>
  <c r="J8" i="8"/>
  <c r="I8" i="8"/>
  <c r="F8" i="8"/>
  <c r="C8" i="8"/>
  <c r="L7" i="8"/>
  <c r="K7" i="8"/>
  <c r="J7" i="8"/>
  <c r="I7" i="8"/>
  <c r="F7" i="8"/>
  <c r="E9" i="8" s="1"/>
  <c r="C7" i="8"/>
  <c r="O1" i="8"/>
  <c r="I167" i="11" l="1"/>
  <c r="K54" i="8" s="1"/>
  <c r="J13" i="8"/>
  <c r="H13" i="8" s="1"/>
  <c r="N13" i="8" s="1"/>
  <c r="J47" i="8"/>
  <c r="N1023" i="2"/>
  <c r="N1026" i="2" s="1"/>
  <c r="N311" i="1"/>
  <c r="J34" i="8" s="1"/>
  <c r="I94" i="11"/>
  <c r="K52" i="8" s="1"/>
  <c r="I21" i="11"/>
  <c r="K50" i="8" s="1"/>
  <c r="I60" i="11"/>
  <c r="K51" i="8" s="1"/>
  <c r="I130" i="11"/>
  <c r="K53" i="8" s="1"/>
  <c r="I211" i="11"/>
  <c r="K55" i="8" s="1"/>
  <c r="J50" i="8"/>
  <c r="J52" i="8"/>
  <c r="J53" i="8"/>
  <c r="J54" i="8"/>
  <c r="H54" i="8" s="1"/>
  <c r="N151" i="11"/>
  <c r="J55" i="8"/>
  <c r="J51" i="8"/>
  <c r="C130" i="1"/>
  <c r="E130" i="1" s="1"/>
  <c r="I397" i="2"/>
  <c r="K23" i="8" s="1"/>
  <c r="N498" i="2"/>
  <c r="N499" i="2" s="1"/>
  <c r="J26" i="8" s="1"/>
  <c r="I526" i="2"/>
  <c r="K28" i="8" s="1"/>
  <c r="I944" i="2"/>
  <c r="K44" i="8" s="1"/>
  <c r="I484" i="2"/>
  <c r="N469" i="2" s="1"/>
  <c r="N472" i="2" s="1"/>
  <c r="I847" i="2"/>
  <c r="K39" i="8" s="1"/>
  <c r="I784" i="2"/>
  <c r="N767" i="2" s="1"/>
  <c r="I906" i="2"/>
  <c r="K42" i="8" s="1"/>
  <c r="H42" i="8" s="1"/>
  <c r="N42" i="8" s="1"/>
  <c r="I925" i="2"/>
  <c r="K43" i="8" s="1"/>
  <c r="I677" i="2"/>
  <c r="K32" i="8" s="1"/>
  <c r="H32" i="8" s="1"/>
  <c r="N32" i="8" s="1"/>
  <c r="I887" i="2"/>
  <c r="K41" i="8" s="1"/>
  <c r="H41" i="8" s="1"/>
  <c r="N41" i="8" s="1"/>
  <c r="H47" i="8"/>
  <c r="N47" i="8" s="1"/>
  <c r="C81" i="1"/>
  <c r="E81" i="1" s="1"/>
  <c r="C79" i="1"/>
  <c r="E79" i="1" s="1"/>
  <c r="C128" i="1"/>
  <c r="E128" i="1" s="1"/>
  <c r="H19" i="8"/>
  <c r="N19" i="8" s="1"/>
  <c r="H18" i="8"/>
  <c r="N18" i="8" s="1"/>
  <c r="E47" i="8"/>
  <c r="H9" i="8"/>
  <c r="N9" i="8" s="1"/>
  <c r="H10" i="8"/>
  <c r="N10" i="8" s="1"/>
  <c r="H11" i="8"/>
  <c r="N11" i="8" s="1"/>
  <c r="H17" i="8"/>
  <c r="N17" i="8" s="1"/>
  <c r="H21" i="8"/>
  <c r="N21" i="8" s="1"/>
  <c r="H8" i="8"/>
  <c r="N8" i="8" s="1"/>
  <c r="H15" i="8"/>
  <c r="H20" i="8"/>
  <c r="N20" i="8" s="1"/>
  <c r="E11" i="8"/>
  <c r="H12" i="8"/>
  <c r="N12" i="8" s="1"/>
  <c r="E28" i="8"/>
  <c r="I343" i="1"/>
  <c r="K34" i="8" s="1"/>
  <c r="H7" i="8"/>
  <c r="N7" i="8" s="1"/>
  <c r="E29" i="8"/>
  <c r="E30" i="8"/>
  <c r="E31" i="8"/>
  <c r="E32" i="8"/>
  <c r="J270" i="1"/>
  <c r="L27" i="8" s="1"/>
  <c r="J357" i="1"/>
  <c r="L34" i="8" s="1"/>
  <c r="E8" i="8"/>
  <c r="E10" i="8"/>
  <c r="H16" i="8"/>
  <c r="N16" i="8" s="1"/>
  <c r="I256" i="1"/>
  <c r="K27" i="8" s="1"/>
  <c r="E42" i="8"/>
  <c r="E43" i="8"/>
  <c r="E44" i="8"/>
  <c r="E35" i="8"/>
  <c r="E36" i="8"/>
  <c r="E37" i="8"/>
  <c r="E38" i="8"/>
  <c r="E39" i="8"/>
  <c r="E40" i="8"/>
  <c r="E45" i="8"/>
  <c r="J28" i="8"/>
  <c r="J37" i="8"/>
  <c r="H29" i="8"/>
  <c r="N29" i="8" s="1"/>
  <c r="N130" i="2"/>
  <c r="I356" i="2"/>
  <c r="K22" i="8" s="1"/>
  <c r="N552" i="2"/>
  <c r="N391" i="2"/>
  <c r="N392" i="2" s="1"/>
  <c r="I506" i="2"/>
  <c r="K26" i="8" s="1"/>
  <c r="I805" i="2"/>
  <c r="K37" i="8" s="1"/>
  <c r="I868" i="2"/>
  <c r="N851" i="2" s="1"/>
  <c r="E13" i="8"/>
  <c r="E15" i="8"/>
  <c r="E41" i="8"/>
  <c r="I718" i="2"/>
  <c r="K33" i="8" s="1"/>
  <c r="I758" i="2"/>
  <c r="K35" i="8" s="1"/>
  <c r="I826" i="2"/>
  <c r="K38" i="8" s="1"/>
  <c r="J46" i="8"/>
  <c r="H46" i="8" s="1"/>
  <c r="N46" i="8" s="1"/>
  <c r="N992" i="2"/>
  <c r="I442" i="2"/>
  <c r="K24" i="8" s="1"/>
  <c r="J44" i="8"/>
  <c r="N589" i="2"/>
  <c r="K30" i="8"/>
  <c r="H30" i="8" s="1"/>
  <c r="N30" i="8" s="1"/>
  <c r="J33" i="8"/>
  <c r="J35" i="8"/>
  <c r="J38" i="8"/>
  <c r="J43" i="8"/>
  <c r="H14" i="8"/>
  <c r="N14" i="8" s="1"/>
  <c r="E14" i="1"/>
  <c r="N2" i="1" s="1"/>
  <c r="N5" i="1" s="1"/>
  <c r="N628" i="2"/>
  <c r="J31" i="8"/>
  <c r="H31" i="8" s="1"/>
  <c r="N31" i="8" s="1"/>
  <c r="J39" i="8"/>
  <c r="N960" i="2"/>
  <c r="K45" i="8"/>
  <c r="H45" i="8" s="1"/>
  <c r="N45" i="8" s="1"/>
  <c r="C129" i="1"/>
  <c r="E129" i="1" s="1"/>
  <c r="C131" i="1"/>
  <c r="E131" i="1" s="1"/>
  <c r="N348" i="2"/>
  <c r="N349" i="2" s="1"/>
  <c r="N431" i="2"/>
  <c r="N432" i="2" s="1"/>
  <c r="E17" i="8"/>
  <c r="E18" i="8"/>
  <c r="E19" i="8"/>
  <c r="E22" i="8"/>
  <c r="E23" i="8"/>
  <c r="E24" i="8"/>
  <c r="E25" i="8"/>
  <c r="J88" i="10"/>
  <c r="N22" i="10"/>
  <c r="N662" i="2" l="1"/>
  <c r="N42" i="11"/>
  <c r="C11" i="10" s="1"/>
  <c r="E11" i="10" s="1"/>
  <c r="N79" i="11"/>
  <c r="H52" i="8"/>
  <c r="K25" i="8"/>
  <c r="H25" i="8" s="1"/>
  <c r="N25" i="8" s="1"/>
  <c r="N382" i="2"/>
  <c r="N385" i="2" s="1"/>
  <c r="N891" i="2"/>
  <c r="N894" i="2" s="1"/>
  <c r="H27" i="8"/>
  <c r="N27" i="8" s="1"/>
  <c r="H50" i="8"/>
  <c r="H51" i="8"/>
  <c r="N2" i="11"/>
  <c r="N5" i="11" s="1"/>
  <c r="C10" i="10" s="1"/>
  <c r="E10" i="10" s="1"/>
  <c r="N190" i="11"/>
  <c r="N193" i="11" s="1"/>
  <c r="N114" i="11"/>
  <c r="C13" i="10" s="1"/>
  <c r="E13" i="10" s="1"/>
  <c r="H55" i="8"/>
  <c r="H53" i="8"/>
  <c r="C14" i="10"/>
  <c r="E14" i="10" s="1"/>
  <c r="N154" i="11"/>
  <c r="C12" i="10"/>
  <c r="E12" i="10" s="1"/>
  <c r="N82" i="11"/>
  <c r="N809" i="2"/>
  <c r="N812" i="2" s="1"/>
  <c r="N489" i="2"/>
  <c r="N492" i="2" s="1"/>
  <c r="N872" i="2"/>
  <c r="N875" i="2" s="1"/>
  <c r="K40" i="8"/>
  <c r="H40" i="8" s="1"/>
  <c r="N40" i="8" s="1"/>
  <c r="N511" i="2"/>
  <c r="N514" i="2" s="1"/>
  <c r="J23" i="8"/>
  <c r="H23" i="8" s="1"/>
  <c r="N23" i="8" s="1"/>
  <c r="N830" i="2"/>
  <c r="C290" i="1" s="1"/>
  <c r="E290" i="1" s="1"/>
  <c r="H39" i="8"/>
  <c r="N39" i="8" s="1"/>
  <c r="N742" i="2"/>
  <c r="C286" i="1" s="1"/>
  <c r="E286" i="1" s="1"/>
  <c r="H28" i="8"/>
  <c r="N28" i="8" s="1"/>
  <c r="N929" i="2"/>
  <c r="N932" i="2" s="1"/>
  <c r="H44" i="8"/>
  <c r="N44" i="8" s="1"/>
  <c r="E82" i="1"/>
  <c r="N71" i="1" s="1"/>
  <c r="N74" i="1" s="1"/>
  <c r="K36" i="8"/>
  <c r="H36" i="8" s="1"/>
  <c r="N36" i="8" s="1"/>
  <c r="H35" i="8"/>
  <c r="N35" i="8" s="1"/>
  <c r="E132" i="1"/>
  <c r="N120" i="1" s="1"/>
  <c r="N123" i="1" s="1"/>
  <c r="H38" i="8"/>
  <c r="N38" i="8" s="1"/>
  <c r="N910" i="2"/>
  <c r="N913" i="2" s="1"/>
  <c r="H43" i="8"/>
  <c r="N43" i="8" s="1"/>
  <c r="H26" i="8"/>
  <c r="N26" i="8" s="1"/>
  <c r="H34" i="8"/>
  <c r="N34" i="8" s="1"/>
  <c r="H37" i="8"/>
  <c r="N37" i="8" s="1"/>
  <c r="N788" i="2"/>
  <c r="H33" i="8"/>
  <c r="N33" i="8" s="1"/>
  <c r="C229" i="1"/>
  <c r="E229" i="1" s="1"/>
  <c r="N555" i="2"/>
  <c r="C230" i="1"/>
  <c r="E230" i="1" s="1"/>
  <c r="N702" i="2"/>
  <c r="C234" i="1" s="1"/>
  <c r="E234" i="1" s="1"/>
  <c r="N995" i="2"/>
  <c r="C297" i="1"/>
  <c r="E297" i="1" s="1"/>
  <c r="J22" i="8"/>
  <c r="J48" i="8" s="1"/>
  <c r="N339" i="2"/>
  <c r="N342" i="2" s="1"/>
  <c r="C298" i="1"/>
  <c r="E298" i="1" s="1"/>
  <c r="N631" i="2"/>
  <c r="C232" i="1"/>
  <c r="E232" i="1" s="1"/>
  <c r="N770" i="2"/>
  <c r="C287" i="1"/>
  <c r="E287" i="1" s="1"/>
  <c r="J24" i="8"/>
  <c r="H24" i="8" s="1"/>
  <c r="N24" i="8" s="1"/>
  <c r="N422" i="2"/>
  <c r="N425" i="2" s="1"/>
  <c r="N854" i="2"/>
  <c r="C291" i="1"/>
  <c r="E291" i="1" s="1"/>
  <c r="C231" i="1"/>
  <c r="E231" i="1" s="1"/>
  <c r="N592" i="2"/>
  <c r="C296" i="1"/>
  <c r="E296" i="1" s="1"/>
  <c r="N963" i="2"/>
  <c r="C233" i="1"/>
  <c r="E233" i="1" s="1"/>
  <c r="N665" i="2"/>
  <c r="C15" i="10" l="1"/>
  <c r="E15" i="10" s="1"/>
  <c r="E16" i="10" s="1"/>
  <c r="N2" i="10" s="1"/>
  <c r="N5" i="10" s="1"/>
  <c r="N45" i="11"/>
  <c r="C289" i="1"/>
  <c r="E289" i="1" s="1"/>
  <c r="C293" i="1"/>
  <c r="E293" i="1" s="1"/>
  <c r="N745" i="2"/>
  <c r="C292" i="1"/>
  <c r="E292" i="1" s="1"/>
  <c r="N117" i="11"/>
  <c r="C295" i="1"/>
  <c r="E295" i="1" s="1"/>
  <c r="N833" i="2"/>
  <c r="C294" i="1"/>
  <c r="E294" i="1" s="1"/>
  <c r="N705" i="2"/>
  <c r="C288" i="1"/>
  <c r="E288" i="1" s="1"/>
  <c r="N791" i="2"/>
  <c r="E235" i="1"/>
  <c r="N221" i="1" s="1"/>
  <c r="N224" i="1" s="1"/>
  <c r="H22" i="8"/>
  <c r="N22" i="8" s="1"/>
  <c r="N48" i="8" s="1"/>
  <c r="E299" i="1" l="1"/>
  <c r="N278" i="1" s="1"/>
  <c r="N281" i="1" s="1"/>
</calcChain>
</file>

<file path=xl/sharedStrings.xml><?xml version="1.0" encoding="utf-8"?>
<sst xmlns="http://schemas.openxmlformats.org/spreadsheetml/2006/main" count="3937" uniqueCount="604">
  <si>
    <t>University</t>
  </si>
  <si>
    <t>Ecole Cenrale de Lyon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</si>
  <si>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</si>
  <si>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</si>
  <si>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</si>
  <si>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</si>
  <si>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</si>
  <si>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</si>
  <si>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</si>
  <si>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</si>
  <si>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</si>
  <si>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</si>
  <si>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</si>
  <si>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</si>
  <si>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</si>
  <si>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</si>
  <si>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</si>
  <si>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</si>
  <si>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</si>
  <si>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</si>
  <si>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</si>
  <si>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</si>
  <si>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</si>
  <si>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</si>
  <si>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</si>
  <si>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</si>
  <si>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</si>
  <si>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</si>
  <si>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</si>
  <si>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</si>
  <si>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</si>
  <si>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</si>
  <si>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</si>
  <si>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</si>
  <si>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</si>
  <si>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</si>
  <si>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</si>
  <si>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</si>
  <si>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</si>
  <si>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</si>
  <si>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</si>
  <si>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</si>
  <si>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</si>
  <si>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</si>
  <si>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</si>
  <si>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</si>
  <si>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</si>
  <si>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</si>
  <si>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Déscription brève de la pièce</t>
  </si>
  <si>
    <t>Stock material for part</t>
  </si>
  <si>
    <t>Machining Setup, Install and remove</t>
  </si>
  <si>
    <t>Setup for laser cutting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</si>
  <si>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</si>
  <si>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</si>
  <si>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</si>
  <si>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</si>
  <si>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</si>
  <si>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</si>
  <si>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</si>
  <si>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</si>
  <si>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</si>
  <si>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</si>
  <si>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</si>
  <si>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</si>
  <si>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</si>
  <si>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</si>
  <si>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</si>
  <si>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</si>
  <si>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</si>
  <si>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</si>
  <si>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</si>
  <si>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</si>
  <si>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</si>
  <si>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FS</t>
  </si>
  <si>
    <t>081</t>
  </si>
  <si>
    <t>Ecole Centrale Lyon</t>
  </si>
  <si>
    <t>EN 02002</t>
  </si>
  <si>
    <t>EN 02001</t>
  </si>
  <si>
    <t>EN 01001</t>
  </si>
  <si>
    <t>EN A0002</t>
  </si>
  <si>
    <t>EN A0001</t>
  </si>
  <si>
    <t>Engine and Drivetrain</t>
  </si>
  <si>
    <t>EN A0005</t>
  </si>
  <si>
    <t>Air Intake System</t>
  </si>
  <si>
    <t>Bottom plenum</t>
  </si>
  <si>
    <t>Upper plenum</t>
  </si>
  <si>
    <t>Upper pipes</t>
  </si>
  <si>
    <t>Pipes</t>
  </si>
  <si>
    <t>Obstruction plate</t>
  </si>
  <si>
    <t>Plenum Mount</t>
  </si>
  <si>
    <t>EN 05001</t>
  </si>
  <si>
    <t>Aluminium, Normal</t>
  </si>
  <si>
    <t>kg</t>
  </si>
  <si>
    <t>rectangular aera, 304x300 mm</t>
  </si>
  <si>
    <t>Laser cut</t>
  </si>
  <si>
    <t>Upper Plenum</t>
  </si>
  <si>
    <t>EN 05002</t>
  </si>
  <si>
    <t>The upper part of the plenum</t>
  </si>
  <si>
    <t>Rapid Prototype - Plastic</t>
  </si>
  <si>
    <t>Plastic, Nylon</t>
  </si>
  <si>
    <t>EN 02003</t>
  </si>
  <si>
    <t>Upper Pipes</t>
  </si>
  <si>
    <t>Obstruction Plate</t>
  </si>
  <si>
    <t>Aluminium, Normal (per kg)</t>
  </si>
  <si>
    <t>rectangular aera, 80x53 mm</t>
  </si>
  <si>
    <t>EN 05006</t>
  </si>
  <si>
    <t>EN 05005</t>
  </si>
  <si>
    <t>Steel, Mild</t>
  </si>
  <si>
    <t>rectangular aera, 115x10 mm</t>
  </si>
  <si>
    <t>Sheet metal bends</t>
  </si>
  <si>
    <t>2 part cut from a single machine setup</t>
  </si>
  <si>
    <t>Material - Steel</t>
  </si>
  <si>
    <t>bend</t>
  </si>
  <si>
    <t>Throttle body</t>
  </si>
  <si>
    <t>EN A0006</t>
  </si>
  <si>
    <t>EN 05003</t>
  </si>
  <si>
    <t>EN 05004</t>
  </si>
  <si>
    <t>Differential</t>
  </si>
  <si>
    <t>Différentiel</t>
  </si>
  <si>
    <t>Housing</t>
  </si>
  <si>
    <t>Bearing carrier</t>
  </si>
  <si>
    <t>Tie rod support</t>
  </si>
  <si>
    <t>bearing carrier tab</t>
  </si>
  <si>
    <t>Bearing, Ball, Radial</t>
  </si>
  <si>
    <t>Right differential bearing</t>
  </si>
  <si>
    <t>Left differential bearing</t>
  </si>
  <si>
    <t>Fluid, Oil</t>
  </si>
  <si>
    <t>Differential oil</t>
  </si>
  <si>
    <t>liter</t>
  </si>
  <si>
    <t>Paint</t>
  </si>
  <si>
    <t>m²</t>
  </si>
  <si>
    <t>Internals</t>
  </si>
  <si>
    <t>Weld</t>
  </si>
  <si>
    <t>Weld tabs to frame</t>
  </si>
  <si>
    <t>Aerosol Apply</t>
  </si>
  <si>
    <t>Paint tabs</t>
  </si>
  <si>
    <t>m^2</t>
  </si>
  <si>
    <t>Assemble, 3 kg, Interference</t>
  </si>
  <si>
    <t>Assemble the housing and the bearings</t>
  </si>
  <si>
    <t>Assemble, 1 kg, Interference</t>
  </si>
  <si>
    <t>Assemble the bearing carriers and the bearings</t>
  </si>
  <si>
    <t>Assemble, 3 kg, Line-on-Line</t>
  </si>
  <si>
    <t>Put the bearing carriers and tabs in place</t>
  </si>
  <si>
    <t>Ratchet &lt;=25.4 mm</t>
  </si>
  <si>
    <t>Bolt the  bearing carriers to tabs</t>
  </si>
  <si>
    <t>Reaction Tool &lt;= 25.4 mm</t>
  </si>
  <si>
    <t>Assemble,1kg, Loose</t>
  </si>
  <si>
    <t>Put the tie rods supports in place</t>
  </si>
  <si>
    <t>Ratchet &lt;= 6.35 mm</t>
  </si>
  <si>
    <t>Bolt the tie rods supports to the baring carriers</t>
  </si>
  <si>
    <t>Reaction Tool &lt;= 6.35 mm</t>
  </si>
  <si>
    <t>Bolt, Grade 8.8 (SAE 5)</t>
  </si>
  <si>
    <t>Assemble bearing carriers and tabs</t>
  </si>
  <si>
    <t>Assemble bearing carrier and tie rods supports</t>
  </si>
  <si>
    <t>Turnbuckle</t>
  </si>
  <si>
    <t>vis-en-lanterne, biellette</t>
  </si>
  <si>
    <t>Tie rod tab</t>
  </si>
  <si>
    <t>Threaded tube</t>
  </si>
  <si>
    <t>Tie rod spacer</t>
  </si>
  <si>
    <t>Rod End, Industrial</t>
  </si>
  <si>
    <t>Male left threads rod end</t>
  </si>
  <si>
    <t>Male right threads rod end</t>
  </si>
  <si>
    <t>Assemble, 1 kg, Line-on-Line</t>
  </si>
  <si>
    <t>Put nuts on rod ends</t>
  </si>
  <si>
    <t>Put rod ends on threaded tube</t>
  </si>
  <si>
    <t>Wrench &lt;= 25.4 mm</t>
  </si>
  <si>
    <t xml:space="preserve">Tighten the nut to the tube </t>
  </si>
  <si>
    <t>Tighten the nut to the tube</t>
  </si>
  <si>
    <t>Assemble, 1 kg, Loose</t>
  </si>
  <si>
    <t>Put tie rod on tie rod support and spacers</t>
  </si>
  <si>
    <t>Ratchet &lt;= 25.4 mm</t>
  </si>
  <si>
    <t>Put the M8 bolt</t>
  </si>
  <si>
    <t>Put the M8 nut</t>
  </si>
  <si>
    <t>Put tie rod on tab with spacers</t>
  </si>
  <si>
    <t>Driveshaft</t>
  </si>
  <si>
    <t>EN A0003</t>
  </si>
  <si>
    <t>Inboard tripod housing</t>
  </si>
  <si>
    <t>Outboard tripod housing</t>
  </si>
  <si>
    <t>Right axle</t>
  </si>
  <si>
    <t>Left axle</t>
  </si>
  <si>
    <t>Constant Velocity Joint, Tripod</t>
  </si>
  <si>
    <t>Tripod for driveshaft</t>
  </si>
  <si>
    <t>Constant Velocity Joint, Boot</t>
  </si>
  <si>
    <t>Boot for driveshaft</t>
  </si>
  <si>
    <t>Assemble a tripod housing and the differential</t>
  </si>
  <si>
    <t>Fasten the differential and a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</si>
  <si>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</si>
  <si>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</si>
  <si>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</si>
  <si>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</si>
  <si>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</si>
  <si>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an tripod housing</t>
  </si>
  <si>
    <t>Assemble a tripod housing and a hub</t>
  </si>
  <si>
    <t>Assemble a hose clamp and an axle</t>
  </si>
  <si>
    <t>Assemble a hose clamp and an tripod housing</t>
  </si>
  <si>
    <t>Bolt tripod housing to hub</t>
  </si>
  <si>
    <t>Retaining Ring, R-ring</t>
  </si>
  <si>
    <t>Snap ring for retaining tripods</t>
  </si>
  <si>
    <t>Hose Clamp, Spring Steel</t>
  </si>
  <si>
    <t>fasten the boot</t>
  </si>
  <si>
    <t>Assemble the tripod housings and the differential</t>
  </si>
  <si>
    <t>Nut, Grade NAS 6-Point</t>
  </si>
  <si>
    <t>Fasten the tripod housing and the hub</t>
  </si>
  <si>
    <t>Chain set</t>
  </si>
  <si>
    <t>Front sprocket</t>
  </si>
  <si>
    <t>Rear sprocket</t>
  </si>
  <si>
    <t>Rear sprocket adapter</t>
  </si>
  <si>
    <t>Rear sprocket spacer</t>
  </si>
  <si>
    <t>Chain</t>
  </si>
  <si>
    <t xml:space="preserve">520 Chain </t>
  </si>
  <si>
    <t>Weld lower chain shield to frame</t>
  </si>
  <si>
    <t>Put the rear sprocket adapter on the differential</t>
  </si>
  <si>
    <t>Put the retaining ring in the groove</t>
  </si>
  <si>
    <t>Put spacers on adapter</t>
  </si>
  <si>
    <t>Put rear sprocket on adapter</t>
  </si>
  <si>
    <t>Bolt rear sprocket to adapter</t>
  </si>
  <si>
    <t>Put the front sprocket in place</t>
  </si>
  <si>
    <t>Bolt front sprocket to engine</t>
  </si>
  <si>
    <t>Assemble, 5 kg, Line-on-Line</t>
  </si>
  <si>
    <t>Put chain in place</t>
  </si>
  <si>
    <t>Adjustment - Misc.</t>
  </si>
  <si>
    <t>Chain tension</t>
  </si>
  <si>
    <t>Put the upper chain shield</t>
  </si>
  <si>
    <t>Bolt upper chain shield to lower chain shield</t>
  </si>
  <si>
    <t>Put the upper chain shield on the engine</t>
  </si>
  <si>
    <t>Bolt upper chain shield to engine</t>
  </si>
  <si>
    <t>Bolt, Grade 12.9</t>
  </si>
  <si>
    <t>Assemble the rear sprocket with the adapter</t>
  </si>
  <si>
    <t>Assemble the upper chain shield with the lower</t>
  </si>
  <si>
    <t>Assemble the upper chain shield with the engine</t>
  </si>
  <si>
    <t>Assemble the front sprocket with the engine</t>
  </si>
  <si>
    <t>Hold the rear sprocket adapter in place on the differential</t>
  </si>
  <si>
    <t>EN A0004</t>
  </si>
  <si>
    <t>bought, cost as made</t>
  </si>
  <si>
    <t>Aluminium, Premium</t>
  </si>
  <si>
    <t>Material for differential housing</t>
  </si>
  <si>
    <t>Round 102mm diam.</t>
  </si>
  <si>
    <t>Material for differential housing cover</t>
  </si>
  <si>
    <t>Material for differential cover</t>
  </si>
  <si>
    <t>Seal, O-ring, Elastomer</t>
  </si>
  <si>
    <t>Setup and removal of the machining of the differential housing</t>
  </si>
  <si>
    <t>Machining</t>
  </si>
  <si>
    <t>Machining of the diffrential housing</t>
  </si>
  <si>
    <t>cm^3</t>
  </si>
  <si>
    <t>Material - Aluminium</t>
  </si>
  <si>
    <t>Tapping holes</t>
  </si>
  <si>
    <t>Tapped holes for the differential housing</t>
  </si>
  <si>
    <t>hole</t>
  </si>
  <si>
    <t>Tapped holes for the drain screw of the differential housing</t>
  </si>
  <si>
    <t>Setup and removal of the machining of the differential housing cover</t>
  </si>
  <si>
    <t>Machining of the diffrential housing cover</t>
  </si>
  <si>
    <t>Drilled holles &lt;25,4mm dia</t>
  </si>
  <si>
    <t>hole for the differential housing cover</t>
  </si>
  <si>
    <t>Broach, External</t>
  </si>
  <si>
    <t>Broach of the housing cover</t>
  </si>
  <si>
    <t>Setup and removal of the machining</t>
  </si>
  <si>
    <t>Machining of the differential cover</t>
  </si>
  <si>
    <t>hole for the differential cover</t>
  </si>
  <si>
    <t>Assemble the three parts and the two seals</t>
  </si>
  <si>
    <t>Assemble the three parts</t>
  </si>
  <si>
    <t>Bolt the drain screws to housing</t>
  </si>
  <si>
    <t>Bolt, Grade 12,9</t>
  </si>
  <si>
    <t>Assemble of the three parts</t>
  </si>
  <si>
    <t>Washer, Grade 12,9</t>
  </si>
  <si>
    <t>Bolt, Grade 10,9</t>
  </si>
  <si>
    <t>Drain screw</t>
  </si>
  <si>
    <t>Crush Washer</t>
  </si>
  <si>
    <t>Copper washer for impermeability of the differential</t>
  </si>
  <si>
    <t>Bearing Carrier</t>
  </si>
  <si>
    <t>EN 01002</t>
  </si>
  <si>
    <t>Material for the bearing carrier</t>
  </si>
  <si>
    <t>m</t>
  </si>
  <si>
    <t>Rectangular area 231mm x 118 mm</t>
  </si>
  <si>
    <t>Setup and removal for laser cutting</t>
  </si>
  <si>
    <t>Main shape contouring and holes for bolts</t>
  </si>
  <si>
    <t>Setup and removal for machining</t>
  </si>
  <si>
    <t>Reemed hole</t>
  </si>
  <si>
    <t>Hole for bearing insertion</t>
  </si>
  <si>
    <t>EN 01003</t>
  </si>
  <si>
    <t>Steel,mild</t>
  </si>
  <si>
    <t>Material for the tie rod support</t>
  </si>
  <si>
    <t>Rectangular area 63mm x 63mm</t>
  </si>
  <si>
    <t>4 parts cut from a single machine setup</t>
  </si>
  <si>
    <t>Cut shape outline</t>
  </si>
  <si>
    <t>EN 01004</t>
  </si>
  <si>
    <t>Material for the tab</t>
  </si>
  <si>
    <t>Rectangular area 43mm x 33mm</t>
  </si>
  <si>
    <t>Shaping of the tab</t>
  </si>
  <si>
    <t>Material-Steel</t>
  </si>
  <si>
    <t>Engine and drivetrain</t>
  </si>
  <si>
    <t>Tube</t>
  </si>
  <si>
    <t>Round diameter 17 mm</t>
  </si>
  <si>
    <t>Shaping of the threaded tube</t>
  </si>
  <si>
    <t>Threading, internal</t>
  </si>
  <si>
    <t>Threading for the rod ends</t>
  </si>
  <si>
    <t>Cylinder 20 mm diameter</t>
  </si>
  <si>
    <t>8 parts made from a single machining setup</t>
  </si>
  <si>
    <t>Shaping of the spacer</t>
  </si>
  <si>
    <t>Material-Aluminium</t>
  </si>
  <si>
    <t>EN 03001</t>
  </si>
  <si>
    <t>Bought part, cost as made</t>
  </si>
  <si>
    <t>Steel, Alloy</t>
  </si>
  <si>
    <t>Material for the inboard tripod housing</t>
  </si>
  <si>
    <t>Round 65,5mm diam.</t>
  </si>
  <si>
    <t>Setup and removal of the machining of the tripod housing</t>
  </si>
  <si>
    <t>Shaping of the tripod housing</t>
  </si>
  <si>
    <t>Setup and removal of the broach of the tripod housing</t>
  </si>
  <si>
    <t>Broach of the tripod housing</t>
  </si>
  <si>
    <t>EN 03002</t>
  </si>
  <si>
    <t>Material for the tripod housing</t>
  </si>
  <si>
    <t xml:space="preserve">Round 65,5mm diam. </t>
  </si>
  <si>
    <t>Setup and removal of the threading of the tripod housing</t>
  </si>
  <si>
    <t>Threading, External (machining)</t>
  </si>
  <si>
    <t>Threading of the tripod housing</t>
  </si>
  <si>
    <t>EN 03003</t>
  </si>
  <si>
    <t>Material for driveshaft axle</t>
  </si>
  <si>
    <t>Round 24mm diam.</t>
  </si>
  <si>
    <t>Setup and removal of the machining of the axle</t>
  </si>
  <si>
    <t>Shaping of the axle</t>
  </si>
  <si>
    <t>Setup and removal of the broach of the axle</t>
  </si>
  <si>
    <t>Broach of the axle</t>
  </si>
  <si>
    <t>EN 03004</t>
  </si>
  <si>
    <t>EN 04001</t>
  </si>
  <si>
    <t>EN 04002</t>
  </si>
  <si>
    <t>EN 04003</t>
  </si>
  <si>
    <t>EN 04005</t>
  </si>
  <si>
    <t>EN 04004</t>
  </si>
  <si>
    <t>Tabs</t>
  </si>
  <si>
    <t>Fraction Included</t>
  </si>
  <si>
    <t>Material for front sprocket</t>
  </si>
  <si>
    <t>Round 95mm</t>
  </si>
  <si>
    <t>Setup and removal of the machining of the sprocket</t>
  </si>
  <si>
    <t>Shaping of the sprocket</t>
  </si>
  <si>
    <t>Machinig Setup, Install and remove</t>
  </si>
  <si>
    <t>Setup and removal of the broach of the sprocket</t>
  </si>
  <si>
    <t>Broach, Internal</t>
  </si>
  <si>
    <t>Broach of the sprocket</t>
  </si>
  <si>
    <t>Round 230mm</t>
  </si>
  <si>
    <t>Material for the adapter</t>
  </si>
  <si>
    <t>Round 183mm</t>
  </si>
  <si>
    <t>Setup and removal of the machining of the adapter</t>
  </si>
  <si>
    <t>Shaping of the adapter</t>
  </si>
  <si>
    <t>Machining Setup, Change</t>
  </si>
  <si>
    <t>Setup for machining the other side of the adapter</t>
  </si>
  <si>
    <t>Shaping of the other side of the adapter</t>
  </si>
  <si>
    <t>Drilled holes &lt; 25.4 mm dia.</t>
  </si>
  <si>
    <t>Hole for the rear sprocket</t>
  </si>
  <si>
    <t>Setup and removal of the broach of the adapter</t>
  </si>
  <si>
    <t>Broach of the adapter</t>
  </si>
  <si>
    <t>Round diameter 18 mm</t>
  </si>
  <si>
    <t>6 parts made from a single machine setup</t>
  </si>
  <si>
    <t>Rectangular area 77mm x 3mm</t>
  </si>
  <si>
    <t>Setup and removal of the machining of the shield</t>
  </si>
  <si>
    <t>Bend to shape</t>
  </si>
  <si>
    <t>Hole for the lower chain shield</t>
  </si>
  <si>
    <t>Material for the chain shield</t>
  </si>
  <si>
    <t>Shaping of the chain shield</t>
  </si>
  <si>
    <t>chain shield</t>
  </si>
  <si>
    <t>Hose, Rubber</t>
  </si>
  <si>
    <t>Rubber brushing</t>
  </si>
  <si>
    <t>Assemble, 1kg, Line-on-line</t>
  </si>
  <si>
    <t>Assemble pipes and bottom plenum</t>
  </si>
  <si>
    <t>Ratchet &lt;= 6,35 mm</t>
  </si>
  <si>
    <t>Tighten parts together</t>
  </si>
  <si>
    <t>Reaction tool &lt;= 6,35 mm</t>
  </si>
  <si>
    <t>Reaction for process 20</t>
  </si>
  <si>
    <t>Assemble upper plenum, bottom 
plenum and uper pipes</t>
  </si>
  <si>
    <t>Assemble rubber brushing to engine</t>
  </si>
  <si>
    <t>Assemble, 1kg, Interference</t>
  </si>
  <si>
    <t>Assemble, 1kg, loose</t>
  </si>
  <si>
    <t>Put clamp on brushing</t>
  </si>
  <si>
    <t>Assemble pipes on rubber brushing</t>
  </si>
  <si>
    <t>Screwdriver &gt; 1Turn</t>
  </si>
  <si>
    <t>Tighten hose clamp</t>
  </si>
  <si>
    <t>Power Tool, &lt; 6,35mm</t>
  </si>
  <si>
    <t>Tighten obstruction plate with engine</t>
  </si>
  <si>
    <t>Tighten plenum mount with obstruction plate</t>
  </si>
  <si>
    <t>Tighten plenum mount with pipes</t>
  </si>
  <si>
    <t>Reaction for process 130</t>
  </si>
  <si>
    <t>Bolt,Grade 8.8 (SAE 5)</t>
  </si>
  <si>
    <t>M4 bolt for process 20</t>
  </si>
  <si>
    <t>M4 nut for process 20</t>
  </si>
  <si>
    <t>M4 washer for process 20</t>
  </si>
  <si>
    <t>M6 bolt for process 80</t>
  </si>
  <si>
    <t>M6 bolt for process 90</t>
  </si>
  <si>
    <t>M6 nut for process 90</t>
  </si>
  <si>
    <t>M6 washer for process 90</t>
  </si>
  <si>
    <t>Hose Clamp, Miniature Bolt</t>
  </si>
  <si>
    <t>Clamp for process 40</t>
  </si>
  <si>
    <t>M6 bolt for process 50</t>
  </si>
  <si>
    <t>M6 nut for process 50</t>
  </si>
  <si>
    <t>M6 washer for process 50</t>
  </si>
  <si>
    <t>Air Intake assembly</t>
  </si>
  <si>
    <t>Throttle Frange</t>
  </si>
  <si>
    <t>Restrictor</t>
  </si>
  <si>
    <t>Throttle Housing</t>
  </si>
  <si>
    <t>Throttle Axle</t>
  </si>
  <si>
    <t>TPS Axle</t>
  </si>
  <si>
    <t>Cable Housing</t>
  </si>
  <si>
    <t>Axle Stop</t>
  </si>
  <si>
    <t>Ram pipe</t>
  </si>
  <si>
    <t>Throttle Plate</t>
  </si>
  <si>
    <t>Mount 1</t>
  </si>
  <si>
    <t>Mount 2</t>
  </si>
  <si>
    <t>Hose Clip</t>
  </si>
  <si>
    <t>Throttle Body</t>
  </si>
  <si>
    <t>EN 06001</t>
  </si>
  <si>
    <t>Bought, cost as made</t>
  </si>
  <si>
    <t>Aluminium, normal</t>
  </si>
  <si>
    <t>Rectangular aera,  40*20mm</t>
  </si>
  <si>
    <t>Drillet holes &lt;25,4mm dia.</t>
  </si>
  <si>
    <t xml:space="preserve">Machining </t>
  </si>
  <si>
    <t>Aluminium</t>
  </si>
  <si>
    <t>EN 06002</t>
  </si>
  <si>
    <t>Round diam 42 mm</t>
  </si>
  <si>
    <t>Cut out shape</t>
  </si>
  <si>
    <t>Aluminum</t>
  </si>
  <si>
    <t>Machining, setup, change</t>
  </si>
  <si>
    <t>EN 06003</t>
  </si>
  <si>
    <t>Rectangular aera,  45*30mm</t>
  </si>
  <si>
    <t>EN 06004</t>
  </si>
  <si>
    <t>Throttle axle</t>
  </si>
  <si>
    <t>Steel, mild</t>
  </si>
  <si>
    <t>Axle material</t>
  </si>
  <si>
    <t>Round 10mm</t>
  </si>
  <si>
    <t>Material, Steel</t>
  </si>
  <si>
    <t>Setup part for machining 
of the back face</t>
  </si>
  <si>
    <t>Machining of the back face</t>
  </si>
  <si>
    <t>EN 06005</t>
  </si>
  <si>
    <t>TPS axle</t>
  </si>
  <si>
    <t>EN 06006</t>
  </si>
  <si>
    <t>Cable housing</t>
  </si>
  <si>
    <t>Rectangular aera, 60x2 mm</t>
  </si>
  <si>
    <t>Material steel</t>
  </si>
  <si>
    <t>Axle stop</t>
  </si>
  <si>
    <t>EN 06007</t>
  </si>
  <si>
    <t>Round 25mm</t>
  </si>
  <si>
    <t>EN 06008</t>
  </si>
  <si>
    <t>Round 80 mm diam</t>
  </si>
  <si>
    <t>EN 06009</t>
  </si>
  <si>
    <t>Round 32 mm diam</t>
  </si>
  <si>
    <t>EN 06010</t>
  </si>
  <si>
    <t>Rectangular aera,  17x12 mm</t>
  </si>
  <si>
    <t>Outlines</t>
  </si>
  <si>
    <t>2 parts cut from a single machine setup</t>
  </si>
  <si>
    <t>EN 06011</t>
  </si>
  <si>
    <t>Rectangular aera,  86x10mm</t>
  </si>
  <si>
    <t>Drilled holes</t>
  </si>
  <si>
    <t>holes</t>
  </si>
  <si>
    <t>EN 06012</t>
  </si>
  <si>
    <t>EN 06013</t>
  </si>
  <si>
    <t>Hose clip</t>
  </si>
  <si>
    <t>Rectangular aera,  109*10mm</t>
  </si>
  <si>
    <t>Air filter</t>
  </si>
  <si>
    <t>cm^2</t>
  </si>
  <si>
    <t>Tabs painting</t>
  </si>
  <si>
    <t>Spring, Tension (General)</t>
  </si>
  <si>
    <t>Torsion spring</t>
  </si>
  <si>
    <t>Helicoidal spring</t>
  </si>
  <si>
    <t>Sealing with airfilter</t>
  </si>
  <si>
    <t>Sealing with plenum</t>
  </si>
  <si>
    <t>Cable, pull</t>
  </si>
  <si>
    <t>Throttle cable</t>
  </si>
  <si>
    <t>Cable, adjuster</t>
  </si>
  <si>
    <t>Mount, vibrating damping, Sandwich</t>
  </si>
  <si>
    <t>Isolation between throttle and frame</t>
  </si>
  <si>
    <t>Tabs welding</t>
  </si>
  <si>
    <t>Aerosol apply</t>
  </si>
  <si>
    <t>Assemble flange on restrictor</t>
  </si>
  <si>
    <t>Assemble throttle housing on restrictor</t>
  </si>
  <si>
    <t>Assemble ram pipe on restrictor</t>
  </si>
  <si>
    <t>Assemble throttle plate in restrictor</t>
  </si>
  <si>
    <t>Assemble TPS axle</t>
  </si>
  <si>
    <t>Assemble cable housing axle</t>
  </si>
  <si>
    <t>Assemble negative stop</t>
  </si>
  <si>
    <t>Ratchet &lt;= 6,35mm</t>
  </si>
  <si>
    <t>Tighten M5 bolt</t>
  </si>
  <si>
    <t>Reaction tool for M5 nut</t>
  </si>
  <si>
    <t>Reaction tool &lt;=6,35mm</t>
  </si>
  <si>
    <t>Assemble torsion spring</t>
  </si>
  <si>
    <t>Assemble, 1kg, Loose</t>
  </si>
  <si>
    <t>Assemble axle stop</t>
  </si>
  <si>
    <t>Assemble seal on throttle body</t>
  </si>
  <si>
    <t>Assemble throttle body on plenum</t>
  </si>
  <si>
    <t>Tighten M6 bolt</t>
  </si>
  <si>
    <t>Reaction tool for M6 nut</t>
  </si>
  <si>
    <t>Assemble air filter and clamp</t>
  </si>
  <si>
    <t>Screwdriver &lt;1 Turn</t>
  </si>
  <si>
    <t>Tighten clamp</t>
  </si>
  <si>
    <t>Assemble cable adjuster</t>
  </si>
  <si>
    <t>Hand, Loose &lt;=6,35mm</t>
  </si>
  <si>
    <t>Tighten throttle adjuster</t>
  </si>
  <si>
    <t>Assemble cable</t>
  </si>
  <si>
    <t>Assemble hose clip and Mounts</t>
  </si>
  <si>
    <t>Assemble Vibration-Damping, 
Mounts and Tabs</t>
  </si>
  <si>
    <t>Process 90</t>
  </si>
  <si>
    <t>Process 130</t>
  </si>
  <si>
    <t>Process 160</t>
  </si>
  <si>
    <t>Process 190</t>
  </si>
  <si>
    <t>Process 240</t>
  </si>
  <si>
    <t>Process 270</t>
  </si>
  <si>
    <t>Frame and Body</t>
  </si>
  <si>
    <t>Shifter</t>
  </si>
  <si>
    <t>Engine gear box drum gear</t>
  </si>
  <si>
    <t>FR 06001</t>
  </si>
  <si>
    <t>Round 27mm diam</t>
  </si>
  <si>
    <t>Setup for machining</t>
  </si>
  <si>
    <t>Shift star contact</t>
  </si>
  <si>
    <t>Machining Setup and change</t>
  </si>
  <si>
    <t>Screw holes</t>
  </si>
  <si>
    <t>Drilled holes &lt; 25,4 mm diam</t>
  </si>
  <si>
    <t>Gear Shaping (hobbing)</t>
  </si>
  <si>
    <t>Engine gear box shifting, pinion shaft</t>
  </si>
  <si>
    <t>Engine gear box actuator tab</t>
  </si>
  <si>
    <t>FR 06002</t>
  </si>
  <si>
    <t>Material for the tube part</t>
  </si>
  <si>
    <t>Rectangular aera, 23x37 mm</t>
  </si>
  <si>
    <t>Setup for laser cut</t>
  </si>
  <si>
    <t>FR 06003</t>
  </si>
  <si>
    <t>FR 06004</t>
  </si>
  <si>
    <t>Front engine gear box actuator mount</t>
  </si>
  <si>
    <t>Rectangular aera, 104x11 mm</t>
  </si>
  <si>
    <t>Material for part</t>
  </si>
  <si>
    <t>Material - aluminium</t>
  </si>
  <si>
    <t>Sheet metal bend</t>
  </si>
  <si>
    <t>FR 06005</t>
  </si>
  <si>
    <t>Rear gear box actuator mount</t>
  </si>
  <si>
    <t>Rectangular aera, 105x30 mm</t>
  </si>
  <si>
    <t>FR 06006</t>
  </si>
  <si>
    <t>Engine gear box actuator coupling</t>
  </si>
  <si>
    <t>Threading, Internal (machining)</t>
  </si>
  <si>
    <t>Shifting system</t>
  </si>
  <si>
    <t>Protect steel tab from rust</t>
  </si>
  <si>
    <t>Motor, 12 Volt, DC Brushless Servo</t>
  </si>
  <si>
    <t>Engine gearbox actuator (motoreductor)</t>
  </si>
  <si>
    <t>Mount, Vibration-Damping Sandwich</t>
  </si>
  <si>
    <t>Maintain motor to frame</t>
  </si>
  <si>
    <t>Welding gear tab on frame</t>
  </si>
  <si>
    <t>Protect gear tab from rust</t>
  </si>
  <si>
    <t>Power Tool &lt;= 25.4 mm</t>
  </si>
  <si>
    <t>Remove engine case bolts</t>
  </si>
  <si>
    <t>Power Tool &lt;=6,35 mm</t>
  </si>
  <si>
    <t>Remove Clutch pressure bolts</t>
  </si>
  <si>
    <t>Disassemble</t>
  </si>
  <si>
    <t>Remove clutch pressure springs</t>
  </si>
  <si>
    <t>Remove pressure disk assembly</t>
  </si>
  <si>
    <t>Removes clutch disk assembly</t>
  </si>
  <si>
    <t>Remove central clutch nut</t>
  </si>
  <si>
    <t>Remove central clutch assembly</t>
  </si>
  <si>
    <t>Remove clutch guide</t>
  </si>
  <si>
    <t>Remove clutch roller case assembly</t>
  </si>
  <si>
    <t>Remove clutch flywheel</t>
  </si>
  <si>
    <t>Remove shifting shaft retaining bolt</t>
  </si>
  <si>
    <t>Remove shifting shaft retaining plate</t>
  </si>
  <si>
    <t>Assemble, 3kg, Line-on-Line</t>
  </si>
  <si>
    <t>Remove shifting shaft</t>
  </si>
  <si>
    <t>Remove shifting shaft stop</t>
  </si>
  <si>
    <t>Power Tool &lt;= 6.35 mm</t>
  </si>
  <si>
    <t>Remove gearshift drum stopper assembly</t>
  </si>
  <si>
    <t>Remove shift drum stopper assembly</t>
  </si>
  <si>
    <t>Remove shift star bolt</t>
  </si>
  <si>
    <t>Mount gearbox drum gear</t>
  </si>
  <si>
    <t>Tighten shift star bolt</t>
  </si>
  <si>
    <t>Mount retaining ring on shifting pinion shaft</t>
  </si>
  <si>
    <t>Mount washer on shifting pinion shaft</t>
  </si>
  <si>
    <t>Assemble, 1kg, Line-on-Line</t>
  </si>
  <si>
    <t>Mount shifting pinion shaft</t>
  </si>
  <si>
    <t>Mount gearbox actuator coupling</t>
  </si>
  <si>
    <t>Assemble, 3kg, Loose</t>
  </si>
  <si>
    <t>Mount clutch flywheel</t>
  </si>
  <si>
    <t>Mount clutch roller case assembly</t>
  </si>
  <si>
    <t>Mount clutch guide</t>
  </si>
  <si>
    <t>Mount central clutch</t>
  </si>
  <si>
    <t>Mount central clutch washers</t>
  </si>
  <si>
    <t>Tighten central clutch nut</t>
  </si>
  <si>
    <t>Mount clutch disc</t>
  </si>
  <si>
    <t>Mount pressure disk assembly</t>
  </si>
  <si>
    <t>Mount clutch pressure springs</t>
  </si>
  <si>
    <t>Mount clutch pressure bolts</t>
  </si>
  <si>
    <t>Fastener Engagement lenght &gt; 2D</t>
  </si>
  <si>
    <t>Mount engine case</t>
  </si>
  <si>
    <t>Mount engin case bolts</t>
  </si>
  <si>
    <t>Mount front actuator mount</t>
  </si>
  <si>
    <t>Mount rear actuator mount</t>
  </si>
  <si>
    <t>Mount washers on screws</t>
  </si>
  <si>
    <t>Mount nut on screws</t>
  </si>
  <si>
    <t>Hand - Start Only</t>
  </si>
  <si>
    <t>Mount actuator assembly on coupling</t>
  </si>
  <si>
    <t>Mount elastomere on tab</t>
  </si>
  <si>
    <t>Align rear mount with tab</t>
  </si>
  <si>
    <t>Mount washer on elastomere screw</t>
  </si>
  <si>
    <t xml:space="preserve">Wrench &lt;= 6.35 mm </t>
  </si>
  <si>
    <t>Tighten elastomere screw</t>
  </si>
  <si>
    <t>Fastener Engagement lenght &gt; 4D</t>
  </si>
  <si>
    <t>Tighten actuator mount's bolts</t>
  </si>
  <si>
    <t>Reaction Tool &lt;= 6,35 mm</t>
  </si>
  <si>
    <t>Tighten coupling bolts</t>
  </si>
  <si>
    <t>Fasten star gear to the shaft</t>
  </si>
  <si>
    <t>Lock actuator between mount brackets</t>
  </si>
  <si>
    <t>Make contact between mount brackets</t>
  </si>
  <si>
    <t>Retain shifting pinion shaft</t>
  </si>
  <si>
    <t>FR A0006</t>
  </si>
  <si>
    <t>Frame and body</t>
  </si>
  <si>
    <t>Steel,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</si>
</sst>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"/>
    <numFmt numFmtId="175" formatCode="_(* #,##0_);_(* \(#,##0\);_(* &quot;-&quot;??_);_(@_)"/>
    <numFmt numFmtId="176" formatCode="0.000"/>
    <numFmt numFmtId="177" formatCode="&quot;$&quot;#,##0.00"/>
    <numFmt numFmtId="178" formatCode="0.000E+00"/>
    <numFmt numFmtId="179" formatCode="_(* #,##0.0000_);_(* \(#,##0.0000\);_(* &quot;-&quot;??_);_(@_)"/>
    <numFmt numFmtId="180" formatCode="_-* #,##0.000\ _€_-;\-* #,##0.000\ _€_-;_-* &quot;-&quot;??\ _€_-;_-@_-"/>
    <numFmt numFmtId="181" formatCode="_(* #,##0.00000_);_(* \(#,##0.00000\);_(* &quot;-&quot;??_);_(@_)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FF0000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rgb="FFFF99FF"/>
        <bgColor rgb="FFFCD5B5"/>
      </patternFill>
    </fill>
    <fill>
      <patternFill patternType="solid">
        <fgColor rgb="FFFF99FF"/>
        <bgColor rgb="FFFAC090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rgb="FFFAC090"/>
      </patternFill>
    </fill>
  </fills>
  <borders count="5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9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6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177" fontId="24" fillId="0" borderId="1">
      <alignment vertical="center" wrapText="1"/>
    </xf>
    <xf numFmtId="171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92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2" fontId="11" fillId="0" borderId="7" xfId="1" applyNumberFormat="1" applyFont="1" applyFill="1" applyBorder="1" applyAlignment="1">
      <alignment horizontal="right"/>
    </xf>
    <xf numFmtId="172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2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3" xfId="6" applyFill="1" applyBorder="1"/>
    <xf numFmtId="0" fontId="2" fillId="5" borderId="14" xfId="6" applyFill="1" applyBorder="1"/>
    <xf numFmtId="0" fontId="2" fillId="5" borderId="14" xfId="6" quotePrefix="1" applyFill="1" applyBorder="1" applyAlignment="1">
      <alignment horizontal="left"/>
    </xf>
    <xf numFmtId="0" fontId="2" fillId="5" borderId="14" xfId="6" quotePrefix="1" applyFont="1" applyFill="1" applyBorder="1"/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43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37" fontId="4" fillId="0" borderId="16" xfId="0" applyNumberFormat="1" applyFont="1" applyBorder="1"/>
    <xf numFmtId="0" fontId="19" fillId="0" borderId="0" xfId="0" applyFont="1"/>
    <xf numFmtId="0" fontId="18" fillId="0" borderId="0" xfId="8"/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2" fontId="11" fillId="7" borderId="3" xfId="5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2" fontId="11" fillId="7" borderId="3" xfId="1" applyNumberFormat="1" applyFont="1" applyFill="1" applyBorder="1" applyAlignment="1" applyProtection="1">
      <alignment horizontal="center"/>
      <protection locked="0"/>
    </xf>
    <xf numFmtId="2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11" fontId="11" fillId="7" borderId="3" xfId="1" applyNumberFormat="1" applyFont="1" applyFill="1" applyBorder="1" applyAlignment="1" applyProtection="1">
      <protection locked="0"/>
    </xf>
    <xf numFmtId="0" fontId="11" fillId="7" borderId="3" xfId="1" applyFont="1" applyFill="1" applyBorder="1" applyAlignment="1" applyProtection="1">
      <alignment horizontal="center"/>
      <protection locked="0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2" fontId="11" fillId="8" borderId="3" xfId="5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2" fontId="11" fillId="8" borderId="3" xfId="1" applyNumberFormat="1" applyFont="1" applyFill="1" applyBorder="1" applyAlignment="1" applyProtection="1">
      <alignment horizontal="center"/>
      <protection locked="0"/>
    </xf>
    <xf numFmtId="2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3" fillId="11" borderId="16" xfId="0" applyFont="1" applyFill="1" applyBorder="1" applyAlignment="1">
      <alignment horizontal="right"/>
    </xf>
    <xf numFmtId="165" fontId="3" fillId="11" borderId="16" xfId="0" applyNumberFormat="1" applyFont="1" applyFill="1" applyBorder="1"/>
    <xf numFmtId="0" fontId="3" fillId="11" borderId="16" xfId="0" applyFont="1" applyFill="1" applyBorder="1"/>
    <xf numFmtId="0" fontId="3" fillId="11" borderId="0" xfId="0" applyFont="1" applyFill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0" xfId="0" applyNumberFormat="1"/>
    <xf numFmtId="2" fontId="3" fillId="9" borderId="16" xfId="0" applyNumberFormat="1" applyFont="1" applyFill="1" applyBorder="1"/>
    <xf numFmtId="2" fontId="4" fillId="0" borderId="0" xfId="0" applyNumberFormat="1" applyFont="1" applyBorder="1"/>
    <xf numFmtId="2" fontId="0" fillId="0" borderId="0" xfId="0" applyNumberFormat="1" applyBorder="1"/>
    <xf numFmtId="2" fontId="3" fillId="9" borderId="16" xfId="0" applyNumberFormat="1" applyFont="1" applyFill="1" applyBorder="1" applyAlignment="1">
      <alignment horizontal="left"/>
    </xf>
    <xf numFmtId="2" fontId="4" fillId="0" borderId="16" xfId="0" applyNumberFormat="1" applyFont="1" applyBorder="1" applyAlignment="1">
      <alignment horizontal="right"/>
    </xf>
    <xf numFmtId="2" fontId="0" fillId="0" borderId="20" xfId="0" applyNumberFormat="1" applyBorder="1"/>
    <xf numFmtId="2" fontId="18" fillId="0" borderId="0" xfId="8" applyNumberFormat="1"/>
    <xf numFmtId="2" fontId="18" fillId="0" borderId="0" xfId="8" applyNumberFormat="1" applyBorder="1"/>
    <xf numFmtId="2" fontId="3" fillId="9" borderId="2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2" fontId="3" fillId="0" borderId="27" xfId="0" applyNumberFormat="1" applyFont="1" applyBorder="1"/>
    <xf numFmtId="2" fontId="3" fillId="0" borderId="4" xfId="0" applyNumberFormat="1" applyFont="1" applyBorder="1"/>
    <xf numFmtId="2" fontId="3" fillId="9" borderId="28" xfId="0" applyNumberFormat="1" applyFont="1" applyFill="1" applyBorder="1"/>
    <xf numFmtId="2" fontId="3" fillId="9" borderId="5" xfId="0" applyNumberFormat="1" applyFont="1" applyFill="1" applyBorder="1"/>
    <xf numFmtId="2" fontId="3" fillId="9" borderId="3" xfId="0" applyNumberFormat="1" applyFont="1" applyFill="1" applyBorder="1"/>
    <xf numFmtId="2" fontId="4" fillId="0" borderId="3" xfId="0" applyNumberFormat="1" applyFont="1" applyBorder="1" applyAlignment="1" applyProtection="1"/>
    <xf numFmtId="2" fontId="4" fillId="0" borderId="3" xfId="0" applyNumberFormat="1" applyFont="1" applyBorder="1" applyAlignment="1"/>
    <xf numFmtId="2" fontId="0" fillId="0" borderId="3" xfId="0" applyNumberFormat="1" applyBorder="1" applyAlignment="1"/>
    <xf numFmtId="2" fontId="0" fillId="0" borderId="20" xfId="0" applyNumberFormat="1" applyBorder="1" applyAlignment="1"/>
    <xf numFmtId="2" fontId="3" fillId="0" borderId="21" xfId="0" applyNumberFormat="1" applyFont="1" applyBorder="1"/>
    <xf numFmtId="2" fontId="3" fillId="0" borderId="0" xfId="0" applyNumberFormat="1" applyFont="1" applyBorder="1"/>
    <xf numFmtId="2" fontId="3" fillId="9" borderId="3" xfId="0" applyNumberFormat="1" applyFont="1" applyFill="1" applyBorder="1" applyAlignment="1">
      <alignment horizontal="right"/>
    </xf>
    <xf numFmtId="2" fontId="0" fillId="0" borderId="21" xfId="0" applyNumberFormat="1" applyBorder="1"/>
    <xf numFmtId="2" fontId="3" fillId="9" borderId="22" xfId="0" applyNumberFormat="1" applyFont="1" applyFill="1" applyBorder="1"/>
    <xf numFmtId="2" fontId="0" fillId="0" borderId="3" xfId="7" applyNumberFormat="1" applyFont="1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2" fontId="0" fillId="0" borderId="20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2" fontId="3" fillId="9" borderId="5" xfId="0" applyNumberFormat="1" applyFont="1" applyFill="1" applyBorder="1" applyAlignment="1">
      <alignment horizontal="right"/>
    </xf>
    <xf numFmtId="2" fontId="0" fillId="0" borderId="23" xfId="0" applyNumberFormat="1" applyBorder="1"/>
    <xf numFmtId="2" fontId="0" fillId="0" borderId="24" xfId="0" applyNumberFormat="1" applyBorder="1"/>
    <xf numFmtId="2" fontId="0" fillId="10" borderId="24" xfId="0" applyNumberFormat="1" applyFill="1" applyBorder="1"/>
    <xf numFmtId="2" fontId="0" fillId="0" borderId="25" xfId="0" applyNumberFormat="1" applyBorder="1"/>
    <xf numFmtId="2" fontId="0" fillId="10" borderId="18" xfId="0" applyNumberFormat="1" applyFill="1" applyBorder="1"/>
    <xf numFmtId="2" fontId="4" fillId="0" borderId="21" xfId="0" applyNumberFormat="1" applyFont="1" applyBorder="1"/>
    <xf numFmtId="2" fontId="0" fillId="0" borderId="0" xfId="7" applyNumberFormat="1" applyFont="1" applyBorder="1" applyAlignment="1">
      <alignment wrapText="1"/>
    </xf>
    <xf numFmtId="2" fontId="4" fillId="0" borderId="0" xfId="7" applyNumberFormat="1" applyFont="1" applyBorder="1" applyAlignment="1" applyProtection="1"/>
    <xf numFmtId="2" fontId="0" fillId="0" borderId="21" xfId="0" applyNumberFormat="1" applyBorder="1" applyAlignment="1">
      <alignment wrapText="1"/>
    </xf>
    <xf numFmtId="2" fontId="4" fillId="0" borderId="0" xfId="7" applyNumberFormat="1" applyFont="1" applyBorder="1" applyAlignment="1" applyProtection="1">
      <alignment wrapText="1"/>
    </xf>
    <xf numFmtId="173" fontId="4" fillId="0" borderId="3" xfId="9" applyNumberFormat="1" applyFont="1" applyBorder="1" applyAlignment="1" applyProtection="1">
      <alignment wrapText="1"/>
    </xf>
    <xf numFmtId="173" fontId="4" fillId="0" borderId="3" xfId="7" applyNumberFormat="1" applyFont="1" applyBorder="1" applyAlignment="1" applyProtection="1"/>
    <xf numFmtId="173" fontId="3" fillId="9" borderId="5" xfId="0" applyNumberFormat="1" applyFont="1" applyFill="1" applyBorder="1"/>
    <xf numFmtId="173" fontId="4" fillId="0" borderId="3" xfId="9" applyNumberFormat="1" applyFont="1" applyBorder="1" applyAlignment="1" applyProtection="1"/>
    <xf numFmtId="173" fontId="4" fillId="0" borderId="0" xfId="9" applyNumberFormat="1" applyFont="1" applyBorder="1" applyAlignment="1" applyProtection="1"/>
    <xf numFmtId="173" fontId="3" fillId="9" borderId="5" xfId="9" applyNumberFormat="1" applyFont="1" applyFill="1" applyBorder="1"/>
    <xf numFmtId="173" fontId="4" fillId="0" borderId="3" xfId="7" applyNumberFormat="1" applyFont="1" applyBorder="1" applyAlignment="1" applyProtection="1">
      <alignment wrapText="1"/>
    </xf>
    <xf numFmtId="173" fontId="4" fillId="0" borderId="16" xfId="10" applyNumberFormat="1" applyFont="1" applyBorder="1" applyAlignment="1" applyProtection="1"/>
    <xf numFmtId="173" fontId="0" fillId="0" borderId="0" xfId="10" applyNumberFormat="1" applyFont="1" applyBorder="1"/>
    <xf numFmtId="173" fontId="4" fillId="0" borderId="16" xfId="7" applyNumberFormat="1" applyFont="1" applyBorder="1" applyAlignment="1" applyProtection="1"/>
    <xf numFmtId="173" fontId="0" fillId="0" borderId="0" xfId="0" applyNumberFormat="1" applyBorder="1"/>
    <xf numFmtId="2" fontId="0" fillId="10" borderId="0" xfId="0" applyNumberFormat="1" applyFill="1" applyBorder="1"/>
    <xf numFmtId="43" fontId="4" fillId="0" borderId="16" xfId="7" applyNumberFormat="1" applyFont="1" applyBorder="1" applyAlignment="1" applyProtection="1"/>
    <xf numFmtId="0" fontId="18" fillId="0" borderId="16" xfId="8" applyNumberFormat="1" applyBorder="1" applyAlignment="1" applyProtection="1"/>
    <xf numFmtId="0" fontId="21" fillId="0" borderId="26" xfId="11" applyNumberFormat="1" applyFont="1" applyBorder="1" applyAlignment="1">
      <alignment horizontal="left"/>
    </xf>
    <xf numFmtId="0" fontId="22" fillId="0" borderId="26" xfId="11" applyNumberFormat="1" applyFont="1" applyBorder="1" applyAlignment="1">
      <alignment horizontal="left"/>
    </xf>
    <xf numFmtId="173" fontId="21" fillId="0" borderId="26" xfId="7" applyNumberFormat="1" applyFont="1" applyBorder="1" applyAlignment="1" applyProtection="1">
      <alignment horizontal="left"/>
    </xf>
    <xf numFmtId="0" fontId="21" fillId="0" borderId="26" xfId="7" applyNumberFormat="1" applyFont="1" applyBorder="1" applyAlignment="1" applyProtection="1">
      <alignment horizontal="left"/>
    </xf>
    <xf numFmtId="0" fontId="21" fillId="0" borderId="29" xfId="7" applyNumberFormat="1" applyFont="1" applyBorder="1" applyAlignment="1" applyProtection="1">
      <alignment horizontal="left"/>
    </xf>
    <xf numFmtId="0" fontId="21" fillId="0" borderId="37" xfId="11" applyFont="1" applyFill="1" applyBorder="1" applyAlignment="1">
      <alignment horizontal="left" wrapText="1"/>
    </xf>
    <xf numFmtId="0" fontId="21" fillId="0" borderId="37" xfId="11" applyNumberFormat="1" applyFont="1" applyFill="1" applyBorder="1" applyAlignment="1">
      <alignment horizontal="left" wrapText="1"/>
    </xf>
    <xf numFmtId="0" fontId="21" fillId="0" borderId="38" xfId="11" applyNumberFormat="1" applyFont="1" applyBorder="1" applyAlignment="1">
      <alignment horizontal="left"/>
    </xf>
    <xf numFmtId="0" fontId="4" fillId="0" borderId="16" xfId="7" applyNumberFormat="1" applyFont="1" applyBorder="1" applyAlignment="1" applyProtection="1"/>
    <xf numFmtId="1" fontId="4" fillId="0" borderId="0" xfId="11" applyNumberFormat="1" applyFont="1" applyBorder="1"/>
    <xf numFmtId="0" fontId="4" fillId="0" borderId="34" xfId="11" applyFont="1" applyBorder="1"/>
    <xf numFmtId="0" fontId="4" fillId="0" borderId="35" xfId="7" applyNumberFormat="1" applyFont="1" applyBorder="1" applyAlignment="1"/>
    <xf numFmtId="0" fontId="1" fillId="0" borderId="35" xfId="11" applyBorder="1" applyAlignment="1"/>
    <xf numFmtId="0" fontId="18" fillId="0" borderId="16" xfId="8" quotePrefix="1" applyNumberFormat="1" applyBorder="1" applyAlignment="1" applyProtection="1"/>
    <xf numFmtId="173" fontId="21" fillId="0" borderId="0" xfId="11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right" wrapText="1" indent="1"/>
    </xf>
    <xf numFmtId="39" fontId="21" fillId="0" borderId="0" xfId="13" applyNumberFormat="1" applyFont="1" applyFill="1" applyBorder="1" applyAlignment="1">
      <alignment horizontal="left" wrapText="1" indent="1"/>
    </xf>
    <xf numFmtId="0" fontId="21" fillId="0" borderId="0" xfId="11" applyNumberFormat="1" applyFont="1" applyFill="1" applyBorder="1" applyAlignment="1">
      <alignment horizontal="left" wrapText="1" indent="1"/>
    </xf>
    <xf numFmtId="37" fontId="21" fillId="0" borderId="0" xfId="13" applyNumberFormat="1" applyFont="1" applyFill="1" applyBorder="1" applyAlignment="1">
      <alignment horizontal="right" wrapText="1" indent="1"/>
    </xf>
    <xf numFmtId="173" fontId="21" fillId="0" borderId="0" xfId="13" applyNumberFormat="1" applyFont="1" applyFill="1" applyBorder="1" applyAlignment="1">
      <alignment horizontal="center" wrapText="1"/>
    </xf>
    <xf numFmtId="0" fontId="21" fillId="0" borderId="36" xfId="11" applyFont="1" applyFill="1" applyBorder="1" applyAlignment="1">
      <alignment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175" fontId="21" fillId="0" borderId="45" xfId="14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2" fontId="21" fillId="0" borderId="45" xfId="13" applyNumberFormat="1" applyFont="1" applyFill="1" applyBorder="1" applyAlignment="1">
      <alignment horizontal="center" wrapText="1"/>
    </xf>
    <xf numFmtId="11" fontId="21" fillId="0" borderId="45" xfId="14" applyNumberFormat="1" applyFont="1" applyFill="1" applyBorder="1" applyAlignment="1">
      <alignment horizontal="center" wrapText="1"/>
    </xf>
    <xf numFmtId="0" fontId="20" fillId="0" borderId="0" xfId="11" applyFont="1" applyFill="1" applyBorder="1" applyAlignment="1">
      <alignment horizontal="center" vertical="center" wrapText="1"/>
    </xf>
    <xf numFmtId="173" fontId="21" fillId="0" borderId="45" xfId="11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45" xfId="11" applyFont="1" applyFill="1" applyBorder="1" applyAlignment="1">
      <alignment horizontal="left" vertical="center" wrapText="1"/>
    </xf>
    <xf numFmtId="39" fontId="21" fillId="0" borderId="45" xfId="13" applyNumberFormat="1" applyFont="1" applyFill="1" applyBorder="1" applyAlignment="1">
      <alignment horizontal="left" wrapText="1" indent="1"/>
    </xf>
    <xf numFmtId="0" fontId="21" fillId="0" borderId="45" xfId="11" applyNumberFormat="1" applyFont="1" applyFill="1" applyBorder="1" applyAlignment="1">
      <alignment horizontal="left" wrapText="1" indent="1"/>
    </xf>
    <xf numFmtId="37" fontId="21" fillId="0" borderId="45" xfId="13" applyNumberFormat="1" applyFont="1" applyFill="1" applyBorder="1" applyAlignment="1">
      <alignment horizontal="right" wrapText="1" indent="1"/>
    </xf>
    <xf numFmtId="0" fontId="21" fillId="0" borderId="37" xfId="11" applyFont="1" applyFill="1" applyBorder="1" applyAlignment="1">
      <alignment wrapText="1"/>
    </xf>
    <xf numFmtId="0" fontId="21" fillId="0" borderId="37" xfId="11" applyFont="1" applyFill="1" applyBorder="1" applyAlignment="1">
      <alignment vertical="center" wrapText="1"/>
    </xf>
    <xf numFmtId="2" fontId="21" fillId="0" borderId="45" xfId="14" applyNumberFormat="1" applyFont="1" applyFill="1" applyBorder="1" applyAlignment="1">
      <alignment horizontal="right" wrapText="1" indent="1"/>
    </xf>
    <xf numFmtId="0" fontId="21" fillId="0" borderId="0" xfId="11" applyFont="1" applyFill="1" applyBorder="1" applyAlignment="1">
      <alignment horizontal="left" vertical="center" wrapText="1"/>
    </xf>
    <xf numFmtId="0" fontId="20" fillId="0" borderId="36" xfId="11" applyFont="1" applyFill="1" applyBorder="1" applyAlignment="1">
      <alignment horizontal="center" vertical="center" wrapText="1"/>
    </xf>
    <xf numFmtId="0" fontId="21" fillId="0" borderId="0" xfId="11" applyFont="1" applyFill="1" applyBorder="1" applyAlignment="1">
      <alignment horizontal="center" vertical="center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 applyAlignment="1">
      <alignment horizontal="center" vertical="center" wrapText="1"/>
    </xf>
    <xf numFmtId="173" fontId="21" fillId="0" borderId="45" xfId="13" applyNumberFormat="1" applyFont="1" applyFill="1" applyBorder="1" applyAlignment="1">
      <alignment horizontal="right" vertical="center" wrapText="1" indent="1"/>
    </xf>
    <xf numFmtId="171" fontId="21" fillId="0" borderId="0" xfId="11" applyNumberFormat="1" applyFont="1" applyFill="1" applyBorder="1" applyAlignment="1">
      <alignment horizontal="center" vertical="center" wrapText="1"/>
    </xf>
    <xf numFmtId="0" fontId="1" fillId="0" borderId="31" xfId="11" applyNumberFormat="1" applyBorder="1"/>
    <xf numFmtId="0" fontId="21" fillId="0" borderId="37" xfId="11" applyFont="1" applyFill="1" applyBorder="1" applyAlignment="1">
      <alignment horizontal="right" vertical="center" wrapText="1"/>
    </xf>
    <xf numFmtId="0" fontId="1" fillId="0" borderId="0" xfId="1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vertical="center" wrapText="1"/>
    </xf>
    <xf numFmtId="0" fontId="18" fillId="0" borderId="45" xfId="8" applyFill="1" applyBorder="1" applyAlignment="1">
      <alignment horizontal="left" vertical="center" wrapText="1"/>
    </xf>
    <xf numFmtId="37" fontId="21" fillId="0" borderId="45" xfId="11" applyNumberFormat="1" applyFont="1" applyFill="1" applyBorder="1" applyAlignment="1">
      <alignment horizontal="right" vertical="center" wrapText="1" indent="1"/>
    </xf>
    <xf numFmtId="0" fontId="1" fillId="0" borderId="0" xfId="11" applyBorder="1"/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175" fontId="21" fillId="0" borderId="45" xfId="14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173" fontId="21" fillId="0" borderId="45" xfId="11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6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45" xfId="11" applyFont="1" applyFill="1" applyBorder="1" applyAlignment="1">
      <alignment horizontal="left" vertical="center" wrapText="1"/>
    </xf>
    <xf numFmtId="39" fontId="21" fillId="0" borderId="45" xfId="13" applyNumberFormat="1" applyFont="1" applyFill="1" applyBorder="1" applyAlignment="1">
      <alignment horizontal="left" wrapText="1" indent="1"/>
    </xf>
    <xf numFmtId="0" fontId="21" fillId="0" borderId="45" xfId="11" applyNumberFormat="1" applyFont="1" applyFill="1" applyBorder="1" applyAlignment="1">
      <alignment horizontal="left" wrapText="1" indent="1"/>
    </xf>
    <xf numFmtId="37" fontId="21" fillId="0" borderId="45" xfId="13" applyNumberFormat="1" applyFont="1" applyFill="1" applyBorder="1" applyAlignment="1">
      <alignment horizontal="right" wrapText="1" indent="1"/>
    </xf>
    <xf numFmtId="0" fontId="21" fillId="0" borderId="37" xfId="11" applyFont="1" applyFill="1" applyBorder="1" applyAlignment="1">
      <alignment wrapText="1"/>
    </xf>
    <xf numFmtId="2" fontId="21" fillId="0" borderId="45" xfId="14" applyNumberFormat="1" applyFont="1" applyFill="1" applyBorder="1" applyAlignment="1">
      <alignment horizontal="right" wrapText="1" indent="1"/>
    </xf>
    <xf numFmtId="0" fontId="21" fillId="0" borderId="0" xfId="11" applyFont="1" applyFill="1" applyBorder="1" applyAlignment="1">
      <alignment horizontal="left" vertical="center" wrapText="1"/>
    </xf>
    <xf numFmtId="0" fontId="20" fillId="0" borderId="36" xfId="11" applyFont="1" applyFill="1" applyBorder="1" applyAlignment="1">
      <alignment horizontal="center" vertic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center" vertical="center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 applyAlignment="1">
      <alignment horizontal="center" vertical="center" wrapText="1"/>
    </xf>
    <xf numFmtId="173" fontId="21" fillId="0" borderId="45" xfId="13" applyNumberFormat="1" applyFont="1" applyFill="1" applyBorder="1" applyAlignment="1">
      <alignment horizontal="right" vertical="center" wrapText="1" indent="1"/>
    </xf>
    <xf numFmtId="0" fontId="21" fillId="0" borderId="45" xfId="11" applyNumberFormat="1" applyFont="1" applyFill="1" applyBorder="1" applyAlignment="1">
      <alignment horizontal="right" vertical="center" wrapText="1" indent="1"/>
    </xf>
    <xf numFmtId="0" fontId="21" fillId="0" borderId="37" xfId="11" applyFont="1" applyFill="1" applyBorder="1" applyAlignment="1">
      <alignment horizontal="right" vertical="center" wrapText="1"/>
    </xf>
    <xf numFmtId="0" fontId="1" fillId="0" borderId="0" xfId="1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vertical="center" wrapText="1"/>
    </xf>
    <xf numFmtId="0" fontId="4" fillId="0" borderId="0" xfId="11" applyFont="1" applyBorder="1"/>
    <xf numFmtId="0" fontId="1" fillId="0" borderId="0" xfId="11" applyBorder="1"/>
    <xf numFmtId="0" fontId="4" fillId="0" borderId="16" xfId="11" applyFont="1" applyBorder="1" applyAlignment="1">
      <alignment horizontal="right"/>
    </xf>
    <xf numFmtId="37" fontId="4" fillId="0" borderId="16" xfId="7" applyNumberFormat="1" applyFont="1" applyBorder="1" applyAlignment="1" applyProtection="1"/>
    <xf numFmtId="0" fontId="1" fillId="0" borderId="0" xfId="11" applyFont="1" applyBorder="1"/>
    <xf numFmtId="0" fontId="4" fillId="0" borderId="0" xfId="11" applyFont="1" applyBorder="1" applyAlignment="1">
      <alignment horizontal="left"/>
    </xf>
    <xf numFmtId="165" fontId="4" fillId="0" borderId="16" xfId="7" applyNumberFormat="1" applyFont="1" applyBorder="1" applyAlignment="1" applyProtection="1"/>
    <xf numFmtId="0" fontId="3" fillId="0" borderId="0" xfId="11" applyFont="1" applyBorder="1"/>
    <xf numFmtId="0" fontId="1" fillId="0" borderId="0" xfId="11" applyBorder="1" applyAlignment="1">
      <alignment wrapText="1"/>
    </xf>
    <xf numFmtId="0" fontId="21" fillId="0" borderId="0" xfId="11" applyFont="1" applyFill="1" applyBorder="1" applyAlignment="1" applyProtection="1">
      <alignment horizontal="left"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175" fontId="21" fillId="0" borderId="45" xfId="14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2" fontId="21" fillId="0" borderId="45" xfId="13" applyNumberFormat="1" applyFont="1" applyFill="1" applyBorder="1" applyAlignment="1">
      <alignment horizontal="center" wrapText="1"/>
    </xf>
    <xf numFmtId="11" fontId="21" fillId="0" borderId="45" xfId="14" applyNumberFormat="1" applyFont="1" applyFill="1" applyBorder="1" applyAlignment="1">
      <alignment horizontal="center" wrapText="1"/>
    </xf>
    <xf numFmtId="173" fontId="21" fillId="0" borderId="45" xfId="11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6" xfId="11" applyBorder="1"/>
    <xf numFmtId="0" fontId="1" fillId="0" borderId="35" xfId="11" applyFont="1" applyBorder="1"/>
    <xf numFmtId="0" fontId="3" fillId="0" borderId="36" xfId="11" applyFont="1" applyBorder="1"/>
    <xf numFmtId="0" fontId="1" fillId="0" borderId="35" xfId="11" applyBorder="1" applyAlignment="1">
      <alignment wrapText="1"/>
    </xf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45" xfId="11" applyFont="1" applyFill="1" applyBorder="1" applyAlignment="1">
      <alignment horizontal="left" vertical="center" wrapText="1"/>
    </xf>
    <xf numFmtId="39" fontId="21" fillId="0" borderId="45" xfId="13" applyNumberFormat="1" applyFont="1" applyFill="1" applyBorder="1" applyAlignment="1">
      <alignment horizontal="left" wrapText="1" indent="1"/>
    </xf>
    <xf numFmtId="0" fontId="21" fillId="0" borderId="45" xfId="11" applyNumberFormat="1" applyFont="1" applyFill="1" applyBorder="1" applyAlignment="1">
      <alignment horizontal="left" wrapText="1" indent="1"/>
    </xf>
    <xf numFmtId="37" fontId="21" fillId="0" borderId="45" xfId="13" applyNumberFormat="1" applyFont="1" applyFill="1" applyBorder="1" applyAlignment="1">
      <alignment horizontal="right" wrapText="1" indent="1"/>
    </xf>
    <xf numFmtId="0" fontId="21" fillId="0" borderId="37" xfId="11" applyFont="1" applyFill="1" applyBorder="1" applyAlignment="1">
      <alignment wrapText="1"/>
    </xf>
    <xf numFmtId="49" fontId="4" fillId="0" borderId="0" xfId="11" applyNumberFormat="1" applyFont="1" applyBorder="1" applyAlignment="1">
      <alignment horizontal="left"/>
    </xf>
    <xf numFmtId="1" fontId="21" fillId="0" borderId="45" xfId="11" applyNumberFormat="1" applyFont="1" applyFill="1" applyBorder="1" applyAlignment="1">
      <alignment horizontal="right" wrapText="1" indent="1"/>
    </xf>
    <xf numFmtId="0" fontId="1" fillId="0" borderId="4" xfId="11" applyBorder="1"/>
    <xf numFmtId="0" fontId="1" fillId="0" borderId="43" xfId="11" applyBorder="1"/>
    <xf numFmtId="0" fontId="21" fillId="0" borderId="37" xfId="11" applyFont="1" applyFill="1" applyBorder="1" applyAlignment="1">
      <alignment vertical="center" wrapText="1"/>
    </xf>
    <xf numFmtId="0" fontId="1" fillId="0" borderId="17" xfId="11" applyBorder="1"/>
    <xf numFmtId="0" fontId="1" fillId="0" borderId="18" xfId="11" applyBorder="1"/>
    <xf numFmtId="0" fontId="1" fillId="0" borderId="19" xfId="11" applyBorder="1"/>
    <xf numFmtId="0" fontId="4" fillId="0" borderId="0" xfId="11" applyFont="1" applyBorder="1"/>
    <xf numFmtId="0" fontId="1" fillId="0" borderId="0" xfId="11" applyBorder="1"/>
    <xf numFmtId="0" fontId="4" fillId="0" borderId="16" xfId="11" applyFont="1" applyBorder="1" applyAlignment="1">
      <alignment horizontal="right"/>
    </xf>
    <xf numFmtId="0" fontId="1" fillId="0" borderId="20" xfId="11" applyBorder="1"/>
    <xf numFmtId="37" fontId="4" fillId="0" borderId="16" xfId="7" applyNumberFormat="1" applyFont="1" applyBorder="1" applyAlignment="1" applyProtection="1"/>
    <xf numFmtId="0" fontId="1" fillId="0" borderId="0" xfId="11" applyFont="1" applyBorder="1"/>
    <xf numFmtId="0" fontId="4" fillId="0" borderId="0" xfId="11" applyFont="1" applyBorder="1" applyAlignment="1">
      <alignment horizontal="left"/>
    </xf>
    <xf numFmtId="165" fontId="4" fillId="0" borderId="16" xfId="7" applyNumberFormat="1" applyFont="1" applyBorder="1" applyAlignment="1" applyProtection="1"/>
    <xf numFmtId="0" fontId="1" fillId="0" borderId="21" xfId="11" applyBorder="1"/>
    <xf numFmtId="0" fontId="1" fillId="0" borderId="20" xfId="11" applyFont="1" applyBorder="1"/>
    <xf numFmtId="0" fontId="1" fillId="0" borderId="20" xfId="11" applyBorder="1" applyAlignment="1"/>
    <xf numFmtId="0" fontId="3" fillId="0" borderId="21" xfId="11" applyFont="1" applyBorder="1"/>
    <xf numFmtId="0" fontId="3" fillId="0" borderId="0" xfId="11" applyFont="1" applyBorder="1"/>
    <xf numFmtId="0" fontId="1" fillId="0" borderId="20" xfId="11" applyBorder="1" applyAlignment="1">
      <alignment wrapText="1"/>
    </xf>
    <xf numFmtId="0" fontId="1" fillId="0" borderId="0" xfId="11" applyBorder="1" applyAlignment="1">
      <alignment wrapText="1"/>
    </xf>
    <xf numFmtId="0" fontId="1" fillId="0" borderId="23" xfId="11" applyBorder="1"/>
    <xf numFmtId="0" fontId="1" fillId="0" borderId="24" xfId="11" applyBorder="1"/>
    <xf numFmtId="0" fontId="1" fillId="0" borderId="25" xfId="11" applyBorder="1"/>
    <xf numFmtId="0" fontId="21" fillId="0" borderId="45" xfId="11" applyFont="1" applyFill="1" applyBorder="1" applyAlignment="1">
      <alignment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1" fillId="0" borderId="45" xfId="11" applyFont="1" applyFill="1" applyBorder="1" applyAlignment="1">
      <alignment horizontal="right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49" fontId="4" fillId="0" borderId="0" xfId="11" applyNumberFormat="1" applyFont="1" applyBorder="1" applyAlignment="1">
      <alignment horizontal="left"/>
    </xf>
    <xf numFmtId="0" fontId="3" fillId="0" borderId="27" xfId="11" applyFont="1" applyBorder="1"/>
    <xf numFmtId="0" fontId="3" fillId="0" borderId="4" xfId="11" applyFont="1" applyBorder="1"/>
    <xf numFmtId="178" fontId="21" fillId="0" borderId="45" xfId="14" applyNumberFormat="1" applyFont="1" applyFill="1" applyBorder="1" applyAlignment="1">
      <alignment horizontal="center" wrapText="1"/>
    </xf>
    <xf numFmtId="0" fontId="21" fillId="0" borderId="45" xfId="14" applyNumberFormat="1" applyFont="1" applyFill="1" applyBorder="1" applyAlignment="1">
      <alignment horizontal="right" wrapText="1" indent="1"/>
    </xf>
    <xf numFmtId="1" fontId="21" fillId="0" borderId="45" xfId="11" applyNumberFormat="1" applyFont="1" applyFill="1" applyBorder="1" applyAlignment="1">
      <alignment horizontal="right" wrapText="1"/>
    </xf>
    <xf numFmtId="171" fontId="1" fillId="0" borderId="45" xfId="17" applyFont="1" applyBorder="1"/>
    <xf numFmtId="0" fontId="15" fillId="0" borderId="45" xfId="15" applyFont="1" applyFill="1" applyBorder="1" applyAlignment="1">
      <alignment wrapText="1"/>
    </xf>
    <xf numFmtId="0" fontId="1" fillId="0" borderId="17" xfId="11" applyBorder="1"/>
    <xf numFmtId="0" fontId="1" fillId="0" borderId="18" xfId="11" applyBorder="1"/>
    <xf numFmtId="0" fontId="1" fillId="0" borderId="19" xfId="11" applyBorder="1"/>
    <xf numFmtId="0" fontId="4" fillId="0" borderId="0" xfId="11" applyFont="1" applyBorder="1"/>
    <xf numFmtId="0" fontId="1" fillId="0" borderId="0" xfId="11" applyBorder="1"/>
    <xf numFmtId="0" fontId="4" fillId="0" borderId="16" xfId="11" applyFont="1" applyBorder="1" applyAlignment="1">
      <alignment horizontal="right"/>
    </xf>
    <xf numFmtId="0" fontId="1" fillId="0" borderId="20" xfId="11" applyBorder="1"/>
    <xf numFmtId="37" fontId="4" fillId="0" borderId="16" xfId="7" applyNumberFormat="1" applyFont="1" applyBorder="1" applyAlignment="1" applyProtection="1"/>
    <xf numFmtId="0" fontId="1" fillId="0" borderId="0" xfId="11" applyFont="1" applyBorder="1"/>
    <xf numFmtId="0" fontId="4" fillId="0" borderId="0" xfId="11" applyFont="1" applyBorder="1" applyAlignment="1">
      <alignment horizontal="left"/>
    </xf>
    <xf numFmtId="165" fontId="4" fillId="0" borderId="16" xfId="7" applyNumberFormat="1" applyFont="1" applyBorder="1" applyAlignment="1" applyProtection="1"/>
    <xf numFmtId="0" fontId="1" fillId="0" borderId="21" xfId="11" applyBorder="1"/>
    <xf numFmtId="0" fontId="1" fillId="0" borderId="20" xfId="11" applyBorder="1" applyAlignment="1"/>
    <xf numFmtId="0" fontId="3" fillId="0" borderId="21" xfId="11" applyFont="1" applyBorder="1"/>
    <xf numFmtId="0" fontId="3" fillId="0" borderId="0" xfId="11" applyFont="1" applyBorder="1"/>
    <xf numFmtId="0" fontId="1" fillId="0" borderId="20" xfId="11" applyBorder="1" applyAlignment="1">
      <alignment wrapText="1"/>
    </xf>
    <xf numFmtId="0" fontId="1" fillId="0" borderId="0" xfId="11" applyBorder="1" applyAlignment="1">
      <alignment wrapText="1"/>
    </xf>
    <xf numFmtId="0" fontId="1" fillId="0" borderId="23" xfId="11" applyBorder="1"/>
    <xf numFmtId="0" fontId="1" fillId="0" borderId="24" xfId="11" applyBorder="1"/>
    <xf numFmtId="0" fontId="1" fillId="0" borderId="25" xfId="11" applyBorder="1"/>
    <xf numFmtId="0" fontId="21" fillId="0" borderId="45" xfId="11" applyFont="1" applyFill="1" applyBorder="1" applyAlignment="1">
      <alignment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1" fillId="0" borderId="45" xfId="11" applyFont="1" applyFill="1" applyBorder="1" applyAlignment="1">
      <alignment horizontal="right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43" fontId="21" fillId="0" borderId="45" xfId="14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49" fontId="4" fillId="0" borderId="0" xfId="11" applyNumberFormat="1" applyFont="1" applyBorder="1" applyAlignment="1">
      <alignment horizontal="left"/>
    </xf>
    <xf numFmtId="0" fontId="3" fillId="0" borderId="27" xfId="11" applyFont="1" applyBorder="1"/>
    <xf numFmtId="0" fontId="3" fillId="0" borderId="4" xfId="11" applyFont="1" applyBorder="1"/>
    <xf numFmtId="1" fontId="21" fillId="0" borderId="45" xfId="11" applyNumberFormat="1" applyFont="1" applyFill="1" applyBorder="1" applyAlignment="1">
      <alignment horizontal="right" wrapText="1" indent="1"/>
    </xf>
    <xf numFmtId="179" fontId="21" fillId="0" borderId="45" xfId="14" applyNumberFormat="1" applyFont="1" applyFill="1" applyBorder="1" applyAlignment="1">
      <alignment horizontal="center" wrapText="1"/>
    </xf>
    <xf numFmtId="0" fontId="1" fillId="0" borderId="17" xfId="11" applyBorder="1"/>
    <xf numFmtId="0" fontId="1" fillId="0" borderId="18" xfId="11" applyBorder="1"/>
    <xf numFmtId="0" fontId="1" fillId="0" borderId="19" xfId="11" applyBorder="1"/>
    <xf numFmtId="0" fontId="4" fillId="0" borderId="0" xfId="11" applyFont="1" applyBorder="1"/>
    <xf numFmtId="0" fontId="1" fillId="0" borderId="0" xfId="11" applyBorder="1"/>
    <xf numFmtId="0" fontId="4" fillId="0" borderId="16" xfId="11" applyFont="1" applyBorder="1" applyAlignment="1">
      <alignment horizontal="right"/>
    </xf>
    <xf numFmtId="0" fontId="1" fillId="0" borderId="20" xfId="11" applyBorder="1"/>
    <xf numFmtId="37" fontId="4" fillId="0" borderId="16" xfId="7" applyNumberFormat="1" applyFont="1" applyBorder="1" applyAlignment="1" applyProtection="1"/>
    <xf numFmtId="0" fontId="1" fillId="0" borderId="0" xfId="11" applyFont="1" applyBorder="1"/>
    <xf numFmtId="0" fontId="4" fillId="0" borderId="0" xfId="11" applyFont="1" applyBorder="1" applyAlignment="1">
      <alignment horizontal="left"/>
    </xf>
    <xf numFmtId="165" fontId="4" fillId="0" borderId="16" xfId="7" applyNumberFormat="1" applyFont="1" applyBorder="1" applyAlignment="1" applyProtection="1"/>
    <xf numFmtId="0" fontId="1" fillId="0" borderId="21" xfId="11" applyBorder="1"/>
    <xf numFmtId="0" fontId="1" fillId="0" borderId="20" xfId="11" applyBorder="1" applyAlignment="1"/>
    <xf numFmtId="0" fontId="3" fillId="0" borderId="21" xfId="11" applyFont="1" applyBorder="1"/>
    <xf numFmtId="0" fontId="3" fillId="0" borderId="0" xfId="11" applyFont="1" applyBorder="1"/>
    <xf numFmtId="0" fontId="1" fillId="0" borderId="20" xfId="11" applyBorder="1" applyAlignment="1">
      <alignment wrapText="1"/>
    </xf>
    <xf numFmtId="0" fontId="1" fillId="0" borderId="0" xfId="11" applyBorder="1" applyAlignment="1">
      <alignment wrapText="1"/>
    </xf>
    <xf numFmtId="0" fontId="1" fillId="0" borderId="23" xfId="11" applyBorder="1"/>
    <xf numFmtId="0" fontId="1" fillId="0" borderId="24" xfId="11" applyBorder="1"/>
    <xf numFmtId="0" fontId="1" fillId="0" borderId="25" xfId="11" applyBorder="1"/>
    <xf numFmtId="0" fontId="21" fillId="0" borderId="45" xfId="11" applyFont="1" applyFill="1" applyBorder="1" applyAlignment="1">
      <alignment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49" fontId="4" fillId="0" borderId="0" xfId="11" applyNumberFormat="1" applyFont="1" applyBorder="1" applyAlignment="1">
      <alignment horizontal="left"/>
    </xf>
    <xf numFmtId="0" fontId="3" fillId="0" borderId="27" xfId="11" applyFont="1" applyBorder="1"/>
    <xf numFmtId="0" fontId="3" fillId="0" borderId="4" xfId="11" applyFont="1" applyBorder="1"/>
    <xf numFmtId="1" fontId="21" fillId="0" borderId="45" xfId="11" applyNumberFormat="1" applyFont="1" applyFill="1" applyBorder="1" applyAlignment="1">
      <alignment horizontal="right" wrapText="1" indent="1"/>
    </xf>
    <xf numFmtId="181" fontId="21" fillId="0" borderId="45" xfId="14" applyNumberFormat="1" applyFont="1" applyFill="1" applyBorder="1" applyAlignment="1">
      <alignment horizontal="center" wrapText="1"/>
    </xf>
    <xf numFmtId="0" fontId="1" fillId="0" borderId="0" xfId="11" applyBorder="1"/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6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37" xfId="11" applyFont="1" applyFill="1" applyBorder="1" applyAlignment="1">
      <alignment wrapTex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1" fontId="21" fillId="0" borderId="45" xfId="11" applyNumberFormat="1" applyFont="1" applyFill="1" applyBorder="1" applyAlignment="1">
      <alignment horizont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0" fontId="1" fillId="0" borderId="0" xfId="11" applyBorder="1"/>
    <xf numFmtId="0" fontId="21" fillId="0" borderId="45" xfId="11" applyFont="1" applyFill="1" applyBorder="1" applyAlignment="1">
      <alignment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6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37" xfId="11" applyFont="1" applyFill="1" applyBorder="1" applyAlignment="1">
      <alignment wrapText="1"/>
    </xf>
    <xf numFmtId="2" fontId="21" fillId="0" borderId="45" xfId="14" applyNumberFormat="1" applyFont="1" applyFill="1" applyBorder="1" applyAlignment="1">
      <alignment horizontal="right" wrapText="1" inden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0" fontId="1" fillId="0" borderId="0" xfId="11" applyBorder="1"/>
    <xf numFmtId="0" fontId="21" fillId="0" borderId="45" xfId="11" applyFont="1" applyFill="1" applyBorder="1" applyAlignment="1">
      <alignment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right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6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180" fontId="21" fillId="0" borderId="45" xfId="14" applyNumberFormat="1" applyFont="1" applyFill="1" applyBorder="1" applyAlignment="1">
      <alignment horizontal="center" wrapText="1"/>
    </xf>
    <xf numFmtId="2" fontId="21" fillId="0" borderId="45" xfId="14" applyNumberFormat="1" applyFont="1" applyFill="1" applyBorder="1" applyAlignment="1">
      <alignment horizontal="right" wrapText="1" inden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0" fontId="1" fillId="0" borderId="0" xfId="11" applyBorder="1"/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6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37" xfId="11" applyFont="1" applyFill="1" applyBorder="1" applyAlignment="1">
      <alignment wrapText="1"/>
    </xf>
    <xf numFmtId="1" fontId="21" fillId="0" borderId="45" xfId="11" applyNumberFormat="1" applyFont="1" applyFill="1" applyBorder="1" applyAlignment="1">
      <alignment horizontal="right" wrapText="1" indent="1"/>
    </xf>
    <xf numFmtId="2" fontId="21" fillId="0" borderId="45" xfId="14" applyNumberFormat="1" applyFont="1" applyFill="1" applyBorder="1" applyAlignment="1">
      <alignment horizontal="right" wrapText="1" inden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37" xfId="11" applyFont="1" applyFill="1" applyBorder="1" applyAlignment="1">
      <alignment wrapText="1"/>
    </xf>
    <xf numFmtId="1" fontId="21" fillId="0" borderId="45" xfId="11" applyNumberFormat="1" applyFont="1" applyFill="1" applyBorder="1" applyAlignment="1">
      <alignment horizontal="right" wrapText="1" indent="1"/>
    </xf>
    <xf numFmtId="2" fontId="21" fillId="0" borderId="45" xfId="14" applyNumberFormat="1" applyFont="1" applyFill="1" applyBorder="1" applyAlignment="1">
      <alignment horizontal="right" wrapText="1" inden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41" xfId="11" applyBorder="1"/>
    <xf numFmtId="0" fontId="21" fillId="0" borderId="37" xfId="11" applyFont="1" applyFill="1" applyBorder="1" applyAlignment="1">
      <alignment wrapText="1"/>
    </xf>
    <xf numFmtId="2" fontId="21" fillId="0" borderId="45" xfId="14" applyNumberFormat="1" applyFont="1" applyFill="1" applyBorder="1" applyAlignment="1">
      <alignment horizontal="right" wrapText="1" inden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174" fontId="21" fillId="0" borderId="45" xfId="11" applyNumberFormat="1" applyFont="1" applyFill="1" applyBorder="1" applyAlignment="1">
      <alignment horizontal="right" wrapText="1" indent="1"/>
    </xf>
    <xf numFmtId="174" fontId="21" fillId="0" borderId="45" xfId="11" applyNumberFormat="1" applyFont="1" applyFill="1" applyBorder="1" applyAlignment="1">
      <alignment horizontal="center" wrapText="1"/>
    </xf>
    <xf numFmtId="0" fontId="21" fillId="0" borderId="39" xfId="11" applyFont="1" applyFill="1" applyBorder="1"/>
    <xf numFmtId="0" fontId="21" fillId="0" borderId="40" xfId="11" applyFont="1" applyFill="1" applyBorder="1"/>
    <xf numFmtId="0" fontId="1" fillId="0" borderId="0" xfId="11" applyBorder="1"/>
    <xf numFmtId="165" fontId="4" fillId="0" borderId="16" xfId="7" applyNumberFormat="1" applyFont="1" applyBorder="1" applyAlignment="1" applyProtection="1"/>
    <xf numFmtId="0" fontId="21" fillId="0" borderId="45" xfId="11" applyFont="1" applyFill="1" applyBorder="1" applyAlignment="1">
      <alignment horizontal="left" wrapText="1"/>
    </xf>
    <xf numFmtId="173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>
      <alignment horizontal="right" wrapText="1" indent="1"/>
    </xf>
    <xf numFmtId="0" fontId="21" fillId="0" borderId="45" xfId="11" applyFont="1" applyFill="1" applyBorder="1" applyAlignment="1">
      <alignment horizontal="left" wrapText="1" indent="1"/>
    </xf>
    <xf numFmtId="43" fontId="21" fillId="0" borderId="45" xfId="14" applyFont="1" applyFill="1" applyBorder="1" applyAlignment="1">
      <alignment horizontal="left" wrapText="1" indent="1"/>
    </xf>
    <xf numFmtId="11" fontId="21" fillId="0" borderId="45" xfId="11" applyNumberFormat="1" applyFont="1" applyFill="1" applyBorder="1" applyAlignment="1">
      <alignment horizontal="center" wrapText="1"/>
    </xf>
    <xf numFmtId="43" fontId="21" fillId="0" borderId="45" xfId="14" applyFont="1" applyFill="1" applyBorder="1" applyAlignment="1">
      <alignment horizontal="center" wrapText="1"/>
    </xf>
    <xf numFmtId="171" fontId="21" fillId="0" borderId="45" xfId="13" applyNumberFormat="1" applyFont="1" applyFill="1" applyBorder="1" applyAlignment="1">
      <alignment horizontal="center" wrapText="1"/>
    </xf>
    <xf numFmtId="0" fontId="21" fillId="0" borderId="45" xfId="11" applyFont="1" applyFill="1" applyBorder="1" applyAlignment="1" applyProtection="1">
      <alignment horizontal="left" wrapText="1"/>
    </xf>
    <xf numFmtId="0" fontId="20" fillId="0" borderId="0" xfId="11" applyFont="1" applyFill="1" applyBorder="1" applyAlignment="1">
      <alignment horizontal="center" vertical="center" wrapText="1"/>
    </xf>
    <xf numFmtId="0" fontId="21" fillId="0" borderId="45" xfId="11" applyFont="1" applyFill="1" applyBorder="1" applyAlignment="1">
      <alignment horizontal="center" wrapText="1"/>
    </xf>
    <xf numFmtId="173" fontId="21" fillId="0" borderId="45" xfId="13" applyNumberFormat="1" applyFont="1" applyFill="1" applyBorder="1" applyAlignment="1">
      <alignment horizontal="left" wrapText="1"/>
    </xf>
    <xf numFmtId="0" fontId="21" fillId="0" borderId="45" xfId="11" applyNumberFormat="1" applyFont="1" applyFill="1" applyBorder="1" applyAlignment="1">
      <alignment horizontal="left" wrapText="1"/>
    </xf>
    <xf numFmtId="0" fontId="1" fillId="0" borderId="31" xfId="11" applyBorder="1"/>
    <xf numFmtId="0" fontId="1" fillId="0" borderId="32" xfId="11" applyBorder="1"/>
    <xf numFmtId="0" fontId="1" fillId="0" borderId="33" xfId="11" applyBorder="1"/>
    <xf numFmtId="0" fontId="1" fillId="0" borderId="35" xfId="11" applyBorder="1"/>
    <xf numFmtId="0" fontId="1" fillId="0" borderId="35" xfId="11" applyBorder="1" applyAlignment="1">
      <alignment wrapText="1"/>
    </xf>
    <xf numFmtId="0" fontId="1" fillId="0" borderId="39" xfId="11" applyBorder="1"/>
    <xf numFmtId="0" fontId="1" fillId="0" borderId="40" xfId="11" applyBorder="1"/>
    <xf numFmtId="0" fontId="1" fillId="0" borderId="41" xfId="11" applyBorder="1"/>
    <xf numFmtId="0" fontId="21" fillId="0" borderId="37" xfId="11" applyFont="1" applyFill="1" applyBorder="1" applyAlignment="1">
      <alignment wrapText="1"/>
    </xf>
    <xf numFmtId="0" fontId="18" fillId="0" borderId="0" xfId="8" applyBorder="1"/>
    <xf numFmtId="2" fontId="21" fillId="0" borderId="45" xfId="14" applyNumberFormat="1" applyFont="1" applyFill="1" applyBorder="1" applyAlignment="1">
      <alignment horizontal="right" wrapText="1" indent="1"/>
    </xf>
    <xf numFmtId="0" fontId="20" fillId="0" borderId="36" xfId="11" applyFont="1" applyFill="1" applyBorder="1" applyAlignment="1">
      <alignment horizontal="center" vertical="center" wrapText="1"/>
    </xf>
    <xf numFmtId="181" fontId="21" fillId="0" borderId="45" xfId="14" applyNumberFormat="1" applyFont="1" applyFill="1" applyBorder="1" applyAlignment="1">
      <alignment horizontal="center" wrapText="1"/>
    </xf>
    <xf numFmtId="0" fontId="21" fillId="0" borderId="0" xfId="11" applyFont="1" applyFill="1" applyBorder="1" applyAlignment="1">
      <alignment horizontal="left"/>
    </xf>
    <xf numFmtId="0" fontId="21" fillId="0" borderId="0" xfId="11" applyFont="1" applyFill="1" applyBorder="1" applyAlignment="1">
      <alignment horizontal="left" wrapText="1"/>
    </xf>
    <xf numFmtId="0" fontId="21" fillId="0" borderId="0" xfId="11" applyFont="1" applyFill="1" applyBorder="1" applyAlignment="1">
      <alignment horizontal="center" vertical="center" wrapText="1"/>
    </xf>
    <xf numFmtId="0" fontId="21" fillId="0" borderId="45" xfId="11" quotePrefix="1" applyFont="1" applyFill="1" applyBorder="1" applyAlignment="1">
      <alignment horizontal="right" wrapText="1"/>
    </xf>
    <xf numFmtId="171" fontId="21" fillId="0" borderId="45" xfId="13" applyNumberFormat="1" applyFont="1" applyFill="1" applyBorder="1" applyAlignment="1">
      <alignment horizontal="center" vertical="center" wrapText="1"/>
    </xf>
    <xf numFmtId="37" fontId="21" fillId="0" borderId="45" xfId="14" applyNumberFormat="1" applyFont="1" applyFill="1" applyBorder="1" applyAlignment="1">
      <alignment horizontal="right" vertical="center" wrapText="1" indent="1"/>
    </xf>
    <xf numFmtId="0" fontId="18" fillId="0" borderId="0" xfId="8" applyFill="1" applyBorder="1" applyAlignment="1">
      <alignment horizontal="left" wrapText="1"/>
    </xf>
    <xf numFmtId="0" fontId="21" fillId="0" borderId="36" xfId="11" applyFont="1" applyFill="1" applyBorder="1"/>
    <xf numFmtId="0" fontId="21" fillId="0" borderId="36" xfId="11" applyFont="1" applyFill="1" applyBorder="1" applyAlignment="1">
      <alignment horizontal="center" vertical="center" wrapText="1"/>
    </xf>
    <xf numFmtId="174" fontId="21" fillId="0" borderId="45" xfId="11" applyNumberFormat="1" applyFont="1" applyFill="1" applyBorder="1" applyAlignment="1">
      <alignment horizontal="center" wrapText="1"/>
    </xf>
    <xf numFmtId="174" fontId="21" fillId="0" borderId="45" xfId="11" applyNumberFormat="1" applyFont="1" applyFill="1" applyBorder="1" applyAlignment="1">
      <alignment horizontal="right" wrapText="1"/>
    </xf>
    <xf numFmtId="0" fontId="3" fillId="9" borderId="34" xfId="11" applyFont="1" applyFill="1" applyBorder="1"/>
    <xf numFmtId="0" fontId="3" fillId="9" borderId="16" xfId="11" applyFont="1" applyFill="1" applyBorder="1"/>
    <xf numFmtId="0" fontId="3" fillId="9" borderId="16" xfId="11" applyFont="1" applyFill="1" applyBorder="1" applyAlignment="1">
      <alignment horizontal="left"/>
    </xf>
    <xf numFmtId="0" fontId="1" fillId="7" borderId="0" xfId="11" applyFill="1" applyBorder="1"/>
    <xf numFmtId="0" fontId="3" fillId="9" borderId="2" xfId="11" applyFont="1" applyFill="1" applyBorder="1"/>
    <xf numFmtId="0" fontId="3" fillId="9" borderId="44" xfId="11" applyFont="1" applyFill="1" applyBorder="1"/>
    <xf numFmtId="0" fontId="3" fillId="9" borderId="5" xfId="11" applyFont="1" applyFill="1" applyBorder="1"/>
    <xf numFmtId="0" fontId="3" fillId="9" borderId="45" xfId="11" applyFont="1" applyFill="1" applyBorder="1"/>
    <xf numFmtId="0" fontId="3" fillId="9" borderId="37" xfId="11" applyFont="1" applyFill="1" applyBorder="1"/>
    <xf numFmtId="0" fontId="3" fillId="9" borderId="5" xfId="11" applyFont="1" applyFill="1" applyBorder="1" applyAlignment="1">
      <alignment horizontal="right"/>
    </xf>
    <xf numFmtId="165" fontId="3" fillId="9" borderId="5" xfId="11" applyNumberFormat="1" applyFont="1" applyFill="1" applyBorder="1"/>
    <xf numFmtId="0" fontId="3" fillId="9" borderId="28" xfId="11" applyFont="1" applyFill="1" applyBorder="1"/>
    <xf numFmtId="0" fontId="3" fillId="9" borderId="45" xfId="11" applyFont="1" applyFill="1" applyBorder="1" applyAlignment="1">
      <alignment horizontal="right"/>
    </xf>
    <xf numFmtId="0" fontId="3" fillId="9" borderId="42" xfId="11" applyFont="1" applyFill="1" applyBorder="1"/>
    <xf numFmtId="0" fontId="20" fillId="7" borderId="37" xfId="11" applyFont="1" applyFill="1" applyBorder="1" applyAlignment="1">
      <alignment horizontal="left"/>
    </xf>
    <xf numFmtId="0" fontId="20" fillId="7" borderId="0" xfId="11" applyFont="1" applyFill="1" applyBorder="1" applyAlignment="1">
      <alignment horizontal="left" wrapText="1"/>
    </xf>
    <xf numFmtId="0" fontId="20" fillId="7" borderId="45" xfId="11" applyFont="1" applyFill="1" applyBorder="1" applyAlignment="1">
      <alignment horizontal="left" wrapText="1"/>
    </xf>
    <xf numFmtId="0" fontId="20" fillId="7" borderId="45" xfId="11" applyFont="1" applyFill="1" applyBorder="1" applyAlignment="1">
      <alignment horizontal="left" vertical="center" wrapText="1"/>
    </xf>
    <xf numFmtId="0" fontId="20" fillId="7" borderId="45" xfId="11" applyFont="1" applyFill="1" applyBorder="1" applyAlignment="1">
      <alignment horizontal="right" wrapText="1"/>
    </xf>
    <xf numFmtId="171" fontId="20" fillId="7" borderId="45" xfId="11" applyNumberFormat="1" applyFont="1" applyFill="1" applyBorder="1" applyAlignment="1">
      <alignment vertical="center" wrapText="1"/>
    </xf>
    <xf numFmtId="0" fontId="20" fillId="7" borderId="45" xfId="11" applyFont="1" applyFill="1" applyBorder="1" applyAlignment="1">
      <alignment horizontal="left"/>
    </xf>
    <xf numFmtId="0" fontId="21" fillId="0" borderId="30" xfId="15" applyFont="1" applyFill="1" applyBorder="1" applyAlignment="1">
      <alignment horizontal="left" wrapText="1"/>
    </xf>
    <xf numFmtId="0" fontId="3" fillId="11" borderId="34" xfId="11" applyFont="1" applyFill="1" applyBorder="1"/>
    <xf numFmtId="0" fontId="11" fillId="7" borderId="45" xfId="1" applyFont="1" applyFill="1" applyBorder="1" applyProtection="1">
      <protection locked="0"/>
    </xf>
    <xf numFmtId="18" fontId="11" fillId="7" borderId="45" xfId="1" applyNumberFormat="1" applyFont="1" applyFill="1" applyBorder="1" applyAlignment="1" applyProtection="1">
      <protection locked="0"/>
    </xf>
    <xf numFmtId="0" fontId="18" fillId="7" borderId="45" xfId="8" applyFill="1" applyBorder="1" applyAlignment="1">
      <alignment horizontal="left"/>
    </xf>
    <xf numFmtId="2" fontId="11" fillId="7" borderId="45" xfId="1" applyNumberFormat="1" applyFont="1" applyFill="1" applyBorder="1" applyAlignment="1" applyProtection="1">
      <alignment horizontal="center"/>
      <protection locked="0"/>
    </xf>
    <xf numFmtId="2" fontId="11" fillId="7" borderId="45" xfId="1" applyNumberFormat="1" applyFont="1" applyFill="1" applyBorder="1" applyAlignment="1">
      <alignment horizontal="right"/>
    </xf>
    <xf numFmtId="0" fontId="11" fillId="7" borderId="45" xfId="1" applyFont="1" applyFill="1" applyBorder="1" applyAlignment="1">
      <alignment horizontal="center"/>
    </xf>
    <xf numFmtId="11" fontId="11" fillId="7" borderId="45" xfId="1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171" fontId="21" fillId="0" borderId="46" xfId="13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right" vertical="center" wrapText="1" indent="1"/>
    </xf>
    <xf numFmtId="0" fontId="21" fillId="0" borderId="3" xfId="0" applyFont="1" applyFill="1" applyBorder="1" applyAlignment="1">
      <alignment horizontal="left" vertical="center" wrapText="1" indent="1"/>
    </xf>
    <xf numFmtId="173" fontId="21" fillId="0" borderId="3" xfId="13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21" fillId="0" borderId="37" xfId="0" applyFont="1" applyFill="1" applyBorder="1" applyAlignment="1">
      <alignment vertical="center" wrapText="1"/>
    </xf>
    <xf numFmtId="0" fontId="21" fillId="0" borderId="3" xfId="11" applyFont="1" applyFill="1" applyBorder="1" applyAlignment="1" applyProtection="1">
      <alignment horizontal="left" wrapText="1"/>
    </xf>
    <xf numFmtId="0" fontId="21" fillId="0" borderId="3" xfId="11" applyFont="1" applyFill="1" applyBorder="1" applyAlignment="1">
      <alignment horizontal="left" wrapText="1"/>
    </xf>
    <xf numFmtId="173" fontId="21" fillId="0" borderId="3" xfId="13" applyNumberFormat="1" applyFont="1" applyFill="1" applyBorder="1" applyAlignment="1">
      <alignment horizontal="center" wrapText="1"/>
    </xf>
    <xf numFmtId="0" fontId="21" fillId="0" borderId="3" xfId="11" applyFont="1" applyFill="1" applyBorder="1" applyAlignment="1">
      <alignment horizontal="right" wrapText="1" indent="1"/>
    </xf>
    <xf numFmtId="0" fontId="21" fillId="0" borderId="3" xfId="11" applyFont="1" applyFill="1" applyBorder="1" applyAlignment="1">
      <alignment horizontal="left" wrapText="1" indent="1"/>
    </xf>
    <xf numFmtId="43" fontId="21" fillId="0" borderId="3" xfId="14" applyFont="1" applyFill="1" applyBorder="1" applyAlignment="1">
      <alignment horizontal="left" wrapText="1" indent="1"/>
    </xf>
    <xf numFmtId="11" fontId="21" fillId="0" borderId="3" xfId="11" applyNumberFormat="1" applyFont="1" applyFill="1" applyBorder="1" applyAlignment="1">
      <alignment horizontal="center" wrapText="1"/>
    </xf>
    <xf numFmtId="175" fontId="21" fillId="0" borderId="3" xfId="14" applyNumberFormat="1" applyFont="1" applyFill="1" applyBorder="1" applyAlignment="1">
      <alignment horizontal="center" wrapText="1"/>
    </xf>
    <xf numFmtId="43" fontId="21" fillId="0" borderId="3" xfId="14" applyFont="1" applyFill="1" applyBorder="1" applyAlignment="1">
      <alignment horizontal="center" wrapText="1"/>
    </xf>
    <xf numFmtId="2" fontId="21" fillId="0" borderId="3" xfId="14" applyNumberFormat="1" applyFont="1" applyFill="1" applyBorder="1" applyAlignment="1">
      <alignment horizontal="right" wrapText="1" indent="1"/>
    </xf>
    <xf numFmtId="171" fontId="21" fillId="0" borderId="3" xfId="13" applyNumberFormat="1" applyFont="1" applyFill="1" applyBorder="1" applyAlignment="1">
      <alignment horizontal="center" wrapText="1"/>
    </xf>
    <xf numFmtId="2" fontId="21" fillId="0" borderId="3" xfId="13" applyNumberFormat="1" applyFont="1" applyFill="1" applyBorder="1" applyAlignment="1">
      <alignment horizontal="center" wrapText="1"/>
    </xf>
    <xf numFmtId="11" fontId="21" fillId="0" borderId="3" xfId="14" applyNumberFormat="1" applyFont="1" applyFill="1" applyBorder="1" applyAlignment="1">
      <alignment horizontal="center" wrapText="1"/>
    </xf>
    <xf numFmtId="0" fontId="21" fillId="0" borderId="3" xfId="11" applyNumberFormat="1" applyFont="1" applyFill="1" applyBorder="1" applyAlignment="1">
      <alignment horizontal="left" wrapText="1"/>
    </xf>
    <xf numFmtId="0" fontId="21" fillId="0" borderId="3" xfId="11" applyFont="1" applyFill="1" applyBorder="1" applyAlignment="1">
      <alignment horizontal="center" wrapText="1"/>
    </xf>
    <xf numFmtId="173" fontId="21" fillId="0" borderId="3" xfId="13" applyNumberFormat="1" applyFont="1" applyFill="1" applyBorder="1" applyAlignment="1">
      <alignment horizontal="left" wrapText="1"/>
    </xf>
    <xf numFmtId="176" fontId="21" fillId="0" borderId="3" xfId="11" applyNumberFormat="1" applyFont="1" applyFill="1" applyBorder="1" applyAlignment="1">
      <alignment horizontal="right" wrapText="1" indent="1"/>
    </xf>
    <xf numFmtId="0" fontId="21" fillId="0" borderId="3" xfId="11" applyFont="1" applyFill="1" applyBorder="1" applyAlignment="1">
      <alignment horizontal="left" vertical="center" wrapText="1"/>
    </xf>
    <xf numFmtId="173" fontId="21" fillId="0" borderId="3" xfId="11" applyNumberFormat="1" applyFont="1" applyFill="1" applyBorder="1" applyAlignment="1">
      <alignment horizontal="center" wrapText="1"/>
    </xf>
    <xf numFmtId="39" fontId="21" fillId="0" borderId="3" xfId="13" applyNumberFormat="1" applyFont="1" applyFill="1" applyBorder="1" applyAlignment="1">
      <alignment horizontal="left" wrapText="1" indent="1"/>
    </xf>
    <xf numFmtId="0" fontId="21" fillId="0" borderId="3" xfId="11" applyNumberFormat="1" applyFont="1" applyFill="1" applyBorder="1" applyAlignment="1">
      <alignment horizontal="left" wrapText="1" indent="1"/>
    </xf>
    <xf numFmtId="37" fontId="21" fillId="0" borderId="3" xfId="13" applyNumberFormat="1" applyFont="1" applyFill="1" applyBorder="1" applyAlignment="1">
      <alignment horizontal="right" wrapText="1" indent="1"/>
    </xf>
    <xf numFmtId="177" fontId="24" fillId="0" borderId="3" xfId="16" applyBorder="1" applyAlignment="1">
      <alignment horizontal="left" wrapText="1"/>
    </xf>
    <xf numFmtId="0" fontId="21" fillId="0" borderId="3" xfId="11" applyFont="1" applyFill="1" applyBorder="1" applyAlignment="1">
      <alignment horizontal="left" vertical="center"/>
    </xf>
    <xf numFmtId="0" fontId="0" fillId="0" borderId="35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43" fontId="21" fillId="0" borderId="3" xfId="14" applyFont="1" applyFill="1" applyBorder="1" applyAlignment="1">
      <alignment horizontal="left" wrapText="1"/>
    </xf>
    <xf numFmtId="11" fontId="21" fillId="0" borderId="3" xfId="11" applyNumberFormat="1" applyFont="1" applyFill="1" applyBorder="1" applyAlignment="1">
      <alignment horizontal="left" wrapText="1"/>
    </xf>
    <xf numFmtId="175" fontId="21" fillId="0" borderId="3" xfId="14" applyNumberFormat="1" applyFont="1" applyFill="1" applyBorder="1" applyAlignment="1">
      <alignment horizontal="left" wrapText="1"/>
    </xf>
    <xf numFmtId="171" fontId="21" fillId="0" borderId="3" xfId="13" applyNumberFormat="1" applyFont="1" applyFill="1" applyBorder="1" applyAlignment="1">
      <alignment horizontal="left" wrapText="1"/>
    </xf>
    <xf numFmtId="2" fontId="21" fillId="0" borderId="3" xfId="13" applyNumberFormat="1" applyFont="1" applyFill="1" applyBorder="1" applyAlignment="1">
      <alignment horizontal="left" wrapText="1"/>
    </xf>
    <xf numFmtId="11" fontId="21" fillId="0" borderId="3" xfId="14" applyNumberFormat="1" applyFont="1" applyFill="1" applyBorder="1" applyAlignment="1">
      <alignment horizontal="left" wrapText="1"/>
    </xf>
    <xf numFmtId="0" fontId="21" fillId="0" borderId="46" xfId="11" applyNumberFormat="1" applyFont="1" applyFill="1" applyBorder="1" applyAlignment="1">
      <alignment horizontal="left" wrapText="1"/>
    </xf>
    <xf numFmtId="0" fontId="1" fillId="0" borderId="3" xfId="11" applyBorder="1" applyAlignment="1">
      <alignment horizontal="left"/>
    </xf>
    <xf numFmtId="173" fontId="1" fillId="0" borderId="3" xfId="11" applyNumberFormat="1" applyFont="1" applyBorder="1" applyAlignment="1">
      <alignment horizontal="left"/>
    </xf>
    <xf numFmtId="0" fontId="21" fillId="0" borderId="3" xfId="7" applyNumberFormat="1" applyFont="1" applyBorder="1" applyAlignment="1" applyProtection="1">
      <alignment horizontal="left"/>
    </xf>
    <xf numFmtId="0" fontId="21" fillId="0" borderId="3" xfId="15" applyFont="1" applyFill="1" applyBorder="1" applyAlignment="1">
      <alignment horizontal="left" wrapText="1"/>
    </xf>
    <xf numFmtId="0" fontId="21" fillId="0" borderId="3" xfId="11" applyNumberFormat="1" applyFont="1" applyFill="1" applyBorder="1" applyAlignment="1">
      <alignment horizontal="left" vertical="center" wrapText="1"/>
    </xf>
    <xf numFmtId="0" fontId="21" fillId="0" borderId="3" xfId="11" applyNumberFormat="1" applyFont="1" applyFill="1" applyBorder="1" applyAlignment="1">
      <alignment horizontal="left" vertical="center"/>
    </xf>
    <xf numFmtId="0" fontId="21" fillId="0" borderId="3" xfId="11" applyFont="1" applyFill="1" applyBorder="1" applyAlignment="1">
      <alignment horizontal="left" vertical="center" wrapText="1" indent="1"/>
    </xf>
    <xf numFmtId="0" fontId="21" fillId="0" borderId="3" xfId="11" applyFont="1" applyFill="1" applyBorder="1" applyAlignment="1">
      <alignment horizontal="right" vertical="center" wrapText="1" indent="1"/>
    </xf>
    <xf numFmtId="0" fontId="21" fillId="0" borderId="3" xfId="11" applyFont="1" applyFill="1" applyBorder="1" applyAlignment="1">
      <alignment horizontal="center" vertical="center" wrapText="1"/>
    </xf>
    <xf numFmtId="173" fontId="21" fillId="0" borderId="3" xfId="13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21" fillId="0" borderId="3" xfId="0" quotePrefix="1" applyFont="1" applyFill="1" applyBorder="1" applyAlignment="1">
      <alignment horizontal="right" wrapText="1"/>
    </xf>
    <xf numFmtId="171" fontId="21" fillId="0" borderId="3" xfId="13" applyNumberFormat="1" applyFont="1" applyFill="1" applyBorder="1" applyAlignment="1">
      <alignment horizontal="center" vertical="center" wrapText="1"/>
    </xf>
    <xf numFmtId="37" fontId="21" fillId="0" borderId="3" xfId="14" applyNumberFormat="1" applyFont="1" applyFill="1" applyBorder="1" applyAlignment="1">
      <alignment horizontal="right" vertical="center" wrapText="1" inden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36" xfId="0" applyFont="1" applyFill="1" applyBorder="1"/>
    <xf numFmtId="0" fontId="21" fillId="0" borderId="3" xfId="0" applyFont="1" applyFill="1" applyBorder="1" applyAlignment="1" applyProtection="1">
      <alignment horizontal="left" wrapText="1"/>
    </xf>
    <xf numFmtId="0" fontId="21" fillId="0" borderId="3" xfId="0" applyFont="1" applyFill="1" applyBorder="1" applyAlignment="1">
      <alignment horizontal="left" wrapText="1"/>
    </xf>
    <xf numFmtId="0" fontId="21" fillId="0" borderId="3" xfId="0" applyFont="1" applyFill="1" applyBorder="1" applyAlignment="1">
      <alignment horizontal="right" wrapText="1" indent="1"/>
    </xf>
    <xf numFmtId="0" fontId="21" fillId="0" borderId="3" xfId="0" applyFont="1" applyFill="1" applyBorder="1" applyAlignment="1">
      <alignment horizontal="left" wrapText="1" indent="1"/>
    </xf>
    <xf numFmtId="11" fontId="21" fillId="0" borderId="3" xfId="0" applyNumberFormat="1" applyFont="1" applyFill="1" applyBorder="1" applyAlignment="1">
      <alignment horizontal="center" wrapText="1"/>
    </xf>
    <xf numFmtId="181" fontId="21" fillId="0" borderId="3" xfId="14" applyNumberFormat="1" applyFont="1" applyFill="1" applyBorder="1" applyAlignment="1">
      <alignment horizontal="center" wrapText="1"/>
    </xf>
    <xf numFmtId="0" fontId="21" fillId="0" borderId="36" xfId="0" applyFont="1" applyFill="1" applyBorder="1" applyAlignment="1">
      <alignment horizontal="center" vertical="center" wrapText="1"/>
    </xf>
    <xf numFmtId="0" fontId="21" fillId="0" borderId="3" xfId="0" applyNumberFormat="1" applyFont="1" applyFill="1" applyBorder="1" applyAlignment="1">
      <alignment horizontal="left"/>
    </xf>
    <xf numFmtId="173" fontId="21" fillId="0" borderId="3" xfId="1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left"/>
    </xf>
    <xf numFmtId="2" fontId="21" fillId="0" borderId="3" xfId="0" applyNumberFormat="1" applyFont="1" applyFill="1" applyBorder="1" applyAlignment="1">
      <alignment horizontal="right" wrapText="1" indent="1"/>
    </xf>
    <xf numFmtId="0" fontId="21" fillId="0" borderId="3" xfId="0" applyFont="1" applyFill="1" applyBorder="1" applyAlignment="1">
      <alignment horizontal="center"/>
    </xf>
    <xf numFmtId="173" fontId="21" fillId="0" borderId="3" xfId="13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" vertical="center"/>
    </xf>
    <xf numFmtId="0" fontId="0" fillId="0" borderId="35" xfId="0" applyBorder="1" applyAlignment="1"/>
    <xf numFmtId="0" fontId="21" fillId="0" borderId="3" xfId="0" applyNumberFormat="1" applyFont="1" applyFill="1" applyBorder="1" applyAlignment="1">
      <alignment horizontal="left" wrapText="1"/>
    </xf>
    <xf numFmtId="0" fontId="21" fillId="0" borderId="3" xfId="0" applyFont="1" applyFill="1" applyBorder="1" applyAlignment="1">
      <alignment horizontal="center" wrapText="1"/>
    </xf>
    <xf numFmtId="0" fontId="21" fillId="0" borderId="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1" fillId="0" borderId="37" xfId="0" applyFont="1" applyFill="1" applyBorder="1" applyAlignment="1">
      <alignment wrapText="1"/>
    </xf>
    <xf numFmtId="1" fontId="21" fillId="0" borderId="3" xfId="0" applyNumberFormat="1" applyFont="1" applyFill="1" applyBorder="1" applyAlignment="1">
      <alignment horizontal="right" wrapText="1" indent="1"/>
    </xf>
    <xf numFmtId="0" fontId="20" fillId="0" borderId="0" xfId="0" applyFont="1" applyFill="1" applyBorder="1" applyAlignment="1">
      <alignment horizontal="right" wrapText="1"/>
    </xf>
    <xf numFmtId="180" fontId="21" fillId="0" borderId="3" xfId="14" applyNumberFormat="1" applyFont="1" applyFill="1" applyBorder="1" applyAlignment="1">
      <alignment horizontal="center" wrapText="1"/>
    </xf>
    <xf numFmtId="0" fontId="0" fillId="10" borderId="35" xfId="0" applyFont="1" applyFill="1" applyBorder="1"/>
    <xf numFmtId="0" fontId="20" fillId="7" borderId="3" xfId="0" applyFont="1" applyFill="1" applyBorder="1" applyAlignment="1">
      <alignment horizontal="right" wrapText="1"/>
    </xf>
    <xf numFmtId="171" fontId="20" fillId="7" borderId="3" xfId="0" applyNumberFormat="1" applyFont="1" applyFill="1" applyBorder="1" applyAlignment="1">
      <alignment vertical="center" wrapText="1"/>
    </xf>
    <xf numFmtId="0" fontId="20" fillId="7" borderId="37" xfId="0" applyFont="1" applyFill="1" applyBorder="1" applyAlignment="1">
      <alignment horizontal="left"/>
    </xf>
    <xf numFmtId="0" fontId="20" fillId="7" borderId="3" xfId="0" applyFont="1" applyFill="1" applyBorder="1" applyAlignment="1">
      <alignment horizontal="left" vertical="center" wrapText="1"/>
    </xf>
    <xf numFmtId="0" fontId="20" fillId="7" borderId="3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25" fillId="7" borderId="0" xfId="0" applyFont="1" applyFill="1" applyBorder="1"/>
    <xf numFmtId="0" fontId="20" fillId="7" borderId="3" xfId="0" applyFont="1" applyFill="1" applyBorder="1" applyAlignment="1">
      <alignment horizontal="left"/>
    </xf>
    <xf numFmtId="0" fontId="25" fillId="7" borderId="0" xfId="0" applyFont="1" applyFill="1"/>
    <xf numFmtId="0" fontId="20" fillId="7" borderId="5" xfId="0" applyFont="1" applyFill="1" applyBorder="1" applyAlignment="1">
      <alignment horizontal="right" wrapText="1"/>
    </xf>
    <xf numFmtId="171" fontId="20" fillId="7" borderId="5" xfId="0" applyNumberFormat="1" applyFont="1" applyFill="1" applyBorder="1" applyAlignment="1">
      <alignment vertical="center" wrapText="1"/>
    </xf>
    <xf numFmtId="0" fontId="21" fillId="0" borderId="37" xfId="0" applyFont="1" applyFill="1" applyBorder="1" applyAlignment="1"/>
    <xf numFmtId="2" fontId="18" fillId="7" borderId="3" xfId="8" applyNumberFormat="1" applyFill="1" applyBorder="1" applyAlignment="1">
      <alignment horizontal="left"/>
    </xf>
    <xf numFmtId="43" fontId="4" fillId="0" borderId="16" xfId="18" applyFont="1" applyBorder="1" applyAlignment="1" applyProtection="1"/>
    <xf numFmtId="173" fontId="4" fillId="0" borderId="16" xfId="10" applyNumberFormat="1" applyFont="1" applyBorder="1"/>
    <xf numFmtId="173" fontId="26" fillId="0" borderId="16" xfId="10" applyNumberFormat="1" applyFont="1" applyBorder="1"/>
    <xf numFmtId="0" fontId="18" fillId="0" borderId="16" xfId="8" applyBorder="1"/>
    <xf numFmtId="0" fontId="4" fillId="0" borderId="47" xfId="0" applyFont="1" applyBorder="1"/>
    <xf numFmtId="0" fontId="4" fillId="0" borderId="48" xfId="0" applyFont="1" applyBorder="1" applyAlignment="1" applyProtection="1">
      <alignment wrapText="1"/>
    </xf>
    <xf numFmtId="0" fontId="4" fillId="0" borderId="49" xfId="0" applyFont="1" applyBorder="1"/>
    <xf numFmtId="0" fontId="0" fillId="0" borderId="3" xfId="0" applyBorder="1"/>
    <xf numFmtId="11" fontId="4" fillId="0" borderId="3" xfId="7" applyNumberFormat="1" applyFont="1" applyBorder="1" applyAlignment="1" applyProtection="1"/>
    <xf numFmtId="11" fontId="0" fillId="0" borderId="0" xfId="0" applyNumberFormat="1" applyBorder="1" applyAlignment="1">
      <alignment wrapText="1"/>
    </xf>
    <xf numFmtId="2" fontId="4" fillId="0" borderId="3" xfId="0" applyNumberFormat="1" applyFont="1" applyBorder="1" applyAlignment="1">
      <alignment wrapText="1"/>
    </xf>
    <xf numFmtId="176" fontId="4" fillId="0" borderId="3" xfId="0" applyNumberFormat="1" applyFont="1" applyBorder="1" applyAlignment="1"/>
    <xf numFmtId="178" fontId="4" fillId="0" borderId="3" xfId="0" applyNumberFormat="1" applyFont="1" applyBorder="1" applyAlignment="1"/>
    <xf numFmtId="49" fontId="0" fillId="0" borderId="3" xfId="7" applyNumberFormat="1" applyFont="1" applyBorder="1" applyAlignment="1">
      <alignment wrapText="1"/>
    </xf>
    <xf numFmtId="0" fontId="0" fillId="0" borderId="3" xfId="0" applyNumberFormat="1" applyBorder="1"/>
    <xf numFmtId="0" fontId="4" fillId="0" borderId="3" xfId="0" applyNumberFormat="1" applyFont="1" applyBorder="1"/>
    <xf numFmtId="0" fontId="0" fillId="0" borderId="22" xfId="0" applyNumberFormat="1" applyBorder="1" applyAlignment="1">
      <alignment wrapText="1"/>
    </xf>
    <xf numFmtId="0" fontId="4" fillId="0" borderId="22" xfId="0" applyNumberFormat="1" applyFont="1" applyBorder="1"/>
    <xf numFmtId="0" fontId="4" fillId="0" borderId="22" xfId="0" applyNumberFormat="1" applyFont="1" applyBorder="1" applyAlignment="1"/>
    <xf numFmtId="0" fontId="4" fillId="0" borderId="3" xfId="7" applyNumberFormat="1" applyFont="1" applyBorder="1" applyAlignment="1" applyProtection="1"/>
    <xf numFmtId="0" fontId="4" fillId="0" borderId="3" xfId="0" applyNumberFormat="1" applyFont="1" applyBorder="1" applyAlignment="1"/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/>
    <xf numFmtId="0" fontId="4" fillId="0" borderId="16" xfId="0" applyNumberFormat="1" applyFont="1" applyBorder="1"/>
    <xf numFmtId="173" fontId="4" fillId="0" borderId="16" xfId="0" applyNumberFormat="1" applyFont="1" applyBorder="1"/>
    <xf numFmtId="173" fontId="26" fillId="0" borderId="16" xfId="0" applyNumberFormat="1" applyFont="1" applyBorder="1"/>
    <xf numFmtId="0" fontId="27" fillId="0" borderId="16" xfId="0" applyFont="1" applyBorder="1"/>
    <xf numFmtId="0" fontId="27" fillId="0" borderId="16" xfId="0" applyFont="1" applyBorder="1" applyAlignment="1">
      <alignment wrapText="1"/>
    </xf>
    <xf numFmtId="0" fontId="11" fillId="7" borderId="3" xfId="1" applyNumberFormat="1" applyFont="1" applyFill="1" applyBorder="1" applyAlignment="1" applyProtection="1">
      <protection locked="0"/>
    </xf>
    <xf numFmtId="0" fontId="4" fillId="0" borderId="0" xfId="0" applyNumberFormat="1" applyFont="1" applyBorder="1"/>
    <xf numFmtId="0" fontId="3" fillId="0" borderId="0" xfId="0" applyNumberFormat="1" applyFont="1" applyBorder="1"/>
    <xf numFmtId="0" fontId="20" fillId="7" borderId="37" xfId="11" applyFont="1" applyFill="1" applyBorder="1" applyAlignment="1">
      <alignment horizontal="left" vertical="center" wrapText="1"/>
    </xf>
    <xf numFmtId="0" fontId="20" fillId="7" borderId="45" xfId="11" applyFont="1" applyFill="1" applyBorder="1" applyAlignment="1">
      <alignment horizontal="center" vertical="center" wrapText="1"/>
    </xf>
    <xf numFmtId="171" fontId="20" fillId="7" borderId="45" xfId="11" applyNumberFormat="1" applyFont="1" applyFill="1" applyBorder="1" applyAlignment="1">
      <alignment horizontal="left" vertical="center" wrapText="1"/>
    </xf>
    <xf numFmtId="0" fontId="20" fillId="7" borderId="0" xfId="11" applyFont="1" applyFill="1" applyBorder="1" applyAlignment="1">
      <alignment horizontal="left" vertical="center" wrapText="1"/>
    </xf>
    <xf numFmtId="0" fontId="20" fillId="7" borderId="45" xfId="11" applyFont="1" applyFill="1" applyBorder="1" applyAlignment="1">
      <alignment horizontal="right" vertical="center" wrapText="1"/>
    </xf>
    <xf numFmtId="0" fontId="20" fillId="7" borderId="37" xfId="0" applyFont="1" applyFill="1" applyBorder="1" applyAlignment="1">
      <alignment horizontal="left" vertical="center" wrapText="1"/>
    </xf>
    <xf numFmtId="0" fontId="20" fillId="7" borderId="46" xfId="0" applyFont="1" applyFill="1" applyBorder="1" applyAlignment="1">
      <alignment horizontal="left" vertical="center" wrapText="1"/>
    </xf>
    <xf numFmtId="0" fontId="20" fillId="7" borderId="3" xfId="0" applyFont="1" applyFill="1" applyBorder="1" applyAlignment="1">
      <alignment horizontal="right" vertical="center" wrapText="1"/>
    </xf>
    <xf numFmtId="173" fontId="20" fillId="7" borderId="46" xfId="0" applyNumberFormat="1" applyFont="1" applyFill="1" applyBorder="1" applyAlignment="1">
      <alignment horizontal="left" vertical="center" wrapText="1"/>
    </xf>
    <xf numFmtId="0" fontId="20" fillId="7" borderId="3" xfId="11" applyFont="1" applyFill="1" applyBorder="1" applyAlignment="1">
      <alignment horizontal="left" vertical="center" wrapText="1"/>
    </xf>
    <xf numFmtId="0" fontId="20" fillId="7" borderId="3" xfId="11" applyFont="1" applyFill="1" applyBorder="1" applyAlignment="1">
      <alignment horizontal="right" vertical="center" wrapText="1"/>
    </xf>
    <xf numFmtId="171" fontId="20" fillId="7" borderId="3" xfId="11" applyNumberFormat="1" applyFont="1" applyFill="1" applyBorder="1" applyAlignment="1">
      <alignment horizontal="left" vertical="center" wrapText="1"/>
    </xf>
    <xf numFmtId="0" fontId="3" fillId="11" borderId="16" xfId="11" applyFont="1" applyFill="1" applyBorder="1"/>
    <xf numFmtId="0" fontId="3" fillId="11" borderId="16" xfId="11" applyFont="1" applyFill="1" applyBorder="1" applyAlignment="1">
      <alignment horizontal="right"/>
    </xf>
    <xf numFmtId="165" fontId="3" fillId="11" borderId="16" xfId="11" applyNumberFormat="1" applyFont="1" applyFill="1" applyBorder="1"/>
    <xf numFmtId="0" fontId="1" fillId="0" borderId="0" xfId="11" applyFill="1" applyBorder="1"/>
    <xf numFmtId="0" fontId="3" fillId="11" borderId="0" xfId="11" applyFont="1" applyFill="1" applyBorder="1"/>
    <xf numFmtId="165" fontId="3" fillId="13" borderId="5" xfId="0" applyNumberFormat="1" applyFont="1" applyFill="1" applyBorder="1"/>
    <xf numFmtId="0" fontId="3" fillId="13" borderId="5" xfId="0" applyFont="1" applyFill="1" applyBorder="1" applyAlignment="1">
      <alignment horizontal="right"/>
    </xf>
    <xf numFmtId="165" fontId="4" fillId="0" borderId="3" xfId="7" applyNumberFormat="1" applyFont="1" applyBorder="1" applyAlignment="1" applyProtection="1"/>
    <xf numFmtId="0" fontId="4" fillId="0" borderId="3" xfId="0" applyFont="1" applyBorder="1"/>
    <xf numFmtId="0" fontId="4" fillId="0" borderId="42" xfId="0" applyFont="1" applyBorder="1"/>
    <xf numFmtId="0" fontId="3" fillId="13" borderId="3" xfId="0" applyFont="1" applyFill="1" applyBorder="1"/>
    <xf numFmtId="0" fontId="3" fillId="13" borderId="42" xfId="0" applyFont="1" applyFill="1" applyBorder="1"/>
    <xf numFmtId="37" fontId="4" fillId="0" borderId="3" xfId="7" applyNumberFormat="1" applyFont="1" applyBorder="1" applyAlignment="1" applyProtection="1"/>
    <xf numFmtId="39" fontId="4" fillId="0" borderId="3" xfId="7" applyNumberFormat="1" applyFont="1" applyBorder="1" applyAlignment="1" applyProtection="1"/>
    <xf numFmtId="0" fontId="0" fillId="0" borderId="3" xfId="7" applyNumberFormat="1" applyFont="1" applyBorder="1" applyAlignment="1">
      <alignment wrapText="1"/>
    </xf>
    <xf numFmtId="1" fontId="4" fillId="0" borderId="3" xfId="0" applyNumberFormat="1" applyFont="1" applyBorder="1"/>
    <xf numFmtId="165" fontId="4" fillId="0" borderId="3" xfId="7" applyNumberFormat="1" applyFont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2" xfId="0" applyBorder="1" applyAlignment="1">
      <alignment wrapText="1"/>
    </xf>
    <xf numFmtId="0" fontId="3" fillId="13" borderId="3" xfId="0" applyFont="1" applyFill="1" applyBorder="1" applyAlignment="1">
      <alignment horizontal="right"/>
    </xf>
    <xf numFmtId="0" fontId="3" fillId="13" borderId="5" xfId="0" applyFont="1" applyFill="1" applyBorder="1"/>
    <xf numFmtId="0" fontId="3" fillId="13" borderId="28" xfId="0" applyFont="1" applyFill="1" applyBorder="1"/>
    <xf numFmtId="0" fontId="3" fillId="0" borderId="4" xfId="0" applyFont="1" applyBorder="1"/>
    <xf numFmtId="0" fontId="3" fillId="0" borderId="27" xfId="0" applyFont="1" applyBorder="1"/>
    <xf numFmtId="0" fontId="3" fillId="13" borderId="16" xfId="0" applyFont="1" applyFill="1" applyBorder="1"/>
    <xf numFmtId="0" fontId="3" fillId="13" borderId="2" xfId="0" applyFont="1" applyFill="1" applyBorder="1"/>
    <xf numFmtId="49" fontId="4" fillId="0" borderId="0" xfId="0" applyNumberFormat="1" applyFont="1" applyBorder="1" applyAlignment="1">
      <alignment horizontal="left"/>
    </xf>
    <xf numFmtId="0" fontId="3" fillId="13" borderId="16" xfId="0" applyFont="1" applyFill="1" applyBorder="1" applyAlignment="1">
      <alignment horizontal="left"/>
    </xf>
    <xf numFmtId="0" fontId="0" fillId="10" borderId="24" xfId="0" applyFill="1" applyBorder="1"/>
    <xf numFmtId="0" fontId="28" fillId="0" borderId="17" xfId="0" applyFont="1" applyBorder="1"/>
    <xf numFmtId="0" fontId="28" fillId="0" borderId="18" xfId="0" applyFont="1" applyBorder="1"/>
    <xf numFmtId="0" fontId="28" fillId="0" borderId="19" xfId="0" applyFont="1" applyBorder="1"/>
    <xf numFmtId="0" fontId="28" fillId="0" borderId="0" xfId="0" applyFont="1"/>
    <xf numFmtId="0" fontId="29" fillId="12" borderId="16" xfId="0" applyFont="1" applyFill="1" applyBorder="1"/>
    <xf numFmtId="0" fontId="30" fillId="0" borderId="0" xfId="0" applyFont="1" applyBorder="1"/>
    <xf numFmtId="0" fontId="28" fillId="0" borderId="0" xfId="0" applyFont="1" applyBorder="1"/>
    <xf numFmtId="0" fontId="30" fillId="0" borderId="16" xfId="0" applyFont="1" applyBorder="1" applyAlignment="1">
      <alignment horizontal="right"/>
    </xf>
    <xf numFmtId="43" fontId="30" fillId="0" borderId="16" xfId="7" applyNumberFormat="1" applyFont="1" applyBorder="1" applyAlignment="1" applyProtection="1"/>
    <xf numFmtId="0" fontId="28" fillId="0" borderId="20" xfId="0" applyFont="1" applyBorder="1"/>
    <xf numFmtId="37" fontId="30" fillId="0" borderId="16" xfId="7" applyNumberFormat="1" applyFont="1" applyBorder="1" applyAlignment="1" applyProtection="1"/>
    <xf numFmtId="0" fontId="29" fillId="12" borderId="0" xfId="0" applyFont="1" applyFill="1" applyBorder="1"/>
    <xf numFmtId="165" fontId="30" fillId="0" borderId="16" xfId="7" applyNumberFormat="1" applyFont="1" applyBorder="1" applyAlignment="1" applyProtection="1"/>
    <xf numFmtId="0" fontId="28" fillId="0" borderId="21" xfId="0" applyFont="1" applyBorder="1"/>
    <xf numFmtId="0" fontId="30" fillId="0" borderId="16" xfId="0" applyFont="1" applyBorder="1"/>
    <xf numFmtId="0" fontId="30" fillId="0" borderId="20" xfId="7" applyNumberFormat="1" applyFont="1" applyBorder="1" applyAlignment="1"/>
    <xf numFmtId="0" fontId="29" fillId="12" borderId="16" xfId="0" applyFont="1" applyFill="1" applyBorder="1" applyAlignment="1">
      <alignment horizontal="right"/>
    </xf>
    <xf numFmtId="165" fontId="29" fillId="12" borderId="16" xfId="0" applyNumberFormat="1" applyFont="1" applyFill="1" applyBorder="1"/>
    <xf numFmtId="164" fontId="30" fillId="0" borderId="16" xfId="7" applyNumberFormat="1" applyFont="1" applyBorder="1" applyAlignment="1" applyProtection="1"/>
    <xf numFmtId="11" fontId="30" fillId="0" borderId="16" xfId="0" applyNumberFormat="1" applyFont="1" applyBorder="1"/>
    <xf numFmtId="167" fontId="30" fillId="0" borderId="16" xfId="7" applyNumberFormat="1" applyFont="1" applyBorder="1" applyAlignment="1" applyProtection="1"/>
    <xf numFmtId="0" fontId="30" fillId="0" borderId="16" xfId="0" applyFont="1" applyBorder="1" applyAlignment="1">
      <alignment wrapText="1"/>
    </xf>
    <xf numFmtId="0" fontId="30" fillId="0" borderId="16" xfId="0" applyFont="1" applyBorder="1" applyAlignment="1"/>
    <xf numFmtId="11" fontId="30" fillId="0" borderId="16" xfId="0" applyNumberFormat="1" applyFont="1" applyBorder="1" applyAlignment="1"/>
    <xf numFmtId="11" fontId="30" fillId="0" borderId="16" xfId="7" applyNumberFormat="1" applyFont="1" applyBorder="1" applyAlignment="1" applyProtection="1"/>
    <xf numFmtId="168" fontId="30" fillId="0" borderId="16" xfId="7" applyNumberFormat="1" applyFont="1" applyBorder="1" applyAlignment="1" applyProtection="1"/>
    <xf numFmtId="0" fontId="28" fillId="0" borderId="16" xfId="0" applyFont="1" applyBorder="1" applyAlignment="1"/>
    <xf numFmtId="2" fontId="30" fillId="0" borderId="16" xfId="7" applyNumberFormat="1" applyFont="1" applyBorder="1" applyAlignment="1" applyProtection="1"/>
    <xf numFmtId="0" fontId="28" fillId="0" borderId="20" xfId="0" applyFont="1" applyBorder="1" applyAlignment="1"/>
    <xf numFmtId="0" fontId="28" fillId="0" borderId="0" xfId="0" applyFont="1" applyAlignment="1"/>
    <xf numFmtId="169" fontId="30" fillId="0" borderId="16" xfId="7" applyNumberFormat="1" applyFont="1" applyBorder="1" applyAlignment="1" applyProtection="1"/>
    <xf numFmtId="0" fontId="29" fillId="0" borderId="21" xfId="0" applyFont="1" applyBorder="1"/>
    <xf numFmtId="0" fontId="29" fillId="0" borderId="0" xfId="0" applyFont="1" applyBorder="1"/>
    <xf numFmtId="0" fontId="28" fillId="0" borderId="20" xfId="0" applyFont="1" applyBorder="1" applyAlignment="1">
      <alignment wrapText="1"/>
    </xf>
    <xf numFmtId="0" fontId="28" fillId="0" borderId="0" xfId="0" applyFont="1" applyAlignment="1">
      <alignment wrapText="1"/>
    </xf>
    <xf numFmtId="0" fontId="28" fillId="0" borderId="16" xfId="0" applyFont="1" applyBorder="1"/>
    <xf numFmtId="0" fontId="28" fillId="0" borderId="16" xfId="7" applyNumberFormat="1" applyFont="1" applyBorder="1" applyAlignment="1">
      <alignment wrapText="1"/>
    </xf>
    <xf numFmtId="170" fontId="30" fillId="0" borderId="16" xfId="0" applyNumberFormat="1" applyFont="1" applyBorder="1"/>
    <xf numFmtId="0" fontId="30" fillId="0" borderId="16" xfId="7" applyNumberFormat="1" applyFont="1" applyBorder="1" applyAlignment="1" applyProtection="1">
      <alignment vertical="center" wrapText="1"/>
    </xf>
    <xf numFmtId="39" fontId="30" fillId="0" borderId="16" xfId="7" applyNumberFormat="1" applyFont="1" applyBorder="1" applyAlignment="1" applyProtection="1"/>
    <xf numFmtId="170" fontId="30" fillId="0" borderId="16" xfId="0" applyNumberFormat="1" applyFont="1" applyBorder="1" applyAlignment="1">
      <alignment wrapText="1"/>
    </xf>
    <xf numFmtId="39" fontId="30" fillId="0" borderId="16" xfId="7" applyNumberFormat="1" applyFont="1" applyBorder="1" applyAlignment="1" applyProtection="1">
      <alignment wrapText="1"/>
    </xf>
    <xf numFmtId="37" fontId="30" fillId="0" borderId="16" xfId="7" applyNumberFormat="1" applyFont="1" applyBorder="1" applyAlignment="1" applyProtection="1">
      <alignment wrapText="1"/>
    </xf>
    <xf numFmtId="0" fontId="28" fillId="0" borderId="0" xfId="0" applyFont="1" applyBorder="1" applyAlignment="1">
      <alignment wrapText="1"/>
    </xf>
    <xf numFmtId="0" fontId="29" fillId="12" borderId="26" xfId="0" applyFont="1" applyFill="1" applyBorder="1" applyAlignment="1">
      <alignment horizontal="right"/>
    </xf>
    <xf numFmtId="165" fontId="29" fillId="12" borderId="26" xfId="0" applyNumberFormat="1" applyFont="1" applyFill="1" applyBorder="1"/>
    <xf numFmtId="0" fontId="28" fillId="0" borderId="23" xfId="0" applyFont="1" applyBorder="1"/>
    <xf numFmtId="0" fontId="28" fillId="0" borderId="24" xfId="0" applyFont="1" applyBorder="1"/>
    <xf numFmtId="0" fontId="28" fillId="0" borderId="25" xfId="0" applyFont="1" applyBorder="1"/>
    <xf numFmtId="0" fontId="21" fillId="0" borderId="16" xfId="0" applyFont="1" applyBorder="1"/>
    <xf numFmtId="0" fontId="30" fillId="0" borderId="16" xfId="0" applyNumberFormat="1" applyFont="1" applyBorder="1"/>
    <xf numFmtId="173" fontId="30" fillId="0" borderId="16" xfId="9" applyNumberFormat="1" applyFont="1" applyBorder="1"/>
    <xf numFmtId="0" fontId="31" fillId="0" borderId="0" xfId="0" applyFont="1" applyBorder="1"/>
    <xf numFmtId="2" fontId="21" fillId="0" borderId="16" xfId="0" applyNumberFormat="1" applyFont="1" applyBorder="1"/>
    <xf numFmtId="0" fontId="33" fillId="0" borderId="0" xfId="1" applyFont="1" applyFill="1"/>
    <xf numFmtId="0" fontId="32" fillId="14" borderId="3" xfId="1" applyFont="1" applyFill="1" applyBorder="1" applyProtection="1">
      <protection locked="0"/>
    </xf>
    <xf numFmtId="0" fontId="32" fillId="14" borderId="3" xfId="1" applyFont="1" applyFill="1" applyBorder="1" applyAlignment="1">
      <alignment horizontal="left"/>
    </xf>
    <xf numFmtId="18" fontId="32" fillId="14" borderId="3" xfId="1" applyNumberFormat="1" applyFont="1" applyFill="1" applyBorder="1" applyAlignment="1" applyProtection="1">
      <protection locked="0"/>
    </xf>
    <xf numFmtId="172" fontId="32" fillId="14" borderId="3" xfId="5" applyFont="1" applyFill="1" applyBorder="1" applyProtection="1">
      <protection locked="0"/>
    </xf>
    <xf numFmtId="37" fontId="32" fillId="14" borderId="3" xfId="1" applyNumberFormat="1" applyFont="1" applyFill="1" applyBorder="1" applyAlignment="1" applyProtection="1">
      <alignment horizontal="center"/>
      <protection locked="0"/>
    </xf>
    <xf numFmtId="2" fontId="32" fillId="14" borderId="3" xfId="1" applyNumberFormat="1" applyFont="1" applyFill="1" applyBorder="1" applyAlignment="1" applyProtection="1">
      <alignment horizontal="center"/>
      <protection locked="0"/>
    </xf>
    <xf numFmtId="2" fontId="32" fillId="14" borderId="3" xfId="1" applyNumberFormat="1" applyFont="1" applyFill="1" applyBorder="1" applyAlignment="1">
      <alignment horizontal="right"/>
    </xf>
    <xf numFmtId="0" fontId="32" fillId="14" borderId="3" xfId="1" applyFont="1" applyFill="1" applyBorder="1" applyAlignment="1">
      <alignment horizontal="center"/>
    </xf>
    <xf numFmtId="0" fontId="11" fillId="15" borderId="3" xfId="1" applyFont="1" applyFill="1" applyBorder="1" applyProtection="1">
      <protection locked="0"/>
    </xf>
    <xf numFmtId="0" fontId="11" fillId="15" borderId="3" xfId="1" applyFont="1" applyFill="1" applyBorder="1" applyAlignment="1">
      <alignment horizontal="left"/>
    </xf>
    <xf numFmtId="18" fontId="11" fillId="15" borderId="3" xfId="1" applyNumberFormat="1" applyFont="1" applyFill="1" applyBorder="1" applyAlignment="1" applyProtection="1">
      <protection locked="0"/>
    </xf>
    <xf numFmtId="0" fontId="11" fillId="15" borderId="3" xfId="1" applyNumberFormat="1" applyFont="1" applyFill="1" applyBorder="1" applyAlignment="1" applyProtection="1">
      <protection locked="0"/>
    </xf>
    <xf numFmtId="2" fontId="18" fillId="15" borderId="3" xfId="8" applyNumberFormat="1" applyFill="1" applyBorder="1" applyAlignment="1">
      <alignment horizontal="left"/>
    </xf>
    <xf numFmtId="37" fontId="11" fillId="15" borderId="3" xfId="1" applyNumberFormat="1" applyFont="1" applyFill="1" applyBorder="1" applyAlignment="1" applyProtection="1">
      <alignment horizontal="center"/>
      <protection locked="0"/>
    </xf>
    <xf numFmtId="2" fontId="11" fillId="15" borderId="3" xfId="1" applyNumberFormat="1" applyFont="1" applyFill="1" applyBorder="1" applyAlignment="1" applyProtection="1">
      <alignment horizontal="center"/>
      <protection locked="0"/>
    </xf>
    <xf numFmtId="2" fontId="11" fillId="15" borderId="3" xfId="1" applyNumberFormat="1" applyFont="1" applyFill="1" applyBorder="1" applyAlignment="1">
      <alignment horizontal="right"/>
    </xf>
    <xf numFmtId="0" fontId="11" fillId="15" borderId="3" xfId="1" applyFont="1" applyFill="1" applyBorder="1" applyAlignment="1">
      <alignment horizontal="center"/>
    </xf>
    <xf numFmtId="0" fontId="18" fillId="14" borderId="3" xfId="8" applyFill="1" applyBorder="1" applyAlignment="1">
      <alignment horizontal="left"/>
    </xf>
    <xf numFmtId="2" fontId="3" fillId="16" borderId="0" xfId="0" applyNumberFormat="1" applyFont="1" applyFill="1" applyBorder="1" applyAlignment="1">
      <alignment horizontal="right"/>
    </xf>
    <xf numFmtId="173" fontId="3" fillId="16" borderId="0" xfId="0" applyNumberFormat="1" applyFont="1" applyFill="1" applyBorder="1"/>
    <xf numFmtId="2" fontId="19" fillId="0" borderId="23" xfId="0" applyNumberFormat="1" applyFont="1" applyBorder="1"/>
    <xf numFmtId="2" fontId="19" fillId="0" borderId="24" xfId="0" applyNumberFormat="1" applyFont="1" applyBorder="1"/>
    <xf numFmtId="2" fontId="19" fillId="10" borderId="24" xfId="0" applyNumberFormat="1" applyFont="1" applyFill="1" applyBorder="1"/>
    <xf numFmtId="2" fontId="19" fillId="0" borderId="25" xfId="0" applyNumberFormat="1" applyFont="1" applyBorder="1"/>
    <xf numFmtId="2" fontId="19" fillId="0" borderId="17" xfId="0" applyNumberFormat="1" applyFont="1" applyBorder="1"/>
    <xf numFmtId="2" fontId="19" fillId="0" borderId="18" xfId="0" applyNumberFormat="1" applyFont="1" applyBorder="1"/>
    <xf numFmtId="2" fontId="19" fillId="0" borderId="19" xfId="0" applyNumberFormat="1" applyFont="1" applyBorder="1"/>
    <xf numFmtId="2" fontId="20" fillId="9" borderId="16" xfId="0" applyNumberFormat="1" applyFont="1" applyFill="1" applyBorder="1"/>
    <xf numFmtId="2" fontId="20" fillId="0" borderId="0" xfId="0" applyNumberFormat="1" applyFont="1" applyBorder="1"/>
    <xf numFmtId="2" fontId="19" fillId="0" borderId="0" xfId="0" applyNumberFormat="1" applyFont="1" applyBorder="1"/>
    <xf numFmtId="2" fontId="20" fillId="9" borderId="16" xfId="0" applyNumberFormat="1" applyFont="1" applyFill="1" applyBorder="1" applyAlignment="1">
      <alignment horizontal="left"/>
    </xf>
    <xf numFmtId="2" fontId="20" fillId="0" borderId="16" xfId="0" applyNumberFormat="1" applyFont="1" applyBorder="1" applyAlignment="1">
      <alignment horizontal="right"/>
    </xf>
    <xf numFmtId="2" fontId="20" fillId="0" borderId="16" xfId="7" applyNumberFormat="1" applyFont="1" applyBorder="1" applyAlignment="1" applyProtection="1"/>
    <xf numFmtId="2" fontId="19" fillId="0" borderId="20" xfId="0" applyNumberFormat="1" applyFont="1" applyBorder="1"/>
    <xf numFmtId="2" fontId="34" fillId="0" borderId="0" xfId="8" applyNumberFormat="1" applyFont="1"/>
    <xf numFmtId="2" fontId="34" fillId="0" borderId="0" xfId="8" applyNumberFormat="1" applyFont="1" applyBorder="1"/>
    <xf numFmtId="2" fontId="20" fillId="9" borderId="2" xfId="0" applyNumberFormat="1" applyFont="1" applyFill="1" applyBorder="1"/>
    <xf numFmtId="2" fontId="20" fillId="0" borderId="0" xfId="0" applyNumberFormat="1" applyFont="1" applyBorder="1" applyAlignment="1">
      <alignment horizontal="left"/>
    </xf>
    <xf numFmtId="172" fontId="32" fillId="15" borderId="3" xfId="5" applyFont="1" applyFill="1" applyBorder="1" applyProtection="1">
      <protection locked="0"/>
    </xf>
    <xf numFmtId="2" fontId="3" fillId="0" borderId="0" xfId="0" applyNumberFormat="1" applyFont="1" applyFill="1" applyBorder="1" applyAlignment="1">
      <alignment horizontal="right"/>
    </xf>
    <xf numFmtId="173" fontId="3" fillId="0" borderId="0" xfId="0" applyNumberFormat="1" applyFont="1" applyFill="1" applyBorder="1"/>
    <xf numFmtId="2" fontId="0" fillId="0" borderId="24" xfId="0" applyNumberFormat="1" applyFill="1" applyBorder="1"/>
    <xf numFmtId="0" fontId="21" fillId="0" borderId="45" xfId="14" applyNumberFormat="1" applyFont="1" applyFill="1" applyBorder="1" applyAlignment="1">
      <alignment horizontal="center" wrapText="1"/>
    </xf>
    <xf numFmtId="0" fontId="21" fillId="0" borderId="3" xfId="14" applyNumberFormat="1" applyFont="1" applyFill="1" applyBorder="1" applyAlignment="1">
      <alignment horizontal="center" wrapText="1"/>
    </xf>
    <xf numFmtId="0" fontId="21" fillId="0" borderId="3" xfId="14" applyNumberFormat="1" applyFont="1" applyFill="1" applyBorder="1" applyAlignment="1">
      <alignment horizontal="right" wrapText="1" indent="1"/>
    </xf>
  </cellXfs>
  <cellStyles count="19">
    <cellStyle name="Comma 2" xfId="5"/>
    <cellStyle name="Cost_Green" xfId="4"/>
    <cellStyle name="Currency 2" xfId="2"/>
    <cellStyle name="Lien hypertexte" xfId="8" builtinId="8"/>
    <cellStyle name="Milliers" xfId="18" builtinId="3"/>
    <cellStyle name="Milliers 5" xfId="14"/>
    <cellStyle name="Monétaire" xfId="9" builtinId="4"/>
    <cellStyle name="Monétaire 2" xfId="3"/>
    <cellStyle name="Monétaire 2 3" xfId="17"/>
    <cellStyle name="Monétaire 3" xfId="13"/>
    <cellStyle name="Monétaire 4" xfId="12"/>
    <cellStyle name="Normal" xfId="0" builtinId="0"/>
    <cellStyle name="Normal 2" xfId="1"/>
    <cellStyle name="Normal 3" xfId="6"/>
    <cellStyle name="Normal 4" xfId="11"/>
    <cellStyle name="Normal_Sheet1" xfId="15"/>
    <cellStyle name="Pourcentage" xfId="10" builtinId="5"/>
    <cellStyle name="Style 1" xfId="1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66FF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JP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714375</xdr:colOff>
      <xdr:row>240</xdr:row>
      <xdr:rowOff>119062</xdr:rowOff>
    </xdr:from>
    <xdr:to>
      <xdr:col>13</xdr:col>
      <xdr:colOff>482072</xdr:colOff>
      <xdr:row>255</xdr:row>
      <xdr:rowOff>177114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C5B56F-576D-4F44-83DB-4E3E58F1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27594" y="48220312"/>
          <a:ext cx="3077634" cy="3106052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284</xdr:row>
      <xdr:rowOff>23812</xdr:rowOff>
    </xdr:from>
    <xdr:to>
      <xdr:col>11</xdr:col>
      <xdr:colOff>375262</xdr:colOff>
      <xdr:row>299</xdr:row>
      <xdr:rowOff>35282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F78D2D4-3579-47F8-9BAE-93E7EDFF4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1" y="56721375"/>
          <a:ext cx="4066200" cy="286897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45</xdr:row>
      <xdr:rowOff>290892</xdr:rowOff>
    </xdr:from>
    <xdr:to>
      <xdr:col>14</xdr:col>
      <xdr:colOff>273844</xdr:colOff>
      <xdr:row>66</xdr:row>
      <xdr:rowOff>94298</xdr:rowOff>
    </xdr:to>
    <xdr:pic>
      <xdr:nvPicPr>
        <xdr:cNvPr id="5" name="Image 1" descr="fyfyfyf.PNG">
          <a:extLst>
            <a:ext uri="{FF2B5EF4-FFF2-40B4-BE49-F238E27FC236}">
              <a16:creationId xmlns:a16="http://schemas.microsoft.com/office/drawing/2014/main" id="{CAF3803F-082C-468A-B8D5-5FEFF1B7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60844" y="10006392"/>
          <a:ext cx="4298156" cy="39944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690563</xdr:colOff>
      <xdr:row>137</xdr:row>
      <xdr:rowOff>166689</xdr:rowOff>
    </xdr:from>
    <xdr:to>
      <xdr:col>13</xdr:col>
      <xdr:colOff>362261</xdr:colOff>
      <xdr:row>160</xdr:row>
      <xdr:rowOff>119775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4567C13-BF2B-4FF9-A203-23E5B2DF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7213" y="28436889"/>
          <a:ext cx="2224398" cy="5096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1460499</xdr:colOff>
      <xdr:row>603</xdr:row>
      <xdr:rowOff>63499</xdr:rowOff>
    </xdr:from>
    <xdr:to>
      <xdr:col>6</xdr:col>
      <xdr:colOff>1793862</xdr:colOff>
      <xdr:row>623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8CCB90F-F5AD-47A1-986F-5A68D270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94199" y="128403349"/>
          <a:ext cx="4162413" cy="3784601"/>
        </a:xfrm>
        <a:prstGeom prst="rect">
          <a:avLst/>
        </a:prstGeom>
      </xdr:spPr>
    </xdr:pic>
    <xdr:clientData/>
  </xdr:twoCellAnchor>
  <xdr:twoCellAnchor editAs="oneCell">
    <xdr:from>
      <xdr:col>3</xdr:col>
      <xdr:colOff>565150</xdr:colOff>
      <xdr:row>719</xdr:row>
      <xdr:rowOff>171450</xdr:rowOff>
    </xdr:from>
    <xdr:to>
      <xdr:col>7</xdr:col>
      <xdr:colOff>496760</xdr:colOff>
      <xdr:row>737</xdr:row>
      <xdr:rowOff>76200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CC152D6-1A7D-4353-BFF4-DD3409972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75250" y="151009350"/>
          <a:ext cx="4465510" cy="3333750"/>
        </a:xfrm>
        <a:prstGeom prst="rect">
          <a:avLst/>
        </a:prstGeom>
      </xdr:spPr>
    </xdr:pic>
    <xdr:clientData/>
  </xdr:twoCellAnchor>
  <xdr:twoCellAnchor editAs="oneCell">
    <xdr:from>
      <xdr:col>3</xdr:col>
      <xdr:colOff>596899</xdr:colOff>
      <xdr:row>527</xdr:row>
      <xdr:rowOff>134831</xdr:rowOff>
    </xdr:from>
    <xdr:to>
      <xdr:col>7</xdr:col>
      <xdr:colOff>235788</xdr:colOff>
      <xdr:row>547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47CB5003-08E2-46CF-9DAC-C0B66688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06999" y="113920481"/>
          <a:ext cx="4172789" cy="3827569"/>
        </a:xfrm>
        <a:prstGeom prst="rect">
          <a:avLst/>
        </a:prstGeom>
      </xdr:spPr>
    </xdr:pic>
    <xdr:clientData/>
  </xdr:twoCellAnchor>
  <xdr:twoCellAnchor editAs="oneCell">
    <xdr:from>
      <xdr:col>2</xdr:col>
      <xdr:colOff>1454149</xdr:colOff>
      <xdr:row>642</xdr:row>
      <xdr:rowOff>165100</xdr:rowOff>
    </xdr:from>
    <xdr:to>
      <xdr:col>6</xdr:col>
      <xdr:colOff>2302950</xdr:colOff>
      <xdr:row>657</xdr:row>
      <xdr:rowOff>114300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9E33A3F-16EF-403F-8177-D6F23EC3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87849" y="135915400"/>
          <a:ext cx="4677851" cy="2806700"/>
        </a:xfrm>
        <a:prstGeom prst="rect">
          <a:avLst/>
        </a:prstGeom>
      </xdr:spPr>
    </xdr:pic>
    <xdr:clientData/>
  </xdr:twoCellAnchor>
  <xdr:twoCellAnchor editAs="oneCell">
    <xdr:from>
      <xdr:col>3</xdr:col>
      <xdr:colOff>374650</xdr:colOff>
      <xdr:row>567</xdr:row>
      <xdr:rowOff>6349</xdr:rowOff>
    </xdr:from>
    <xdr:to>
      <xdr:col>7</xdr:col>
      <xdr:colOff>95250</xdr:colOff>
      <xdr:row>584</xdr:row>
      <xdr:rowOff>170956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E32493C-1C91-43EA-8360-7155ACB1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4750" y="121450099"/>
          <a:ext cx="4254500" cy="3403107"/>
        </a:xfrm>
        <a:prstGeom prst="rect">
          <a:avLst/>
        </a:prstGeom>
      </xdr:spPr>
    </xdr:pic>
    <xdr:clientData/>
  </xdr:twoCellAnchor>
  <xdr:twoCellAnchor editAs="oneCell">
    <xdr:from>
      <xdr:col>3</xdr:col>
      <xdr:colOff>368299</xdr:colOff>
      <xdr:row>678</xdr:row>
      <xdr:rowOff>12700</xdr:rowOff>
    </xdr:from>
    <xdr:to>
      <xdr:col>7</xdr:col>
      <xdr:colOff>755002</xdr:colOff>
      <xdr:row>698</xdr:row>
      <xdr:rowOff>38100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E2AB871-C16F-4980-ACDE-B13043CC5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78399" y="142830550"/>
          <a:ext cx="4920603" cy="3816350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945</xdr:row>
      <xdr:rowOff>15374</xdr:rowOff>
    </xdr:from>
    <xdr:to>
      <xdr:col>6</xdr:col>
      <xdr:colOff>1869996</xdr:colOff>
      <xdr:row>956</xdr:row>
      <xdr:rowOff>133350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1946B579-6C9D-440D-9DC6-F06CBDF070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36" t="36532" r="50947" b="41751"/>
        <a:stretch/>
      </xdr:blipFill>
      <xdr:spPr>
        <a:xfrm>
          <a:off x="6400800" y="196535174"/>
          <a:ext cx="2231946" cy="2194426"/>
        </a:xfrm>
        <a:prstGeom prst="rect">
          <a:avLst/>
        </a:prstGeom>
      </xdr:spPr>
    </xdr:pic>
    <xdr:clientData/>
  </xdr:twoCellAnchor>
  <xdr:twoCellAnchor editAs="oneCell">
    <xdr:from>
      <xdr:col>4</xdr:col>
      <xdr:colOff>222249</xdr:colOff>
      <xdr:row>977</xdr:row>
      <xdr:rowOff>76200</xdr:rowOff>
    </xdr:from>
    <xdr:to>
      <xdr:col>8</xdr:col>
      <xdr:colOff>948936</xdr:colOff>
      <xdr:row>986</xdr:row>
      <xdr:rowOff>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D1DA999-A169-462E-B29D-30ADA2D27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37199" y="202711050"/>
          <a:ext cx="5451087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996949</xdr:colOff>
      <xdr:row>1009</xdr:row>
      <xdr:rowOff>82550</xdr:rowOff>
    </xdr:from>
    <xdr:to>
      <xdr:col>6</xdr:col>
      <xdr:colOff>1732530</xdr:colOff>
      <xdr:row>1018</xdr:row>
      <xdr:rowOff>38100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895F4164-87D6-4C05-9EB2-CFD77307A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0649" y="208851500"/>
          <a:ext cx="4564631" cy="1670050"/>
        </a:xfrm>
        <a:prstGeom prst="rect">
          <a:avLst/>
        </a:prstGeom>
      </xdr:spPr>
    </xdr:pic>
    <xdr:clientData/>
  </xdr:twoCellAnchor>
  <xdr:twoCellAnchor editAs="oneCell">
    <xdr:from>
      <xdr:col>3</xdr:col>
      <xdr:colOff>25399</xdr:colOff>
      <xdr:row>1038</xdr:row>
      <xdr:rowOff>152400</xdr:rowOff>
    </xdr:from>
    <xdr:to>
      <xdr:col>6</xdr:col>
      <xdr:colOff>1790338</xdr:colOff>
      <xdr:row>1049</xdr:row>
      <xdr:rowOff>76200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63A75F83-800F-44D3-97CD-D4505CD8E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35499" y="214483950"/>
          <a:ext cx="3917589" cy="201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186</xdr:row>
      <xdr:rowOff>90080</xdr:rowOff>
    </xdr:from>
    <xdr:to>
      <xdr:col>7</xdr:col>
      <xdr:colOff>593988</xdr:colOff>
      <xdr:row>209</xdr:row>
      <xdr:rowOff>25400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AFDEA57-EE9D-401D-9887-110F9A1C7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899" y="43320880"/>
          <a:ext cx="5064389" cy="4316820"/>
        </a:xfrm>
        <a:prstGeom prst="rect">
          <a:avLst/>
        </a:prstGeom>
      </xdr:spPr>
    </xdr:pic>
    <xdr:clientData/>
  </xdr:twoCellAnchor>
  <xdr:twoCellAnchor editAs="oneCell">
    <xdr:from>
      <xdr:col>2</xdr:col>
      <xdr:colOff>1593850</xdr:colOff>
      <xdr:row>234</xdr:row>
      <xdr:rowOff>44450</xdr:rowOff>
    </xdr:from>
    <xdr:to>
      <xdr:col>8</xdr:col>
      <xdr:colOff>148224</xdr:colOff>
      <xdr:row>259</xdr:row>
      <xdr:rowOff>57150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552BEC5-9A07-441B-8BCE-2964A143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550" y="54451250"/>
          <a:ext cx="5660024" cy="4775200"/>
        </a:xfrm>
        <a:prstGeom prst="rect">
          <a:avLst/>
        </a:prstGeom>
      </xdr:spPr>
    </xdr:pic>
    <xdr:clientData/>
  </xdr:twoCellAnchor>
  <xdr:oneCellAnchor>
    <xdr:from>
      <xdr:col>1</xdr:col>
      <xdr:colOff>1852361</xdr:colOff>
      <xdr:row>320</xdr:row>
      <xdr:rowOff>52639</xdr:rowOff>
    </xdr:from>
    <xdr:ext cx="6258798" cy="2648320"/>
    <xdr:pic>
      <xdr:nvPicPr>
        <xdr:cNvPr id="19" name="Image 18">
          <a:extLst>
            <a:ext uri="{FF2B5EF4-FFF2-40B4-BE49-F238E27FC236}">
              <a16:creationId xmlns:a16="http://schemas.microsoft.com/office/drawing/2014/main" id="{A07E1562-B1C0-4C41-9069-F095E14B0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4368800" y="60591700"/>
          <a:ext cx="2648320" cy="6258798"/>
        </a:xfrm>
        <a:prstGeom prst="rect">
          <a:avLst/>
        </a:prstGeom>
      </xdr:spPr>
    </xdr:pic>
    <xdr:clientData/>
  </xdr:oneCellAnchor>
  <xdr:oneCellAnchor>
    <xdr:from>
      <xdr:col>3</xdr:col>
      <xdr:colOff>347410</xdr:colOff>
      <xdr:row>281</xdr:row>
      <xdr:rowOff>27237</xdr:rowOff>
    </xdr:from>
    <xdr:ext cx="8129456" cy="3439862"/>
    <xdr:pic>
      <xdr:nvPicPr>
        <xdr:cNvPr id="20" name="Image 19">
          <a:extLst>
            <a:ext uri="{FF2B5EF4-FFF2-40B4-BE49-F238E27FC236}">
              <a16:creationId xmlns:a16="http://schemas.microsoft.com/office/drawing/2014/main" id="{A0181A52-83EF-45FA-99D8-3D54E2B4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302307" y="61652340"/>
          <a:ext cx="3439862" cy="8129456"/>
        </a:xfrm>
        <a:prstGeom prst="rect">
          <a:avLst/>
        </a:prstGeom>
      </xdr:spPr>
    </xdr:pic>
    <xdr:clientData/>
  </xdr:oneCellAnchor>
  <xdr:twoCellAnchor editAs="oneCell">
    <xdr:from>
      <xdr:col>2</xdr:col>
      <xdr:colOff>1447800</xdr:colOff>
      <xdr:row>356</xdr:row>
      <xdr:rowOff>38101</xdr:rowOff>
    </xdr:from>
    <xdr:to>
      <xdr:col>6</xdr:col>
      <xdr:colOff>2019300</xdr:colOff>
      <xdr:row>377</xdr:row>
      <xdr:rowOff>116801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A670EE6A-3993-41A2-8CC6-DEEE5D501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79133701"/>
          <a:ext cx="4400550" cy="4079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1555750</xdr:colOff>
      <xdr:row>397</xdr:row>
      <xdr:rowOff>29139</xdr:rowOff>
    </xdr:from>
    <xdr:to>
      <xdr:col>6</xdr:col>
      <xdr:colOff>1905000</xdr:colOff>
      <xdr:row>418</xdr:row>
      <xdr:rowOff>31651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5D813006-BF11-4A50-9A06-6012C91BF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450" y="87163839"/>
          <a:ext cx="4178300" cy="4022062"/>
        </a:xfrm>
        <a:prstGeom prst="rect">
          <a:avLst/>
        </a:prstGeom>
      </xdr:spPr>
    </xdr:pic>
    <xdr:clientData/>
  </xdr:twoCellAnchor>
  <xdr:twoCellAnchor editAs="oneCell">
    <xdr:from>
      <xdr:col>3</xdr:col>
      <xdr:colOff>444499</xdr:colOff>
      <xdr:row>442</xdr:row>
      <xdr:rowOff>114299</xdr:rowOff>
    </xdr:from>
    <xdr:to>
      <xdr:col>6</xdr:col>
      <xdr:colOff>1888492</xdr:colOff>
      <xdr:row>465</xdr:row>
      <xdr:rowOff>95250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87BDF651-BD55-4312-B09C-14EF033C3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599" y="96640649"/>
          <a:ext cx="3596643" cy="43624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178593</xdr:colOff>
      <xdr:row>26</xdr:row>
      <xdr:rowOff>154782</xdr:rowOff>
    </xdr:from>
    <xdr:to>
      <xdr:col>14</xdr:col>
      <xdr:colOff>1304697</xdr:colOff>
      <xdr:row>45</xdr:row>
      <xdr:rowOff>83146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0E8AF0-1AA4-4E25-BF2D-2D99541A8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9812" y="5143501"/>
          <a:ext cx="4245541" cy="3547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825500</xdr:colOff>
      <xdr:row>20</xdr:row>
      <xdr:rowOff>104434</xdr:rowOff>
    </xdr:from>
    <xdr:to>
      <xdr:col>6</xdr:col>
      <xdr:colOff>349249</xdr:colOff>
      <xdr:row>37</xdr:row>
      <xdr:rowOff>186874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E55F22-A47C-4BE6-BF31-DB3296E07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5250" y="4591767"/>
          <a:ext cx="3259666" cy="3320940"/>
        </a:xfrm>
        <a:prstGeom prst="rect">
          <a:avLst/>
        </a:prstGeom>
      </xdr:spPr>
    </xdr:pic>
    <xdr:clientData/>
  </xdr:twoCellAnchor>
  <xdr:twoCellAnchor editAs="oneCell">
    <xdr:from>
      <xdr:col>1</xdr:col>
      <xdr:colOff>1561041</xdr:colOff>
      <xdr:row>60</xdr:row>
      <xdr:rowOff>153674</xdr:rowOff>
    </xdr:from>
    <xdr:to>
      <xdr:col>6</xdr:col>
      <xdr:colOff>365124</xdr:colOff>
      <xdr:row>75</xdr:row>
      <xdr:rowOff>11078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4595CE-5F5F-425A-B349-A617FBD8D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64291" y="12440924"/>
          <a:ext cx="4963583" cy="27149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206243</xdr:colOff>
      <xdr:row>95</xdr:row>
      <xdr:rowOff>16006</xdr:rowOff>
    </xdr:from>
    <xdr:to>
      <xdr:col>9</xdr:col>
      <xdr:colOff>342436</xdr:colOff>
      <xdr:row>109</xdr:row>
      <xdr:rowOff>116419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FD4960A-4444-40E1-A6F1-9471CB2A8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7653633" y="12221866"/>
          <a:ext cx="2767413" cy="4030859"/>
        </a:xfrm>
        <a:prstGeom prst="rect">
          <a:avLst/>
        </a:prstGeom>
      </xdr:spPr>
    </xdr:pic>
    <xdr:clientData/>
  </xdr:twoCellAnchor>
  <xdr:twoCellAnchor editAs="oneCell">
    <xdr:from>
      <xdr:col>5</xdr:col>
      <xdr:colOff>222251</xdr:colOff>
      <xdr:row>131</xdr:row>
      <xdr:rowOff>84668</xdr:rowOff>
    </xdr:from>
    <xdr:to>
      <xdr:col>9</xdr:col>
      <xdr:colOff>315174</xdr:colOff>
      <xdr:row>146</xdr:row>
      <xdr:rowOff>95250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6892A2D-7372-42E4-8CC4-A136E54DF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24084" y="17515418"/>
          <a:ext cx="4601423" cy="286808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1524001</xdr:colOff>
      <xdr:row>167</xdr:row>
      <xdr:rowOff>158748</xdr:rowOff>
    </xdr:from>
    <xdr:to>
      <xdr:col>7</xdr:col>
      <xdr:colOff>34517</xdr:colOff>
      <xdr:row>184</xdr:row>
      <xdr:rowOff>21165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B75C6ED-7B29-4555-AA5C-9AB66410C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3751" y="22373165"/>
          <a:ext cx="3611683" cy="3100917"/>
        </a:xfrm>
        <a:prstGeom prst="rect">
          <a:avLst/>
        </a:prstGeom>
      </xdr:spPr>
    </xdr:pic>
    <xdr:clientData/>
  </xdr:twoCellAnchor>
  <xdr:twoCellAnchor editAs="oneCell">
    <xdr:from>
      <xdr:col>3</xdr:col>
      <xdr:colOff>486834</xdr:colOff>
      <xdr:row>217</xdr:row>
      <xdr:rowOff>63500</xdr:rowOff>
    </xdr:from>
    <xdr:to>
      <xdr:col>8</xdr:col>
      <xdr:colOff>391583</xdr:colOff>
      <xdr:row>233</xdr:row>
      <xdr:rowOff>186932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CF47AAF-68C4-4671-89AD-70EC8479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32917" y="29157083"/>
          <a:ext cx="4053416" cy="3182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0"/>
  <sheetViews>
    <sheetView view="pageBreakPreview" zoomScale="60" zoomScaleNormal="70" workbookViewId="0">
      <pane xSplit="3" ySplit="6" topLeftCell="D52" activePane="bottomRight" state="frozen"/>
      <selection activeCell="H10" sqref="H10"/>
      <selection pane="topRight" activeCell="H10" sqref="H10"/>
      <selection pane="bottomLeft" activeCell="H10" sqref="H10"/>
      <selection pane="bottomRight" activeCell="O50" sqref="O50"/>
    </sheetView>
  </sheetViews>
  <sheetFormatPr baseColWidth="10" defaultColWidth="9.140625" defaultRowHeight="12.75" x14ac:dyDescent="0.2"/>
  <cols>
    <col min="1" max="1" width="14.5703125" style="10" customWidth="1"/>
    <col min="2" max="2" width="28.7109375" style="14" bestFit="1" customWidth="1"/>
    <col min="3" max="3" width="13.5703125" style="10" customWidth="1"/>
    <col min="4" max="4" width="8.85546875" style="10" customWidth="1"/>
    <col min="5" max="5" width="20.42578125" style="10" customWidth="1"/>
    <col min="6" max="6" width="35.28515625" style="30" customWidth="1"/>
    <col min="7" max="7" width="9.42578125" style="10" customWidth="1"/>
    <col min="8" max="8" width="11" style="10" bestFit="1" customWidth="1"/>
    <col min="9" max="13" width="10.42578125" style="7" customWidth="1"/>
    <col min="14" max="14" width="14.140625" style="10" customWidth="1"/>
    <col min="15" max="15" width="11.140625" style="14" customWidth="1"/>
    <col min="16" max="16384" width="9.140625" style="14"/>
  </cols>
  <sheetData>
    <row r="1" spans="1:15" ht="15.75" thickBot="1" x14ac:dyDescent="0.3">
      <c r="A1" s="39" t="s">
        <v>0</v>
      </c>
      <c r="B1" s="40" t="s">
        <v>75</v>
      </c>
      <c r="D1" s="31"/>
      <c r="M1" s="45" t="s">
        <v>54</v>
      </c>
      <c r="N1" s="32"/>
      <c r="O1" s="44" t="e">
        <f>#REF!</f>
        <v>#REF!</v>
      </c>
    </row>
    <row r="2" spans="1:15" s="16" customFormat="1" ht="15.75" thickBot="1" x14ac:dyDescent="0.3">
      <c r="A2" s="37" t="s">
        <v>55</v>
      </c>
      <c r="B2" s="41" t="s">
        <v>73</v>
      </c>
      <c r="C2" s="15"/>
      <c r="F2" s="26"/>
    </row>
    <row r="3" spans="1:15" s="16" customFormat="1" ht="16.5" thickTop="1" thickBot="1" x14ac:dyDescent="0.3">
      <c r="A3" s="38" t="s">
        <v>56</v>
      </c>
      <c r="B3" s="42">
        <v>2017</v>
      </c>
      <c r="C3" s="15"/>
      <c r="F3" s="26"/>
    </row>
    <row r="4" spans="1:15" s="16" customFormat="1" ht="16.5" thickTop="1" thickBot="1" x14ac:dyDescent="0.3">
      <c r="A4" s="36" t="s">
        <v>2</v>
      </c>
      <c r="B4" s="43" t="s">
        <v>74</v>
      </c>
      <c r="C4" s="15"/>
      <c r="D4" s="31" t="s">
        <v>57</v>
      </c>
      <c r="F4" s="26"/>
    </row>
    <row r="5" spans="1:15" s="24" customFormat="1" ht="15.75" thickTop="1" x14ac:dyDescent="0.25">
      <c r="A5" s="23"/>
      <c r="B5" s="27"/>
      <c r="C5" s="25"/>
      <c r="F5" s="28"/>
    </row>
    <row r="6" spans="1:15" s="22" customFormat="1" ht="49.5" customHeight="1" x14ac:dyDescent="0.25">
      <c r="A6" s="21" t="s">
        <v>58</v>
      </c>
      <c r="B6" s="33" t="s">
        <v>59</v>
      </c>
      <c r="C6" s="33" t="s">
        <v>60</v>
      </c>
      <c r="D6" s="33" t="s">
        <v>61</v>
      </c>
      <c r="E6" s="33" t="s">
        <v>62</v>
      </c>
      <c r="F6" s="33" t="s">
        <v>63</v>
      </c>
      <c r="G6" s="33" t="s">
        <v>64</v>
      </c>
      <c r="H6" s="35" t="s">
        <v>65</v>
      </c>
      <c r="I6" s="33" t="s">
        <v>18</v>
      </c>
      <c r="J6" s="33" t="s">
        <v>66</v>
      </c>
      <c r="K6" s="33" t="s">
        <v>67</v>
      </c>
      <c r="L6" s="33" t="s">
        <v>68</v>
      </c>
      <c r="M6" s="33" t="s">
        <v>69</v>
      </c>
      <c r="N6" s="34" t="s">
        <v>70</v>
      </c>
      <c r="O6" s="33" t="s">
        <v>71</v>
      </c>
    </row>
    <row r="7" spans="1:15" ht="15" x14ac:dyDescent="0.25">
      <c r="A7" s="101"/>
      <c r="B7" s="102" t="s">
        <v>81</v>
      </c>
      <c r="C7" s="103" t="str">
        <f>EN_A0001</f>
        <v>EN A0001</v>
      </c>
      <c r="D7" s="103" t="s">
        <v>12</v>
      </c>
      <c r="E7" s="103"/>
      <c r="F7" s="104" t="str">
        <f>'EN Assemblies'!B4</f>
        <v>Differential</v>
      </c>
      <c r="G7" s="103"/>
      <c r="H7" s="105">
        <f t="shared" ref="H7:H22" si="0">SUM(J7:M7)</f>
        <v>91.025003333333331</v>
      </c>
      <c r="I7" s="106">
        <f>EN_A0001_q</f>
        <v>1</v>
      </c>
      <c r="J7" s="107">
        <f>EN_A0001_m</f>
        <v>78.475000000000009</v>
      </c>
      <c r="K7" s="107">
        <f>EN_A0001_p</f>
        <v>9.8966700000000003</v>
      </c>
      <c r="L7" s="107">
        <f>EN_A0001_f</f>
        <v>1.3199999999999998</v>
      </c>
      <c r="M7" s="107">
        <f>EN_A0001_t</f>
        <v>1.3333333333333333</v>
      </c>
      <c r="N7" s="108">
        <f t="shared" ref="N7:N22" si="1">H7*I7</f>
        <v>91.025003333333331</v>
      </c>
      <c r="O7" s="109">
        <v>3</v>
      </c>
    </row>
    <row r="8" spans="1:15" ht="15" x14ac:dyDescent="0.25">
      <c r="A8" s="90"/>
      <c r="B8" s="91" t="s">
        <v>81</v>
      </c>
      <c r="C8" s="92" t="str">
        <f>EN_01001</f>
        <v>EN 01001</v>
      </c>
      <c r="D8" s="92" t="s">
        <v>12</v>
      </c>
      <c r="E8" s="92" t="str">
        <f>F7</f>
        <v>Differential</v>
      </c>
      <c r="F8" s="93" t="str">
        <f>'EN Parts'!B5</f>
        <v>Housing</v>
      </c>
      <c r="G8" s="92"/>
      <c r="H8" s="94">
        <f t="shared" si="0"/>
        <v>125.31212934775739</v>
      </c>
      <c r="I8" s="95">
        <f>EN_A0001_q*EN_01001_q</f>
        <v>1</v>
      </c>
      <c r="J8" s="96">
        <f>EN_01001_m</f>
        <v>21.584279121797021</v>
      </c>
      <c r="K8" s="96">
        <f>EN_01001_p</f>
        <v>100.58985022596036</v>
      </c>
      <c r="L8" s="96">
        <f>EN_01001_f</f>
        <v>3.1379999999999999</v>
      </c>
      <c r="M8" s="96"/>
      <c r="N8" s="97">
        <f t="shared" si="1"/>
        <v>125.31212934775739</v>
      </c>
      <c r="O8" s="98">
        <v>13</v>
      </c>
    </row>
    <row r="9" spans="1:15" ht="15" x14ac:dyDescent="0.25">
      <c r="A9" s="713"/>
      <c r="B9" s="91" t="s">
        <v>81</v>
      </c>
      <c r="C9" s="714" t="str">
        <f>EN_01002</f>
        <v>EN 01002</v>
      </c>
      <c r="D9" s="92" t="s">
        <v>12</v>
      </c>
      <c r="E9" s="92" t="str">
        <f>F7</f>
        <v>Differential</v>
      </c>
      <c r="F9" s="715" t="str">
        <f>'EN Parts'!B48</f>
        <v>Bearing Carrier</v>
      </c>
      <c r="G9" s="714"/>
      <c r="H9" s="94">
        <f t="shared" si="0"/>
        <v>10.729011119999999</v>
      </c>
      <c r="I9" s="95">
        <f>EN_A0001_q*EN_01002_q</f>
        <v>2</v>
      </c>
      <c r="J9" s="96">
        <f>EN_01002_m</f>
        <v>6.20501112</v>
      </c>
      <c r="K9" s="96">
        <f>EN_01002_p</f>
        <v>4.524</v>
      </c>
      <c r="L9" s="96"/>
      <c r="M9" s="716"/>
      <c r="N9" s="97">
        <f t="shared" si="1"/>
        <v>21.458022239999998</v>
      </c>
      <c r="O9" s="718">
        <v>14</v>
      </c>
    </row>
    <row r="10" spans="1:15" ht="15" x14ac:dyDescent="0.25">
      <c r="A10" s="713"/>
      <c r="B10" s="91" t="s">
        <v>81</v>
      </c>
      <c r="C10" s="714" t="str">
        <f>EN_01003</f>
        <v>EN 01003</v>
      </c>
      <c r="D10" s="92" t="s">
        <v>12</v>
      </c>
      <c r="E10" s="92" t="str">
        <f>F7</f>
        <v>Differential</v>
      </c>
      <c r="F10" s="715" t="str">
        <f>'EN Parts'!B70</f>
        <v>Tie rod support</v>
      </c>
      <c r="G10" s="714"/>
      <c r="H10" s="94">
        <f t="shared" si="0"/>
        <v>1.883575295</v>
      </c>
      <c r="I10" s="95">
        <f>EN_A0001_q*EN_01003_q</f>
        <v>4</v>
      </c>
      <c r="J10" s="96">
        <f>EN_01003_m</f>
        <v>0.210575295</v>
      </c>
      <c r="K10" s="96">
        <f>EN_01003_p</f>
        <v>1.673</v>
      </c>
      <c r="L10" s="96"/>
      <c r="M10" s="716"/>
      <c r="N10" s="97">
        <f t="shared" si="1"/>
        <v>7.5343011799999999</v>
      </c>
      <c r="O10" s="718">
        <v>15</v>
      </c>
    </row>
    <row r="11" spans="1:15" ht="15" x14ac:dyDescent="0.25">
      <c r="A11" s="713"/>
      <c r="B11" s="91" t="s">
        <v>81</v>
      </c>
      <c r="C11" s="714" t="str">
        <f>EN_01004</f>
        <v>EN 01004</v>
      </c>
      <c r="D11" s="92" t="s">
        <v>12</v>
      </c>
      <c r="E11" s="92" t="str">
        <f>F7</f>
        <v>Differential</v>
      </c>
      <c r="F11" s="715" t="str">
        <f>'EN Parts'!B90</f>
        <v>bearing carrier tab</v>
      </c>
      <c r="G11" s="714"/>
      <c r="H11" s="94">
        <f t="shared" si="0"/>
        <v>0.92447507499999992</v>
      </c>
      <c r="I11" s="95">
        <f>EN_A0001_q*EN_01004_q</f>
        <v>4</v>
      </c>
      <c r="J11" s="96">
        <f>EN_01004_m</f>
        <v>0.12547507500000002</v>
      </c>
      <c r="K11" s="96">
        <f>EN_01004_p</f>
        <v>0.79899999999999993</v>
      </c>
      <c r="L11" s="96"/>
      <c r="M11" s="716"/>
      <c r="N11" s="97">
        <f t="shared" si="1"/>
        <v>3.6979002999999997</v>
      </c>
      <c r="O11" s="718">
        <v>16</v>
      </c>
    </row>
    <row r="12" spans="1:15" ht="15" x14ac:dyDescent="0.25">
      <c r="A12" s="101"/>
      <c r="B12" s="102" t="s">
        <v>81</v>
      </c>
      <c r="C12" s="103" t="str">
        <f>EN_A0002</f>
        <v>EN A0002</v>
      </c>
      <c r="D12" s="103" t="s">
        <v>12</v>
      </c>
      <c r="E12" s="103"/>
      <c r="F12" s="104" t="str">
        <f xml:space="preserve"> 'EN Assemblies'!B73</f>
        <v>Turnbuckle</v>
      </c>
      <c r="G12" s="103"/>
      <c r="H12" s="105">
        <f t="shared" si="0"/>
        <v>15.747271666666665</v>
      </c>
      <c r="I12" s="106">
        <f>EN_A0002_q</f>
        <v>2</v>
      </c>
      <c r="J12" s="107">
        <f>EN_A0002_m</f>
        <v>5</v>
      </c>
      <c r="K12" s="107">
        <f>EN_A0002_p</f>
        <v>8.7606049999999982</v>
      </c>
      <c r="L12" s="107">
        <f>EN_A0002_f</f>
        <v>1.3199999999999998</v>
      </c>
      <c r="M12" s="107">
        <f>EN_A0002_t</f>
        <v>0.66666666666666663</v>
      </c>
      <c r="N12" s="108">
        <f t="shared" si="1"/>
        <v>31.494543333333329</v>
      </c>
      <c r="O12" s="109">
        <v>5</v>
      </c>
    </row>
    <row r="13" spans="1:15" ht="15" x14ac:dyDescent="0.25">
      <c r="A13" s="90"/>
      <c r="B13" s="91" t="s">
        <v>81</v>
      </c>
      <c r="C13" s="92" t="str">
        <f>EN_02001</f>
        <v>EN 02001</v>
      </c>
      <c r="D13" s="92" t="s">
        <v>12</v>
      </c>
      <c r="E13" s="92" t="str">
        <f>F12</f>
        <v>Turnbuckle</v>
      </c>
      <c r="F13" s="93" t="str">
        <f>'EN Parts'!B110</f>
        <v>Tie rod tab</v>
      </c>
      <c r="G13" s="92"/>
      <c r="H13" s="94">
        <f t="shared" si="0"/>
        <v>0.92447507499999992</v>
      </c>
      <c r="I13" s="95">
        <f>EN_A0002_q*EN_02001_q</f>
        <v>8</v>
      </c>
      <c r="J13" s="96">
        <f>EN_02001_m</f>
        <v>0.12547507499999999</v>
      </c>
      <c r="K13" s="96">
        <f>EN_02001_p</f>
        <v>0.79899999999999993</v>
      </c>
      <c r="L13" s="96"/>
      <c r="M13" s="96"/>
      <c r="N13" s="97">
        <f t="shared" si="1"/>
        <v>7.3958005999999994</v>
      </c>
      <c r="O13" s="98">
        <v>17</v>
      </c>
    </row>
    <row r="14" spans="1:15" ht="15" x14ac:dyDescent="0.25">
      <c r="A14" s="90"/>
      <c r="B14" s="91" t="s">
        <v>81</v>
      </c>
      <c r="C14" s="92" t="str">
        <f>EN_02002</f>
        <v>EN 02002</v>
      </c>
      <c r="D14" s="92" t="s">
        <v>12</v>
      </c>
      <c r="E14" s="92" t="str">
        <f>F12</f>
        <v>Turnbuckle</v>
      </c>
      <c r="F14" s="93" t="str">
        <f>'EN Parts'!B130</f>
        <v>Threaded tube</v>
      </c>
      <c r="G14" s="99"/>
      <c r="H14" s="94">
        <f t="shared" si="0"/>
        <v>2.4357939860159226</v>
      </c>
      <c r="I14" s="95">
        <f>EN_A0002_q*EN_02002_q</f>
        <v>4</v>
      </c>
      <c r="J14" s="96">
        <f>EN_02002_m</f>
        <v>0.1685939860159229</v>
      </c>
      <c r="K14" s="96">
        <f>EN_02002_p</f>
        <v>2.2671999999999999</v>
      </c>
      <c r="L14" s="96"/>
      <c r="M14" s="96"/>
      <c r="N14" s="97">
        <f t="shared" si="1"/>
        <v>9.7431759440636903</v>
      </c>
      <c r="O14" s="98">
        <v>18</v>
      </c>
    </row>
    <row r="15" spans="1:15" ht="15" x14ac:dyDescent="0.25">
      <c r="A15" s="713"/>
      <c r="B15" s="91" t="s">
        <v>81</v>
      </c>
      <c r="C15" s="92" t="str">
        <f>EN_02003</f>
        <v>EN 02003</v>
      </c>
      <c r="D15" s="714" t="s">
        <v>12</v>
      </c>
      <c r="E15" s="92" t="str">
        <f>F12</f>
        <v>Turnbuckle</v>
      </c>
      <c r="F15" s="93" t="str">
        <f>'EN Parts'!B151</f>
        <v>Tie rod spacer</v>
      </c>
      <c r="G15" s="719"/>
      <c r="H15" s="94">
        <f t="shared" si="0"/>
        <v>0.23635456454989542</v>
      </c>
      <c r="I15" s="95">
        <f>EN_A0002_q*EN_02003_q</f>
        <v>16</v>
      </c>
      <c r="J15" s="96">
        <f>EN_02003_m</f>
        <v>2.1454564549895413E-2</v>
      </c>
      <c r="K15" s="96">
        <f>EN_02003_p</f>
        <v>0.21490000000000001</v>
      </c>
      <c r="L15" s="96"/>
      <c r="M15" s="716"/>
      <c r="N15" s="717"/>
      <c r="O15" s="718">
        <v>19</v>
      </c>
    </row>
    <row r="16" spans="1:15" ht="15" x14ac:dyDescent="0.25">
      <c r="A16" s="101"/>
      <c r="B16" s="102" t="s">
        <v>81</v>
      </c>
      <c r="C16" s="103" t="str">
        <f>EN_A0003</f>
        <v>EN A0003</v>
      </c>
      <c r="D16" s="103" t="s">
        <v>12</v>
      </c>
      <c r="E16" s="103"/>
      <c r="F16" s="104" t="str">
        <f>'EN Assemblies'!B122</f>
        <v>Driveshaft</v>
      </c>
      <c r="G16" s="103"/>
      <c r="H16" s="105">
        <f t="shared" ref="H16:H21" si="2">SUM(J16:M16)</f>
        <v>232.3</v>
      </c>
      <c r="I16" s="106">
        <f>EN_A0003_q</f>
        <v>1</v>
      </c>
      <c r="J16" s="107">
        <f>EN_A0003_m</f>
        <v>200</v>
      </c>
      <c r="K16" s="107">
        <f>EN_A0003_p</f>
        <v>15.920000000000002</v>
      </c>
      <c r="L16" s="107">
        <f>EN_A0003_f</f>
        <v>16.38</v>
      </c>
      <c r="M16" s="107"/>
      <c r="N16" s="108">
        <f t="shared" si="1"/>
        <v>232.3</v>
      </c>
      <c r="O16" s="109">
        <v>6</v>
      </c>
    </row>
    <row r="17" spans="1:15" ht="15" x14ac:dyDescent="0.25">
      <c r="A17" s="90"/>
      <c r="B17" s="91" t="s">
        <v>81</v>
      </c>
      <c r="C17" s="92" t="str">
        <f>EN_03001</f>
        <v>EN 03001</v>
      </c>
      <c r="D17" s="92" t="s">
        <v>12</v>
      </c>
      <c r="E17" s="92" t="str">
        <f>F16</f>
        <v>Driveshaft</v>
      </c>
      <c r="F17" s="93" t="str">
        <f>'EN Parts'!B171</f>
        <v>Inboard tripod housing</v>
      </c>
      <c r="G17" s="92"/>
      <c r="H17" s="94">
        <f t="shared" si="2"/>
        <v>67.721670109364652</v>
      </c>
      <c r="I17" s="95">
        <f>EN_A0003_q*EN_03001_q</f>
        <v>2</v>
      </c>
      <c r="J17" s="96">
        <f>EN_03001_m</f>
        <v>9.5342638848450409</v>
      </c>
      <c r="K17" s="96">
        <f>EN_03001_p</f>
        <v>58.187406224519613</v>
      </c>
      <c r="L17" s="96"/>
      <c r="M17" s="96"/>
      <c r="N17" s="97">
        <f t="shared" si="1"/>
        <v>135.4433402187293</v>
      </c>
      <c r="O17" s="98">
        <v>20</v>
      </c>
    </row>
    <row r="18" spans="1:15" ht="15" x14ac:dyDescent="0.25">
      <c r="A18" s="90"/>
      <c r="B18" s="91" t="s">
        <v>81</v>
      </c>
      <c r="C18" s="92" t="str">
        <f>EN_03002</f>
        <v>EN 03002</v>
      </c>
      <c r="D18" s="92" t="s">
        <v>12</v>
      </c>
      <c r="E18" s="92" t="str">
        <f>F16</f>
        <v>Driveshaft</v>
      </c>
      <c r="F18" s="93" t="str">
        <f>'EN Parts'!B217</f>
        <v>Outboard tripod housing</v>
      </c>
      <c r="G18" s="92"/>
      <c r="H18" s="94">
        <f t="shared" si="2"/>
        <v>59.565811811695127</v>
      </c>
      <c r="I18" s="95">
        <f>EN_A0003_q*EN_03002_q</f>
        <v>2</v>
      </c>
      <c r="J18" s="96">
        <f>EN_03002_m</f>
        <v>8.0160689987232185</v>
      </c>
      <c r="K18" s="96">
        <f>EN_03002_p</f>
        <v>51.549742812971907</v>
      </c>
      <c r="L18" s="96"/>
      <c r="M18" s="96"/>
      <c r="N18" s="97">
        <f t="shared" si="1"/>
        <v>119.13162362339025</v>
      </c>
      <c r="O18" s="98">
        <v>21</v>
      </c>
    </row>
    <row r="19" spans="1:15" ht="15" x14ac:dyDescent="0.25">
      <c r="A19" s="90"/>
      <c r="B19" s="91" t="s">
        <v>81</v>
      </c>
      <c r="C19" s="92" t="str">
        <f>+EN_03003</f>
        <v>EN 03003</v>
      </c>
      <c r="D19" s="92" t="s">
        <v>12</v>
      </c>
      <c r="E19" s="92" t="str">
        <f>F16</f>
        <v>Driveshaft</v>
      </c>
      <c r="F19" s="93" t="str">
        <f>'EN Parts'!B266</f>
        <v>Right axle</v>
      </c>
      <c r="G19" s="92"/>
      <c r="H19" s="94">
        <f t="shared" si="2"/>
        <v>20.859922268656938</v>
      </c>
      <c r="I19" s="95">
        <f>EN_A0003_q*EN_03003_q</f>
        <v>1</v>
      </c>
      <c r="J19" s="96">
        <f>EN_03003_m</f>
        <v>3.3428066365039735</v>
      </c>
      <c r="K19" s="96">
        <f>EN_03003_p</f>
        <v>17.517115632152965</v>
      </c>
      <c r="L19" s="96"/>
      <c r="M19" s="96"/>
      <c r="N19" s="97">
        <f t="shared" si="1"/>
        <v>20.859922268656938</v>
      </c>
      <c r="O19" s="98">
        <v>22</v>
      </c>
    </row>
    <row r="20" spans="1:15" ht="15" x14ac:dyDescent="0.25">
      <c r="A20" s="90"/>
      <c r="B20" s="91" t="s">
        <v>81</v>
      </c>
      <c r="C20" s="92" t="str">
        <f>EN_03004</f>
        <v>EN 03004</v>
      </c>
      <c r="D20" s="92" t="s">
        <v>12</v>
      </c>
      <c r="E20" s="92" t="str">
        <f>F16</f>
        <v>Driveshaft</v>
      </c>
      <c r="F20" s="93" t="str">
        <f>'EN Parts'!B306</f>
        <v>Left axle</v>
      </c>
      <c r="G20" s="92"/>
      <c r="H20" s="94">
        <f t="shared" si="2"/>
        <v>20.70288272879527</v>
      </c>
      <c r="I20" s="95">
        <f>EN_A0003_q*EN_03004_q</f>
        <v>1</v>
      </c>
      <c r="J20" s="96">
        <f>EN_03004_m</f>
        <v>3.3020407019124618</v>
      </c>
      <c r="K20" s="96">
        <f>EN_03004_p</f>
        <v>17.40084202688281</v>
      </c>
      <c r="L20" s="96"/>
      <c r="M20" s="96"/>
      <c r="N20" s="97">
        <f t="shared" si="1"/>
        <v>20.70288272879527</v>
      </c>
      <c r="O20" s="98">
        <v>23</v>
      </c>
    </row>
    <row r="21" spans="1:15" ht="15" x14ac:dyDescent="0.25">
      <c r="A21" s="101"/>
      <c r="B21" s="102" t="s">
        <v>81</v>
      </c>
      <c r="C21" s="103" t="str">
        <f>EN_A0004</f>
        <v>EN A0004</v>
      </c>
      <c r="D21" s="103" t="s">
        <v>12</v>
      </c>
      <c r="E21" s="103"/>
      <c r="F21" s="104" t="str">
        <f>'EN Assemblies'!B167</f>
        <v>Chain set</v>
      </c>
      <c r="G21" s="103"/>
      <c r="H21" s="105">
        <f t="shared" si="2"/>
        <v>79.440000000000012</v>
      </c>
      <c r="I21" s="106">
        <f>EN_A0004_q</f>
        <v>1</v>
      </c>
      <c r="J21" s="107">
        <f>EN_A0004_m</f>
        <v>55.6</v>
      </c>
      <c r="K21" s="107">
        <f>EN_A0004_p</f>
        <v>19.11</v>
      </c>
      <c r="L21" s="107">
        <f>EN_A0004_f</f>
        <v>4.7300000000000004</v>
      </c>
      <c r="M21" s="107"/>
      <c r="N21" s="108">
        <f>H21*I21</f>
        <v>79.440000000000012</v>
      </c>
      <c r="O21" s="109">
        <v>7</v>
      </c>
    </row>
    <row r="22" spans="1:15" ht="15" x14ac:dyDescent="0.25">
      <c r="A22" s="90"/>
      <c r="B22" s="91" t="s">
        <v>81</v>
      </c>
      <c r="C22" s="92" t="str">
        <f>EN_04001</f>
        <v>EN 04001</v>
      </c>
      <c r="D22" s="92" t="s">
        <v>12</v>
      </c>
      <c r="E22" s="92" t="str">
        <f>F21</f>
        <v>Chain set</v>
      </c>
      <c r="F22" s="93" t="str">
        <f>'EN Parts'!B342</f>
        <v>Front sprocket</v>
      </c>
      <c r="G22" s="99"/>
      <c r="H22" s="94">
        <f t="shared" si="0"/>
        <v>16.150255508815544</v>
      </c>
      <c r="I22" s="100">
        <f>EN_04001_q</f>
        <v>1</v>
      </c>
      <c r="J22" s="100">
        <f>EN_04001_m</f>
        <v>2.3787175005862489</v>
      </c>
      <c r="K22" s="100">
        <f>EN_04001_p</f>
        <v>13.771538008229296</v>
      </c>
      <c r="L22" s="100"/>
      <c r="M22" s="96"/>
      <c r="N22" s="97">
        <f t="shared" si="1"/>
        <v>16.150255508815544</v>
      </c>
      <c r="O22" s="98">
        <v>24</v>
      </c>
    </row>
    <row r="23" spans="1:15" ht="15" x14ac:dyDescent="0.25">
      <c r="A23" s="90"/>
      <c r="B23" s="91" t="s">
        <v>81</v>
      </c>
      <c r="C23" s="92" t="str">
        <f>EN_04002</f>
        <v>EN 04002</v>
      </c>
      <c r="D23" s="92" t="s">
        <v>12</v>
      </c>
      <c r="E23" s="92" t="str">
        <f>F21</f>
        <v>Chain set</v>
      </c>
      <c r="F23" s="93" t="str">
        <f>'EN Parts'!B385</f>
        <v>Rear sprocket</v>
      </c>
      <c r="G23" s="99"/>
      <c r="H23" s="94">
        <f t="shared" ref="H23:H31" si="3">SUM(J23:M23)</f>
        <v>16.876312862077494</v>
      </c>
      <c r="I23" s="100">
        <f>EN_04002_q</f>
        <v>1</v>
      </c>
      <c r="J23" s="100">
        <f>EN_04002_m</f>
        <v>4.2591902383364886</v>
      </c>
      <c r="K23" s="100">
        <f>EN_04002_p</f>
        <v>12.617122623741006</v>
      </c>
      <c r="L23" s="100"/>
      <c r="M23" s="96"/>
      <c r="N23" s="97">
        <f t="shared" ref="N23:N31" si="4">H23*I23</f>
        <v>16.876312862077494</v>
      </c>
      <c r="O23" s="98">
        <v>25</v>
      </c>
    </row>
    <row r="24" spans="1:15" ht="15" x14ac:dyDescent="0.25">
      <c r="A24" s="90"/>
      <c r="B24" s="91" t="s">
        <v>81</v>
      </c>
      <c r="C24" s="92" t="str">
        <f>EN_04003</f>
        <v>EN 04003</v>
      </c>
      <c r="D24" s="92" t="s">
        <v>12</v>
      </c>
      <c r="E24" s="92" t="str">
        <f>F21</f>
        <v>Chain set</v>
      </c>
      <c r="F24" s="93" t="str">
        <f>'EN Parts'!B425</f>
        <v>Rear sprocket adapter</v>
      </c>
      <c r="G24" s="99"/>
      <c r="H24" s="94">
        <f t="shared" si="3"/>
        <v>45.125457566598897</v>
      </c>
      <c r="I24" s="100">
        <f>EN_04003_q</f>
        <v>1</v>
      </c>
      <c r="J24" s="100">
        <f>EN_04003_m</f>
        <v>9.8865547624962655</v>
      </c>
      <c r="K24" s="100">
        <f>EN_04003_p</f>
        <v>35.238902804102629</v>
      </c>
      <c r="L24" s="100"/>
      <c r="M24" s="96"/>
      <c r="N24" s="97">
        <f t="shared" si="4"/>
        <v>45.125457566598897</v>
      </c>
      <c r="O24" s="98">
        <v>26</v>
      </c>
    </row>
    <row r="25" spans="1:15" ht="15" x14ac:dyDescent="0.25">
      <c r="A25" s="90"/>
      <c r="B25" s="91" t="s">
        <v>81</v>
      </c>
      <c r="C25" s="92" t="str">
        <f>EN_04004</f>
        <v>EN 04004</v>
      </c>
      <c r="D25" s="92" t="s">
        <v>12</v>
      </c>
      <c r="E25" s="92" t="str">
        <f>F21</f>
        <v>Chain set</v>
      </c>
      <c r="F25" s="93" t="str">
        <f>'EN Parts'!B472</f>
        <v>Rear sprocket spacer</v>
      </c>
      <c r="G25" s="99"/>
      <c r="H25" s="94">
        <f t="shared" si="3"/>
        <v>0.29995320045156315</v>
      </c>
      <c r="I25" s="100">
        <f>EN_04004_q</f>
        <v>6</v>
      </c>
      <c r="J25" s="100">
        <f>EN_04004_m</f>
        <v>2.6086533784896448E-2</v>
      </c>
      <c r="K25" s="100">
        <f>EN_04004_p</f>
        <v>0.2738666666666667</v>
      </c>
      <c r="L25" s="100"/>
      <c r="M25" s="96"/>
      <c r="N25" s="97">
        <f t="shared" si="4"/>
        <v>1.7997192027093789</v>
      </c>
      <c r="O25" s="98">
        <v>27</v>
      </c>
    </row>
    <row r="26" spans="1:15" ht="15" x14ac:dyDescent="0.25">
      <c r="A26" s="90"/>
      <c r="B26" s="91" t="s">
        <v>81</v>
      </c>
      <c r="C26" s="92" t="str">
        <f>EN_04005</f>
        <v>EN 04005</v>
      </c>
      <c r="D26" s="92" t="s">
        <v>12</v>
      </c>
      <c r="E26" s="92" t="str">
        <f>F21</f>
        <v>Chain set</v>
      </c>
      <c r="F26" s="93" t="str">
        <f>'EN Parts'!B492</f>
        <v>chain shield</v>
      </c>
      <c r="G26" s="99"/>
      <c r="H26" s="94">
        <f t="shared" si="3"/>
        <v>9.6882263437499994</v>
      </c>
      <c r="I26" s="100">
        <f>EN_04005_q</f>
        <v>1</v>
      </c>
      <c r="J26" s="100">
        <f>EN_04005_m</f>
        <v>2.8662263437499997</v>
      </c>
      <c r="K26" s="100">
        <f>EN_04005_p</f>
        <v>6.8220000000000001</v>
      </c>
      <c r="L26" s="100"/>
      <c r="M26" s="96"/>
      <c r="N26" s="97">
        <f t="shared" si="4"/>
        <v>9.6882263437499994</v>
      </c>
      <c r="O26" s="98">
        <v>28</v>
      </c>
    </row>
    <row r="27" spans="1:15" ht="15" x14ac:dyDescent="0.25">
      <c r="A27" s="101"/>
      <c r="B27" s="102" t="s">
        <v>81</v>
      </c>
      <c r="C27" s="103" t="str">
        <f>EN_A0005</f>
        <v>EN A0005</v>
      </c>
      <c r="D27" s="103" t="s">
        <v>12</v>
      </c>
      <c r="E27" s="103"/>
      <c r="F27" s="104" t="str">
        <f>'EN Assemblies'!B223</f>
        <v>Air Intake System</v>
      </c>
      <c r="G27" s="103"/>
      <c r="H27" s="105">
        <f t="shared" si="3"/>
        <v>63.293333333333329</v>
      </c>
      <c r="I27" s="106">
        <f>EN_A0005_q</f>
        <v>1</v>
      </c>
      <c r="J27" s="107">
        <f>EN_A0005_m</f>
        <v>36</v>
      </c>
      <c r="K27" s="107">
        <f>EN_A0005_p</f>
        <v>22.02</v>
      </c>
      <c r="L27" s="107">
        <f>EN_A0005_f</f>
        <v>4.4400000000000004</v>
      </c>
      <c r="M27" s="107">
        <f>EN_A0005_t</f>
        <v>0.83333333333333337</v>
      </c>
      <c r="N27" s="108">
        <f t="shared" si="4"/>
        <v>63.293333333333329</v>
      </c>
      <c r="O27" s="109">
        <v>9</v>
      </c>
    </row>
    <row r="28" spans="1:15" ht="15" x14ac:dyDescent="0.25">
      <c r="A28" s="90"/>
      <c r="B28" s="91" t="s">
        <v>81</v>
      </c>
      <c r="C28" s="92" t="str">
        <f>EN_05001</f>
        <v>EN 05001</v>
      </c>
      <c r="D28" s="92" t="s">
        <v>12</v>
      </c>
      <c r="E28" s="92" t="str">
        <f>F27</f>
        <v>Air Intake System</v>
      </c>
      <c r="F28" s="819" t="str">
        <f>'EN Parts'!B514</f>
        <v>Bottom plenum</v>
      </c>
      <c r="G28" s="99"/>
      <c r="H28" s="94">
        <f t="shared" si="3"/>
        <v>4.9675120000000001</v>
      </c>
      <c r="I28" s="95">
        <f>EN_A0005_q*EN_05001_q</f>
        <v>1</v>
      </c>
      <c r="J28" s="96">
        <f>EN_05001_m</f>
        <v>1.7655120000000002</v>
      </c>
      <c r="K28" s="96">
        <f>EN_05001_p</f>
        <v>3.202</v>
      </c>
      <c r="L28" s="96"/>
      <c r="M28" s="96"/>
      <c r="N28" s="97">
        <f t="shared" si="4"/>
        <v>4.9675120000000001</v>
      </c>
      <c r="O28" s="98">
        <v>29</v>
      </c>
    </row>
    <row r="29" spans="1:15" ht="15" x14ac:dyDescent="0.25">
      <c r="A29" s="90"/>
      <c r="B29" s="91" t="s">
        <v>81</v>
      </c>
      <c r="C29" s="92" t="str">
        <f>EN_05002</f>
        <v>EN 05002</v>
      </c>
      <c r="D29" s="92" t="s">
        <v>12</v>
      </c>
      <c r="E29" s="92" t="str">
        <f>F27</f>
        <v>Air Intake System</v>
      </c>
      <c r="F29" s="819" t="str">
        <f>'EN Parts'!B555</f>
        <v>Upper Plenum</v>
      </c>
      <c r="G29" s="99"/>
      <c r="H29" s="94">
        <f t="shared" si="3"/>
        <v>18.814900000000002</v>
      </c>
      <c r="I29" s="95">
        <f>EN_A0005_q*EN_05002_q</f>
        <v>1</v>
      </c>
      <c r="J29" s="96">
        <f>EN_05002_m</f>
        <v>1.7588999999999999</v>
      </c>
      <c r="K29" s="96">
        <f>EN_05002_p</f>
        <v>17.056000000000001</v>
      </c>
      <c r="L29" s="96"/>
      <c r="M29" s="96"/>
      <c r="N29" s="97">
        <f t="shared" si="4"/>
        <v>18.814900000000002</v>
      </c>
      <c r="O29" s="98">
        <v>30</v>
      </c>
    </row>
    <row r="30" spans="1:15" ht="15" x14ac:dyDescent="0.25">
      <c r="A30" s="90"/>
      <c r="B30" s="91" t="s">
        <v>81</v>
      </c>
      <c r="C30" s="92" t="str">
        <f>EN_05003</f>
        <v>EN 05003</v>
      </c>
      <c r="D30" s="92" t="s">
        <v>12</v>
      </c>
      <c r="E30" s="92" t="str">
        <f>F27</f>
        <v>Air Intake System</v>
      </c>
      <c r="F30" s="819" t="str">
        <f>'EN Parts'!B592</f>
        <v>Pipes</v>
      </c>
      <c r="G30" s="99"/>
      <c r="H30" s="94">
        <f t="shared" si="3"/>
        <v>16.308600000000002</v>
      </c>
      <c r="I30" s="95">
        <f>EN_A0005_q*EN_05003_q</f>
        <v>1</v>
      </c>
      <c r="J30" s="96">
        <f>EN_05003_m</f>
        <v>1.5246</v>
      </c>
      <c r="K30" s="96">
        <f>EN_05003_p</f>
        <v>14.784000000000001</v>
      </c>
      <c r="L30" s="96"/>
      <c r="M30" s="96"/>
      <c r="N30" s="97">
        <f t="shared" si="4"/>
        <v>16.308600000000002</v>
      </c>
      <c r="O30" s="98">
        <v>31</v>
      </c>
    </row>
    <row r="31" spans="1:15" ht="15" x14ac:dyDescent="0.25">
      <c r="A31" s="90"/>
      <c r="B31" s="91" t="s">
        <v>81</v>
      </c>
      <c r="C31" s="92" t="str">
        <f>EN_05004</f>
        <v>EN 05004</v>
      </c>
      <c r="D31" s="92" t="s">
        <v>12</v>
      </c>
      <c r="E31" s="92" t="str">
        <f>F27</f>
        <v>Air Intake System</v>
      </c>
      <c r="F31" s="819" t="str">
        <f>'EN Parts'!B631</f>
        <v>Upper Pipes</v>
      </c>
      <c r="G31" s="99"/>
      <c r="H31" s="94">
        <f t="shared" si="3"/>
        <v>0.98840000000000006</v>
      </c>
      <c r="I31" s="95">
        <f>EN_A0005_q*EN_05004_q</f>
        <v>1</v>
      </c>
      <c r="J31" s="96">
        <f>EN_05004_m</f>
        <v>9.2399999999999996E-2</v>
      </c>
      <c r="K31" s="96">
        <f>EN_05004_p</f>
        <v>0.89600000000000002</v>
      </c>
      <c r="L31" s="96"/>
      <c r="M31" s="96"/>
      <c r="N31" s="97">
        <f t="shared" si="4"/>
        <v>0.98840000000000006</v>
      </c>
      <c r="O31" s="98">
        <v>32</v>
      </c>
    </row>
    <row r="32" spans="1:15" ht="15" x14ac:dyDescent="0.25">
      <c r="A32" s="90"/>
      <c r="B32" s="91" t="s">
        <v>81</v>
      </c>
      <c r="C32" s="92" t="str">
        <f>EN_05005</f>
        <v>EN 05005</v>
      </c>
      <c r="D32" s="92" t="s">
        <v>12</v>
      </c>
      <c r="E32" s="92" t="str">
        <f>F27</f>
        <v>Air Intake System</v>
      </c>
      <c r="F32" s="819" t="str">
        <f>'EN Parts'!B665</f>
        <v>Obstruction Plate</v>
      </c>
      <c r="G32" s="92"/>
      <c r="H32" s="94">
        <f t="shared" ref="H32:H46" si="5">SUM(J32:M32)</f>
        <v>0.84759059199999998</v>
      </c>
      <c r="I32" s="95">
        <f>EN_A0005_q*EN_05005_q</f>
        <v>1</v>
      </c>
      <c r="J32" s="96">
        <f>EN_05005_m</f>
        <v>9.6590592000000017E-2</v>
      </c>
      <c r="K32" s="96">
        <f>EN_05005_p</f>
        <v>0.751</v>
      </c>
      <c r="L32" s="96"/>
      <c r="M32" s="96"/>
      <c r="N32" s="97">
        <f t="shared" ref="N32:N46" si="6">H32*I32</f>
        <v>0.84759059199999998</v>
      </c>
      <c r="O32" s="98">
        <v>33</v>
      </c>
    </row>
    <row r="33" spans="1:15" ht="15" x14ac:dyDescent="0.25">
      <c r="A33" s="90"/>
      <c r="B33" s="91" t="s">
        <v>81</v>
      </c>
      <c r="C33" s="92" t="str">
        <f>EN_05006</f>
        <v>EN 05006</v>
      </c>
      <c r="D33" s="92" t="s">
        <v>12</v>
      </c>
      <c r="E33" s="92" t="str">
        <f>F27</f>
        <v>Air Intake System</v>
      </c>
      <c r="F33" s="819" t="str">
        <f>'EN Parts'!B705</f>
        <v>Plenum Mount</v>
      </c>
      <c r="G33" s="92"/>
      <c r="H33" s="94">
        <f t="shared" si="5"/>
        <v>1.2469356249999999</v>
      </c>
      <c r="I33" s="95">
        <f>EN_A0005_q*EN_05006_q</f>
        <v>2</v>
      </c>
      <c r="J33" s="96">
        <f>EN_05006_m</f>
        <v>6.0935625000000007E-2</v>
      </c>
      <c r="K33" s="96">
        <f>EN_05006_p</f>
        <v>1.1859999999999999</v>
      </c>
      <c r="L33" s="96"/>
      <c r="M33" s="96"/>
      <c r="N33" s="97">
        <f t="shared" si="6"/>
        <v>2.4938712499999998</v>
      </c>
      <c r="O33" s="98">
        <v>34</v>
      </c>
    </row>
    <row r="34" spans="1:15" ht="15" x14ac:dyDescent="0.25">
      <c r="A34" s="101"/>
      <c r="B34" s="102" t="s">
        <v>81</v>
      </c>
      <c r="C34" s="103" t="str">
        <f>EN_A0006</f>
        <v>EN A0006</v>
      </c>
      <c r="D34" s="103" t="s">
        <v>12</v>
      </c>
      <c r="E34" s="103"/>
      <c r="F34" s="104" t="str">
        <f>'EN Assemblies'!B280</f>
        <v>Throttle body</v>
      </c>
      <c r="G34" s="103"/>
      <c r="H34" s="105">
        <f t="shared" si="5"/>
        <v>130.69954166666665</v>
      </c>
      <c r="I34" s="106">
        <f>EN_A0006_q</f>
        <v>1</v>
      </c>
      <c r="J34" s="107">
        <f>EN_A0006_m</f>
        <v>119.815</v>
      </c>
      <c r="K34" s="107">
        <f>EN_A0006_p</f>
        <v>8.9778749999999974</v>
      </c>
      <c r="L34" s="107">
        <f>EN_A0006_f</f>
        <v>1.2400000000000002</v>
      </c>
      <c r="M34" s="107">
        <f>EN_A0006_t</f>
        <v>0.66666666666666663</v>
      </c>
      <c r="N34" s="108">
        <f t="shared" si="6"/>
        <v>130.69954166666665</v>
      </c>
      <c r="O34" s="109">
        <v>11</v>
      </c>
    </row>
    <row r="35" spans="1:15" ht="15" x14ac:dyDescent="0.25">
      <c r="A35" s="90"/>
      <c r="B35" s="91" t="s">
        <v>81</v>
      </c>
      <c r="C35" s="92" t="str">
        <f>EN_06001</f>
        <v>EN 06001</v>
      </c>
      <c r="D35" s="92" t="s">
        <v>12</v>
      </c>
      <c r="E35" s="92" t="str">
        <f>F34</f>
        <v>Throttle body</v>
      </c>
      <c r="F35" s="819" t="str">
        <f>'EN Parts'!B745</f>
        <v>Throttle Frange</v>
      </c>
      <c r="G35" s="92"/>
      <c r="H35" s="94">
        <f t="shared" si="5"/>
        <v>5.1789856000000007</v>
      </c>
      <c r="I35" s="95">
        <f>EN_A0006_q*EN_06001_q</f>
        <v>1</v>
      </c>
      <c r="J35" s="96">
        <f>EN_06001_m</f>
        <v>0.72898560000000012</v>
      </c>
      <c r="K35" s="96">
        <f>EN_06001_p</f>
        <v>4.45</v>
      </c>
      <c r="L35" s="96"/>
      <c r="M35" s="96"/>
      <c r="N35" s="97">
        <f t="shared" si="6"/>
        <v>5.1789856000000007</v>
      </c>
      <c r="O35" s="98">
        <v>35</v>
      </c>
    </row>
    <row r="36" spans="1:15" ht="15" x14ac:dyDescent="0.25">
      <c r="A36" s="90"/>
      <c r="B36" s="91" t="s">
        <v>81</v>
      </c>
      <c r="C36" s="92" t="str">
        <f>EN_06002</f>
        <v>EN 06002</v>
      </c>
      <c r="D36" s="92" t="s">
        <v>12</v>
      </c>
      <c r="E36" s="92" t="str">
        <f>F34</f>
        <v>Throttle body</v>
      </c>
      <c r="F36" s="819" t="str">
        <f>'EN Parts'!B770</f>
        <v>Restrictor</v>
      </c>
      <c r="G36" s="92"/>
      <c r="H36" s="94">
        <f t="shared" si="5"/>
        <v>5.8790627200000003</v>
      </c>
      <c r="I36" s="95">
        <f>EN_A0006_q*EN_06002_q</f>
        <v>1</v>
      </c>
      <c r="J36" s="96">
        <f>EN_06002_m</f>
        <v>1.7290627199999999</v>
      </c>
      <c r="K36" s="96">
        <f>EN_06002_p</f>
        <v>4.1500000000000004</v>
      </c>
      <c r="L36" s="96"/>
      <c r="M36" s="96"/>
      <c r="N36" s="97">
        <f t="shared" si="6"/>
        <v>5.8790627200000003</v>
      </c>
      <c r="O36" s="98">
        <v>36</v>
      </c>
    </row>
    <row r="37" spans="1:15" ht="15" x14ac:dyDescent="0.25">
      <c r="A37" s="90"/>
      <c r="B37" s="91" t="s">
        <v>81</v>
      </c>
      <c r="C37" s="92" t="str">
        <f>EN_06003</f>
        <v>EN 06003</v>
      </c>
      <c r="D37" s="92" t="s">
        <v>12</v>
      </c>
      <c r="E37" s="92" t="str">
        <f>F34</f>
        <v>Throttle body</v>
      </c>
      <c r="F37" s="819" t="str">
        <f>'EN Parts'!B791</f>
        <v>Throttle Housing</v>
      </c>
      <c r="G37" s="92"/>
      <c r="H37" s="94">
        <f t="shared" si="5"/>
        <v>4.3526223999999996</v>
      </c>
      <c r="I37" s="95">
        <f>EN_A0006_q*EN_06003_q</f>
        <v>1</v>
      </c>
      <c r="J37" s="96">
        <f>EN_06003_m</f>
        <v>0.92262240000000006</v>
      </c>
      <c r="K37" s="96">
        <f>EN_06003_p</f>
        <v>3.4299999999999997</v>
      </c>
      <c r="L37" s="96"/>
      <c r="M37" s="96"/>
      <c r="N37" s="97">
        <f t="shared" si="6"/>
        <v>4.3526223999999996</v>
      </c>
      <c r="O37" s="98">
        <v>37</v>
      </c>
    </row>
    <row r="38" spans="1:15" ht="15" x14ac:dyDescent="0.25">
      <c r="A38" s="90"/>
      <c r="B38" s="91" t="s">
        <v>81</v>
      </c>
      <c r="C38" s="92" t="str">
        <f>EN_06004</f>
        <v>EN 06004</v>
      </c>
      <c r="D38" s="92" t="s">
        <v>12</v>
      </c>
      <c r="E38" s="848" t="str">
        <f>F34</f>
        <v>Throttle body</v>
      </c>
      <c r="F38" s="819" t="str">
        <f>'EN Parts'!B812</f>
        <v>Throttle axle</v>
      </c>
      <c r="G38" s="92"/>
      <c r="H38" s="94">
        <f t="shared" si="5"/>
        <v>2.7254602499999998</v>
      </c>
      <c r="I38" s="95">
        <f>EN_A0006_q*EN_06004_q</f>
        <v>1</v>
      </c>
      <c r="J38" s="96">
        <f>EN_06004_m</f>
        <v>5.5460250000000003E-2</v>
      </c>
      <c r="K38" s="96">
        <f>EN_06004_p</f>
        <v>2.67</v>
      </c>
      <c r="L38" s="96"/>
      <c r="M38" s="96"/>
      <c r="N38" s="97">
        <f t="shared" si="6"/>
        <v>2.7254602499999998</v>
      </c>
      <c r="O38" s="98">
        <v>38</v>
      </c>
    </row>
    <row r="39" spans="1:15" ht="15" x14ac:dyDescent="0.25">
      <c r="A39" s="90"/>
      <c r="B39" s="91" t="s">
        <v>81</v>
      </c>
      <c r="C39" s="92" t="str">
        <f>EN_06005</f>
        <v>EN 06005</v>
      </c>
      <c r="D39" s="92" t="s">
        <v>12</v>
      </c>
      <c r="E39" s="848" t="str">
        <f>F34</f>
        <v>Throttle body</v>
      </c>
      <c r="F39" s="819" t="str">
        <f>'EN Parts'!B833</f>
        <v>TPS axle</v>
      </c>
      <c r="G39" s="92"/>
      <c r="H39" s="94">
        <f t="shared" si="5"/>
        <v>2.7115951874999999</v>
      </c>
      <c r="I39" s="95">
        <f>EN_A0006_q*EN_06005_q</f>
        <v>1</v>
      </c>
      <c r="J39" s="96">
        <f>EN_06005_m</f>
        <v>4.1595187499999998E-2</v>
      </c>
      <c r="K39" s="96">
        <f>EN_06005_p</f>
        <v>2.67</v>
      </c>
      <c r="L39" s="96"/>
      <c r="M39" s="96"/>
      <c r="N39" s="97">
        <f t="shared" si="6"/>
        <v>2.7115951874999999</v>
      </c>
      <c r="O39" s="98">
        <v>39</v>
      </c>
    </row>
    <row r="40" spans="1:15" ht="15" x14ac:dyDescent="0.25">
      <c r="A40" s="90"/>
      <c r="B40" s="91" t="s">
        <v>81</v>
      </c>
      <c r="C40" s="92" t="str">
        <f>EN_06006</f>
        <v>EN 06006</v>
      </c>
      <c r="D40" s="92" t="s">
        <v>12</v>
      </c>
      <c r="E40" s="848" t="str">
        <f>F34</f>
        <v>Throttle body</v>
      </c>
      <c r="F40" s="819" t="str">
        <f>'EN Parts'!B854</f>
        <v>Cable housing</v>
      </c>
      <c r="G40" s="92"/>
      <c r="H40" s="94">
        <f t="shared" si="5"/>
        <v>3.5695600000000001</v>
      </c>
      <c r="I40" s="95">
        <f>EN_A0006_q*EN_06006_q</f>
        <v>1</v>
      </c>
      <c r="J40" s="96">
        <f>EN_06006_m</f>
        <v>0.16955999999999999</v>
      </c>
      <c r="K40" s="96">
        <f>EN_06006_p</f>
        <v>3.4</v>
      </c>
      <c r="L40" s="96"/>
      <c r="M40" s="96"/>
      <c r="N40" s="97">
        <f t="shared" si="6"/>
        <v>3.5695600000000001</v>
      </c>
      <c r="O40" s="98">
        <v>40</v>
      </c>
    </row>
    <row r="41" spans="1:15" ht="15" x14ac:dyDescent="0.25">
      <c r="A41" s="90"/>
      <c r="B41" s="91" t="s">
        <v>81</v>
      </c>
      <c r="C41" s="92" t="str">
        <f>EN_06007</f>
        <v>EN 06007</v>
      </c>
      <c r="D41" s="92" t="s">
        <v>12</v>
      </c>
      <c r="E41" s="848" t="str">
        <f>F34</f>
        <v>Throttle body</v>
      </c>
      <c r="F41" s="819" t="str">
        <f>'EN Parts'!B875</f>
        <v>Axle stop</v>
      </c>
      <c r="G41" s="92"/>
      <c r="H41" s="94">
        <f t="shared" si="5"/>
        <v>2.0401686250000002</v>
      </c>
      <c r="I41" s="95">
        <f>EN_A0006_q*EN_06007_q</f>
        <v>1</v>
      </c>
      <c r="J41" s="96">
        <f>EN_06007_m</f>
        <v>0.26016862500000004</v>
      </c>
      <c r="K41" s="96">
        <f>EN_06007_p</f>
        <v>1.78</v>
      </c>
      <c r="L41" s="96"/>
      <c r="M41" s="96"/>
      <c r="N41" s="97">
        <f t="shared" si="6"/>
        <v>2.0401686250000002</v>
      </c>
      <c r="O41" s="98">
        <v>41</v>
      </c>
    </row>
    <row r="42" spans="1:15" ht="15" x14ac:dyDescent="0.25">
      <c r="A42" s="90"/>
      <c r="B42" s="91" t="s">
        <v>81</v>
      </c>
      <c r="C42" s="92" t="str">
        <f>EN_06008</f>
        <v>EN 06008</v>
      </c>
      <c r="D42" s="92" t="s">
        <v>12</v>
      </c>
      <c r="E42" s="848" t="str">
        <f>F34</f>
        <v>Throttle body</v>
      </c>
      <c r="F42" s="819" t="str">
        <f>'EN Parts'!B894</f>
        <v>Ram pipe</v>
      </c>
      <c r="G42" s="92"/>
      <c r="H42" s="94">
        <f t="shared" si="5"/>
        <v>12.510559839999999</v>
      </c>
      <c r="I42" s="95">
        <f>EN_A0006_q*EN_06008_q</f>
        <v>1</v>
      </c>
      <c r="J42" s="96">
        <f>EN_06008_m</f>
        <v>4.01055984</v>
      </c>
      <c r="K42" s="96">
        <f>EN_06008_p</f>
        <v>8.5</v>
      </c>
      <c r="L42" s="96"/>
      <c r="M42" s="96"/>
      <c r="N42" s="97">
        <f t="shared" si="6"/>
        <v>12.510559839999999</v>
      </c>
      <c r="O42" s="98">
        <v>42</v>
      </c>
    </row>
    <row r="43" spans="1:15" ht="15" x14ac:dyDescent="0.25">
      <c r="A43" s="90"/>
      <c r="B43" s="91" t="s">
        <v>81</v>
      </c>
      <c r="C43" s="92" t="str">
        <f>EN_06009</f>
        <v>EN 06009</v>
      </c>
      <c r="D43" s="92" t="s">
        <v>12</v>
      </c>
      <c r="E43" s="848" t="str">
        <f>F34</f>
        <v>Throttle body</v>
      </c>
      <c r="F43" s="819" t="str">
        <f>'EN Parts'!B913</f>
        <v>Throttle Plate</v>
      </c>
      <c r="G43" s="92"/>
      <c r="H43" s="94">
        <f t="shared" si="5"/>
        <v>1.4910032499999999</v>
      </c>
      <c r="I43" s="95">
        <f>EN_A0006_q*EN_06009_q</f>
        <v>1</v>
      </c>
      <c r="J43" s="96">
        <f>EN_06009_m</f>
        <v>7.1003250000000004E-2</v>
      </c>
      <c r="K43" s="96">
        <f>EN_06009_p</f>
        <v>1.42</v>
      </c>
      <c r="L43" s="96"/>
      <c r="M43" s="96"/>
      <c r="N43" s="97">
        <f t="shared" si="6"/>
        <v>1.4910032499999999</v>
      </c>
      <c r="O43" s="98">
        <v>43</v>
      </c>
    </row>
    <row r="44" spans="1:15" ht="15" x14ac:dyDescent="0.25">
      <c r="A44" s="90"/>
      <c r="B44" s="91" t="s">
        <v>81</v>
      </c>
      <c r="C44" s="92" t="str">
        <f>EN_06010</f>
        <v>EN 06010</v>
      </c>
      <c r="D44" s="92" t="s">
        <v>12</v>
      </c>
      <c r="E44" s="848" t="str">
        <f>F34</f>
        <v>Throttle body</v>
      </c>
      <c r="F44" s="819" t="str">
        <f>'EN Parts'!B932</f>
        <v>Tabs</v>
      </c>
      <c r="G44" s="92"/>
      <c r="H44" s="94">
        <f t="shared" si="5"/>
        <v>0.81920945000000001</v>
      </c>
      <c r="I44" s="95">
        <f>EN_A0006_q*EN_06010_q</f>
        <v>2</v>
      </c>
      <c r="J44" s="96">
        <f>EN_06010_m</f>
        <v>1.080945E-2</v>
      </c>
      <c r="K44" s="96">
        <f>EN_06010_p</f>
        <v>0.80840000000000001</v>
      </c>
      <c r="L44" s="96"/>
      <c r="M44" s="96"/>
      <c r="N44" s="97">
        <f t="shared" si="6"/>
        <v>1.6384189</v>
      </c>
      <c r="O44" s="98">
        <v>44</v>
      </c>
    </row>
    <row r="45" spans="1:15" ht="15" x14ac:dyDescent="0.25">
      <c r="A45" s="90"/>
      <c r="B45" s="91" t="s">
        <v>81</v>
      </c>
      <c r="C45" s="92" t="str">
        <f>EN_06011</f>
        <v>EN 06011</v>
      </c>
      <c r="D45" s="92" t="s">
        <v>12</v>
      </c>
      <c r="E45" s="848" t="str">
        <f>F34</f>
        <v>Throttle body</v>
      </c>
      <c r="F45" s="819" t="str">
        <f>'EN Parts'!B963</f>
        <v>Mount 1</v>
      </c>
      <c r="G45" s="92"/>
      <c r="H45" s="94">
        <f t="shared" si="5"/>
        <v>0.73918297599999994</v>
      </c>
      <c r="I45" s="95">
        <f>EN_A0006_q*EN_06011_q</f>
        <v>1</v>
      </c>
      <c r="J45" s="96">
        <f>EN_06011_m</f>
        <v>3.9182976000000001E-2</v>
      </c>
      <c r="K45" s="96">
        <f>EN_06011_p</f>
        <v>0.7</v>
      </c>
      <c r="L45" s="96"/>
      <c r="M45" s="96"/>
      <c r="N45" s="97">
        <f t="shared" si="6"/>
        <v>0.73918297599999994</v>
      </c>
      <c r="O45" s="98">
        <v>45</v>
      </c>
    </row>
    <row r="46" spans="1:15" ht="15" x14ac:dyDescent="0.25">
      <c r="A46" s="90"/>
      <c r="B46" s="91" t="s">
        <v>81</v>
      </c>
      <c r="C46" s="92" t="str">
        <f>EN_06012</f>
        <v>EN 06012</v>
      </c>
      <c r="D46" s="92" t="s">
        <v>12</v>
      </c>
      <c r="E46" s="848" t="str">
        <f>F34</f>
        <v>Throttle body</v>
      </c>
      <c r="F46" s="819" t="str">
        <f>'EN Parts'!B995</f>
        <v>Mount 2</v>
      </c>
      <c r="G46" s="92"/>
      <c r="H46" s="94">
        <f t="shared" si="5"/>
        <v>0.74966214399999997</v>
      </c>
      <c r="I46" s="95">
        <f>EN_A0006_q*EN_06012_q</f>
        <v>1</v>
      </c>
      <c r="J46" s="96">
        <f>EN_06012_m</f>
        <v>4.9662144000000012E-2</v>
      </c>
      <c r="K46" s="96">
        <f>EN_06012_p</f>
        <v>0.7</v>
      </c>
      <c r="L46" s="96"/>
      <c r="M46" s="96"/>
      <c r="N46" s="97">
        <f t="shared" si="6"/>
        <v>0.74966214399999997</v>
      </c>
      <c r="O46" s="98">
        <v>46</v>
      </c>
    </row>
    <row r="47" spans="1:15" ht="15.75" thickBot="1" x14ac:dyDescent="0.3">
      <c r="A47" s="90"/>
      <c r="B47" s="91" t="s">
        <v>81</v>
      </c>
      <c r="C47" s="92" t="str">
        <f>EN_06013</f>
        <v>EN 06013</v>
      </c>
      <c r="D47" s="92" t="s">
        <v>12</v>
      </c>
      <c r="E47" s="848" t="str">
        <f>F33</f>
        <v>Plenum Mount</v>
      </c>
      <c r="F47" s="819" t="str">
        <f>'EN Parts'!B1025</f>
        <v>Throttle Body</v>
      </c>
      <c r="G47" s="92"/>
      <c r="H47" s="94">
        <f t="shared" ref="H47:H50" si="7">SUM(J47:M47)</f>
        <v>1.749662144</v>
      </c>
      <c r="I47" s="95">
        <f>EN_A0006_q*EN_06013_q</f>
        <v>1</v>
      </c>
      <c r="J47" s="96">
        <f>EN_06013_m</f>
        <v>4.9662144000000012E-2</v>
      </c>
      <c r="K47" s="96">
        <f>EN_06013_p</f>
        <v>1.7</v>
      </c>
      <c r="L47" s="96"/>
      <c r="M47" s="96"/>
      <c r="N47" s="97">
        <f t="shared" ref="N47:N49" si="8">H47*I47</f>
        <v>1.749662144</v>
      </c>
      <c r="O47" s="98">
        <v>47</v>
      </c>
    </row>
    <row r="48" spans="1:15" s="13" customFormat="1" ht="15.75" thickTop="1" thickBot="1" x14ac:dyDescent="0.25">
      <c r="A48" s="6"/>
      <c r="B48" s="29" t="s">
        <v>81</v>
      </c>
      <c r="C48" s="1"/>
      <c r="D48" s="1"/>
      <c r="E48" s="1"/>
      <c r="F48" s="29" t="s">
        <v>72</v>
      </c>
      <c r="G48" s="1"/>
      <c r="H48" s="4"/>
      <c r="I48" s="5"/>
      <c r="J48" s="3">
        <f>SUMPRODUCT($I7:$I47,J7:J47)</f>
        <v>612.05169145059051</v>
      </c>
      <c r="K48" s="3">
        <f>SUMPRODUCT($I7:$I47,K7:K47)</f>
        <v>632.60362439605206</v>
      </c>
      <c r="L48" s="3">
        <f>SUMPRODUCT($I7:$I47,L7:L47)</f>
        <v>33.887999999999998</v>
      </c>
      <c r="M48" s="3">
        <f>SUMPRODUCT($I7:$I47,M7:M47)</f>
        <v>4.166666666666667</v>
      </c>
      <c r="N48" s="3">
        <f>SUM($I7:$I47,N7:N47)</f>
        <v>1361.9283094805112</v>
      </c>
      <c r="O48" s="2"/>
    </row>
    <row r="49" spans="1:15" s="946" customFormat="1" ht="15.75" thickTop="1" x14ac:dyDescent="0.25">
      <c r="A49" s="947"/>
      <c r="B49" s="948" t="s">
        <v>602</v>
      </c>
      <c r="C49" s="949" t="str">
        <f>FR_A0006</f>
        <v>FR A0006</v>
      </c>
      <c r="D49" s="949" t="s">
        <v>12</v>
      </c>
      <c r="E49" s="949"/>
      <c r="F49" s="964" t="str">
        <f>'FR Assemblies'!B4</f>
        <v>Shifter</v>
      </c>
      <c r="G49" s="949"/>
      <c r="H49" s="950">
        <f t="shared" si="7"/>
        <v>69.439583333333317</v>
      </c>
      <c r="I49" s="951">
        <f>FR_A0006_q</f>
        <v>1</v>
      </c>
      <c r="J49" s="952">
        <f>FR_A0006_m</f>
        <v>42.48</v>
      </c>
      <c r="K49" s="952">
        <f>FR_A0006_p</f>
        <v>26.216249999999999</v>
      </c>
      <c r="L49" s="952">
        <f>FR_A0006_f</f>
        <v>0.41000000000000003</v>
      </c>
      <c r="M49" s="952">
        <f>FR_A0006_t</f>
        <v>0.33333333333333331</v>
      </c>
      <c r="N49" s="953">
        <f t="shared" si="8"/>
        <v>69.439583333333317</v>
      </c>
      <c r="O49" s="954">
        <v>48</v>
      </c>
    </row>
    <row r="50" spans="1:15" s="13" customFormat="1" ht="15" x14ac:dyDescent="0.25">
      <c r="A50" s="955"/>
      <c r="B50" s="956" t="s">
        <v>602</v>
      </c>
      <c r="C50" s="957" t="s">
        <v>504</v>
      </c>
      <c r="D50" s="957" t="s">
        <v>12</v>
      </c>
      <c r="E50" s="958" t="str">
        <f>'FR Assemblies'!B4</f>
        <v>Shifter</v>
      </c>
      <c r="F50" s="959" t="str">
        <f>'FR Parts'!B5</f>
        <v>Engine gear box drum gear</v>
      </c>
      <c r="G50" s="957"/>
      <c r="H50" s="985">
        <f t="shared" si="7"/>
        <v>14.578946999999999</v>
      </c>
      <c r="I50" s="960">
        <f t="shared" ref="I50:I55" si="9">FR_06001_q</f>
        <v>1</v>
      </c>
      <c r="J50" s="961">
        <f>FR_06001_m</f>
        <v>2.428947</v>
      </c>
      <c r="K50" s="961">
        <f>FR_06001_p</f>
        <v>12.15</v>
      </c>
      <c r="L50" s="961"/>
      <c r="M50" s="961"/>
      <c r="N50" s="962"/>
      <c r="O50" s="963">
        <v>50</v>
      </c>
    </row>
    <row r="51" spans="1:15" s="13" customFormat="1" ht="15" x14ac:dyDescent="0.25">
      <c r="A51" s="955"/>
      <c r="B51" s="956" t="s">
        <v>602</v>
      </c>
      <c r="C51" s="957" t="s">
        <v>514</v>
      </c>
      <c r="D51" s="957" t="s">
        <v>12</v>
      </c>
      <c r="E51" s="958" t="str">
        <f>'FR Assemblies'!B4</f>
        <v>Shifter</v>
      </c>
      <c r="F51" s="959" t="str">
        <f>'FR Parts'!B45</f>
        <v>Engine gear box shifting, pinion shaft</v>
      </c>
      <c r="G51" s="957"/>
      <c r="H51" s="985">
        <f t="shared" ref="H51:H55" si="10">SUM(J51:M51)</f>
        <v>17.638947000000002</v>
      </c>
      <c r="I51" s="960">
        <f t="shared" si="9"/>
        <v>1</v>
      </c>
      <c r="J51" s="961">
        <f>FR_06002_m</f>
        <v>2.428947</v>
      </c>
      <c r="K51" s="961">
        <f>FR_06002_p</f>
        <v>15.21</v>
      </c>
      <c r="L51" s="961"/>
      <c r="M51" s="961"/>
      <c r="N51" s="962"/>
      <c r="O51" s="963">
        <v>51</v>
      </c>
    </row>
    <row r="52" spans="1:15" s="13" customFormat="1" ht="15" x14ac:dyDescent="0.25">
      <c r="A52" s="955"/>
      <c r="B52" s="956" t="s">
        <v>602</v>
      </c>
      <c r="C52" s="957" t="s">
        <v>518</v>
      </c>
      <c r="D52" s="957" t="s">
        <v>12</v>
      </c>
      <c r="E52" s="958" t="str">
        <f>'FR Assemblies'!B4</f>
        <v>Shifter</v>
      </c>
      <c r="F52" s="959" t="str">
        <f>'FR Parts'!B82</f>
        <v>Engine gear box actuator tab</v>
      </c>
      <c r="G52" s="957"/>
      <c r="H52" s="985">
        <f t="shared" si="10"/>
        <v>1.8850923625</v>
      </c>
      <c r="I52" s="960">
        <f t="shared" si="9"/>
        <v>1</v>
      </c>
      <c r="J52" s="961">
        <f>FR_06003_m</f>
        <v>4.5092362500000004E-2</v>
      </c>
      <c r="K52" s="961">
        <f>FR_06003_p</f>
        <v>1.84</v>
      </c>
      <c r="L52" s="961"/>
      <c r="M52" s="961"/>
      <c r="N52" s="962"/>
      <c r="O52" s="963">
        <v>52</v>
      </c>
    </row>
    <row r="53" spans="1:15" s="13" customFormat="1" ht="15" x14ac:dyDescent="0.25">
      <c r="A53" s="955"/>
      <c r="B53" s="956" t="s">
        <v>602</v>
      </c>
      <c r="C53" s="957" t="s">
        <v>519</v>
      </c>
      <c r="D53" s="957" t="s">
        <v>12</v>
      </c>
      <c r="E53" s="958" t="str">
        <f>'FR Assemblies'!B4</f>
        <v>Shifter</v>
      </c>
      <c r="F53" s="959" t="str">
        <f>'FR Parts'!B117</f>
        <v>Front engine gear box actuator mount</v>
      </c>
      <c r="G53" s="957"/>
      <c r="H53" s="985">
        <f t="shared" si="10"/>
        <v>2.8289551680000002</v>
      </c>
      <c r="I53" s="960">
        <f t="shared" si="9"/>
        <v>1</v>
      </c>
      <c r="J53" s="961">
        <f>FR_06004_m</f>
        <v>3.8955167999999998E-2</v>
      </c>
      <c r="K53" s="961">
        <f>FR_06004_p</f>
        <v>2.79</v>
      </c>
      <c r="L53" s="961"/>
      <c r="M53" s="961"/>
      <c r="N53" s="962"/>
      <c r="O53" s="963">
        <v>53</v>
      </c>
    </row>
    <row r="54" spans="1:15" s="13" customFormat="1" ht="15" x14ac:dyDescent="0.25">
      <c r="A54" s="955"/>
      <c r="B54" s="956" t="s">
        <v>602</v>
      </c>
      <c r="C54" s="957" t="s">
        <v>525</v>
      </c>
      <c r="D54" s="957" t="s">
        <v>12</v>
      </c>
      <c r="E54" s="958" t="str">
        <f>'FR Assemblies'!B4</f>
        <v>Shifter</v>
      </c>
      <c r="F54" s="959" t="str">
        <f>'FR Parts'!B154</f>
        <v>Rear gear box actuator mount</v>
      </c>
      <c r="G54" s="957"/>
      <c r="H54" s="985">
        <f t="shared" si="10"/>
        <v>2.6476392799999999</v>
      </c>
      <c r="I54" s="960">
        <f t="shared" si="9"/>
        <v>1</v>
      </c>
      <c r="J54" s="961">
        <f>FR_06005_m</f>
        <v>0.10763928</v>
      </c>
      <c r="K54" s="961">
        <f>FR_06005_p</f>
        <v>2.54</v>
      </c>
      <c r="L54" s="961"/>
      <c r="M54" s="961"/>
      <c r="N54" s="962"/>
      <c r="O54" s="963">
        <v>54</v>
      </c>
    </row>
    <row r="55" spans="1:15" s="13" customFormat="1" ht="15.75" thickBot="1" x14ac:dyDescent="0.3">
      <c r="A55" s="955"/>
      <c r="B55" s="956" t="s">
        <v>602</v>
      </c>
      <c r="C55" s="957" t="s">
        <v>528</v>
      </c>
      <c r="D55" s="957" t="s">
        <v>12</v>
      </c>
      <c r="E55" s="958" t="str">
        <f>'FR Assemblies'!B4</f>
        <v>Shifter</v>
      </c>
      <c r="F55" s="959" t="str">
        <f>'FR Parts'!B193</f>
        <v>Engine gear box actuator coupling</v>
      </c>
      <c r="G55" s="957"/>
      <c r="H55" s="985">
        <f t="shared" si="10"/>
        <v>7.5428536250000002</v>
      </c>
      <c r="I55" s="960">
        <f t="shared" si="9"/>
        <v>1</v>
      </c>
      <c r="J55" s="961">
        <f>FR_06006_m</f>
        <v>1.2228536249999999</v>
      </c>
      <c r="K55" s="961">
        <f>FR_06006_p</f>
        <v>6.28</v>
      </c>
      <c r="L55" s="961">
        <f>FR_06006_f</f>
        <v>0.04</v>
      </c>
      <c r="M55" s="961"/>
      <c r="N55" s="962"/>
      <c r="O55" s="963">
        <v>55</v>
      </c>
    </row>
    <row r="56" spans="1:15" s="13" customFormat="1" ht="15.75" thickTop="1" thickBot="1" x14ac:dyDescent="0.25">
      <c r="A56" s="6"/>
      <c r="B56" s="29" t="s">
        <v>602</v>
      </c>
      <c r="C56" s="1"/>
      <c r="D56" s="1"/>
      <c r="E56" s="1"/>
      <c r="F56" s="29" t="s">
        <v>72</v>
      </c>
      <c r="G56" s="1"/>
      <c r="H56" s="4"/>
      <c r="I56" s="5"/>
      <c r="J56" s="3">
        <f>SUMPRODUCT($I49:$I55,J49:J55)</f>
        <v>48.7524344355</v>
      </c>
      <c r="K56" s="3">
        <f>SUMPRODUCT($I49:$I55,K49:K55)</f>
        <v>67.026250000000005</v>
      </c>
      <c r="L56" s="3">
        <f>SUMPRODUCT($I49:$I55,L49:L55)</f>
        <v>0.45</v>
      </c>
      <c r="M56" s="3">
        <f>SUMPRODUCT($I49:$I55,M49:M55)</f>
        <v>0.33333333333333331</v>
      </c>
      <c r="N56" s="3">
        <f>SUM(N49:N55)</f>
        <v>69.439583333333317</v>
      </c>
      <c r="O56" s="2"/>
    </row>
    <row r="57" spans="1:15" ht="13.5" thickTop="1" x14ac:dyDescent="0.2"/>
    <row r="61" spans="1:15" x14ac:dyDescent="0.2">
      <c r="A61" s="12"/>
      <c r="B61" s="12"/>
      <c r="D61" s="14"/>
      <c r="E61" s="14"/>
      <c r="G61" s="14"/>
      <c r="H61" s="14"/>
      <c r="I61" s="9"/>
      <c r="J61" s="9"/>
      <c r="K61" s="9"/>
      <c r="L61" s="9"/>
      <c r="M61" s="9"/>
      <c r="N61" s="14"/>
    </row>
    <row r="62" spans="1:15" x14ac:dyDescent="0.2">
      <c r="A62" s="12"/>
      <c r="B62" s="12"/>
      <c r="D62" s="14"/>
      <c r="E62" s="14"/>
      <c r="G62" s="14"/>
      <c r="H62" s="14"/>
      <c r="I62" s="9"/>
      <c r="J62" s="9"/>
      <c r="K62" s="9"/>
      <c r="L62" s="9"/>
      <c r="M62" s="9"/>
      <c r="N62" s="14"/>
    </row>
    <row r="63" spans="1:15" x14ac:dyDescent="0.2">
      <c r="A63" s="12"/>
      <c r="B63" s="12"/>
      <c r="D63" s="14"/>
      <c r="E63" s="14"/>
      <c r="G63" s="14"/>
      <c r="H63" s="14"/>
      <c r="I63" s="9"/>
      <c r="J63" s="9"/>
      <c r="K63" s="9"/>
      <c r="L63" s="9"/>
      <c r="M63" s="9"/>
      <c r="N63" s="14"/>
    </row>
    <row r="64" spans="1:15" x14ac:dyDescent="0.2">
      <c r="A64" s="12"/>
      <c r="B64" s="12"/>
      <c r="D64" s="14"/>
      <c r="E64" s="14"/>
      <c r="G64" s="14"/>
      <c r="H64" s="14"/>
      <c r="I64" s="9"/>
      <c r="J64" s="9"/>
      <c r="K64" s="9"/>
      <c r="L64" s="9"/>
      <c r="M64" s="9"/>
      <c r="N64" s="14"/>
    </row>
    <row r="65" spans="1:14" x14ac:dyDescent="0.2">
      <c r="A65" s="12"/>
      <c r="B65" s="12"/>
      <c r="D65" s="14"/>
      <c r="E65" s="14"/>
      <c r="G65" s="14"/>
      <c r="H65" s="14"/>
      <c r="I65" s="9"/>
      <c r="J65" s="9"/>
      <c r="K65" s="9"/>
      <c r="L65" s="9"/>
      <c r="M65" s="9"/>
      <c r="N65" s="14"/>
    </row>
    <row r="66" spans="1:14" x14ac:dyDescent="0.2">
      <c r="A66" s="12"/>
      <c r="B66" s="12"/>
      <c r="D66" s="14"/>
      <c r="E66" s="14"/>
      <c r="G66" s="14"/>
      <c r="H66" s="14"/>
      <c r="I66" s="9"/>
      <c r="J66" s="9"/>
      <c r="K66" s="9"/>
      <c r="L66" s="9"/>
      <c r="M66" s="9"/>
      <c r="N66" s="14"/>
    </row>
    <row r="67" spans="1:14" x14ac:dyDescent="0.2">
      <c r="A67" s="12"/>
      <c r="B67" s="12"/>
      <c r="D67" s="14"/>
      <c r="E67" s="14"/>
      <c r="G67" s="14"/>
      <c r="H67" s="14"/>
      <c r="I67" s="9"/>
      <c r="J67" s="9"/>
      <c r="K67" s="9"/>
      <c r="L67" s="9"/>
      <c r="M67" s="9"/>
      <c r="N67" s="14"/>
    </row>
    <row r="68" spans="1:14" x14ac:dyDescent="0.2">
      <c r="A68" s="12"/>
      <c r="B68" s="12"/>
      <c r="D68" s="14"/>
      <c r="E68" s="14"/>
      <c r="G68" s="14"/>
      <c r="H68" s="14"/>
      <c r="I68" s="9"/>
      <c r="J68" s="9"/>
      <c r="K68" s="9"/>
      <c r="L68" s="9"/>
      <c r="M68" s="9"/>
      <c r="N68" s="14"/>
    </row>
    <row r="69" spans="1:14" x14ac:dyDescent="0.2">
      <c r="A69" s="12"/>
      <c r="B69" s="12"/>
      <c r="D69" s="14"/>
      <c r="E69" s="14"/>
      <c r="G69" s="14"/>
      <c r="H69" s="14"/>
      <c r="I69" s="9"/>
      <c r="J69" s="9"/>
      <c r="K69" s="9"/>
      <c r="L69" s="9"/>
      <c r="M69" s="9"/>
      <c r="N69" s="14"/>
    </row>
    <row r="70" spans="1:14" x14ac:dyDescent="0.2">
      <c r="A70" s="12"/>
      <c r="B70" s="12"/>
      <c r="D70" s="14"/>
      <c r="E70" s="14"/>
      <c r="G70" s="14"/>
      <c r="H70" s="14"/>
      <c r="I70" s="9"/>
      <c r="J70" s="9"/>
      <c r="K70" s="9"/>
      <c r="L70" s="9"/>
      <c r="M70" s="9"/>
      <c r="N70" s="14"/>
    </row>
    <row r="71" spans="1:14" x14ac:dyDescent="0.2">
      <c r="A71" s="12"/>
      <c r="B71" s="12"/>
      <c r="D71" s="14"/>
      <c r="E71" s="14"/>
      <c r="G71" s="14"/>
      <c r="H71" s="14"/>
      <c r="I71" s="9"/>
      <c r="J71" s="9"/>
      <c r="K71" s="9"/>
      <c r="L71" s="9"/>
      <c r="M71" s="9"/>
      <c r="N71" s="14"/>
    </row>
    <row r="72" spans="1:14" x14ac:dyDescent="0.2">
      <c r="A72" s="12"/>
      <c r="B72" s="12"/>
      <c r="D72" s="14"/>
      <c r="E72" s="14"/>
      <c r="G72" s="14"/>
      <c r="H72" s="14"/>
      <c r="I72" s="9"/>
      <c r="J72" s="9"/>
      <c r="K72" s="9"/>
      <c r="L72" s="9"/>
      <c r="M72" s="9"/>
      <c r="N72" s="14"/>
    </row>
    <row r="73" spans="1:14" x14ac:dyDescent="0.2">
      <c r="A73" s="12"/>
      <c r="B73" s="12"/>
      <c r="D73" s="14"/>
      <c r="E73" s="14"/>
      <c r="G73" s="14"/>
      <c r="H73" s="14"/>
      <c r="I73" s="9"/>
      <c r="J73" s="9"/>
      <c r="K73" s="9"/>
      <c r="L73" s="9"/>
      <c r="M73" s="9"/>
      <c r="N73" s="14"/>
    </row>
    <row r="74" spans="1:14" x14ac:dyDescent="0.2">
      <c r="A74" s="12"/>
      <c r="B74" s="12"/>
      <c r="D74" s="14"/>
      <c r="E74" s="14"/>
      <c r="G74" s="14"/>
      <c r="H74" s="14"/>
      <c r="I74" s="9"/>
      <c r="J74" s="9"/>
      <c r="K74" s="9"/>
      <c r="L74" s="9"/>
      <c r="M74" s="9"/>
      <c r="N74" s="14"/>
    </row>
    <row r="75" spans="1:14" s="10" customFormat="1" x14ac:dyDescent="0.2">
      <c r="A75" s="8"/>
      <c r="B75" s="12"/>
      <c r="F75" s="30"/>
      <c r="I75" s="7"/>
      <c r="J75" s="7"/>
      <c r="K75" s="7"/>
      <c r="L75" s="7"/>
      <c r="M75" s="7"/>
    </row>
    <row r="76" spans="1:14" s="10" customFormat="1" x14ac:dyDescent="0.2">
      <c r="A76" s="8"/>
      <c r="B76" s="12"/>
      <c r="F76" s="30"/>
      <c r="I76" s="7"/>
      <c r="J76" s="7"/>
      <c r="K76" s="7"/>
      <c r="L76" s="7"/>
      <c r="M76" s="7"/>
    </row>
    <row r="77" spans="1:14" s="10" customFormat="1" x14ac:dyDescent="0.2">
      <c r="A77" s="8"/>
      <c r="B77" s="12"/>
      <c r="F77" s="30"/>
      <c r="I77" s="7"/>
      <c r="J77" s="7"/>
      <c r="K77" s="7"/>
      <c r="L77" s="7"/>
      <c r="M77" s="7"/>
    </row>
    <row r="78" spans="1:14" s="10" customFormat="1" x14ac:dyDescent="0.2">
      <c r="A78" s="8"/>
      <c r="B78" s="12"/>
      <c r="F78" s="30"/>
      <c r="I78" s="7"/>
      <c r="J78" s="7"/>
      <c r="K78" s="7"/>
      <c r="L78" s="7"/>
      <c r="M78" s="7"/>
    </row>
    <row r="79" spans="1:14" s="10" customFormat="1" x14ac:dyDescent="0.2">
      <c r="A79" s="8"/>
      <c r="B79" s="12"/>
      <c r="F79" s="30"/>
      <c r="I79" s="7"/>
      <c r="J79" s="7"/>
      <c r="K79" s="7"/>
      <c r="L79" s="7"/>
      <c r="M79" s="7"/>
    </row>
    <row r="80" spans="1:14" s="10" customFormat="1" x14ac:dyDescent="0.2">
      <c r="A80" s="8"/>
      <c r="B80" s="12"/>
      <c r="F80" s="30"/>
      <c r="I80" s="7"/>
      <c r="J80" s="7"/>
      <c r="K80" s="7"/>
      <c r="L80" s="7"/>
      <c r="M80" s="7"/>
    </row>
    <row r="81" spans="1:14" s="10" customFormat="1" x14ac:dyDescent="0.2">
      <c r="A81" s="8"/>
      <c r="B81" s="12"/>
      <c r="F81" s="30"/>
      <c r="I81" s="7"/>
      <c r="J81" s="7"/>
      <c r="K81" s="7"/>
      <c r="L81" s="7"/>
      <c r="M81" s="7"/>
    </row>
    <row r="82" spans="1:14" s="10" customFormat="1" x14ac:dyDescent="0.2">
      <c r="A82" s="8"/>
      <c r="B82" s="12"/>
      <c r="F82" s="30"/>
      <c r="I82" s="7"/>
      <c r="J82" s="7"/>
      <c r="K82" s="7"/>
      <c r="L82" s="7"/>
      <c r="M82" s="7"/>
    </row>
    <row r="83" spans="1:14" s="10" customFormat="1" x14ac:dyDescent="0.2">
      <c r="A83" s="8"/>
      <c r="B83" s="12"/>
      <c r="F83" s="30"/>
      <c r="I83" s="7"/>
      <c r="J83" s="7"/>
      <c r="K83" s="7"/>
      <c r="L83" s="7"/>
      <c r="M83" s="7"/>
    </row>
    <row r="84" spans="1:14" s="10" customFormat="1" x14ac:dyDescent="0.2">
      <c r="A84" s="8"/>
      <c r="B84" s="12"/>
      <c r="F84" s="30"/>
      <c r="I84" s="7"/>
      <c r="J84" s="7"/>
      <c r="K84" s="7"/>
      <c r="L84" s="7"/>
      <c r="M84" s="7"/>
    </row>
    <row r="85" spans="1:14" s="11" customFormat="1" x14ac:dyDescent="0.2">
      <c r="A85" s="8"/>
      <c r="B85" s="12"/>
      <c r="C85" s="10"/>
      <c r="D85" s="10"/>
      <c r="E85" s="10"/>
      <c r="F85" s="30"/>
      <c r="G85" s="10"/>
      <c r="H85" s="10"/>
      <c r="I85" s="7"/>
      <c r="J85" s="7"/>
      <c r="K85" s="7"/>
      <c r="L85" s="7"/>
      <c r="M85" s="7"/>
      <c r="N85" s="10"/>
    </row>
    <row r="86" spans="1:14" s="11" customFormat="1" x14ac:dyDescent="0.2">
      <c r="A86" s="8"/>
      <c r="B86" s="12"/>
      <c r="C86" s="10"/>
      <c r="D86" s="10"/>
      <c r="E86" s="10"/>
      <c r="F86" s="30"/>
      <c r="G86" s="10"/>
      <c r="H86" s="10"/>
      <c r="I86" s="7"/>
      <c r="J86" s="7"/>
      <c r="K86" s="7"/>
      <c r="L86" s="7"/>
      <c r="M86" s="7"/>
      <c r="N86" s="10"/>
    </row>
    <row r="87" spans="1:14" s="11" customFormat="1" x14ac:dyDescent="0.2">
      <c r="A87" s="8"/>
      <c r="B87" s="12"/>
      <c r="C87" s="10"/>
      <c r="D87" s="10"/>
      <c r="E87" s="10"/>
      <c r="F87" s="30"/>
      <c r="G87" s="10"/>
      <c r="H87" s="10"/>
      <c r="I87" s="7"/>
      <c r="J87" s="7"/>
      <c r="K87" s="7"/>
      <c r="L87" s="7"/>
      <c r="M87" s="7"/>
      <c r="N87" s="10"/>
    </row>
    <row r="88" spans="1:14" s="11" customFormat="1" x14ac:dyDescent="0.2">
      <c r="A88" s="8"/>
      <c r="B88" s="12"/>
      <c r="C88" s="10"/>
      <c r="D88" s="10"/>
      <c r="E88" s="10"/>
      <c r="F88" s="30"/>
      <c r="G88" s="10"/>
      <c r="H88" s="10"/>
      <c r="I88" s="7"/>
      <c r="J88" s="7"/>
      <c r="K88" s="7"/>
      <c r="L88" s="7"/>
      <c r="M88" s="7"/>
      <c r="N88" s="10"/>
    </row>
    <row r="89" spans="1:14" s="11" customFormat="1" x14ac:dyDescent="0.2">
      <c r="A89" s="8"/>
      <c r="B89" s="12"/>
      <c r="C89" s="10"/>
      <c r="D89" s="10"/>
      <c r="E89" s="10"/>
      <c r="F89" s="30"/>
      <c r="G89" s="10"/>
      <c r="H89" s="10"/>
      <c r="I89" s="7"/>
      <c r="J89" s="7"/>
      <c r="K89" s="7"/>
      <c r="L89" s="7"/>
      <c r="M89" s="7"/>
      <c r="N89" s="10"/>
    </row>
    <row r="90" spans="1:14" s="11" customFormat="1" x14ac:dyDescent="0.2">
      <c r="A90" s="8"/>
      <c r="B90" s="12"/>
      <c r="C90" s="10"/>
      <c r="D90" s="10"/>
      <c r="E90" s="10"/>
      <c r="F90" s="30"/>
      <c r="G90" s="10"/>
      <c r="H90" s="10"/>
      <c r="I90" s="7"/>
      <c r="J90" s="7"/>
      <c r="K90" s="7"/>
      <c r="L90" s="7"/>
      <c r="M90" s="7"/>
      <c r="N90" s="10"/>
    </row>
    <row r="91" spans="1:14" s="11" customFormat="1" x14ac:dyDescent="0.2">
      <c r="A91" s="8"/>
      <c r="B91" s="12"/>
      <c r="C91" s="10"/>
      <c r="D91" s="10"/>
      <c r="E91" s="10"/>
      <c r="F91" s="30"/>
      <c r="G91" s="10"/>
      <c r="H91" s="10"/>
      <c r="I91" s="7"/>
      <c r="J91" s="7"/>
      <c r="K91" s="7"/>
      <c r="L91" s="7"/>
      <c r="M91" s="7"/>
      <c r="N91" s="10"/>
    </row>
    <row r="92" spans="1:14" s="11" customFormat="1" x14ac:dyDescent="0.2">
      <c r="A92" s="8"/>
      <c r="B92" s="12"/>
      <c r="C92" s="10"/>
      <c r="D92" s="10"/>
      <c r="E92" s="10"/>
      <c r="F92" s="30"/>
      <c r="G92" s="10"/>
      <c r="H92" s="10"/>
      <c r="I92" s="7"/>
      <c r="J92" s="7"/>
      <c r="K92" s="7"/>
      <c r="L92" s="7"/>
      <c r="M92" s="7"/>
      <c r="N92" s="10"/>
    </row>
    <row r="93" spans="1:14" s="11" customFormat="1" x14ac:dyDescent="0.2">
      <c r="A93" s="8"/>
      <c r="B93" s="12"/>
      <c r="C93" s="10"/>
      <c r="D93" s="10"/>
      <c r="E93" s="10"/>
      <c r="F93" s="30"/>
      <c r="G93" s="10"/>
      <c r="H93" s="10"/>
      <c r="I93" s="7"/>
      <c r="J93" s="7"/>
      <c r="K93" s="7"/>
      <c r="L93" s="7"/>
      <c r="M93" s="7"/>
      <c r="N93" s="10"/>
    </row>
    <row r="94" spans="1:14" s="11" customFormat="1" x14ac:dyDescent="0.2">
      <c r="A94" s="8"/>
      <c r="B94" s="12"/>
      <c r="C94" s="10"/>
      <c r="D94" s="10"/>
      <c r="E94" s="10"/>
      <c r="F94" s="30"/>
      <c r="G94" s="10"/>
      <c r="H94" s="10"/>
      <c r="I94" s="7"/>
      <c r="J94" s="7"/>
      <c r="K94" s="7"/>
      <c r="L94" s="7"/>
      <c r="M94" s="7"/>
      <c r="N94" s="10"/>
    </row>
    <row r="95" spans="1:14" s="11" customFormat="1" x14ac:dyDescent="0.2">
      <c r="A95" s="8"/>
      <c r="B95" s="12"/>
      <c r="C95" s="10"/>
      <c r="D95" s="10"/>
      <c r="E95" s="10"/>
      <c r="F95" s="30"/>
      <c r="G95" s="10"/>
      <c r="H95" s="10"/>
      <c r="I95" s="7"/>
      <c r="J95" s="7"/>
      <c r="K95" s="7"/>
      <c r="L95" s="7"/>
      <c r="M95" s="7"/>
      <c r="N95" s="10"/>
    </row>
    <row r="96" spans="1:14" s="11" customFormat="1" x14ac:dyDescent="0.2">
      <c r="A96" s="8"/>
      <c r="B96" s="12"/>
      <c r="C96" s="10"/>
      <c r="D96" s="10"/>
      <c r="E96" s="10"/>
      <c r="F96" s="30"/>
      <c r="G96" s="10"/>
      <c r="H96" s="10"/>
      <c r="I96" s="7"/>
      <c r="J96" s="7"/>
      <c r="K96" s="7"/>
      <c r="L96" s="7"/>
      <c r="M96" s="7"/>
      <c r="N96" s="10"/>
    </row>
    <row r="97" spans="1:14" s="11" customFormat="1" x14ac:dyDescent="0.2">
      <c r="A97" s="8"/>
      <c r="B97" s="12"/>
      <c r="C97" s="10"/>
      <c r="D97" s="10"/>
      <c r="E97" s="10"/>
      <c r="F97" s="30"/>
      <c r="G97" s="10"/>
      <c r="H97" s="10"/>
      <c r="I97" s="7"/>
      <c r="J97" s="7"/>
      <c r="K97" s="7"/>
      <c r="L97" s="7"/>
      <c r="M97" s="7"/>
      <c r="N97" s="10"/>
    </row>
    <row r="98" spans="1:14" s="11" customFormat="1" x14ac:dyDescent="0.2">
      <c r="A98" s="8"/>
      <c r="B98" s="12"/>
      <c r="C98" s="10"/>
      <c r="D98" s="10"/>
      <c r="E98" s="10"/>
      <c r="F98" s="30"/>
      <c r="G98" s="10"/>
      <c r="H98" s="10"/>
      <c r="I98" s="7"/>
      <c r="J98" s="7"/>
      <c r="K98" s="7"/>
      <c r="L98" s="7"/>
      <c r="M98" s="7"/>
      <c r="N98" s="10"/>
    </row>
    <row r="99" spans="1:14" s="11" customFormat="1" x14ac:dyDescent="0.2">
      <c r="A99" s="8"/>
      <c r="B99" s="12"/>
      <c r="C99" s="10"/>
      <c r="D99" s="10"/>
      <c r="E99" s="10"/>
      <c r="F99" s="30"/>
      <c r="G99" s="10"/>
      <c r="H99" s="10"/>
      <c r="I99" s="7"/>
      <c r="J99" s="7"/>
      <c r="K99" s="7"/>
      <c r="L99" s="7"/>
      <c r="M99" s="7"/>
      <c r="N99" s="10"/>
    </row>
    <row r="100" spans="1:14" s="11" customFormat="1" x14ac:dyDescent="0.2">
      <c r="A100" s="8"/>
      <c r="B100" s="12"/>
      <c r="C100" s="10"/>
      <c r="D100" s="10"/>
      <c r="E100" s="10"/>
      <c r="F100" s="30"/>
      <c r="G100" s="10"/>
      <c r="H100" s="10"/>
      <c r="I100" s="7"/>
      <c r="J100" s="7"/>
      <c r="K100" s="7"/>
      <c r="L100" s="7"/>
      <c r="M100" s="7"/>
      <c r="N100" s="10"/>
    </row>
    <row r="101" spans="1:14" s="11" customFormat="1" x14ac:dyDescent="0.2">
      <c r="A101" s="8"/>
      <c r="B101" s="12"/>
      <c r="C101" s="10"/>
      <c r="D101" s="10"/>
      <c r="E101" s="10"/>
      <c r="F101" s="30"/>
      <c r="G101" s="10"/>
      <c r="H101" s="10"/>
      <c r="I101" s="7"/>
      <c r="J101" s="7"/>
      <c r="K101" s="7"/>
      <c r="L101" s="7"/>
      <c r="M101" s="7"/>
      <c r="N101" s="10"/>
    </row>
    <row r="102" spans="1:14" s="11" customFormat="1" x14ac:dyDescent="0.2">
      <c r="A102" s="8"/>
      <c r="B102" s="12"/>
      <c r="C102" s="10"/>
      <c r="D102" s="10"/>
      <c r="E102" s="10"/>
      <c r="F102" s="30"/>
      <c r="G102" s="10"/>
      <c r="H102" s="10"/>
      <c r="I102" s="7"/>
      <c r="J102" s="7"/>
      <c r="K102" s="7"/>
      <c r="L102" s="7"/>
      <c r="M102" s="7"/>
      <c r="N102" s="10"/>
    </row>
    <row r="103" spans="1:14" s="11" customFormat="1" x14ac:dyDescent="0.2">
      <c r="A103" s="8"/>
      <c r="B103" s="12"/>
      <c r="C103" s="10"/>
      <c r="D103" s="10"/>
      <c r="E103" s="10"/>
      <c r="F103" s="30"/>
      <c r="G103" s="10"/>
      <c r="H103" s="10"/>
      <c r="I103" s="7"/>
      <c r="J103" s="7"/>
      <c r="K103" s="7"/>
      <c r="L103" s="7"/>
      <c r="M103" s="7"/>
      <c r="N103" s="10"/>
    </row>
    <row r="104" spans="1:14" s="11" customFormat="1" x14ac:dyDescent="0.2">
      <c r="A104" s="8"/>
      <c r="B104" s="12"/>
      <c r="C104" s="10"/>
      <c r="D104" s="10"/>
      <c r="E104" s="10"/>
      <c r="F104" s="30"/>
      <c r="G104" s="10"/>
      <c r="H104" s="10"/>
      <c r="I104" s="7"/>
      <c r="J104" s="7"/>
      <c r="K104" s="7"/>
      <c r="L104" s="7"/>
      <c r="M104" s="7"/>
      <c r="N104" s="10"/>
    </row>
    <row r="105" spans="1:14" s="11" customFormat="1" x14ac:dyDescent="0.2">
      <c r="A105" s="8"/>
      <c r="B105" s="12"/>
      <c r="C105" s="10"/>
      <c r="D105" s="10"/>
      <c r="E105" s="10"/>
      <c r="F105" s="30"/>
      <c r="G105" s="10"/>
      <c r="H105" s="10"/>
      <c r="I105" s="7"/>
      <c r="J105" s="7"/>
      <c r="K105" s="7"/>
      <c r="L105" s="7"/>
      <c r="M105" s="7"/>
      <c r="N105" s="10"/>
    </row>
    <row r="106" spans="1:14" s="11" customFormat="1" x14ac:dyDescent="0.2">
      <c r="A106" s="8"/>
      <c r="B106" s="12"/>
      <c r="C106" s="10"/>
      <c r="D106" s="10"/>
      <c r="E106" s="10"/>
      <c r="F106" s="30"/>
      <c r="G106" s="10"/>
      <c r="H106" s="10"/>
      <c r="I106" s="7"/>
      <c r="J106" s="7"/>
      <c r="K106" s="7"/>
      <c r="L106" s="7"/>
      <c r="M106" s="7"/>
      <c r="N106" s="10"/>
    </row>
    <row r="107" spans="1:14" s="11" customFormat="1" x14ac:dyDescent="0.2">
      <c r="A107" s="8"/>
      <c r="B107" s="12"/>
      <c r="C107" s="10"/>
      <c r="D107" s="10"/>
      <c r="E107" s="10"/>
      <c r="F107" s="30"/>
      <c r="G107" s="10"/>
      <c r="H107" s="10"/>
      <c r="I107" s="7"/>
      <c r="J107" s="7"/>
      <c r="K107" s="7"/>
      <c r="L107" s="7"/>
      <c r="M107" s="7"/>
      <c r="N107" s="10"/>
    </row>
    <row r="108" spans="1:14" s="11" customFormat="1" x14ac:dyDescent="0.2">
      <c r="A108" s="8"/>
      <c r="B108" s="12"/>
      <c r="C108" s="10"/>
      <c r="D108" s="10"/>
      <c r="E108" s="10"/>
      <c r="F108" s="30"/>
      <c r="G108" s="10"/>
      <c r="H108" s="10"/>
      <c r="I108" s="7"/>
      <c r="J108" s="7"/>
      <c r="K108" s="7"/>
      <c r="L108" s="7"/>
      <c r="M108" s="7"/>
      <c r="N108" s="10"/>
    </row>
    <row r="109" spans="1:14" s="11" customFormat="1" x14ac:dyDescent="0.2">
      <c r="A109" s="8"/>
      <c r="B109" s="12"/>
      <c r="C109" s="10"/>
      <c r="D109" s="10"/>
      <c r="E109" s="10"/>
      <c r="F109" s="30"/>
      <c r="G109" s="10"/>
      <c r="H109" s="10"/>
      <c r="I109" s="7"/>
      <c r="J109" s="7"/>
      <c r="K109" s="7"/>
      <c r="L109" s="7"/>
      <c r="M109" s="7"/>
      <c r="N109" s="10"/>
    </row>
    <row r="110" spans="1:14" s="11" customFormat="1" x14ac:dyDescent="0.2">
      <c r="A110" s="8"/>
      <c r="B110" s="12"/>
      <c r="C110" s="10"/>
      <c r="D110" s="10"/>
      <c r="E110" s="10"/>
      <c r="F110" s="30"/>
      <c r="G110" s="10"/>
      <c r="H110" s="10"/>
      <c r="I110" s="7"/>
      <c r="J110" s="7"/>
      <c r="K110" s="7"/>
      <c r="L110" s="7"/>
      <c r="M110" s="7"/>
      <c r="N110" s="10"/>
    </row>
    <row r="111" spans="1:14" s="11" customFormat="1" x14ac:dyDescent="0.2">
      <c r="A111" s="8"/>
      <c r="B111" s="12"/>
      <c r="C111" s="10"/>
      <c r="D111" s="10"/>
      <c r="E111" s="10"/>
      <c r="F111" s="30"/>
      <c r="G111" s="10"/>
      <c r="H111" s="10"/>
      <c r="I111" s="7"/>
      <c r="J111" s="7"/>
      <c r="K111" s="7"/>
      <c r="L111" s="7"/>
      <c r="M111" s="7"/>
      <c r="N111" s="10"/>
    </row>
    <row r="112" spans="1:14" s="11" customFormat="1" x14ac:dyDescent="0.2">
      <c r="A112" s="8"/>
      <c r="B112" s="12"/>
      <c r="C112" s="10"/>
      <c r="D112" s="10"/>
      <c r="E112" s="10"/>
      <c r="F112" s="30"/>
      <c r="G112" s="10"/>
      <c r="H112" s="10"/>
      <c r="I112" s="7"/>
      <c r="J112" s="7"/>
      <c r="K112" s="7"/>
      <c r="L112" s="7"/>
      <c r="M112" s="7"/>
      <c r="N112" s="10"/>
    </row>
    <row r="113" spans="1:14" s="11" customFormat="1" x14ac:dyDescent="0.2">
      <c r="A113" s="8"/>
      <c r="B113" s="12"/>
      <c r="C113" s="10"/>
      <c r="D113" s="10"/>
      <c r="E113" s="10"/>
      <c r="F113" s="30"/>
      <c r="G113" s="10"/>
      <c r="H113" s="10"/>
      <c r="I113" s="7"/>
      <c r="J113" s="7"/>
      <c r="K113" s="7"/>
      <c r="L113" s="7"/>
      <c r="M113" s="7"/>
      <c r="N113" s="10"/>
    </row>
    <row r="114" spans="1:14" s="11" customFormat="1" x14ac:dyDescent="0.2">
      <c r="A114" s="8"/>
      <c r="B114" s="12"/>
      <c r="C114" s="10"/>
      <c r="D114" s="10"/>
      <c r="E114" s="10"/>
      <c r="F114" s="30"/>
      <c r="G114" s="10"/>
      <c r="H114" s="10"/>
      <c r="I114" s="7"/>
      <c r="J114" s="7"/>
      <c r="K114" s="7"/>
      <c r="L114" s="7"/>
      <c r="M114" s="7"/>
      <c r="N114" s="10"/>
    </row>
    <row r="115" spans="1:14" s="11" customFormat="1" x14ac:dyDescent="0.2">
      <c r="A115" s="8"/>
      <c r="B115" s="12"/>
      <c r="C115" s="10"/>
      <c r="D115" s="10"/>
      <c r="E115" s="10"/>
      <c r="F115" s="30"/>
      <c r="G115" s="10"/>
      <c r="H115" s="10"/>
      <c r="I115" s="7"/>
      <c r="J115" s="7"/>
      <c r="K115" s="7"/>
      <c r="L115" s="7"/>
      <c r="M115" s="7"/>
      <c r="N115" s="10"/>
    </row>
    <row r="116" spans="1:14" s="11" customFormat="1" x14ac:dyDescent="0.2">
      <c r="A116" s="8"/>
      <c r="B116" s="12"/>
      <c r="C116" s="10"/>
      <c r="D116" s="10"/>
      <c r="E116" s="10"/>
      <c r="F116" s="30"/>
      <c r="G116" s="10"/>
      <c r="H116" s="10"/>
      <c r="I116" s="7"/>
      <c r="J116" s="7"/>
      <c r="K116" s="7"/>
      <c r="L116" s="7"/>
      <c r="M116" s="7"/>
      <c r="N116" s="10"/>
    </row>
    <row r="117" spans="1:14" s="11" customFormat="1" x14ac:dyDescent="0.2">
      <c r="A117" s="8"/>
      <c r="B117" s="12"/>
      <c r="C117" s="10"/>
      <c r="D117" s="10"/>
      <c r="E117" s="10"/>
      <c r="F117" s="30"/>
      <c r="G117" s="10"/>
      <c r="H117" s="10"/>
      <c r="I117" s="7"/>
      <c r="J117" s="7"/>
      <c r="K117" s="7"/>
      <c r="L117" s="7"/>
      <c r="M117" s="7"/>
      <c r="N117" s="10"/>
    </row>
    <row r="118" spans="1:14" s="11" customFormat="1" x14ac:dyDescent="0.2">
      <c r="A118" s="8"/>
      <c r="B118" s="12"/>
      <c r="C118" s="10"/>
      <c r="D118" s="10"/>
      <c r="E118" s="10"/>
      <c r="F118" s="30"/>
      <c r="G118" s="10"/>
      <c r="H118" s="10"/>
      <c r="I118" s="7"/>
      <c r="J118" s="7"/>
      <c r="K118" s="7"/>
      <c r="L118" s="7"/>
      <c r="M118" s="7"/>
      <c r="N118" s="10"/>
    </row>
    <row r="119" spans="1:14" s="11" customFormat="1" x14ac:dyDescent="0.2">
      <c r="A119" s="8"/>
      <c r="B119" s="12"/>
      <c r="C119" s="10"/>
      <c r="D119" s="10"/>
      <c r="E119" s="10"/>
      <c r="F119" s="30"/>
      <c r="G119" s="10"/>
      <c r="H119" s="10"/>
      <c r="I119" s="7"/>
      <c r="J119" s="7"/>
      <c r="K119" s="7"/>
      <c r="L119" s="7"/>
      <c r="M119" s="7"/>
      <c r="N119" s="10"/>
    </row>
    <row r="120" spans="1:14" s="11" customFormat="1" x14ac:dyDescent="0.2">
      <c r="A120" s="8"/>
      <c r="B120" s="12"/>
      <c r="C120" s="10"/>
      <c r="D120" s="10"/>
      <c r="E120" s="10"/>
      <c r="F120" s="30"/>
      <c r="G120" s="10"/>
      <c r="H120" s="10"/>
      <c r="I120" s="7"/>
      <c r="J120" s="7"/>
      <c r="K120" s="7"/>
      <c r="L120" s="7"/>
      <c r="M120" s="7"/>
      <c r="N120" s="10"/>
    </row>
    <row r="121" spans="1:14" s="11" customFormat="1" x14ac:dyDescent="0.2">
      <c r="A121" s="8"/>
      <c r="B121" s="12"/>
      <c r="C121" s="10"/>
      <c r="D121" s="10"/>
      <c r="E121" s="10"/>
      <c r="F121" s="30"/>
      <c r="G121" s="10"/>
      <c r="H121" s="10"/>
      <c r="I121" s="7"/>
      <c r="J121" s="7"/>
      <c r="K121" s="7"/>
      <c r="L121" s="7"/>
      <c r="M121" s="7"/>
      <c r="N121" s="10"/>
    </row>
    <row r="122" spans="1:14" s="11" customFormat="1" x14ac:dyDescent="0.2">
      <c r="A122" s="8"/>
      <c r="B122" s="12"/>
      <c r="C122" s="10"/>
      <c r="D122" s="10"/>
      <c r="E122" s="10"/>
      <c r="F122" s="30"/>
      <c r="G122" s="10"/>
      <c r="H122" s="10"/>
      <c r="I122" s="7"/>
      <c r="J122" s="7"/>
      <c r="K122" s="7"/>
      <c r="L122" s="7"/>
      <c r="M122" s="7"/>
      <c r="N122" s="10"/>
    </row>
    <row r="123" spans="1:14" s="11" customFormat="1" x14ac:dyDescent="0.2">
      <c r="A123" s="8"/>
      <c r="B123" s="12"/>
      <c r="C123" s="10"/>
      <c r="D123" s="10"/>
      <c r="E123" s="10"/>
      <c r="F123" s="30"/>
      <c r="G123" s="10"/>
      <c r="H123" s="10"/>
      <c r="I123" s="7"/>
      <c r="J123" s="7"/>
      <c r="K123" s="7"/>
      <c r="L123" s="7"/>
      <c r="M123" s="7"/>
      <c r="N123" s="10"/>
    </row>
    <row r="124" spans="1:14" s="11" customFormat="1" x14ac:dyDescent="0.2">
      <c r="A124" s="8"/>
      <c r="B124" s="12"/>
      <c r="C124" s="10"/>
      <c r="D124" s="10"/>
      <c r="E124" s="10"/>
      <c r="F124" s="30"/>
      <c r="G124" s="10"/>
      <c r="H124" s="10"/>
      <c r="I124" s="7"/>
      <c r="J124" s="7"/>
      <c r="K124" s="7"/>
      <c r="L124" s="7"/>
      <c r="M124" s="7"/>
      <c r="N124" s="10"/>
    </row>
    <row r="125" spans="1:14" s="11" customFormat="1" x14ac:dyDescent="0.2">
      <c r="A125" s="8"/>
      <c r="B125" s="12"/>
      <c r="C125" s="10"/>
      <c r="D125" s="10"/>
      <c r="E125" s="10"/>
      <c r="F125" s="30"/>
      <c r="G125" s="10"/>
      <c r="H125" s="10"/>
      <c r="I125" s="7"/>
      <c r="J125" s="7"/>
      <c r="K125" s="7"/>
      <c r="L125" s="7"/>
      <c r="M125" s="7"/>
      <c r="N125" s="10"/>
    </row>
    <row r="126" spans="1:14" s="11" customFormat="1" x14ac:dyDescent="0.2">
      <c r="A126" s="8"/>
      <c r="B126" s="12"/>
      <c r="C126" s="10"/>
      <c r="D126" s="10"/>
      <c r="E126" s="10"/>
      <c r="F126" s="30"/>
      <c r="G126" s="10"/>
      <c r="H126" s="10"/>
      <c r="I126" s="7"/>
      <c r="J126" s="7"/>
      <c r="K126" s="7"/>
      <c r="L126" s="7"/>
      <c r="M126" s="7"/>
      <c r="N126" s="10"/>
    </row>
    <row r="127" spans="1:14" s="11" customFormat="1" x14ac:dyDescent="0.2">
      <c r="A127" s="8"/>
      <c r="B127" s="12"/>
      <c r="C127" s="10"/>
      <c r="D127" s="10"/>
      <c r="E127" s="10"/>
      <c r="F127" s="30"/>
      <c r="G127" s="10"/>
      <c r="H127" s="10"/>
      <c r="I127" s="7"/>
      <c r="J127" s="7"/>
      <c r="K127" s="7"/>
      <c r="L127" s="7"/>
      <c r="M127" s="7"/>
      <c r="N127" s="10"/>
    </row>
    <row r="128" spans="1:14" s="11" customFormat="1" x14ac:dyDescent="0.2">
      <c r="A128" s="8"/>
      <c r="B128" s="12"/>
      <c r="C128" s="10"/>
      <c r="D128" s="10"/>
      <c r="E128" s="10"/>
      <c r="F128" s="30"/>
      <c r="G128" s="10"/>
      <c r="H128" s="10"/>
      <c r="I128" s="7"/>
      <c r="J128" s="7"/>
      <c r="K128" s="7"/>
      <c r="L128" s="7"/>
      <c r="M128" s="7"/>
      <c r="N128" s="10"/>
    </row>
    <row r="129" spans="1:14" s="11" customFormat="1" x14ac:dyDescent="0.2">
      <c r="A129" s="8"/>
      <c r="B129" s="12"/>
      <c r="C129" s="10"/>
      <c r="D129" s="10"/>
      <c r="E129" s="10"/>
      <c r="F129" s="30"/>
      <c r="G129" s="10"/>
      <c r="H129" s="10"/>
      <c r="I129" s="7"/>
      <c r="J129" s="7"/>
      <c r="K129" s="7"/>
      <c r="L129" s="7"/>
      <c r="M129" s="7"/>
      <c r="N129" s="10"/>
    </row>
    <row r="130" spans="1:14" s="11" customFormat="1" x14ac:dyDescent="0.2">
      <c r="A130" s="8"/>
      <c r="B130" s="12"/>
      <c r="C130" s="10"/>
      <c r="D130" s="10"/>
      <c r="E130" s="10"/>
      <c r="F130" s="30"/>
      <c r="G130" s="10"/>
      <c r="H130" s="10"/>
      <c r="I130" s="7"/>
      <c r="J130" s="7"/>
      <c r="K130" s="7"/>
      <c r="L130" s="7"/>
      <c r="M130" s="7"/>
      <c r="N130" s="10"/>
    </row>
    <row r="131" spans="1:14" s="11" customFormat="1" x14ac:dyDescent="0.2">
      <c r="A131" s="8"/>
      <c r="B131" s="12"/>
      <c r="C131" s="10"/>
      <c r="D131" s="10"/>
      <c r="E131" s="10"/>
      <c r="F131" s="30"/>
      <c r="G131" s="10"/>
      <c r="H131" s="10"/>
      <c r="I131" s="7"/>
      <c r="J131" s="7"/>
      <c r="K131" s="7"/>
      <c r="L131" s="7"/>
      <c r="M131" s="7"/>
      <c r="N131" s="10"/>
    </row>
    <row r="132" spans="1:14" s="11" customFormat="1" x14ac:dyDescent="0.2">
      <c r="A132" s="8"/>
      <c r="B132" s="12"/>
      <c r="C132" s="10"/>
      <c r="D132" s="10"/>
      <c r="E132" s="10"/>
      <c r="F132" s="30"/>
      <c r="G132" s="10"/>
      <c r="H132" s="10"/>
      <c r="I132" s="7"/>
      <c r="J132" s="7"/>
      <c r="K132" s="7"/>
      <c r="L132" s="7"/>
      <c r="M132" s="7"/>
      <c r="N132" s="10"/>
    </row>
    <row r="133" spans="1:14" s="11" customFormat="1" x14ac:dyDescent="0.2">
      <c r="A133" s="8"/>
      <c r="B133" s="12"/>
      <c r="C133" s="10"/>
      <c r="D133" s="10"/>
      <c r="E133" s="10"/>
      <c r="F133" s="30"/>
      <c r="G133" s="10"/>
      <c r="H133" s="10"/>
      <c r="I133" s="7"/>
      <c r="J133" s="7"/>
      <c r="K133" s="7"/>
      <c r="L133" s="7"/>
      <c r="M133" s="7"/>
      <c r="N133" s="10"/>
    </row>
    <row r="134" spans="1:14" s="11" customFormat="1" x14ac:dyDescent="0.2">
      <c r="A134" s="8"/>
      <c r="B134" s="12"/>
      <c r="C134" s="10"/>
      <c r="D134" s="10"/>
      <c r="E134" s="10"/>
      <c r="F134" s="30"/>
      <c r="G134" s="10"/>
      <c r="H134" s="10"/>
      <c r="I134" s="7"/>
      <c r="J134" s="7"/>
      <c r="K134" s="7"/>
      <c r="L134" s="7"/>
      <c r="M134" s="7"/>
      <c r="N134" s="10"/>
    </row>
    <row r="135" spans="1:14" s="11" customFormat="1" x14ac:dyDescent="0.2">
      <c r="A135" s="8"/>
      <c r="B135" s="12"/>
      <c r="C135" s="10"/>
      <c r="D135" s="10"/>
      <c r="E135" s="10"/>
      <c r="F135" s="30"/>
      <c r="G135" s="10"/>
      <c r="H135" s="10"/>
      <c r="I135" s="7"/>
      <c r="J135" s="7"/>
      <c r="K135" s="7"/>
      <c r="L135" s="7"/>
      <c r="M135" s="7"/>
      <c r="N135" s="10"/>
    </row>
    <row r="136" spans="1:14" s="11" customFormat="1" x14ac:dyDescent="0.2">
      <c r="A136" s="8"/>
      <c r="B136" s="12"/>
      <c r="C136" s="10"/>
      <c r="D136" s="10"/>
      <c r="E136" s="10"/>
      <c r="F136" s="30"/>
      <c r="G136" s="10"/>
      <c r="H136" s="10"/>
      <c r="I136" s="7"/>
      <c r="J136" s="7"/>
      <c r="K136" s="7"/>
      <c r="L136" s="7"/>
      <c r="M136" s="7"/>
      <c r="N136" s="10"/>
    </row>
    <row r="137" spans="1:14" s="11" customFormat="1" x14ac:dyDescent="0.2">
      <c r="A137" s="8"/>
      <c r="B137" s="12"/>
      <c r="C137" s="10"/>
      <c r="D137" s="10"/>
      <c r="E137" s="10"/>
      <c r="F137" s="30"/>
      <c r="G137" s="10"/>
      <c r="H137" s="10"/>
      <c r="I137" s="7"/>
      <c r="J137" s="7"/>
      <c r="K137" s="7"/>
      <c r="L137" s="7"/>
      <c r="M137" s="7"/>
      <c r="N137" s="10"/>
    </row>
    <row r="138" spans="1:14" s="11" customFormat="1" x14ac:dyDescent="0.2">
      <c r="A138" s="8"/>
      <c r="B138" s="12"/>
      <c r="C138" s="10"/>
      <c r="D138" s="10"/>
      <c r="E138" s="10"/>
      <c r="F138" s="30"/>
      <c r="G138" s="10"/>
      <c r="H138" s="10"/>
      <c r="I138" s="7"/>
      <c r="J138" s="7"/>
      <c r="K138" s="7"/>
      <c r="L138" s="7"/>
      <c r="M138" s="7"/>
      <c r="N138" s="10"/>
    </row>
    <row r="139" spans="1:14" s="11" customFormat="1" x14ac:dyDescent="0.2">
      <c r="A139" s="8"/>
      <c r="B139" s="12"/>
      <c r="C139" s="10"/>
      <c r="D139" s="10"/>
      <c r="E139" s="10"/>
      <c r="F139" s="30"/>
      <c r="G139" s="10"/>
      <c r="H139" s="10"/>
      <c r="I139" s="7"/>
      <c r="J139" s="7"/>
      <c r="K139" s="7"/>
      <c r="L139" s="7"/>
      <c r="M139" s="7"/>
      <c r="N139" s="10"/>
    </row>
    <row r="140" spans="1:14" s="11" customFormat="1" x14ac:dyDescent="0.2">
      <c r="A140" s="8"/>
      <c r="B140" s="12"/>
      <c r="C140" s="10"/>
      <c r="D140" s="10"/>
      <c r="E140" s="10"/>
      <c r="F140" s="30"/>
      <c r="G140" s="10"/>
      <c r="H140" s="10"/>
      <c r="I140" s="7"/>
      <c r="J140" s="7"/>
      <c r="K140" s="7"/>
      <c r="L140" s="7"/>
      <c r="M140" s="7"/>
      <c r="N140" s="10"/>
    </row>
    <row r="141" spans="1:14" s="11" customFormat="1" x14ac:dyDescent="0.2">
      <c r="A141" s="8"/>
      <c r="B141" s="12"/>
      <c r="C141" s="10"/>
      <c r="D141" s="10"/>
      <c r="E141" s="10"/>
      <c r="F141" s="30"/>
      <c r="G141" s="10"/>
      <c r="H141" s="10"/>
      <c r="I141" s="7"/>
      <c r="J141" s="7"/>
      <c r="K141" s="7"/>
      <c r="L141" s="7"/>
      <c r="M141" s="7"/>
      <c r="N141" s="10"/>
    </row>
    <row r="142" spans="1:14" s="11" customFormat="1" x14ac:dyDescent="0.2">
      <c r="A142" s="8"/>
      <c r="B142" s="12"/>
      <c r="C142" s="10"/>
      <c r="D142" s="10"/>
      <c r="E142" s="10"/>
      <c r="F142" s="30"/>
      <c r="G142" s="10"/>
      <c r="H142" s="10"/>
      <c r="I142" s="7"/>
      <c r="J142" s="7"/>
      <c r="K142" s="7"/>
      <c r="L142" s="7"/>
      <c r="M142" s="7"/>
      <c r="N142" s="10"/>
    </row>
    <row r="143" spans="1:14" s="11" customFormat="1" x14ac:dyDescent="0.2">
      <c r="A143" s="8"/>
      <c r="B143" s="12"/>
      <c r="C143" s="10"/>
      <c r="D143" s="10"/>
      <c r="E143" s="10"/>
      <c r="F143" s="30"/>
      <c r="G143" s="10"/>
      <c r="H143" s="10"/>
      <c r="I143" s="7"/>
      <c r="J143" s="7"/>
      <c r="K143" s="7"/>
      <c r="L143" s="7"/>
      <c r="M143" s="7"/>
      <c r="N143" s="10"/>
    </row>
    <row r="144" spans="1:14" s="11" customFormat="1" x14ac:dyDescent="0.2">
      <c r="A144" s="8"/>
      <c r="B144" s="12"/>
      <c r="C144" s="10"/>
      <c r="D144" s="10"/>
      <c r="E144" s="10"/>
      <c r="F144" s="30"/>
      <c r="G144" s="10"/>
      <c r="H144" s="10"/>
      <c r="I144" s="7"/>
      <c r="J144" s="7"/>
      <c r="K144" s="7"/>
      <c r="L144" s="7"/>
      <c r="M144" s="7"/>
      <c r="N144" s="10"/>
    </row>
    <row r="145" spans="1:14" s="11" customFormat="1" x14ac:dyDescent="0.2">
      <c r="A145" s="8"/>
      <c r="B145" s="12"/>
      <c r="C145" s="10"/>
      <c r="D145" s="10"/>
      <c r="E145" s="10"/>
      <c r="F145" s="30"/>
      <c r="G145" s="10"/>
      <c r="H145" s="10"/>
      <c r="I145" s="7"/>
      <c r="J145" s="7"/>
      <c r="K145" s="7"/>
      <c r="L145" s="7"/>
      <c r="M145" s="7"/>
      <c r="N145" s="10"/>
    </row>
    <row r="146" spans="1:14" s="11" customFormat="1" x14ac:dyDescent="0.2">
      <c r="A146" s="8"/>
      <c r="B146" s="12"/>
      <c r="C146" s="10"/>
      <c r="D146" s="10"/>
      <c r="E146" s="10"/>
      <c r="F146" s="30"/>
      <c r="G146" s="10"/>
      <c r="H146" s="10"/>
      <c r="I146" s="7"/>
      <c r="J146" s="7"/>
      <c r="K146" s="7"/>
      <c r="L146" s="7"/>
      <c r="M146" s="7"/>
      <c r="N146" s="10"/>
    </row>
    <row r="147" spans="1:14" s="11" customFormat="1" x14ac:dyDescent="0.2">
      <c r="A147" s="8"/>
      <c r="B147" s="12"/>
      <c r="C147" s="10"/>
      <c r="D147" s="10"/>
      <c r="E147" s="10"/>
      <c r="F147" s="30"/>
      <c r="G147" s="10"/>
      <c r="H147" s="10"/>
      <c r="I147" s="7"/>
      <c r="J147" s="7"/>
      <c r="K147" s="7"/>
      <c r="L147" s="7"/>
      <c r="M147" s="7"/>
      <c r="N147" s="10"/>
    </row>
    <row r="148" spans="1:14" s="11" customFormat="1" x14ac:dyDescent="0.2">
      <c r="A148" s="8"/>
      <c r="B148" s="12"/>
      <c r="C148" s="10"/>
      <c r="D148" s="10"/>
      <c r="E148" s="10"/>
      <c r="F148" s="30"/>
      <c r="G148" s="10"/>
      <c r="H148" s="10"/>
      <c r="I148" s="7"/>
      <c r="J148" s="7"/>
      <c r="K148" s="7"/>
      <c r="L148" s="7"/>
      <c r="M148" s="7"/>
      <c r="N148" s="10"/>
    </row>
    <row r="149" spans="1:14" s="11" customFormat="1" x14ac:dyDescent="0.2">
      <c r="A149" s="8"/>
      <c r="B149" s="12"/>
      <c r="C149" s="10"/>
      <c r="D149" s="10"/>
      <c r="E149" s="10"/>
      <c r="F149" s="30"/>
      <c r="G149" s="10"/>
      <c r="H149" s="10"/>
      <c r="I149" s="7"/>
      <c r="J149" s="7"/>
      <c r="K149" s="7"/>
      <c r="L149" s="7"/>
      <c r="M149" s="7"/>
      <c r="N149" s="10"/>
    </row>
    <row r="150" spans="1:14" s="11" customFormat="1" x14ac:dyDescent="0.2">
      <c r="A150" s="8"/>
      <c r="B150" s="12"/>
      <c r="C150" s="10"/>
      <c r="D150" s="10"/>
      <c r="E150" s="10"/>
      <c r="F150" s="30"/>
      <c r="G150" s="10"/>
      <c r="H150" s="10"/>
      <c r="I150" s="7"/>
      <c r="J150" s="7"/>
      <c r="K150" s="7"/>
      <c r="L150" s="7"/>
      <c r="M150" s="7"/>
      <c r="N150" s="10"/>
    </row>
    <row r="151" spans="1:14" s="11" customFormat="1" x14ac:dyDescent="0.2">
      <c r="A151" s="8"/>
      <c r="B151" s="12"/>
      <c r="C151" s="10"/>
      <c r="D151" s="10"/>
      <c r="E151" s="10"/>
      <c r="F151" s="30"/>
      <c r="G151" s="10"/>
      <c r="H151" s="10"/>
      <c r="I151" s="7"/>
      <c r="J151" s="7"/>
      <c r="K151" s="7"/>
      <c r="L151" s="7"/>
      <c r="M151" s="7"/>
      <c r="N151" s="10"/>
    </row>
    <row r="152" spans="1:14" s="11" customFormat="1" x14ac:dyDescent="0.2">
      <c r="A152" s="8"/>
      <c r="B152" s="12"/>
      <c r="C152" s="10"/>
      <c r="D152" s="10"/>
      <c r="E152" s="10"/>
      <c r="F152" s="30"/>
      <c r="G152" s="10"/>
      <c r="H152" s="10"/>
      <c r="I152" s="7"/>
      <c r="J152" s="7"/>
      <c r="K152" s="7"/>
      <c r="L152" s="7"/>
      <c r="M152" s="7"/>
      <c r="N152" s="10"/>
    </row>
    <row r="153" spans="1:14" s="11" customFormat="1" x14ac:dyDescent="0.2">
      <c r="A153" s="8"/>
      <c r="B153" s="12"/>
      <c r="C153" s="10"/>
      <c r="D153" s="10"/>
      <c r="E153" s="10"/>
      <c r="F153" s="30"/>
      <c r="G153" s="10"/>
      <c r="H153" s="10"/>
      <c r="I153" s="7"/>
      <c r="J153" s="7"/>
      <c r="K153" s="7"/>
      <c r="L153" s="7"/>
      <c r="M153" s="7"/>
      <c r="N153" s="10"/>
    </row>
    <row r="154" spans="1:14" s="11" customFormat="1" x14ac:dyDescent="0.2">
      <c r="A154" s="8"/>
      <c r="B154" s="12"/>
      <c r="C154" s="10"/>
      <c r="D154" s="10"/>
      <c r="E154" s="10"/>
      <c r="F154" s="30"/>
      <c r="G154" s="10"/>
      <c r="H154" s="10"/>
      <c r="I154" s="7"/>
      <c r="J154" s="7"/>
      <c r="K154" s="7"/>
      <c r="L154" s="7"/>
      <c r="M154" s="7"/>
      <c r="N154" s="10"/>
    </row>
    <row r="155" spans="1:14" s="11" customFormat="1" x14ac:dyDescent="0.2">
      <c r="A155" s="8"/>
      <c r="B155" s="12"/>
      <c r="C155" s="10"/>
      <c r="D155" s="10"/>
      <c r="E155" s="10"/>
      <c r="F155" s="30"/>
      <c r="G155" s="10"/>
      <c r="H155" s="10"/>
      <c r="I155" s="7"/>
      <c r="J155" s="7"/>
      <c r="K155" s="7"/>
      <c r="L155" s="7"/>
      <c r="M155" s="7"/>
      <c r="N155" s="10"/>
    </row>
    <row r="156" spans="1:14" s="11" customFormat="1" x14ac:dyDescent="0.2">
      <c r="A156" s="8"/>
      <c r="B156" s="12"/>
      <c r="C156" s="10"/>
      <c r="D156" s="10"/>
      <c r="E156" s="10"/>
      <c r="F156" s="30"/>
      <c r="G156" s="10"/>
      <c r="H156" s="10"/>
      <c r="I156" s="7"/>
      <c r="J156" s="7"/>
      <c r="K156" s="7"/>
      <c r="L156" s="7"/>
      <c r="M156" s="7"/>
      <c r="N156" s="10"/>
    </row>
    <row r="157" spans="1:14" s="11" customFormat="1" x14ac:dyDescent="0.2">
      <c r="A157" s="8"/>
      <c r="B157" s="12"/>
      <c r="C157" s="10"/>
      <c r="D157" s="10"/>
      <c r="E157" s="10"/>
      <c r="F157" s="30"/>
      <c r="G157" s="10"/>
      <c r="H157" s="10"/>
      <c r="I157" s="7"/>
      <c r="J157" s="7"/>
      <c r="K157" s="7"/>
      <c r="L157" s="7"/>
      <c r="M157" s="7"/>
      <c r="N157" s="10"/>
    </row>
    <row r="158" spans="1:14" s="11" customFormat="1" x14ac:dyDescent="0.2">
      <c r="A158" s="8"/>
      <c r="B158" s="12"/>
      <c r="C158" s="10"/>
      <c r="D158" s="10"/>
      <c r="E158" s="10"/>
      <c r="F158" s="30"/>
      <c r="G158" s="10"/>
      <c r="H158" s="10"/>
      <c r="I158" s="7"/>
      <c r="J158" s="7"/>
      <c r="K158" s="7"/>
      <c r="L158" s="7"/>
      <c r="M158" s="7"/>
      <c r="N158" s="10"/>
    </row>
    <row r="159" spans="1:14" s="11" customFormat="1" x14ac:dyDescent="0.2">
      <c r="A159" s="8"/>
      <c r="B159" s="12"/>
      <c r="C159" s="10"/>
      <c r="D159" s="10"/>
      <c r="E159" s="10"/>
      <c r="F159" s="30"/>
      <c r="G159" s="10"/>
      <c r="H159" s="10"/>
      <c r="I159" s="7"/>
      <c r="J159" s="7"/>
      <c r="K159" s="7"/>
      <c r="L159" s="7"/>
      <c r="M159" s="7"/>
      <c r="N159" s="10"/>
    </row>
    <row r="160" spans="1:14" s="11" customFormat="1" x14ac:dyDescent="0.2">
      <c r="A160" s="8"/>
      <c r="B160" s="12"/>
      <c r="C160" s="10"/>
      <c r="D160" s="10"/>
      <c r="E160" s="10"/>
      <c r="F160" s="30"/>
      <c r="G160" s="10"/>
      <c r="H160" s="10"/>
      <c r="I160" s="7"/>
      <c r="J160" s="7"/>
      <c r="K160" s="7"/>
      <c r="L160" s="7"/>
      <c r="M160" s="7"/>
      <c r="N160" s="10"/>
    </row>
    <row r="161" spans="1:14" s="11" customFormat="1" x14ac:dyDescent="0.2">
      <c r="A161" s="8"/>
      <c r="B161" s="12"/>
      <c r="C161" s="10"/>
      <c r="D161" s="10"/>
      <c r="E161" s="10"/>
      <c r="F161" s="30"/>
      <c r="G161" s="10"/>
      <c r="H161" s="10"/>
      <c r="I161" s="7"/>
      <c r="J161" s="7"/>
      <c r="K161" s="7"/>
      <c r="L161" s="7"/>
      <c r="M161" s="7"/>
      <c r="N161" s="10"/>
    </row>
    <row r="162" spans="1:14" s="11" customFormat="1" x14ac:dyDescent="0.2">
      <c r="A162" s="8"/>
      <c r="B162" s="12"/>
      <c r="C162" s="10"/>
      <c r="D162" s="10"/>
      <c r="E162" s="10"/>
      <c r="F162" s="30"/>
      <c r="G162" s="10"/>
      <c r="H162" s="10"/>
      <c r="I162" s="7"/>
      <c r="J162" s="7"/>
      <c r="K162" s="7"/>
      <c r="L162" s="7"/>
      <c r="M162" s="7"/>
      <c r="N162" s="10"/>
    </row>
    <row r="163" spans="1:14" s="11" customFormat="1" x14ac:dyDescent="0.2">
      <c r="A163" s="8"/>
      <c r="B163" s="12"/>
      <c r="C163" s="10"/>
      <c r="D163" s="10"/>
      <c r="E163" s="10"/>
      <c r="F163" s="30"/>
      <c r="G163" s="10"/>
      <c r="H163" s="10"/>
      <c r="I163" s="7"/>
      <c r="J163" s="7"/>
      <c r="K163" s="7"/>
      <c r="L163" s="7"/>
      <c r="M163" s="7"/>
      <c r="N163" s="10"/>
    </row>
    <row r="164" spans="1:14" s="11" customFormat="1" x14ac:dyDescent="0.2">
      <c r="A164" s="8"/>
      <c r="B164" s="12"/>
      <c r="C164" s="10"/>
      <c r="D164" s="10"/>
      <c r="E164" s="10"/>
      <c r="F164" s="30"/>
      <c r="G164" s="10"/>
      <c r="H164" s="10"/>
      <c r="I164" s="7"/>
      <c r="J164" s="7"/>
      <c r="K164" s="7"/>
      <c r="L164" s="7"/>
      <c r="M164" s="7"/>
      <c r="N164" s="10"/>
    </row>
    <row r="165" spans="1:14" s="11" customFormat="1" x14ac:dyDescent="0.2">
      <c r="A165" s="8"/>
      <c r="B165" s="12"/>
      <c r="C165" s="10"/>
      <c r="D165" s="10"/>
      <c r="E165" s="10"/>
      <c r="F165" s="30"/>
      <c r="G165" s="10"/>
      <c r="H165" s="10"/>
      <c r="I165" s="7"/>
      <c r="J165" s="7"/>
      <c r="K165" s="7"/>
      <c r="L165" s="7"/>
      <c r="M165" s="7"/>
      <c r="N165" s="10"/>
    </row>
    <row r="166" spans="1:14" s="11" customFormat="1" x14ac:dyDescent="0.2">
      <c r="A166" s="8"/>
      <c r="B166" s="12"/>
      <c r="C166" s="10"/>
      <c r="D166" s="10"/>
      <c r="E166" s="10"/>
      <c r="F166" s="30"/>
      <c r="G166" s="10"/>
      <c r="H166" s="10"/>
      <c r="I166" s="7"/>
      <c r="J166" s="7"/>
      <c r="K166" s="7"/>
      <c r="L166" s="7"/>
      <c r="M166" s="7"/>
      <c r="N166" s="10"/>
    </row>
    <row r="167" spans="1:14" s="11" customFormat="1" x14ac:dyDescent="0.2">
      <c r="A167" s="8"/>
      <c r="B167" s="12"/>
      <c r="C167" s="10"/>
      <c r="D167" s="10"/>
      <c r="E167" s="10"/>
      <c r="F167" s="30"/>
      <c r="G167" s="10"/>
      <c r="H167" s="10"/>
      <c r="I167" s="7"/>
      <c r="J167" s="7"/>
      <c r="K167" s="7"/>
      <c r="L167" s="7"/>
      <c r="M167" s="7"/>
      <c r="N167" s="10"/>
    </row>
    <row r="168" spans="1:14" s="11" customFormat="1" x14ac:dyDescent="0.2">
      <c r="A168" s="8"/>
      <c r="B168" s="12"/>
      <c r="C168" s="10"/>
      <c r="D168" s="10"/>
      <c r="E168" s="10"/>
      <c r="F168" s="30"/>
      <c r="G168" s="10"/>
      <c r="H168" s="10"/>
      <c r="I168" s="7"/>
      <c r="J168" s="7"/>
      <c r="K168" s="7"/>
      <c r="L168" s="7"/>
      <c r="M168" s="7"/>
      <c r="N168" s="10"/>
    </row>
    <row r="169" spans="1:14" s="11" customFormat="1" x14ac:dyDescent="0.2">
      <c r="A169" s="8"/>
      <c r="B169" s="12"/>
      <c r="C169" s="10"/>
      <c r="D169" s="10"/>
      <c r="E169" s="10"/>
      <c r="F169" s="30"/>
      <c r="G169" s="10"/>
      <c r="H169" s="10"/>
      <c r="I169" s="7"/>
      <c r="J169" s="7"/>
      <c r="K169" s="7"/>
      <c r="L169" s="7"/>
      <c r="M169" s="7"/>
      <c r="N169" s="10"/>
    </row>
    <row r="170" spans="1:14" s="11" customFormat="1" x14ac:dyDescent="0.2">
      <c r="A170" s="8"/>
      <c r="B170" s="12"/>
      <c r="C170" s="10"/>
      <c r="D170" s="10"/>
      <c r="E170" s="10"/>
      <c r="F170" s="30"/>
      <c r="G170" s="10"/>
      <c r="H170" s="10"/>
      <c r="I170" s="7"/>
      <c r="J170" s="7"/>
      <c r="K170" s="7"/>
      <c r="L170" s="7"/>
      <c r="M170" s="7"/>
      <c r="N170" s="10"/>
    </row>
    <row r="171" spans="1:14" s="11" customFormat="1" x14ac:dyDescent="0.2">
      <c r="A171" s="8"/>
      <c r="B171" s="12"/>
      <c r="C171" s="10"/>
      <c r="D171" s="10"/>
      <c r="E171" s="10"/>
      <c r="F171" s="30"/>
      <c r="G171" s="10"/>
      <c r="H171" s="10"/>
      <c r="I171" s="7"/>
      <c r="J171" s="7"/>
      <c r="K171" s="7"/>
      <c r="L171" s="7"/>
      <c r="M171" s="7"/>
      <c r="N171" s="10"/>
    </row>
    <row r="172" spans="1:14" s="11" customFormat="1" x14ac:dyDescent="0.2">
      <c r="A172" s="8"/>
      <c r="B172" s="12"/>
      <c r="C172" s="10"/>
      <c r="D172" s="10"/>
      <c r="E172" s="10"/>
      <c r="F172" s="30"/>
      <c r="G172" s="10"/>
      <c r="H172" s="10"/>
      <c r="I172" s="7"/>
      <c r="J172" s="7"/>
      <c r="K172" s="7"/>
      <c r="L172" s="7"/>
      <c r="M172" s="7"/>
      <c r="N172" s="10"/>
    </row>
    <row r="173" spans="1:14" s="11" customFormat="1" x14ac:dyDescent="0.2">
      <c r="A173" s="8"/>
      <c r="B173" s="12"/>
      <c r="C173" s="10"/>
      <c r="D173" s="10"/>
      <c r="E173" s="10"/>
      <c r="F173" s="30"/>
      <c r="G173" s="10"/>
      <c r="H173" s="10"/>
      <c r="I173" s="7"/>
      <c r="J173" s="7"/>
      <c r="K173" s="7"/>
      <c r="L173" s="7"/>
      <c r="M173" s="7"/>
      <c r="N173" s="10"/>
    </row>
    <row r="174" spans="1:14" s="11" customFormat="1" x14ac:dyDescent="0.2">
      <c r="A174" s="8"/>
      <c r="B174" s="12"/>
      <c r="C174" s="10"/>
      <c r="D174" s="10"/>
      <c r="E174" s="10"/>
      <c r="F174" s="30"/>
      <c r="G174" s="10"/>
      <c r="H174" s="10"/>
      <c r="I174" s="7"/>
      <c r="J174" s="7"/>
      <c r="K174" s="7"/>
      <c r="L174" s="7"/>
      <c r="M174" s="7"/>
      <c r="N174" s="10"/>
    </row>
    <row r="175" spans="1:14" s="11" customFormat="1" x14ac:dyDescent="0.2">
      <c r="A175" s="8"/>
      <c r="B175" s="12"/>
      <c r="C175" s="10"/>
      <c r="D175" s="10"/>
      <c r="E175" s="10"/>
      <c r="F175" s="30"/>
      <c r="G175" s="10"/>
      <c r="H175" s="10"/>
      <c r="I175" s="7"/>
      <c r="J175" s="7"/>
      <c r="K175" s="7"/>
      <c r="L175" s="7"/>
      <c r="M175" s="7"/>
      <c r="N175" s="10"/>
    </row>
    <row r="176" spans="1:14" s="11" customFormat="1" x14ac:dyDescent="0.2">
      <c r="A176" s="8"/>
      <c r="B176" s="12"/>
      <c r="C176" s="10"/>
      <c r="D176" s="10"/>
      <c r="E176" s="10"/>
      <c r="F176" s="30"/>
      <c r="G176" s="10"/>
      <c r="H176" s="10"/>
      <c r="I176" s="7"/>
      <c r="J176" s="7"/>
      <c r="K176" s="7"/>
      <c r="L176" s="7"/>
      <c r="M176" s="7"/>
      <c r="N176" s="10"/>
    </row>
    <row r="177" spans="1:14" s="11" customFormat="1" x14ac:dyDescent="0.2">
      <c r="A177" s="8"/>
      <c r="B177" s="12"/>
      <c r="C177" s="10"/>
      <c r="D177" s="10"/>
      <c r="E177" s="10"/>
      <c r="F177" s="30"/>
      <c r="G177" s="10"/>
      <c r="H177" s="10"/>
      <c r="I177" s="7"/>
      <c r="J177" s="7"/>
      <c r="K177" s="7"/>
      <c r="L177" s="7"/>
      <c r="M177" s="7"/>
      <c r="N177" s="10"/>
    </row>
    <row r="178" spans="1:14" s="11" customFormat="1" x14ac:dyDescent="0.2">
      <c r="A178" s="8"/>
      <c r="B178" s="12"/>
      <c r="C178" s="10"/>
      <c r="D178" s="10"/>
      <c r="E178" s="10"/>
      <c r="F178" s="30"/>
      <c r="G178" s="10"/>
      <c r="H178" s="10"/>
      <c r="I178" s="7"/>
      <c r="J178" s="7"/>
      <c r="K178" s="7"/>
      <c r="L178" s="7"/>
      <c r="M178" s="7"/>
      <c r="N178" s="10"/>
    </row>
    <row r="179" spans="1:14" s="11" customFormat="1" x14ac:dyDescent="0.2">
      <c r="A179" s="8"/>
      <c r="B179" s="12"/>
      <c r="C179" s="10"/>
      <c r="D179" s="10"/>
      <c r="E179" s="10"/>
      <c r="F179" s="30"/>
      <c r="G179" s="10"/>
      <c r="H179" s="10"/>
      <c r="I179" s="7"/>
      <c r="J179" s="7"/>
      <c r="K179" s="7"/>
      <c r="L179" s="7"/>
      <c r="M179" s="7"/>
      <c r="N179" s="10"/>
    </row>
    <row r="180" spans="1:14" s="11" customFormat="1" x14ac:dyDescent="0.2">
      <c r="A180" s="8"/>
      <c r="B180" s="12"/>
      <c r="C180" s="10"/>
      <c r="D180" s="10"/>
      <c r="E180" s="10"/>
      <c r="F180" s="30"/>
      <c r="G180" s="10"/>
      <c r="H180" s="10"/>
      <c r="I180" s="7"/>
      <c r="J180" s="7"/>
      <c r="K180" s="7"/>
      <c r="L180" s="7"/>
      <c r="M180" s="7"/>
      <c r="N180" s="10"/>
    </row>
    <row r="181" spans="1:14" s="11" customFormat="1" x14ac:dyDescent="0.2">
      <c r="A181" s="8"/>
      <c r="B181" s="12"/>
      <c r="C181" s="10"/>
      <c r="D181" s="10"/>
      <c r="E181" s="10"/>
      <c r="F181" s="30"/>
      <c r="G181" s="10"/>
      <c r="H181" s="10"/>
      <c r="I181" s="7"/>
      <c r="J181" s="7"/>
      <c r="K181" s="7"/>
      <c r="L181" s="7"/>
      <c r="M181" s="7"/>
      <c r="N181" s="10"/>
    </row>
    <row r="182" spans="1:14" s="11" customFormat="1" x14ac:dyDescent="0.2">
      <c r="A182" s="8"/>
      <c r="B182" s="12"/>
      <c r="C182" s="10"/>
      <c r="D182" s="10"/>
      <c r="E182" s="10"/>
      <c r="F182" s="30"/>
      <c r="G182" s="10"/>
      <c r="H182" s="10"/>
      <c r="I182" s="7"/>
      <c r="J182" s="7"/>
      <c r="K182" s="7"/>
      <c r="L182" s="7"/>
      <c r="M182" s="7"/>
      <c r="N182" s="10"/>
    </row>
    <row r="183" spans="1:14" s="11" customFormat="1" x14ac:dyDescent="0.2">
      <c r="A183" s="8"/>
      <c r="B183" s="12"/>
      <c r="C183" s="10"/>
      <c r="D183" s="10"/>
      <c r="E183" s="10"/>
      <c r="F183" s="30"/>
      <c r="G183" s="10"/>
      <c r="H183" s="10"/>
      <c r="I183" s="7"/>
      <c r="J183" s="7"/>
      <c r="K183" s="7"/>
      <c r="L183" s="7"/>
      <c r="M183" s="7"/>
      <c r="N183" s="10"/>
    </row>
    <row r="184" spans="1:14" s="11" customFormat="1" x14ac:dyDescent="0.2">
      <c r="A184" s="8"/>
      <c r="B184" s="12"/>
      <c r="C184" s="10"/>
      <c r="D184" s="10"/>
      <c r="E184" s="10"/>
      <c r="F184" s="30"/>
      <c r="G184" s="10"/>
      <c r="H184" s="10"/>
      <c r="I184" s="7"/>
      <c r="J184" s="7"/>
      <c r="K184" s="7"/>
      <c r="L184" s="7"/>
      <c r="M184" s="7"/>
      <c r="N184" s="10"/>
    </row>
    <row r="185" spans="1:14" s="11" customFormat="1" x14ac:dyDescent="0.2">
      <c r="A185" s="8"/>
      <c r="B185" s="12"/>
      <c r="C185" s="10"/>
      <c r="D185" s="10"/>
      <c r="E185" s="10"/>
      <c r="F185" s="30"/>
      <c r="G185" s="10"/>
      <c r="H185" s="10"/>
      <c r="I185" s="7"/>
      <c r="J185" s="7"/>
      <c r="K185" s="7"/>
      <c r="L185" s="7"/>
      <c r="M185" s="7"/>
      <c r="N185" s="10"/>
    </row>
    <row r="186" spans="1:14" s="11" customFormat="1" x14ac:dyDescent="0.2">
      <c r="A186" s="8"/>
      <c r="B186" s="12"/>
      <c r="C186" s="10"/>
      <c r="D186" s="10"/>
      <c r="E186" s="10"/>
      <c r="F186" s="30"/>
      <c r="G186" s="10"/>
      <c r="H186" s="10"/>
      <c r="I186" s="7"/>
      <c r="J186" s="7"/>
      <c r="K186" s="7"/>
      <c r="L186" s="7"/>
      <c r="M186" s="7"/>
      <c r="N186" s="10"/>
    </row>
    <row r="187" spans="1:14" s="11" customFormat="1" x14ac:dyDescent="0.2">
      <c r="A187" s="8"/>
      <c r="B187" s="12"/>
      <c r="C187" s="10"/>
      <c r="D187" s="10"/>
      <c r="E187" s="10"/>
      <c r="F187" s="30"/>
      <c r="G187" s="10"/>
      <c r="H187" s="10"/>
      <c r="I187" s="7"/>
      <c r="J187" s="7"/>
      <c r="K187" s="7"/>
      <c r="L187" s="7"/>
      <c r="M187" s="7"/>
      <c r="N187" s="10"/>
    </row>
    <row r="188" spans="1:14" s="11" customFormat="1" x14ac:dyDescent="0.2">
      <c r="A188" s="8"/>
      <c r="B188" s="12"/>
      <c r="C188" s="10"/>
      <c r="D188" s="10"/>
      <c r="E188" s="10"/>
      <c r="F188" s="30"/>
      <c r="G188" s="10"/>
      <c r="H188" s="10"/>
      <c r="I188" s="7"/>
      <c r="J188" s="7"/>
      <c r="K188" s="7"/>
      <c r="L188" s="7"/>
      <c r="M188" s="7"/>
      <c r="N188" s="10"/>
    </row>
    <row r="189" spans="1:14" s="11" customFormat="1" x14ac:dyDescent="0.2">
      <c r="A189" s="8"/>
      <c r="B189" s="12"/>
      <c r="C189" s="10"/>
      <c r="D189" s="10"/>
      <c r="E189" s="10"/>
      <c r="F189" s="30"/>
      <c r="G189" s="10"/>
      <c r="H189" s="10"/>
      <c r="I189" s="7"/>
      <c r="J189" s="7"/>
      <c r="K189" s="7"/>
      <c r="L189" s="7"/>
      <c r="M189" s="7"/>
      <c r="N189" s="10"/>
    </row>
    <row r="190" spans="1:14" s="11" customFormat="1" x14ac:dyDescent="0.2">
      <c r="A190" s="8"/>
      <c r="B190" s="12"/>
      <c r="C190" s="10"/>
      <c r="D190" s="10"/>
      <c r="E190" s="10"/>
      <c r="F190" s="30"/>
      <c r="G190" s="10"/>
      <c r="H190" s="10"/>
      <c r="I190" s="7"/>
      <c r="J190" s="7"/>
      <c r="K190" s="7"/>
      <c r="L190" s="7"/>
      <c r="M190" s="7"/>
      <c r="N190" s="10"/>
    </row>
  </sheetData>
  <hyperlinks>
    <hyperlink ref="F7" location="EN_A0001" display="EN_A0001"/>
    <hyperlink ref="F12" location="EN_A0002" display="EN_A0002"/>
    <hyperlink ref="F8" location="EL_01001" display="EL_01001"/>
    <hyperlink ref="F13" location="EN_02001" display="EN_02001"/>
    <hyperlink ref="F14" location="EN_02002" display="EN_02002"/>
    <hyperlink ref="F9" location="EN_01002" display="EN_01002"/>
    <hyperlink ref="F10" location="EN_01003" display="EN_01003"/>
    <hyperlink ref="F11" location="EN_01004" display="EN_01004"/>
    <hyperlink ref="F15" location="EN_02003" display="EN_02003"/>
    <hyperlink ref="F16" location="EN_A0003" display="EN_A0003"/>
    <hyperlink ref="F21" location="EN_A0004" display="EN_A0004"/>
    <hyperlink ref="F27" location="EN_A0005" display="EN_A0005"/>
    <hyperlink ref="F17" location="EN_03001" display="EN_03001"/>
    <hyperlink ref="F18" location="EN_03002" display="EN_03002"/>
    <hyperlink ref="F19" location="EN_03003" display="EN_03003"/>
    <hyperlink ref="F20" location="EN_03003" display="EN_03003"/>
    <hyperlink ref="F22" location="'EN Parts'!B292" display="'EN Parts'!B292"/>
    <hyperlink ref="F23" location="'EN Parts'!B314" display="'EN Parts'!B314"/>
    <hyperlink ref="F24" location="'EN Parts'!B334" display="'EN Parts'!B334"/>
    <hyperlink ref="F25" location="'EN Parts'!B359" display="'EN Parts'!B359"/>
    <hyperlink ref="F26" location="'EN Parts'!B379" display="'EN Parts'!B379"/>
    <hyperlink ref="F28" location="EN_05001" display="EN_05001"/>
    <hyperlink ref="F29" location="EN_05002" display="EN_05002"/>
    <hyperlink ref="F30" location="EN_05003" display="EN_05003"/>
    <hyperlink ref="F31" location="EN_05004" display="EN_05004"/>
    <hyperlink ref="F32" location="EN_05005" display="EN_05005"/>
    <hyperlink ref="F33" location="EN_05006" display="EN_05006"/>
    <hyperlink ref="F34" location="EN_A0006" display="EN_A0006"/>
    <hyperlink ref="F35" location="EN_06001" display="EN_06001"/>
    <hyperlink ref="F36" location="EN_06002" display="EN_06002"/>
    <hyperlink ref="F37" location="EN_06003" display="EN_06003"/>
    <hyperlink ref="F38" location="EN_06004" display="EN_06004"/>
    <hyperlink ref="F39" location="EN_06005" display="EN_06005"/>
    <hyperlink ref="F40" location="EN_06006" display="EN_06006"/>
    <hyperlink ref="F41" location="EN_06007" display="EN_06007"/>
    <hyperlink ref="F42" location="EN_06008" display="EN_06008"/>
    <hyperlink ref="F43" location="EN_06009" display="EN_06009"/>
    <hyperlink ref="F44" location="EN_06010" display="EN_06010"/>
    <hyperlink ref="F45" location="EN_06011" display="EN_06011"/>
    <hyperlink ref="F46" location="EN_06012" display="EN_06012"/>
    <hyperlink ref="F47" location="EN_06013" display="EN_06013"/>
    <hyperlink ref="F49" location="FR_A0006" display="FR_A0006"/>
    <hyperlink ref="F50" location="FR_06001" display="FR_06001"/>
    <hyperlink ref="F51" location="FR_06002" display="FR_06002"/>
    <hyperlink ref="F52" location="FR_06003" display="FR_06003"/>
    <hyperlink ref="F53" location="FR_06004" display="FR_06004"/>
    <hyperlink ref="F54" location="FR_06005" display="FR_06005"/>
    <hyperlink ref="F55" location="FR_06006" display="FR_06006"/>
  </hyperlinks>
  <pageMargins left="0.41" right="0.22" top="0.72" bottom="0.57999999999999996" header="0.5" footer="0.26"/>
  <pageSetup scale="55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362"/>
  <sheetViews>
    <sheetView topLeftCell="A76" zoomScale="80" zoomScaleNormal="80" zoomScaleSheetLayoutView="50" workbookViewId="0">
      <selection activeCell="K34" sqref="K34"/>
    </sheetView>
  </sheetViews>
  <sheetFormatPr baseColWidth="10" defaultColWidth="9.140625" defaultRowHeight="15" x14ac:dyDescent="0.25"/>
  <cols>
    <col min="1" max="1" width="11.42578125"/>
    <col min="2" max="2" width="32.140625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66"/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8"/>
    </row>
    <row r="2" spans="1:15" x14ac:dyDescent="0.25">
      <c r="A2" s="712" t="s">
        <v>0</v>
      </c>
      <c r="B2" s="410" t="s">
        <v>47</v>
      </c>
      <c r="C2" s="651"/>
      <c r="D2" s="651"/>
      <c r="E2" s="651"/>
      <c r="F2" s="651"/>
      <c r="G2" s="651"/>
      <c r="H2" s="651"/>
      <c r="I2" s="651"/>
      <c r="J2" s="863" t="s">
        <v>2</v>
      </c>
      <c r="K2" s="412">
        <v>81</v>
      </c>
      <c r="L2" s="651"/>
      <c r="M2" s="863" t="s">
        <v>3</v>
      </c>
      <c r="N2" s="171">
        <f>EN_A0001_f+EN_A0001_m+EN_A0001_p+E14</f>
        <v>247.69402306775737</v>
      </c>
      <c r="O2" s="669"/>
    </row>
    <row r="3" spans="1:15" x14ac:dyDescent="0.25">
      <c r="A3" s="712" t="s">
        <v>4</v>
      </c>
      <c r="B3" s="410" t="s">
        <v>81</v>
      </c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863" t="s">
        <v>5</v>
      </c>
      <c r="N3" s="414">
        <v>1</v>
      </c>
      <c r="O3" s="669"/>
    </row>
    <row r="4" spans="1:15" x14ac:dyDescent="0.25">
      <c r="A4" s="712" t="s">
        <v>6</v>
      </c>
      <c r="B4" s="415" t="s">
        <v>117</v>
      </c>
      <c r="C4" s="651"/>
      <c r="D4" s="651"/>
      <c r="E4" s="651"/>
      <c r="F4" s="651"/>
      <c r="G4" s="651"/>
      <c r="H4" s="651"/>
      <c r="I4" s="651"/>
      <c r="J4" s="867" t="s">
        <v>7</v>
      </c>
      <c r="K4" s="651"/>
      <c r="L4" s="651"/>
      <c r="M4" s="651"/>
      <c r="N4" s="651"/>
      <c r="O4" s="669"/>
    </row>
    <row r="5" spans="1:15" x14ac:dyDescent="0.25">
      <c r="A5" s="712" t="s">
        <v>8</v>
      </c>
      <c r="B5" s="416" t="s">
        <v>80</v>
      </c>
      <c r="C5" s="651"/>
      <c r="D5" s="651"/>
      <c r="E5" s="651"/>
      <c r="F5" s="651"/>
      <c r="G5" s="651"/>
      <c r="H5" s="651"/>
      <c r="I5" s="651"/>
      <c r="J5" s="867" t="s">
        <v>9</v>
      </c>
      <c r="K5" s="651"/>
      <c r="L5" s="651"/>
      <c r="M5" s="863" t="s">
        <v>10</v>
      </c>
      <c r="N5" s="652">
        <f>N2*N3</f>
        <v>247.69402306775737</v>
      </c>
      <c r="O5" s="669"/>
    </row>
    <row r="6" spans="1:15" x14ac:dyDescent="0.25">
      <c r="A6" s="712" t="s">
        <v>11</v>
      </c>
      <c r="B6" s="182" t="s">
        <v>12</v>
      </c>
      <c r="C6" s="651"/>
      <c r="D6" s="651"/>
      <c r="E6" s="651"/>
      <c r="F6" s="651"/>
      <c r="G6" s="651"/>
      <c r="H6" s="651"/>
      <c r="I6" s="651"/>
      <c r="J6" s="867" t="s">
        <v>13</v>
      </c>
      <c r="K6" s="651"/>
      <c r="L6" s="651"/>
      <c r="M6" s="651"/>
      <c r="N6" s="651"/>
      <c r="O6" s="669"/>
    </row>
    <row r="7" spans="1:15" x14ac:dyDescent="0.25">
      <c r="A7" s="712" t="s">
        <v>14</v>
      </c>
      <c r="B7" s="410" t="s">
        <v>118</v>
      </c>
      <c r="C7" s="651"/>
      <c r="D7" s="651"/>
      <c r="E7" s="651"/>
      <c r="F7" s="651"/>
      <c r="G7" s="651"/>
      <c r="H7" s="651"/>
      <c r="I7" s="651"/>
      <c r="J7" s="651"/>
      <c r="K7" s="651"/>
      <c r="L7" s="651"/>
      <c r="M7" s="651"/>
      <c r="N7" s="651"/>
      <c r="O7" s="669"/>
    </row>
    <row r="8" spans="1:15" x14ac:dyDescent="0.25">
      <c r="A8" s="567"/>
      <c r="B8" s="651"/>
      <c r="C8" s="651"/>
      <c r="D8" s="651"/>
      <c r="E8" s="651"/>
      <c r="F8" s="651"/>
      <c r="G8" s="651"/>
      <c r="H8" s="651"/>
      <c r="I8" s="651"/>
      <c r="J8" s="651"/>
      <c r="K8" s="651"/>
      <c r="L8" s="651"/>
      <c r="M8" s="651"/>
      <c r="N8" s="651"/>
      <c r="O8" s="669"/>
    </row>
    <row r="9" spans="1:15" x14ac:dyDescent="0.25">
      <c r="A9" s="712" t="s">
        <v>15</v>
      </c>
      <c r="B9" s="863" t="s">
        <v>16</v>
      </c>
      <c r="C9" s="863" t="s">
        <v>17</v>
      </c>
      <c r="D9" s="863" t="s">
        <v>18</v>
      </c>
      <c r="E9" s="863" t="s">
        <v>19</v>
      </c>
      <c r="F9" s="651"/>
      <c r="G9" s="651"/>
      <c r="H9" s="651"/>
      <c r="I9" s="651"/>
      <c r="J9" s="651"/>
      <c r="K9" s="651"/>
      <c r="L9" s="651"/>
      <c r="M9" s="651"/>
      <c r="N9" s="651"/>
      <c r="O9" s="669"/>
    </row>
    <row r="10" spans="1:15" x14ac:dyDescent="0.25">
      <c r="A10" s="183">
        <v>10</v>
      </c>
      <c r="B10" s="172" t="s">
        <v>119</v>
      </c>
      <c r="C10" s="652">
        <f>EN_01001_f+EN_01001_m+EN_01001_p</f>
        <v>125.31212934775738</v>
      </c>
      <c r="D10" s="414">
        <v>1</v>
      </c>
      <c r="E10" s="652">
        <f>C10*D10</f>
        <v>125.31212934775738</v>
      </c>
      <c r="F10" s="651"/>
      <c r="G10" s="651"/>
      <c r="H10" s="651"/>
      <c r="I10" s="651"/>
      <c r="J10" s="651"/>
      <c r="K10" s="651"/>
      <c r="L10" s="651"/>
      <c r="M10" s="651"/>
      <c r="N10" s="651"/>
      <c r="O10" s="669"/>
    </row>
    <row r="11" spans="1:15" x14ac:dyDescent="0.25">
      <c r="A11" s="183">
        <v>20</v>
      </c>
      <c r="B11" s="186" t="s">
        <v>120</v>
      </c>
      <c r="C11" s="652">
        <f>EN_01002_m+EN_01002_p</f>
        <v>10.729011119999999</v>
      </c>
      <c r="D11" s="414">
        <v>2</v>
      </c>
      <c r="E11" s="652">
        <f>C11*D11</f>
        <v>21.458022239999998</v>
      </c>
      <c r="F11" s="415"/>
      <c r="G11" s="415"/>
      <c r="H11" s="415"/>
      <c r="I11" s="415"/>
      <c r="J11" s="415"/>
      <c r="K11" s="415"/>
      <c r="L11" s="415"/>
      <c r="M11" s="415"/>
      <c r="N11" s="415"/>
      <c r="O11" s="669"/>
    </row>
    <row r="12" spans="1:15" x14ac:dyDescent="0.25">
      <c r="A12" s="183">
        <v>30</v>
      </c>
      <c r="B12" s="172" t="s">
        <v>121</v>
      </c>
      <c r="C12" s="652">
        <f>EN_01003_m+EN_01003_p</f>
        <v>1.883575295</v>
      </c>
      <c r="D12" s="414">
        <v>4</v>
      </c>
      <c r="E12" s="652">
        <f>C12*D12</f>
        <v>7.5343011799999999</v>
      </c>
      <c r="F12" s="415"/>
      <c r="G12" s="415"/>
      <c r="H12" s="415"/>
      <c r="I12" s="415"/>
      <c r="J12" s="415"/>
      <c r="K12" s="415"/>
      <c r="L12" s="415"/>
      <c r="M12" s="415"/>
      <c r="N12" s="415"/>
      <c r="O12" s="184"/>
    </row>
    <row r="13" spans="1:15" x14ac:dyDescent="0.25">
      <c r="A13" s="183">
        <v>40</v>
      </c>
      <c r="B13" s="172" t="s">
        <v>122</v>
      </c>
      <c r="C13" s="652">
        <f>+EN_01004_m+EN_01004_p</f>
        <v>0.92447507499999992</v>
      </c>
      <c r="D13" s="414">
        <v>4</v>
      </c>
      <c r="E13" s="652">
        <f>C13*D13</f>
        <v>3.6979002999999997</v>
      </c>
      <c r="F13" s="415"/>
      <c r="G13" s="415"/>
      <c r="H13" s="415"/>
      <c r="I13" s="415"/>
      <c r="J13" s="415"/>
      <c r="K13" s="415"/>
      <c r="L13" s="415"/>
      <c r="M13" s="415"/>
      <c r="N13" s="415"/>
      <c r="O13" s="184"/>
    </row>
    <row r="14" spans="1:15" x14ac:dyDescent="0.25">
      <c r="A14" s="567"/>
      <c r="B14" s="651"/>
      <c r="C14" s="651"/>
      <c r="D14" s="864" t="s">
        <v>19</v>
      </c>
      <c r="E14" s="111">
        <f>SUM(E10:E13)</f>
        <v>158.00235306775735</v>
      </c>
      <c r="F14" s="415"/>
      <c r="G14" s="415"/>
      <c r="H14" s="415"/>
      <c r="I14" s="415"/>
      <c r="J14" s="415"/>
      <c r="K14" s="415"/>
      <c r="L14" s="415"/>
      <c r="M14" s="415"/>
      <c r="N14" s="415"/>
      <c r="O14" s="669"/>
    </row>
    <row r="15" spans="1:15" x14ac:dyDescent="0.25">
      <c r="A15" s="567"/>
      <c r="B15" s="651"/>
      <c r="C15" s="651"/>
      <c r="D15" s="651"/>
      <c r="E15" s="651"/>
      <c r="F15" s="651"/>
      <c r="G15" s="651"/>
      <c r="H15" s="651"/>
      <c r="I15" s="651"/>
      <c r="J15" s="651"/>
      <c r="K15" s="651"/>
      <c r="L15" s="651"/>
      <c r="M15" s="651"/>
      <c r="N15" s="651"/>
      <c r="O15" s="669"/>
    </row>
    <row r="16" spans="1:15" x14ac:dyDescent="0.25">
      <c r="A16" s="851" t="s">
        <v>15</v>
      </c>
      <c r="B16" s="860" t="s">
        <v>20</v>
      </c>
      <c r="C16" s="860" t="s">
        <v>21</v>
      </c>
      <c r="D16" s="860" t="s">
        <v>22</v>
      </c>
      <c r="E16" s="860" t="s">
        <v>23</v>
      </c>
      <c r="F16" s="860" t="s">
        <v>24</v>
      </c>
      <c r="G16" s="860" t="s">
        <v>25</v>
      </c>
      <c r="H16" s="860" t="s">
        <v>26</v>
      </c>
      <c r="I16" s="860" t="s">
        <v>27</v>
      </c>
      <c r="J16" s="860" t="s">
        <v>28</v>
      </c>
      <c r="K16" s="860" t="s">
        <v>29</v>
      </c>
      <c r="L16" s="860" t="s">
        <v>30</v>
      </c>
      <c r="M16" s="860" t="s">
        <v>18</v>
      </c>
      <c r="N16" s="860" t="s">
        <v>19</v>
      </c>
      <c r="O16" s="669"/>
    </row>
    <row r="17" spans="1:15" x14ac:dyDescent="0.25">
      <c r="A17" s="178">
        <v>10</v>
      </c>
      <c r="B17" s="289" t="s">
        <v>123</v>
      </c>
      <c r="C17" s="729" t="s">
        <v>124</v>
      </c>
      <c r="D17" s="743">
        <v>40.25</v>
      </c>
      <c r="E17" s="729">
        <v>90</v>
      </c>
      <c r="F17" s="729" t="s">
        <v>31</v>
      </c>
      <c r="G17" s="729">
        <v>20</v>
      </c>
      <c r="H17" s="757" t="s">
        <v>31</v>
      </c>
      <c r="I17" s="758"/>
      <c r="J17" s="759"/>
      <c r="K17" s="757"/>
      <c r="L17" s="757"/>
      <c r="M17" s="729">
        <v>1</v>
      </c>
      <c r="N17" s="760">
        <v>40.25</v>
      </c>
      <c r="O17" s="669"/>
    </row>
    <row r="18" spans="1:15" x14ac:dyDescent="0.25">
      <c r="A18" s="178">
        <v>20</v>
      </c>
      <c r="B18" s="728" t="s">
        <v>123</v>
      </c>
      <c r="C18" s="729" t="s">
        <v>125</v>
      </c>
      <c r="D18" s="743">
        <v>38.18</v>
      </c>
      <c r="E18" s="729">
        <v>90</v>
      </c>
      <c r="F18" s="729" t="s">
        <v>31</v>
      </c>
      <c r="G18" s="729">
        <v>18</v>
      </c>
      <c r="H18" s="757" t="s">
        <v>31</v>
      </c>
      <c r="I18" s="758"/>
      <c r="J18" s="759"/>
      <c r="K18" s="757"/>
      <c r="L18" s="757"/>
      <c r="M18" s="729">
        <v>1</v>
      </c>
      <c r="N18" s="760">
        <v>38.18</v>
      </c>
      <c r="O18" s="185"/>
    </row>
    <row r="19" spans="1:15" x14ac:dyDescent="0.25">
      <c r="A19" s="178">
        <v>30</v>
      </c>
      <c r="B19" s="729" t="s">
        <v>126</v>
      </c>
      <c r="C19" s="729" t="s">
        <v>127</v>
      </c>
      <c r="D19" s="743">
        <v>0.75</v>
      </c>
      <c r="E19" s="729">
        <v>0.06</v>
      </c>
      <c r="F19" s="729" t="s">
        <v>128</v>
      </c>
      <c r="G19" s="729"/>
      <c r="H19" s="757"/>
      <c r="I19" s="761"/>
      <c r="J19" s="759"/>
      <c r="K19" s="757"/>
      <c r="L19" s="762"/>
      <c r="M19" s="729">
        <v>0.06</v>
      </c>
      <c r="N19" s="760">
        <v>4.4999999999999998E-2</v>
      </c>
      <c r="O19" s="669"/>
    </row>
    <row r="20" spans="1:15" x14ac:dyDescent="0.25">
      <c r="A20" s="179">
        <v>40</v>
      </c>
      <c r="B20" s="741" t="s">
        <v>129</v>
      </c>
      <c r="C20" s="741"/>
      <c r="D20" s="743">
        <v>10</v>
      </c>
      <c r="E20" s="741">
        <v>5.0000000000000001E-3</v>
      </c>
      <c r="F20" s="741" t="s">
        <v>130</v>
      </c>
      <c r="G20" s="741"/>
      <c r="H20" s="741"/>
      <c r="I20" s="741"/>
      <c r="J20" s="741"/>
      <c r="K20" s="741"/>
      <c r="L20" s="763"/>
      <c r="M20" s="764">
        <v>1</v>
      </c>
      <c r="N20" s="765">
        <v>0.08</v>
      </c>
      <c r="O20" s="669"/>
    </row>
    <row r="21" spans="1:15" x14ac:dyDescent="0.25">
      <c r="A21" s="180">
        <v>50</v>
      </c>
      <c r="B21" s="173" t="s">
        <v>131</v>
      </c>
      <c r="C21" s="174"/>
      <c r="D21" s="175">
        <v>110</v>
      </c>
      <c r="E21" s="173">
        <v>1</v>
      </c>
      <c r="F21" s="173" t="s">
        <v>36</v>
      </c>
      <c r="G21" s="173"/>
      <c r="H21" s="176"/>
      <c r="I21" s="176"/>
      <c r="J21" s="176"/>
      <c r="K21" s="176"/>
      <c r="L21" s="177"/>
      <c r="M21" s="766">
        <v>1</v>
      </c>
      <c r="N21" s="765">
        <v>110</v>
      </c>
      <c r="O21" s="669"/>
    </row>
    <row r="22" spans="1:15" x14ac:dyDescent="0.25">
      <c r="A22" s="312"/>
      <c r="B22" s="421"/>
      <c r="C22" s="421"/>
      <c r="D22" s="421"/>
      <c r="E22" s="421"/>
      <c r="F22" s="421"/>
      <c r="G22" s="421"/>
      <c r="H22" s="421"/>
      <c r="I22" s="421"/>
      <c r="J22" s="421"/>
      <c r="K22" s="421"/>
      <c r="L22" s="421"/>
      <c r="M22" s="861" t="s">
        <v>19</v>
      </c>
      <c r="N22" s="862">
        <v>78.475000000000009</v>
      </c>
      <c r="O22" s="669"/>
    </row>
    <row r="23" spans="1:15" x14ac:dyDescent="0.25">
      <c r="A23" s="567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69"/>
    </row>
    <row r="24" spans="1:15" x14ac:dyDescent="0.25">
      <c r="A24" s="712" t="s">
        <v>15</v>
      </c>
      <c r="B24" s="863" t="s">
        <v>32</v>
      </c>
      <c r="C24" s="863" t="s">
        <v>21</v>
      </c>
      <c r="D24" s="863" t="s">
        <v>22</v>
      </c>
      <c r="E24" s="863" t="s">
        <v>33</v>
      </c>
      <c r="F24" s="863" t="s">
        <v>18</v>
      </c>
      <c r="G24" s="863" t="s">
        <v>34</v>
      </c>
      <c r="H24" s="863" t="s">
        <v>35</v>
      </c>
      <c r="I24" s="863" t="s">
        <v>19</v>
      </c>
      <c r="J24" s="421"/>
      <c r="K24" s="421"/>
      <c r="L24" s="421"/>
      <c r="M24" s="421"/>
      <c r="N24" s="421"/>
      <c r="O24" s="670"/>
    </row>
    <row r="25" spans="1:15" x14ac:dyDescent="0.25">
      <c r="A25" s="674">
        <v>10</v>
      </c>
      <c r="B25" s="741" t="s">
        <v>132</v>
      </c>
      <c r="C25" s="741" t="s">
        <v>133</v>
      </c>
      <c r="D25" s="730">
        <v>0.15</v>
      </c>
      <c r="E25" s="732" t="s">
        <v>53</v>
      </c>
      <c r="F25" s="731">
        <v>15.8</v>
      </c>
      <c r="G25" s="742"/>
      <c r="H25" s="742"/>
      <c r="I25" s="743">
        <v>2.37</v>
      </c>
      <c r="J25" s="651"/>
      <c r="K25" s="651"/>
      <c r="L25" s="651"/>
      <c r="M25" s="651"/>
      <c r="N25" s="651"/>
      <c r="O25" s="669"/>
    </row>
    <row r="26" spans="1:15" x14ac:dyDescent="0.25">
      <c r="A26" s="674">
        <v>20</v>
      </c>
      <c r="B26" s="767" t="s">
        <v>134</v>
      </c>
      <c r="C26" s="768" t="s">
        <v>135</v>
      </c>
      <c r="D26" s="730">
        <v>5.25</v>
      </c>
      <c r="E26" s="732" t="s">
        <v>136</v>
      </c>
      <c r="F26" s="744">
        <v>5.0799999999999994E-3</v>
      </c>
      <c r="G26" s="742"/>
      <c r="H26" s="742"/>
      <c r="I26" s="743">
        <v>2.6669999999999996E-2</v>
      </c>
      <c r="J26" s="651"/>
      <c r="K26" s="651"/>
      <c r="L26" s="651"/>
      <c r="M26" s="651"/>
      <c r="N26" s="651"/>
      <c r="O26" s="669"/>
    </row>
    <row r="27" spans="1:15" x14ac:dyDescent="0.25">
      <c r="A27" s="674">
        <v>30</v>
      </c>
      <c r="B27" s="711" t="s">
        <v>137</v>
      </c>
      <c r="C27" s="769" t="s">
        <v>138</v>
      </c>
      <c r="D27" s="730">
        <v>0.56000000000000005</v>
      </c>
      <c r="E27" s="732" t="s">
        <v>36</v>
      </c>
      <c r="F27" s="731">
        <v>2</v>
      </c>
      <c r="G27" s="742"/>
      <c r="H27" s="742"/>
      <c r="I27" s="743">
        <v>1.1200000000000001</v>
      </c>
      <c r="J27" s="651"/>
      <c r="K27" s="651"/>
      <c r="L27" s="651"/>
      <c r="M27" s="651"/>
      <c r="N27" s="651"/>
      <c r="O27" s="669"/>
    </row>
    <row r="28" spans="1:15" ht="30" x14ac:dyDescent="0.25">
      <c r="A28" s="674">
        <v>40</v>
      </c>
      <c r="B28" s="767" t="s">
        <v>139</v>
      </c>
      <c r="C28" s="768" t="s">
        <v>140</v>
      </c>
      <c r="D28" s="730">
        <v>0.19</v>
      </c>
      <c r="E28" s="732" t="s">
        <v>36</v>
      </c>
      <c r="F28" s="731">
        <v>2</v>
      </c>
      <c r="G28" s="742"/>
      <c r="H28" s="742"/>
      <c r="I28" s="743">
        <v>0.38</v>
      </c>
      <c r="J28" s="415"/>
      <c r="K28" s="415"/>
      <c r="L28" s="415"/>
      <c r="M28" s="415"/>
      <c r="N28" s="415"/>
      <c r="O28" s="311"/>
    </row>
    <row r="29" spans="1:15" ht="30" x14ac:dyDescent="0.25">
      <c r="A29" s="674">
        <v>50</v>
      </c>
      <c r="B29" s="711" t="s">
        <v>141</v>
      </c>
      <c r="C29" s="768" t="s">
        <v>142</v>
      </c>
      <c r="D29" s="730">
        <v>0.38</v>
      </c>
      <c r="E29" s="732" t="s">
        <v>36</v>
      </c>
      <c r="F29" s="731">
        <v>2</v>
      </c>
      <c r="G29" s="742"/>
      <c r="H29" s="742"/>
      <c r="I29" s="743">
        <v>0.76</v>
      </c>
      <c r="J29" s="415"/>
      <c r="K29" s="415"/>
      <c r="L29" s="415"/>
      <c r="M29" s="415"/>
      <c r="N29" s="415"/>
      <c r="O29" s="670"/>
    </row>
    <row r="30" spans="1:15" x14ac:dyDescent="0.25">
      <c r="A30" s="674">
        <v>60</v>
      </c>
      <c r="B30" s="767" t="s">
        <v>143</v>
      </c>
      <c r="C30" s="768" t="s">
        <v>144</v>
      </c>
      <c r="D30" s="730">
        <v>0.75</v>
      </c>
      <c r="E30" s="732" t="s">
        <v>36</v>
      </c>
      <c r="F30" s="731">
        <v>2</v>
      </c>
      <c r="G30" s="742"/>
      <c r="H30" s="742"/>
      <c r="I30" s="743">
        <v>1.5</v>
      </c>
      <c r="J30" s="415"/>
      <c r="K30" s="415"/>
      <c r="L30" s="415"/>
      <c r="M30" s="415"/>
      <c r="N30" s="415"/>
      <c r="O30" s="311"/>
    </row>
    <row r="31" spans="1:15" x14ac:dyDescent="0.25">
      <c r="A31" s="674">
        <v>70</v>
      </c>
      <c r="B31" s="767" t="s">
        <v>145</v>
      </c>
      <c r="C31" s="768" t="s">
        <v>144</v>
      </c>
      <c r="D31" s="730">
        <v>0.25</v>
      </c>
      <c r="E31" s="732" t="s">
        <v>36</v>
      </c>
      <c r="F31" s="731">
        <v>2</v>
      </c>
      <c r="G31" s="742"/>
      <c r="H31" s="742"/>
      <c r="I31" s="743">
        <v>0.5</v>
      </c>
      <c r="J31" s="651"/>
      <c r="K31" s="651"/>
      <c r="L31" s="651"/>
      <c r="M31" s="651"/>
      <c r="N31" s="651"/>
      <c r="O31" s="669"/>
    </row>
    <row r="32" spans="1:15" x14ac:dyDescent="0.25">
      <c r="A32" s="674">
        <v>80</v>
      </c>
      <c r="B32" s="767" t="s">
        <v>146</v>
      </c>
      <c r="C32" s="768" t="s">
        <v>147</v>
      </c>
      <c r="D32" s="730">
        <v>0.06</v>
      </c>
      <c r="E32" s="732" t="s">
        <v>36</v>
      </c>
      <c r="F32" s="731">
        <v>4</v>
      </c>
      <c r="G32" s="742"/>
      <c r="H32" s="742"/>
      <c r="I32" s="743">
        <v>0.24</v>
      </c>
      <c r="J32" s="651"/>
      <c r="K32" s="651"/>
      <c r="L32" s="651"/>
      <c r="M32" s="651"/>
      <c r="N32" s="651"/>
      <c r="O32" s="669"/>
    </row>
    <row r="33" spans="1:15" ht="30" x14ac:dyDescent="0.25">
      <c r="A33" s="674">
        <v>90</v>
      </c>
      <c r="B33" s="767" t="s">
        <v>148</v>
      </c>
      <c r="C33" s="768" t="s">
        <v>149</v>
      </c>
      <c r="D33" s="730">
        <v>0.5</v>
      </c>
      <c r="E33" s="732" t="s">
        <v>36</v>
      </c>
      <c r="F33" s="731">
        <v>4</v>
      </c>
      <c r="G33" s="742"/>
      <c r="H33" s="742"/>
      <c r="I33" s="743">
        <v>2</v>
      </c>
      <c r="J33" s="651"/>
      <c r="K33" s="651"/>
      <c r="L33" s="651"/>
      <c r="M33" s="651"/>
      <c r="N33" s="651"/>
      <c r="O33" s="669"/>
    </row>
    <row r="34" spans="1:15" ht="30" x14ac:dyDescent="0.25">
      <c r="A34" s="674">
        <v>100</v>
      </c>
      <c r="B34" s="767" t="s">
        <v>150</v>
      </c>
      <c r="C34" s="768" t="s">
        <v>149</v>
      </c>
      <c r="D34" s="725">
        <v>0.25</v>
      </c>
      <c r="E34" s="770" t="s">
        <v>36</v>
      </c>
      <c r="F34" s="771">
        <v>4</v>
      </c>
      <c r="G34" s="772"/>
      <c r="H34" s="772"/>
      <c r="I34" s="773">
        <v>1</v>
      </c>
      <c r="J34" s="651"/>
      <c r="K34" s="651"/>
      <c r="L34" s="651"/>
      <c r="M34" s="651"/>
      <c r="N34" s="651"/>
      <c r="O34" s="669"/>
    </row>
    <row r="35" spans="1:15" x14ac:dyDescent="0.25">
      <c r="A35" s="567"/>
      <c r="B35" s="651"/>
      <c r="C35" s="651"/>
      <c r="D35" s="651"/>
      <c r="E35" s="651"/>
      <c r="F35" s="651"/>
      <c r="G35" s="651"/>
      <c r="H35" s="864" t="s">
        <v>19</v>
      </c>
      <c r="I35" s="865">
        <v>9.8966700000000003</v>
      </c>
      <c r="J35" s="651"/>
      <c r="K35" s="651"/>
      <c r="L35" s="651"/>
      <c r="M35" s="651"/>
      <c r="N35" s="651"/>
      <c r="O35" s="669"/>
    </row>
    <row r="36" spans="1:15" x14ac:dyDescent="0.25">
      <c r="A36" s="567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69"/>
    </row>
    <row r="37" spans="1:15" x14ac:dyDescent="0.25">
      <c r="A37" s="712" t="s">
        <v>15</v>
      </c>
      <c r="B37" s="863" t="s">
        <v>37</v>
      </c>
      <c r="C37" s="863" t="s">
        <v>21</v>
      </c>
      <c r="D37" s="863" t="s">
        <v>22</v>
      </c>
      <c r="E37" s="863" t="s">
        <v>23</v>
      </c>
      <c r="F37" s="863" t="s">
        <v>24</v>
      </c>
      <c r="G37" s="863" t="s">
        <v>25</v>
      </c>
      <c r="H37" s="863" t="s">
        <v>26</v>
      </c>
      <c r="I37" s="863" t="s">
        <v>18</v>
      </c>
      <c r="J37" s="863" t="s">
        <v>19</v>
      </c>
      <c r="K37" s="651"/>
      <c r="L37" s="651"/>
      <c r="M37" s="651"/>
      <c r="N37" s="651"/>
      <c r="O37" s="669"/>
    </row>
    <row r="38" spans="1:15" x14ac:dyDescent="0.25">
      <c r="A38" s="674">
        <v>10</v>
      </c>
      <c r="B38" s="728" t="s">
        <v>151</v>
      </c>
      <c r="C38" s="745" t="s">
        <v>152</v>
      </c>
      <c r="D38" s="746">
        <v>0.19</v>
      </c>
      <c r="E38" s="731">
        <v>8</v>
      </c>
      <c r="F38" s="747" t="s">
        <v>31</v>
      </c>
      <c r="G38" s="731">
        <v>45</v>
      </c>
      <c r="H38" s="748" t="s">
        <v>31</v>
      </c>
      <c r="I38" s="749">
        <v>2</v>
      </c>
      <c r="J38" s="730">
        <v>0.38</v>
      </c>
      <c r="K38" s="651"/>
      <c r="L38" s="651"/>
      <c r="M38" s="651"/>
      <c r="N38" s="651"/>
      <c r="O38" s="669"/>
    </row>
    <row r="39" spans="1:15" x14ac:dyDescent="0.25">
      <c r="A39" s="674">
        <v>20</v>
      </c>
      <c r="B39" s="728" t="s">
        <v>151</v>
      </c>
      <c r="C39" s="745" t="s">
        <v>152</v>
      </c>
      <c r="D39" s="746">
        <v>0.19</v>
      </c>
      <c r="E39" s="731">
        <v>8</v>
      </c>
      <c r="F39" s="747" t="s">
        <v>31</v>
      </c>
      <c r="G39" s="731">
        <v>45</v>
      </c>
      <c r="H39" s="748" t="s">
        <v>31</v>
      </c>
      <c r="I39" s="749">
        <v>2</v>
      </c>
      <c r="J39" s="730">
        <v>0.38</v>
      </c>
      <c r="K39" s="651"/>
      <c r="L39" s="651"/>
      <c r="M39" s="651"/>
      <c r="N39" s="651"/>
      <c r="O39" s="669"/>
    </row>
    <row r="40" spans="1:15" x14ac:dyDescent="0.25">
      <c r="A40" s="674">
        <v>30</v>
      </c>
      <c r="B40" s="750" t="s">
        <v>39</v>
      </c>
      <c r="C40" s="745" t="s">
        <v>152</v>
      </c>
      <c r="D40" s="746">
        <v>0.04</v>
      </c>
      <c r="E40" s="731">
        <v>8</v>
      </c>
      <c r="F40" s="747" t="s">
        <v>31</v>
      </c>
      <c r="G40" s="731"/>
      <c r="H40" s="748"/>
      <c r="I40" s="749">
        <v>2</v>
      </c>
      <c r="J40" s="730">
        <v>0.08</v>
      </c>
      <c r="K40" s="651"/>
      <c r="L40" s="651"/>
      <c r="M40" s="651"/>
      <c r="N40" s="651"/>
      <c r="O40" s="669"/>
    </row>
    <row r="41" spans="1:15" ht="30" x14ac:dyDescent="0.25">
      <c r="A41" s="674">
        <v>40</v>
      </c>
      <c r="B41" s="728" t="s">
        <v>151</v>
      </c>
      <c r="C41" s="745" t="s">
        <v>153</v>
      </c>
      <c r="D41" s="746">
        <v>0.08</v>
      </c>
      <c r="E41" s="731">
        <v>6</v>
      </c>
      <c r="F41" s="747" t="s">
        <v>31</v>
      </c>
      <c r="G41" s="731">
        <v>35</v>
      </c>
      <c r="H41" s="748" t="s">
        <v>31</v>
      </c>
      <c r="I41" s="749">
        <v>4</v>
      </c>
      <c r="J41" s="730">
        <v>0.32</v>
      </c>
      <c r="K41" s="651"/>
      <c r="L41" s="651"/>
      <c r="M41" s="651"/>
      <c r="N41" s="651"/>
      <c r="O41" s="669"/>
    </row>
    <row r="42" spans="1:15" ht="30" x14ac:dyDescent="0.25">
      <c r="A42" s="674">
        <v>50</v>
      </c>
      <c r="B42" s="750" t="s">
        <v>39</v>
      </c>
      <c r="C42" s="745" t="s">
        <v>153</v>
      </c>
      <c r="D42" s="746">
        <v>0.03</v>
      </c>
      <c r="E42" s="731">
        <v>6</v>
      </c>
      <c r="F42" s="747" t="s">
        <v>31</v>
      </c>
      <c r="G42" s="731"/>
      <c r="H42" s="748"/>
      <c r="I42" s="749">
        <v>4</v>
      </c>
      <c r="J42" s="730">
        <v>0.12</v>
      </c>
      <c r="K42" s="651"/>
      <c r="L42" s="651"/>
      <c r="M42" s="651"/>
      <c r="N42" s="651"/>
      <c r="O42" s="669"/>
    </row>
    <row r="43" spans="1:15" x14ac:dyDescent="0.25">
      <c r="A43" s="674">
        <v>60</v>
      </c>
      <c r="B43" s="750" t="s">
        <v>38</v>
      </c>
      <c r="C43" s="751" t="s">
        <v>152</v>
      </c>
      <c r="D43" s="746">
        <v>0.01</v>
      </c>
      <c r="E43" s="731"/>
      <c r="F43" s="747" t="s">
        <v>36</v>
      </c>
      <c r="G43" s="731"/>
      <c r="H43" s="748"/>
      <c r="I43" s="749">
        <v>4</v>
      </c>
      <c r="J43" s="730">
        <v>0.04</v>
      </c>
      <c r="K43" s="651"/>
      <c r="L43" s="651"/>
      <c r="M43" s="651"/>
      <c r="N43" s="651"/>
      <c r="O43" s="669"/>
    </row>
    <row r="44" spans="1:15" x14ac:dyDescent="0.25">
      <c r="A44" s="312"/>
      <c r="B44" s="421"/>
      <c r="C44" s="421"/>
      <c r="D44" s="421"/>
      <c r="E44" s="421"/>
      <c r="F44" s="421"/>
      <c r="G44" s="421"/>
      <c r="H44" s="421"/>
      <c r="I44" s="864" t="s">
        <v>19</v>
      </c>
      <c r="J44" s="865">
        <v>1.3199999999999998</v>
      </c>
      <c r="K44" s="651"/>
      <c r="L44" s="651"/>
      <c r="M44" s="651"/>
      <c r="N44" s="651"/>
      <c r="O44" s="669"/>
    </row>
    <row r="45" spans="1:15" x14ac:dyDescent="0.25">
      <c r="A45" s="567"/>
      <c r="B45" s="651"/>
      <c r="C45" s="651"/>
      <c r="D45" s="651"/>
      <c r="E45" s="651"/>
      <c r="F45" s="651"/>
      <c r="G45" s="651"/>
      <c r="H45" s="651"/>
      <c r="I45" s="651"/>
      <c r="J45" s="651"/>
      <c r="K45" s="651"/>
      <c r="L45" s="651"/>
      <c r="M45" s="651"/>
      <c r="N45" s="651"/>
      <c r="O45" s="669"/>
    </row>
    <row r="46" spans="1:15" ht="30" x14ac:dyDescent="0.25">
      <c r="A46" s="856" t="s">
        <v>15</v>
      </c>
      <c r="B46" s="810" t="s">
        <v>41</v>
      </c>
      <c r="C46" s="810" t="s">
        <v>21</v>
      </c>
      <c r="D46" s="810" t="s">
        <v>22</v>
      </c>
      <c r="E46" s="810" t="s">
        <v>33</v>
      </c>
      <c r="F46" s="810" t="s">
        <v>18</v>
      </c>
      <c r="G46" s="810" t="s">
        <v>42</v>
      </c>
      <c r="H46" s="810" t="s">
        <v>43</v>
      </c>
      <c r="I46" s="857" t="s">
        <v>19</v>
      </c>
      <c r="J46" s="651"/>
      <c r="K46" s="651"/>
      <c r="L46" s="651"/>
      <c r="M46" s="651"/>
      <c r="N46" s="651"/>
      <c r="O46" s="669"/>
    </row>
    <row r="47" spans="1:15" x14ac:dyDescent="0.25">
      <c r="A47" s="727">
        <v>10</v>
      </c>
      <c r="B47" s="726" t="s">
        <v>44</v>
      </c>
      <c r="C47" s="726" t="s">
        <v>327</v>
      </c>
      <c r="D47" s="725">
        <v>500</v>
      </c>
      <c r="E47" s="724" t="s">
        <v>46</v>
      </c>
      <c r="F47" s="723">
        <v>8</v>
      </c>
      <c r="G47" s="723">
        <v>3000</v>
      </c>
      <c r="H47" s="723">
        <v>1</v>
      </c>
      <c r="I47" s="722">
        <f>D47*F47/G47*H47</f>
        <v>1.3333333333333333</v>
      </c>
      <c r="J47" s="46"/>
      <c r="K47" s="46"/>
      <c r="L47" s="46"/>
      <c r="M47" s="46"/>
      <c r="N47" s="46"/>
      <c r="O47" s="752"/>
    </row>
    <row r="48" spans="1:15" x14ac:dyDescent="0.25">
      <c r="A48" s="721"/>
      <c r="B48" s="720"/>
      <c r="C48" s="720"/>
      <c r="D48" s="720"/>
      <c r="E48" s="720"/>
      <c r="F48" s="720"/>
      <c r="G48" s="720"/>
      <c r="H48" s="858" t="s">
        <v>19</v>
      </c>
      <c r="I48" s="859">
        <f>SUM(I47:I47)</f>
        <v>1.3333333333333333</v>
      </c>
      <c r="J48" s="46"/>
      <c r="K48" s="46"/>
      <c r="L48" s="46"/>
      <c r="M48" s="46"/>
      <c r="N48" s="46"/>
      <c r="O48" s="752"/>
    </row>
    <row r="49" spans="1:15" x14ac:dyDescent="0.25">
      <c r="A49" s="753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752"/>
    </row>
    <row r="50" spans="1:15" x14ac:dyDescent="0.25">
      <c r="A50" s="753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752"/>
    </row>
    <row r="51" spans="1:15" x14ac:dyDescent="0.25">
      <c r="A51" s="753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752"/>
    </row>
    <row r="52" spans="1:15" x14ac:dyDescent="0.25">
      <c r="A52" s="753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752"/>
    </row>
    <row r="53" spans="1:15" x14ac:dyDescent="0.25">
      <c r="A53" s="753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752"/>
    </row>
    <row r="54" spans="1:15" x14ac:dyDescent="0.25">
      <c r="A54" s="753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752"/>
    </row>
    <row r="55" spans="1:15" x14ac:dyDescent="0.25">
      <c r="A55" s="7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752"/>
    </row>
    <row r="56" spans="1:15" x14ac:dyDescent="0.25">
      <c r="A56" s="753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752"/>
    </row>
    <row r="57" spans="1:15" x14ac:dyDescent="0.25">
      <c r="A57" s="753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752"/>
    </row>
    <row r="58" spans="1:15" x14ac:dyDescent="0.25">
      <c r="A58" s="753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752"/>
    </row>
    <row r="59" spans="1:15" x14ac:dyDescent="0.25">
      <c r="A59" s="753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752"/>
    </row>
    <row r="60" spans="1:15" x14ac:dyDescent="0.25">
      <c r="A60" s="753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752"/>
    </row>
    <row r="61" spans="1:15" x14ac:dyDescent="0.25">
      <c r="A61" s="753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752"/>
    </row>
    <row r="62" spans="1:15" x14ac:dyDescent="0.25">
      <c r="A62" s="753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752"/>
    </row>
    <row r="63" spans="1:15" x14ac:dyDescent="0.25">
      <c r="A63" s="753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752"/>
    </row>
    <row r="64" spans="1:15" x14ac:dyDescent="0.25">
      <c r="A64" s="753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752"/>
    </row>
    <row r="65" spans="1:15" x14ac:dyDescent="0.25">
      <c r="A65" s="753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752"/>
    </row>
    <row r="66" spans="1:15" x14ac:dyDescent="0.25">
      <c r="A66" s="753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752"/>
    </row>
    <row r="67" spans="1:15" x14ac:dyDescent="0.25">
      <c r="A67" s="753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752"/>
    </row>
    <row r="68" spans="1:15" ht="15.75" thickBot="1" x14ac:dyDescent="0.3">
      <c r="A68" s="754"/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6"/>
    </row>
    <row r="69" spans="1:15" ht="15.75" thickBot="1" x14ac:dyDescent="0.3"/>
    <row r="70" spans="1:15" x14ac:dyDescent="0.25">
      <c r="A70" s="666"/>
      <c r="B70" s="667"/>
      <c r="C70" s="667"/>
      <c r="D70" s="667"/>
      <c r="E70" s="667"/>
      <c r="F70" s="667"/>
      <c r="G70" s="667"/>
      <c r="H70" s="667"/>
      <c r="I70" s="667"/>
      <c r="J70" s="667"/>
      <c r="K70" s="667"/>
      <c r="L70" s="667"/>
      <c r="M70" s="667"/>
      <c r="N70" s="667"/>
      <c r="O70" s="668"/>
    </row>
    <row r="71" spans="1:15" x14ac:dyDescent="0.25">
      <c r="A71" s="712" t="s">
        <v>0</v>
      </c>
      <c r="B71" s="410" t="s">
        <v>47</v>
      </c>
      <c r="C71" s="651"/>
      <c r="D71" s="651"/>
      <c r="E71" s="651"/>
      <c r="F71" s="651"/>
      <c r="G71" s="651"/>
      <c r="H71" s="651"/>
      <c r="I71" s="651"/>
      <c r="J71" s="863" t="s">
        <v>2</v>
      </c>
      <c r="K71" s="412">
        <v>81</v>
      </c>
      <c r="L71" s="651"/>
      <c r="M71" s="863" t="s">
        <v>3</v>
      </c>
      <c r="N71" s="168">
        <f>EN_A0002_f+EN_A0002_m+EN_A0002_p+E82</f>
        <v>20.669341816399161</v>
      </c>
      <c r="O71" s="669"/>
    </row>
    <row r="72" spans="1:15" x14ac:dyDescent="0.25">
      <c r="A72" s="712" t="s">
        <v>4</v>
      </c>
      <c r="B72" s="410" t="s">
        <v>81</v>
      </c>
      <c r="C72" s="651"/>
      <c r="D72" s="651"/>
      <c r="E72" s="651"/>
      <c r="F72" s="651"/>
      <c r="G72" s="651"/>
      <c r="H72" s="651"/>
      <c r="I72" s="651"/>
      <c r="J72" s="651"/>
      <c r="K72" s="651"/>
      <c r="L72" s="651"/>
      <c r="M72" s="863" t="s">
        <v>5</v>
      </c>
      <c r="N72" s="414">
        <v>2</v>
      </c>
      <c r="O72" s="669"/>
    </row>
    <row r="73" spans="1:15" x14ac:dyDescent="0.25">
      <c r="A73" s="712" t="s">
        <v>6</v>
      </c>
      <c r="B73" s="415" t="s">
        <v>154</v>
      </c>
      <c r="C73" s="651"/>
      <c r="D73" s="651"/>
      <c r="E73" s="651"/>
      <c r="F73" s="651"/>
      <c r="G73" s="651"/>
      <c r="H73" s="651"/>
      <c r="I73" s="651"/>
      <c r="J73" s="867" t="s">
        <v>7</v>
      </c>
      <c r="K73" s="651"/>
      <c r="L73" s="651"/>
      <c r="M73" s="651"/>
      <c r="N73" s="651"/>
      <c r="O73" s="669"/>
    </row>
    <row r="74" spans="1:15" x14ac:dyDescent="0.25">
      <c r="A74" s="712" t="s">
        <v>8</v>
      </c>
      <c r="B74" s="416" t="s">
        <v>79</v>
      </c>
      <c r="C74" s="651"/>
      <c r="D74" s="651"/>
      <c r="E74" s="651"/>
      <c r="F74" s="651"/>
      <c r="G74" s="651"/>
      <c r="H74" s="651"/>
      <c r="I74" s="651"/>
      <c r="J74" s="867" t="s">
        <v>9</v>
      </c>
      <c r="K74" s="651"/>
      <c r="L74" s="651"/>
      <c r="M74" s="863" t="s">
        <v>10</v>
      </c>
      <c r="N74" s="652">
        <f>N71*N72</f>
        <v>41.338683632798322</v>
      </c>
      <c r="O74" s="669"/>
    </row>
    <row r="75" spans="1:15" x14ac:dyDescent="0.25">
      <c r="A75" s="712" t="s">
        <v>11</v>
      </c>
      <c r="B75" s="182" t="s">
        <v>12</v>
      </c>
      <c r="C75" s="651"/>
      <c r="D75" s="651"/>
      <c r="E75" s="651"/>
      <c r="F75" s="651"/>
      <c r="G75" s="651"/>
      <c r="H75" s="651"/>
      <c r="I75" s="651"/>
      <c r="J75" s="867" t="s">
        <v>13</v>
      </c>
      <c r="K75" s="651"/>
      <c r="L75" s="651"/>
      <c r="M75" s="651"/>
      <c r="N75" s="651"/>
      <c r="O75" s="669"/>
    </row>
    <row r="76" spans="1:15" x14ac:dyDescent="0.25">
      <c r="A76" s="712" t="s">
        <v>14</v>
      </c>
      <c r="B76" s="410" t="s">
        <v>155</v>
      </c>
      <c r="C76" s="651"/>
      <c r="D76" s="651"/>
      <c r="E76" s="651"/>
      <c r="F76" s="651"/>
      <c r="G76" s="651"/>
      <c r="H76" s="651"/>
      <c r="I76" s="651"/>
      <c r="J76" s="651"/>
      <c r="K76" s="651"/>
      <c r="L76" s="651"/>
      <c r="M76" s="651"/>
      <c r="N76" s="651"/>
      <c r="O76" s="669"/>
    </row>
    <row r="77" spans="1:15" x14ac:dyDescent="0.25">
      <c r="A77" s="567"/>
      <c r="B77" s="651"/>
      <c r="C77" s="651"/>
      <c r="D77" s="651"/>
      <c r="E77" s="651"/>
      <c r="F77" s="651"/>
      <c r="G77" s="651"/>
      <c r="H77" s="651"/>
      <c r="I77" s="651"/>
      <c r="J77" s="651"/>
      <c r="K77" s="651"/>
      <c r="L77" s="651"/>
      <c r="M77" s="651"/>
      <c r="N77" s="651"/>
      <c r="O77" s="669"/>
    </row>
    <row r="78" spans="1:15" x14ac:dyDescent="0.25">
      <c r="A78" s="712" t="s">
        <v>15</v>
      </c>
      <c r="B78" s="863" t="s">
        <v>16</v>
      </c>
      <c r="C78" s="863" t="s">
        <v>17</v>
      </c>
      <c r="D78" s="863" t="s">
        <v>18</v>
      </c>
      <c r="E78" s="863" t="s">
        <v>19</v>
      </c>
      <c r="F78" s="651"/>
      <c r="G78" s="651"/>
      <c r="H78" s="651"/>
      <c r="I78" s="651"/>
      <c r="J78" s="651"/>
      <c r="K78" s="651"/>
      <c r="L78" s="651"/>
      <c r="M78" s="651"/>
      <c r="N78" s="651"/>
      <c r="O78" s="669"/>
    </row>
    <row r="79" spans="1:15" x14ac:dyDescent="0.25">
      <c r="A79" s="183">
        <v>10</v>
      </c>
      <c r="B79" s="186" t="s">
        <v>156</v>
      </c>
      <c r="C79" s="652">
        <f>'EN Parts'!N107</f>
        <v>0.92447507499999992</v>
      </c>
      <c r="D79" s="414">
        <v>4</v>
      </c>
      <c r="E79" s="652">
        <f>C79*D79</f>
        <v>3.6979002999999997</v>
      </c>
      <c r="F79" s="651"/>
      <c r="G79" s="651"/>
      <c r="H79" s="651"/>
      <c r="I79" s="651"/>
      <c r="J79" s="651"/>
      <c r="K79" s="651"/>
      <c r="L79" s="651"/>
      <c r="M79" s="651"/>
      <c r="N79" s="651"/>
      <c r="O79" s="669"/>
    </row>
    <row r="80" spans="1:15" x14ac:dyDescent="0.25">
      <c r="A80" s="183">
        <v>20</v>
      </c>
      <c r="B80" s="186" t="s">
        <v>157</v>
      </c>
      <c r="C80" s="652">
        <f>'EN Parts'!N127</f>
        <v>2.4357939860159226</v>
      </c>
      <c r="D80" s="181">
        <v>2</v>
      </c>
      <c r="E80" s="652">
        <f>C80*D80</f>
        <v>4.8715879720318451</v>
      </c>
      <c r="F80" s="415"/>
      <c r="G80" s="415"/>
      <c r="H80" s="415"/>
      <c r="I80" s="415"/>
      <c r="J80" s="415"/>
      <c r="K80" s="415"/>
      <c r="L80" s="415"/>
      <c r="M80" s="415"/>
      <c r="N80" s="415"/>
      <c r="O80" s="669"/>
    </row>
    <row r="81" spans="1:15" x14ac:dyDescent="0.25">
      <c r="A81" s="183">
        <v>30</v>
      </c>
      <c r="B81" s="186" t="s">
        <v>158</v>
      </c>
      <c r="C81" s="652">
        <f>'EN Parts'!N148</f>
        <v>0.23635456454989542</v>
      </c>
      <c r="D81" s="181">
        <v>8</v>
      </c>
      <c r="E81" s="652">
        <f>C81*D81</f>
        <v>1.8908365163991634</v>
      </c>
      <c r="F81" s="415"/>
      <c r="G81" s="415"/>
      <c r="H81" s="415"/>
      <c r="I81" s="415"/>
      <c r="J81" s="415"/>
      <c r="K81" s="415"/>
      <c r="L81" s="415"/>
      <c r="M81" s="415"/>
      <c r="N81" s="415"/>
      <c r="O81" s="184"/>
    </row>
    <row r="82" spans="1:15" x14ac:dyDescent="0.25">
      <c r="A82" s="567"/>
      <c r="B82" s="651"/>
      <c r="C82" s="651"/>
      <c r="D82" s="864" t="s">
        <v>19</v>
      </c>
      <c r="E82" s="865">
        <f>SUM(E79,E81)</f>
        <v>5.5887368163991633</v>
      </c>
      <c r="F82" s="415"/>
      <c r="G82" s="415"/>
      <c r="H82" s="415"/>
      <c r="I82" s="415"/>
      <c r="J82" s="415"/>
      <c r="K82" s="415"/>
      <c r="L82" s="415"/>
      <c r="M82" s="415"/>
      <c r="N82" s="415"/>
      <c r="O82" s="669"/>
    </row>
    <row r="83" spans="1:15" x14ac:dyDescent="0.25">
      <c r="A83" s="567"/>
      <c r="B83" s="651"/>
      <c r="C83" s="651"/>
      <c r="D83" s="651"/>
      <c r="E83" s="651"/>
      <c r="F83" s="651"/>
      <c r="G83" s="651"/>
      <c r="H83" s="651"/>
      <c r="I83" s="651"/>
      <c r="J83" s="651"/>
      <c r="K83" s="651"/>
      <c r="L83" s="651"/>
      <c r="M83" s="651"/>
      <c r="N83" s="651"/>
      <c r="O83" s="669"/>
    </row>
    <row r="84" spans="1:15" x14ac:dyDescent="0.25">
      <c r="A84" s="851" t="s">
        <v>15</v>
      </c>
      <c r="B84" s="860" t="s">
        <v>20</v>
      </c>
      <c r="C84" s="860" t="s">
        <v>21</v>
      </c>
      <c r="D84" s="860" t="s">
        <v>22</v>
      </c>
      <c r="E84" s="860" t="s">
        <v>23</v>
      </c>
      <c r="F84" s="860" t="s">
        <v>24</v>
      </c>
      <c r="G84" s="860" t="s">
        <v>25</v>
      </c>
      <c r="H84" s="860" t="s">
        <v>26</v>
      </c>
      <c r="I84" s="860" t="s">
        <v>27</v>
      </c>
      <c r="J84" s="860" t="s">
        <v>28</v>
      </c>
      <c r="K84" s="860" t="s">
        <v>29</v>
      </c>
      <c r="L84" s="860" t="s">
        <v>30</v>
      </c>
      <c r="M84" s="860" t="s">
        <v>18</v>
      </c>
      <c r="N84" s="860" t="s">
        <v>19</v>
      </c>
      <c r="O84" s="669"/>
    </row>
    <row r="85" spans="1:15" x14ac:dyDescent="0.25">
      <c r="A85" s="674">
        <v>10</v>
      </c>
      <c r="B85" s="728" t="s">
        <v>159</v>
      </c>
      <c r="C85" s="729" t="s">
        <v>160</v>
      </c>
      <c r="D85" s="730">
        <v>2.5</v>
      </c>
      <c r="E85" s="731">
        <v>8</v>
      </c>
      <c r="F85" s="732" t="s">
        <v>31</v>
      </c>
      <c r="G85" s="731"/>
      <c r="H85" s="733"/>
      <c r="I85" s="734"/>
      <c r="J85" s="735"/>
      <c r="K85" s="736"/>
      <c r="L85" s="736"/>
      <c r="M85" s="737">
        <v>1</v>
      </c>
      <c r="N85" s="738">
        <v>2.5</v>
      </c>
      <c r="O85" s="669"/>
    </row>
    <row r="86" spans="1:15" x14ac:dyDescent="0.25">
      <c r="A86" s="674">
        <v>20</v>
      </c>
      <c r="B86" s="729" t="s">
        <v>159</v>
      </c>
      <c r="C86" s="729" t="s">
        <v>161</v>
      </c>
      <c r="D86" s="730">
        <v>2.5</v>
      </c>
      <c r="E86" s="731">
        <v>8</v>
      </c>
      <c r="F86" s="732" t="s">
        <v>31</v>
      </c>
      <c r="G86" s="731"/>
      <c r="H86" s="733"/>
      <c r="I86" s="739"/>
      <c r="J86" s="735"/>
      <c r="K86" s="736"/>
      <c r="L86" s="740"/>
      <c r="M86" s="737">
        <v>1</v>
      </c>
      <c r="N86" s="738">
        <v>2.5</v>
      </c>
      <c r="O86" s="185"/>
    </row>
    <row r="87" spans="1:15" x14ac:dyDescent="0.25">
      <c r="A87" s="312"/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861" t="s">
        <v>19</v>
      </c>
      <c r="N87" s="862">
        <v>5</v>
      </c>
      <c r="O87" s="669"/>
    </row>
    <row r="88" spans="1:15" x14ac:dyDescent="0.25">
      <c r="A88" s="567"/>
      <c r="B88" s="651"/>
      <c r="C88" s="651"/>
      <c r="D88" s="651"/>
      <c r="E88" s="651"/>
      <c r="F88" s="651"/>
      <c r="G88" s="651"/>
      <c r="H88" s="651"/>
      <c r="I88" s="651"/>
      <c r="J88" s="651"/>
      <c r="K88" s="651"/>
      <c r="L88" s="651"/>
      <c r="M88" s="651"/>
      <c r="N88" s="866"/>
      <c r="O88" s="669"/>
    </row>
    <row r="89" spans="1:15" x14ac:dyDescent="0.25">
      <c r="A89" s="712" t="s">
        <v>15</v>
      </c>
      <c r="B89" s="863" t="s">
        <v>32</v>
      </c>
      <c r="C89" s="863" t="s">
        <v>21</v>
      </c>
      <c r="D89" s="863" t="s">
        <v>22</v>
      </c>
      <c r="E89" s="863" t="s">
        <v>33</v>
      </c>
      <c r="F89" s="863" t="s">
        <v>18</v>
      </c>
      <c r="G89" s="863" t="s">
        <v>34</v>
      </c>
      <c r="H89" s="863" t="s">
        <v>35</v>
      </c>
      <c r="I89" s="863" t="s">
        <v>19</v>
      </c>
      <c r="J89" s="421"/>
      <c r="K89" s="421"/>
      <c r="L89" s="421"/>
      <c r="M89" s="421"/>
      <c r="N89" s="421"/>
      <c r="O89" s="670"/>
    </row>
    <row r="90" spans="1:15" x14ac:dyDescent="0.25">
      <c r="A90" s="674">
        <v>10</v>
      </c>
      <c r="B90" s="741" t="s">
        <v>132</v>
      </c>
      <c r="C90" s="741" t="s">
        <v>133</v>
      </c>
      <c r="D90" s="730">
        <v>0.15</v>
      </c>
      <c r="E90" s="732" t="s">
        <v>53</v>
      </c>
      <c r="F90" s="731">
        <v>15.8</v>
      </c>
      <c r="G90" s="742"/>
      <c r="H90" s="742"/>
      <c r="I90" s="743">
        <v>2.37</v>
      </c>
      <c r="J90" s="651"/>
      <c r="K90" s="651"/>
      <c r="L90" s="651"/>
      <c r="M90" s="651"/>
      <c r="N90" s="651"/>
      <c r="O90" s="669"/>
    </row>
    <row r="91" spans="1:15" x14ac:dyDescent="0.25">
      <c r="A91" s="674">
        <v>20</v>
      </c>
      <c r="B91" s="741" t="s">
        <v>134</v>
      </c>
      <c r="C91" s="741" t="s">
        <v>135</v>
      </c>
      <c r="D91" s="730">
        <v>5.25</v>
      </c>
      <c r="E91" s="732" t="s">
        <v>136</v>
      </c>
      <c r="F91" s="744">
        <v>2.0200000000000001E-3</v>
      </c>
      <c r="G91" s="742"/>
      <c r="H91" s="742"/>
      <c r="I91" s="743">
        <v>1.0605E-2</v>
      </c>
      <c r="J91" s="651"/>
      <c r="K91" s="651"/>
      <c r="L91" s="651"/>
      <c r="M91" s="651"/>
      <c r="N91" s="651"/>
      <c r="O91" s="669"/>
    </row>
    <row r="92" spans="1:15" x14ac:dyDescent="0.25">
      <c r="A92" s="674">
        <v>30</v>
      </c>
      <c r="B92" s="741" t="s">
        <v>162</v>
      </c>
      <c r="C92" s="741" t="s">
        <v>163</v>
      </c>
      <c r="D92" s="730">
        <v>0.13</v>
      </c>
      <c r="E92" s="732" t="s">
        <v>36</v>
      </c>
      <c r="F92" s="731">
        <v>2</v>
      </c>
      <c r="G92" s="742"/>
      <c r="H92" s="742"/>
      <c r="I92" s="743">
        <v>0.26</v>
      </c>
      <c r="J92" s="651"/>
      <c r="K92" s="651"/>
      <c r="L92" s="651"/>
      <c r="M92" s="651"/>
      <c r="N92" s="651"/>
      <c r="O92" s="669"/>
    </row>
    <row r="93" spans="1:15" x14ac:dyDescent="0.25">
      <c r="A93" s="674">
        <v>40</v>
      </c>
      <c r="B93" s="741" t="s">
        <v>162</v>
      </c>
      <c r="C93" s="741" t="s">
        <v>164</v>
      </c>
      <c r="D93" s="730">
        <v>0.13</v>
      </c>
      <c r="E93" s="732" t="s">
        <v>36</v>
      </c>
      <c r="F93" s="731">
        <v>2</v>
      </c>
      <c r="G93" s="742"/>
      <c r="H93" s="742"/>
      <c r="I93" s="743">
        <v>0.26</v>
      </c>
      <c r="J93" s="415"/>
      <c r="K93" s="415"/>
      <c r="L93" s="415"/>
      <c r="M93" s="415"/>
      <c r="N93" s="415"/>
      <c r="O93" s="311"/>
    </row>
    <row r="94" spans="1:15" x14ac:dyDescent="0.25">
      <c r="A94" s="674">
        <v>50</v>
      </c>
      <c r="B94" s="741" t="s">
        <v>165</v>
      </c>
      <c r="C94" s="741" t="s">
        <v>166</v>
      </c>
      <c r="D94" s="730">
        <v>1.5</v>
      </c>
      <c r="E94" s="732" t="s">
        <v>36</v>
      </c>
      <c r="F94" s="731">
        <v>2</v>
      </c>
      <c r="G94" s="742"/>
      <c r="H94" s="742"/>
      <c r="I94" s="743">
        <v>3</v>
      </c>
      <c r="J94" s="415"/>
      <c r="K94" s="415"/>
      <c r="L94" s="415"/>
      <c r="M94" s="415"/>
      <c r="N94" s="415"/>
      <c r="O94" s="670"/>
    </row>
    <row r="95" spans="1:15" x14ac:dyDescent="0.25">
      <c r="A95" s="674">
        <v>60</v>
      </c>
      <c r="B95" s="741" t="s">
        <v>145</v>
      </c>
      <c r="C95" s="741" t="s">
        <v>167</v>
      </c>
      <c r="D95" s="730">
        <v>0.25</v>
      </c>
      <c r="E95" s="732" t="s">
        <v>36</v>
      </c>
      <c r="F95" s="731">
        <v>2</v>
      </c>
      <c r="G95" s="742"/>
      <c r="H95" s="742"/>
      <c r="I95" s="743">
        <v>0.5</v>
      </c>
      <c r="J95" s="415"/>
      <c r="K95" s="415"/>
      <c r="L95" s="415"/>
      <c r="M95" s="415"/>
      <c r="N95" s="415"/>
      <c r="O95" s="311"/>
    </row>
    <row r="96" spans="1:15" ht="30" x14ac:dyDescent="0.25">
      <c r="A96" s="674">
        <v>70</v>
      </c>
      <c r="B96" s="741" t="s">
        <v>168</v>
      </c>
      <c r="C96" s="741" t="s">
        <v>169</v>
      </c>
      <c r="D96" s="730">
        <v>0.06</v>
      </c>
      <c r="E96" s="732" t="s">
        <v>36</v>
      </c>
      <c r="F96" s="731">
        <v>3</v>
      </c>
      <c r="G96" s="742"/>
      <c r="H96" s="742"/>
      <c r="I96" s="743">
        <v>0.18</v>
      </c>
      <c r="J96" s="651"/>
      <c r="K96" s="651"/>
      <c r="L96" s="651"/>
      <c r="M96" s="651"/>
      <c r="N96" s="651"/>
      <c r="O96" s="669"/>
    </row>
    <row r="97" spans="1:15" x14ac:dyDescent="0.25">
      <c r="A97" s="674">
        <v>80</v>
      </c>
      <c r="B97" s="741" t="s">
        <v>170</v>
      </c>
      <c r="C97" s="741" t="s">
        <v>171</v>
      </c>
      <c r="D97" s="730">
        <v>0.75</v>
      </c>
      <c r="E97" s="732" t="s">
        <v>36</v>
      </c>
      <c r="F97" s="731">
        <v>1</v>
      </c>
      <c r="G97" s="742"/>
      <c r="H97" s="742"/>
      <c r="I97" s="743">
        <v>0.75</v>
      </c>
      <c r="J97" s="651"/>
      <c r="K97" s="651"/>
      <c r="L97" s="651"/>
      <c r="M97" s="651"/>
      <c r="N97" s="651"/>
      <c r="O97" s="669"/>
    </row>
    <row r="98" spans="1:15" x14ac:dyDescent="0.25">
      <c r="A98" s="674">
        <v>90</v>
      </c>
      <c r="B98" s="741" t="s">
        <v>145</v>
      </c>
      <c r="C98" s="741" t="s">
        <v>172</v>
      </c>
      <c r="D98" s="730">
        <v>0.25</v>
      </c>
      <c r="E98" s="732" t="s">
        <v>36</v>
      </c>
      <c r="F98" s="731">
        <v>1</v>
      </c>
      <c r="G98" s="742"/>
      <c r="H98" s="742"/>
      <c r="I98" s="743">
        <v>0.25</v>
      </c>
      <c r="J98" s="651"/>
      <c r="K98" s="651"/>
      <c r="L98" s="651"/>
      <c r="M98" s="651"/>
      <c r="N98" s="651"/>
      <c r="O98" s="669"/>
    </row>
    <row r="99" spans="1:15" x14ac:dyDescent="0.25">
      <c r="A99" s="674">
        <v>100</v>
      </c>
      <c r="B99" s="741" t="s">
        <v>168</v>
      </c>
      <c r="C99" s="741" t="s">
        <v>173</v>
      </c>
      <c r="D99" s="730">
        <v>0.06</v>
      </c>
      <c r="E99" s="732" t="s">
        <v>36</v>
      </c>
      <c r="F99" s="731">
        <v>3</v>
      </c>
      <c r="G99" s="742"/>
      <c r="H99" s="742"/>
      <c r="I99" s="743">
        <v>0.18</v>
      </c>
      <c r="J99" s="651"/>
      <c r="K99" s="651"/>
      <c r="L99" s="651"/>
      <c r="M99" s="651"/>
      <c r="N99" s="651"/>
      <c r="O99" s="669"/>
    </row>
    <row r="100" spans="1:15" x14ac:dyDescent="0.25">
      <c r="A100" s="674">
        <v>110</v>
      </c>
      <c r="B100" s="741" t="s">
        <v>170</v>
      </c>
      <c r="C100" s="741" t="s">
        <v>171</v>
      </c>
      <c r="D100" s="730">
        <v>0.75</v>
      </c>
      <c r="E100" s="732" t="s">
        <v>36</v>
      </c>
      <c r="F100" s="731">
        <v>1</v>
      </c>
      <c r="G100" s="742"/>
      <c r="H100" s="742"/>
      <c r="I100" s="743">
        <v>0.75</v>
      </c>
      <c r="J100" s="651"/>
      <c r="K100" s="651"/>
      <c r="L100" s="651"/>
      <c r="M100" s="651"/>
      <c r="N100" s="651"/>
      <c r="O100" s="669"/>
    </row>
    <row r="101" spans="1:15" x14ac:dyDescent="0.25">
      <c r="A101" s="674">
        <v>120</v>
      </c>
      <c r="B101" s="741" t="s">
        <v>145</v>
      </c>
      <c r="C101" s="741" t="s">
        <v>172</v>
      </c>
      <c r="D101" s="730">
        <v>0.25</v>
      </c>
      <c r="E101" s="732" t="s">
        <v>36</v>
      </c>
      <c r="F101" s="731">
        <v>1</v>
      </c>
      <c r="G101" s="742"/>
      <c r="H101" s="742"/>
      <c r="I101" s="743">
        <v>0.25</v>
      </c>
      <c r="J101" s="651"/>
      <c r="K101" s="651"/>
      <c r="L101" s="651"/>
      <c r="M101" s="651"/>
      <c r="N101" s="651"/>
      <c r="O101" s="669"/>
    </row>
    <row r="102" spans="1:15" x14ac:dyDescent="0.25">
      <c r="A102" s="567"/>
      <c r="B102" s="651"/>
      <c r="C102" s="651"/>
      <c r="D102" s="651"/>
      <c r="E102" s="651"/>
      <c r="F102" s="651"/>
      <c r="G102" s="651"/>
      <c r="H102" s="861" t="s">
        <v>19</v>
      </c>
      <c r="I102" s="862">
        <v>8.7606049999999982</v>
      </c>
      <c r="J102" s="651"/>
      <c r="K102" s="651"/>
      <c r="L102" s="651"/>
      <c r="M102" s="651"/>
      <c r="N102" s="651"/>
      <c r="O102" s="669"/>
    </row>
    <row r="103" spans="1:15" x14ac:dyDescent="0.25">
      <c r="A103" s="567"/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69"/>
    </row>
    <row r="104" spans="1:15" x14ac:dyDescent="0.25">
      <c r="A104" s="851" t="s">
        <v>15</v>
      </c>
      <c r="B104" s="860" t="s">
        <v>37</v>
      </c>
      <c r="C104" s="860" t="s">
        <v>21</v>
      </c>
      <c r="D104" s="860" t="s">
        <v>22</v>
      </c>
      <c r="E104" s="860" t="s">
        <v>23</v>
      </c>
      <c r="F104" s="860" t="s">
        <v>24</v>
      </c>
      <c r="G104" s="860" t="s">
        <v>25</v>
      </c>
      <c r="H104" s="860" t="s">
        <v>26</v>
      </c>
      <c r="I104" s="860" t="s">
        <v>18</v>
      </c>
      <c r="J104" s="860" t="s">
        <v>19</v>
      </c>
      <c r="K104" s="651"/>
      <c r="L104" s="651"/>
      <c r="M104" s="651"/>
      <c r="N104" s="651"/>
      <c r="O104" s="669"/>
    </row>
    <row r="105" spans="1:15" x14ac:dyDescent="0.25">
      <c r="A105" s="674">
        <v>10</v>
      </c>
      <c r="B105" s="728" t="s">
        <v>151</v>
      </c>
      <c r="C105" s="745" t="s">
        <v>152</v>
      </c>
      <c r="D105" s="746">
        <v>0.19</v>
      </c>
      <c r="E105" s="731">
        <v>8</v>
      </c>
      <c r="F105" s="747" t="s">
        <v>31</v>
      </c>
      <c r="G105" s="731">
        <v>45</v>
      </c>
      <c r="H105" s="748" t="s">
        <v>31</v>
      </c>
      <c r="I105" s="749">
        <v>2</v>
      </c>
      <c r="J105" s="730">
        <v>0.38</v>
      </c>
      <c r="K105" s="651"/>
      <c r="L105" s="651"/>
      <c r="M105" s="651"/>
      <c r="N105" s="651"/>
      <c r="O105" s="669"/>
    </row>
    <row r="106" spans="1:15" x14ac:dyDescent="0.25">
      <c r="A106" s="674">
        <v>20</v>
      </c>
      <c r="B106" s="728" t="s">
        <v>151</v>
      </c>
      <c r="C106" s="745" t="s">
        <v>152</v>
      </c>
      <c r="D106" s="746">
        <v>0.19</v>
      </c>
      <c r="E106" s="731">
        <v>8</v>
      </c>
      <c r="F106" s="747" t="s">
        <v>31</v>
      </c>
      <c r="G106" s="731">
        <v>45</v>
      </c>
      <c r="H106" s="748" t="s">
        <v>31</v>
      </c>
      <c r="I106" s="749">
        <v>2</v>
      </c>
      <c r="J106" s="730">
        <v>0.38</v>
      </c>
      <c r="K106" s="651"/>
      <c r="L106" s="651"/>
      <c r="M106" s="651"/>
      <c r="N106" s="651"/>
      <c r="O106" s="669"/>
    </row>
    <row r="107" spans="1:15" x14ac:dyDescent="0.25">
      <c r="A107" s="674">
        <v>30</v>
      </c>
      <c r="B107" s="750" t="s">
        <v>39</v>
      </c>
      <c r="C107" s="745" t="s">
        <v>152</v>
      </c>
      <c r="D107" s="746">
        <v>0.04</v>
      </c>
      <c r="E107" s="731">
        <v>8</v>
      </c>
      <c r="F107" s="747" t="s">
        <v>31</v>
      </c>
      <c r="G107" s="731"/>
      <c r="H107" s="748"/>
      <c r="I107" s="749">
        <v>2</v>
      </c>
      <c r="J107" s="730">
        <v>0.08</v>
      </c>
      <c r="K107" s="651"/>
      <c r="L107" s="651"/>
      <c r="M107" s="651"/>
      <c r="N107" s="651"/>
      <c r="O107" s="669"/>
    </row>
    <row r="108" spans="1:15" ht="30" x14ac:dyDescent="0.25">
      <c r="A108" s="674">
        <v>40</v>
      </c>
      <c r="B108" s="728" t="s">
        <v>151</v>
      </c>
      <c r="C108" s="745" t="s">
        <v>153</v>
      </c>
      <c r="D108" s="746">
        <v>0.08</v>
      </c>
      <c r="E108" s="731">
        <v>6</v>
      </c>
      <c r="F108" s="747" t="s">
        <v>31</v>
      </c>
      <c r="G108" s="731">
        <v>35</v>
      </c>
      <c r="H108" s="748" t="s">
        <v>31</v>
      </c>
      <c r="I108" s="749">
        <v>4</v>
      </c>
      <c r="J108" s="730">
        <v>0.32</v>
      </c>
      <c r="K108" s="651"/>
      <c r="L108" s="651"/>
      <c r="M108" s="651"/>
      <c r="N108" s="651"/>
      <c r="O108" s="669"/>
    </row>
    <row r="109" spans="1:15" ht="30" x14ac:dyDescent="0.25">
      <c r="A109" s="674">
        <v>50</v>
      </c>
      <c r="B109" s="750" t="s">
        <v>39</v>
      </c>
      <c r="C109" s="745" t="s">
        <v>153</v>
      </c>
      <c r="D109" s="746">
        <v>0.03</v>
      </c>
      <c r="E109" s="731">
        <v>6</v>
      </c>
      <c r="F109" s="747" t="s">
        <v>31</v>
      </c>
      <c r="G109" s="731"/>
      <c r="H109" s="748"/>
      <c r="I109" s="749">
        <v>4</v>
      </c>
      <c r="J109" s="730">
        <v>0.12</v>
      </c>
      <c r="K109" s="651"/>
      <c r="L109" s="651"/>
      <c r="M109" s="651"/>
      <c r="N109" s="651"/>
      <c r="O109" s="669"/>
    </row>
    <row r="110" spans="1:15" x14ac:dyDescent="0.25">
      <c r="A110" s="674">
        <v>60</v>
      </c>
      <c r="B110" s="750" t="s">
        <v>38</v>
      </c>
      <c r="C110" s="751" t="s">
        <v>152</v>
      </c>
      <c r="D110" s="746">
        <v>0.01</v>
      </c>
      <c r="E110" s="731"/>
      <c r="F110" s="747" t="s">
        <v>36</v>
      </c>
      <c r="G110" s="731"/>
      <c r="H110" s="748"/>
      <c r="I110" s="749">
        <v>4</v>
      </c>
      <c r="J110" s="730">
        <v>0.04</v>
      </c>
      <c r="K110" s="651"/>
      <c r="L110" s="651"/>
      <c r="M110" s="651"/>
      <c r="N110" s="651"/>
      <c r="O110" s="669"/>
    </row>
    <row r="111" spans="1:15" x14ac:dyDescent="0.25">
      <c r="A111" s="677"/>
      <c r="B111" s="662"/>
      <c r="C111" s="662"/>
      <c r="D111" s="662"/>
      <c r="E111" s="662"/>
      <c r="F111" s="662"/>
      <c r="G111" s="662"/>
      <c r="H111" s="662"/>
      <c r="I111" s="861" t="s">
        <v>19</v>
      </c>
      <c r="J111" s="862">
        <v>1.3199999999999998</v>
      </c>
      <c r="K111" s="651"/>
      <c r="L111" s="651"/>
      <c r="M111" s="651"/>
      <c r="N111" s="651"/>
      <c r="O111" s="669"/>
    </row>
    <row r="112" spans="1:15" x14ac:dyDescent="0.25">
      <c r="A112" s="193"/>
      <c r="B112" s="289"/>
      <c r="C112" s="268"/>
      <c r="D112" s="187"/>
      <c r="E112" s="188"/>
      <c r="F112" s="189"/>
      <c r="G112" s="188"/>
      <c r="H112" s="190"/>
      <c r="I112" s="191"/>
      <c r="J112" s="192"/>
      <c r="K112" s="651"/>
      <c r="L112" s="651"/>
      <c r="M112" s="651"/>
      <c r="N112" s="651"/>
      <c r="O112" s="669"/>
    </row>
    <row r="113" spans="1:15" ht="30" x14ac:dyDescent="0.25">
      <c r="A113" s="856" t="s">
        <v>15</v>
      </c>
      <c r="B113" s="810" t="s">
        <v>41</v>
      </c>
      <c r="C113" s="810" t="s">
        <v>21</v>
      </c>
      <c r="D113" s="810" t="s">
        <v>22</v>
      </c>
      <c r="E113" s="810" t="s">
        <v>33</v>
      </c>
      <c r="F113" s="810" t="s">
        <v>18</v>
      </c>
      <c r="G113" s="810" t="s">
        <v>42</v>
      </c>
      <c r="H113" s="810" t="s">
        <v>328</v>
      </c>
      <c r="I113" s="857" t="s">
        <v>19</v>
      </c>
      <c r="J113" s="192"/>
      <c r="K113" s="651"/>
      <c r="L113" s="651"/>
      <c r="M113" s="651"/>
      <c r="N113" s="651"/>
      <c r="O113" s="669"/>
    </row>
    <row r="114" spans="1:15" x14ac:dyDescent="0.25">
      <c r="A114" s="727">
        <v>10</v>
      </c>
      <c r="B114" s="726" t="s">
        <v>44</v>
      </c>
      <c r="C114" s="726" t="s">
        <v>327</v>
      </c>
      <c r="D114" s="725">
        <v>500</v>
      </c>
      <c r="E114" s="724" t="s">
        <v>46</v>
      </c>
      <c r="F114" s="723">
        <v>4</v>
      </c>
      <c r="G114" s="723">
        <v>3000</v>
      </c>
      <c r="H114" s="723">
        <v>1</v>
      </c>
      <c r="I114" s="722">
        <f>D114*F114/G114*H114</f>
        <v>0.66666666666666663</v>
      </c>
      <c r="J114" s="46"/>
      <c r="K114" s="46"/>
      <c r="L114" s="46"/>
      <c r="M114" s="46"/>
      <c r="N114" s="46"/>
      <c r="O114" s="752"/>
    </row>
    <row r="115" spans="1:15" x14ac:dyDescent="0.25">
      <c r="A115" s="721"/>
      <c r="B115" s="720"/>
      <c r="C115" s="720"/>
      <c r="D115" s="720"/>
      <c r="E115" s="720"/>
      <c r="F115" s="720"/>
      <c r="G115" s="720"/>
      <c r="H115" s="858" t="s">
        <v>19</v>
      </c>
      <c r="I115" s="859">
        <f>SUM(I114:I114)</f>
        <v>0.66666666666666663</v>
      </c>
      <c r="J115" s="46"/>
      <c r="K115" s="46"/>
      <c r="L115" s="46"/>
      <c r="M115" s="46"/>
      <c r="N115" s="46"/>
      <c r="O115" s="752"/>
    </row>
    <row r="116" spans="1:15" x14ac:dyDescent="0.25">
      <c r="A116" s="753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752"/>
    </row>
    <row r="117" spans="1:15" ht="15.75" thickBot="1" x14ac:dyDescent="0.3">
      <c r="A117" s="754"/>
      <c r="B117" s="755"/>
      <c r="C117" s="755"/>
      <c r="D117" s="755"/>
      <c r="E117" s="755"/>
      <c r="F117" s="755"/>
      <c r="G117" s="755"/>
      <c r="H117" s="755"/>
      <c r="I117" s="755"/>
      <c r="J117" s="755"/>
      <c r="K117" s="755"/>
      <c r="L117" s="755"/>
      <c r="M117" s="755"/>
      <c r="N117" s="755"/>
      <c r="O117" s="756"/>
    </row>
    <row r="118" spans="1:15" ht="15.75" thickBot="1" x14ac:dyDescent="0.3"/>
    <row r="119" spans="1:15" x14ac:dyDescent="0.25">
      <c r="A119" s="232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2"/>
    </row>
    <row r="120" spans="1:15" x14ac:dyDescent="0.25">
      <c r="A120" s="707" t="s">
        <v>0</v>
      </c>
      <c r="B120" s="224" t="s">
        <v>47</v>
      </c>
      <c r="C120" s="226"/>
      <c r="D120" s="226"/>
      <c r="E120" s="226"/>
      <c r="F120" s="226"/>
      <c r="G120" s="226"/>
      <c r="H120" s="226"/>
      <c r="I120" s="226"/>
      <c r="J120" s="707" t="s">
        <v>2</v>
      </c>
      <c r="K120" s="235">
        <v>81</v>
      </c>
      <c r="L120" s="226"/>
      <c r="M120" s="707" t="s">
        <v>3</v>
      </c>
      <c r="N120" s="227">
        <f>EN_A0003_f+EN_A0003_m+EN_A0003_p+E132</f>
        <v>388.44622294752457</v>
      </c>
      <c r="O120" s="213"/>
    </row>
    <row r="121" spans="1:15" x14ac:dyDescent="0.25">
      <c r="A121" s="707" t="s">
        <v>4</v>
      </c>
      <c r="B121" s="224" t="s">
        <v>81</v>
      </c>
      <c r="C121" s="226"/>
      <c r="D121" s="226"/>
      <c r="E121" s="226"/>
      <c r="F121" s="226"/>
      <c r="G121" s="226"/>
      <c r="H121" s="226"/>
      <c r="I121" s="226"/>
      <c r="J121" s="224"/>
      <c r="K121" s="226"/>
      <c r="L121" s="226"/>
      <c r="M121" s="707" t="s">
        <v>5</v>
      </c>
      <c r="N121" s="228">
        <v>1</v>
      </c>
      <c r="O121" s="213"/>
    </row>
    <row r="122" spans="1:15" x14ac:dyDescent="0.25">
      <c r="A122" s="707" t="s">
        <v>6</v>
      </c>
      <c r="B122" s="224" t="s">
        <v>174</v>
      </c>
      <c r="C122" s="226"/>
      <c r="D122" s="226"/>
      <c r="E122" s="226"/>
      <c r="F122" s="226"/>
      <c r="G122" s="226"/>
      <c r="H122" s="226"/>
      <c r="I122" s="226"/>
      <c r="J122" s="854" t="s">
        <v>7</v>
      </c>
      <c r="K122" s="226"/>
      <c r="L122" s="226"/>
      <c r="M122" s="224"/>
      <c r="N122" s="226"/>
      <c r="O122" s="213"/>
    </row>
    <row r="123" spans="1:15" x14ac:dyDescent="0.25">
      <c r="A123" s="707" t="s">
        <v>8</v>
      </c>
      <c r="B123" s="224" t="s">
        <v>175</v>
      </c>
      <c r="C123" s="226"/>
      <c r="D123" s="226"/>
      <c r="E123" s="226"/>
      <c r="F123" s="226"/>
      <c r="G123" s="226"/>
      <c r="H123" s="226"/>
      <c r="I123" s="226"/>
      <c r="J123" s="854" t="s">
        <v>9</v>
      </c>
      <c r="K123" s="226"/>
      <c r="L123" s="226"/>
      <c r="M123" s="707" t="s">
        <v>10</v>
      </c>
      <c r="N123" s="227">
        <f>N120*N121</f>
        <v>388.44622294752457</v>
      </c>
      <c r="O123" s="213"/>
    </row>
    <row r="124" spans="1:15" x14ac:dyDescent="0.25">
      <c r="A124" s="707" t="s">
        <v>11</v>
      </c>
      <c r="B124" s="224" t="s">
        <v>12</v>
      </c>
      <c r="C124" s="226"/>
      <c r="D124" s="226"/>
      <c r="E124" s="226"/>
      <c r="F124" s="226"/>
      <c r="G124" s="226"/>
      <c r="H124" s="226"/>
      <c r="I124" s="226"/>
      <c r="J124" s="854" t="s">
        <v>13</v>
      </c>
      <c r="K124" s="226"/>
      <c r="L124" s="226"/>
      <c r="M124" s="226"/>
      <c r="N124" s="226"/>
      <c r="O124" s="213"/>
    </row>
    <row r="125" spans="1:15" x14ac:dyDescent="0.25">
      <c r="A125" s="707" t="s">
        <v>14</v>
      </c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13"/>
    </row>
    <row r="126" spans="1:15" x14ac:dyDescent="0.25">
      <c r="A126" s="229"/>
      <c r="B126" s="226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13"/>
    </row>
    <row r="127" spans="1:15" x14ac:dyDescent="0.25">
      <c r="A127" s="851" t="s">
        <v>15</v>
      </c>
      <c r="B127" s="707" t="s">
        <v>16</v>
      </c>
      <c r="C127" s="707" t="s">
        <v>17</v>
      </c>
      <c r="D127" s="707" t="s">
        <v>18</v>
      </c>
      <c r="E127" s="707" t="s">
        <v>19</v>
      </c>
      <c r="F127" s="224"/>
      <c r="G127" s="224"/>
      <c r="H127" s="224"/>
      <c r="I127" s="224"/>
      <c r="J127" s="224"/>
      <c r="K127" s="224"/>
      <c r="L127" s="224"/>
      <c r="M127" s="224"/>
      <c r="N127" s="224"/>
      <c r="O127" s="213"/>
    </row>
    <row r="128" spans="1:15" x14ac:dyDescent="0.25">
      <c r="A128" s="233">
        <v>10</v>
      </c>
      <c r="B128" s="236" t="s">
        <v>176</v>
      </c>
      <c r="C128" s="230">
        <f>'EN Parts'!N168</f>
        <v>67.721670109364652</v>
      </c>
      <c r="D128" s="237">
        <v>2</v>
      </c>
      <c r="E128" s="652">
        <f>C128*D128</f>
        <v>135.4433402187293</v>
      </c>
      <c r="F128" s="226"/>
      <c r="G128" s="226"/>
      <c r="H128" s="226"/>
      <c r="I128" s="226"/>
      <c r="J128" s="226"/>
      <c r="K128" s="226"/>
      <c r="L128" s="226"/>
      <c r="M128" s="226"/>
      <c r="N128" s="226"/>
      <c r="O128" s="213"/>
    </row>
    <row r="129" spans="1:15" x14ac:dyDescent="0.25">
      <c r="A129" s="233">
        <v>20</v>
      </c>
      <c r="B129" s="236" t="s">
        <v>177</v>
      </c>
      <c r="C129" s="230">
        <f>'EN Parts'!N214</f>
        <v>59.565811811695127</v>
      </c>
      <c r="D129" s="237">
        <v>2</v>
      </c>
      <c r="E129" s="652">
        <f>C129*D129</f>
        <v>119.13162362339025</v>
      </c>
      <c r="F129" s="226"/>
      <c r="G129" s="226"/>
      <c r="H129" s="226"/>
      <c r="I129" s="226"/>
      <c r="J129" s="226"/>
      <c r="K129" s="226"/>
      <c r="L129" s="226"/>
      <c r="M129" s="226"/>
      <c r="N129" s="226"/>
      <c r="O129" s="213"/>
    </row>
    <row r="130" spans="1:15" x14ac:dyDescent="0.25">
      <c r="A130" s="233">
        <v>30</v>
      </c>
      <c r="B130" s="236" t="s">
        <v>178</v>
      </c>
      <c r="C130" s="230">
        <f>'EN Parts'!N263</f>
        <v>20.859922268656938</v>
      </c>
      <c r="D130" s="237">
        <v>1</v>
      </c>
      <c r="E130" s="652">
        <f>C130*D130</f>
        <v>20.859922268656938</v>
      </c>
      <c r="F130" s="226"/>
      <c r="G130" s="226"/>
      <c r="H130" s="226"/>
      <c r="I130" s="226"/>
      <c r="J130" s="226"/>
      <c r="K130" s="226"/>
      <c r="L130" s="226"/>
      <c r="M130" s="226"/>
      <c r="N130" s="226"/>
      <c r="O130" s="213"/>
    </row>
    <row r="131" spans="1:15" x14ac:dyDescent="0.25">
      <c r="A131" s="233">
        <v>40</v>
      </c>
      <c r="B131" s="236" t="s">
        <v>179</v>
      </c>
      <c r="C131" s="230">
        <f>'EN Parts'!N303</f>
        <v>20.70288272879527</v>
      </c>
      <c r="D131" s="237">
        <v>1</v>
      </c>
      <c r="E131" s="652">
        <f>C131*D131</f>
        <v>20.70288272879527</v>
      </c>
      <c r="F131" s="226"/>
      <c r="G131" s="226"/>
      <c r="H131" s="226"/>
      <c r="I131" s="226"/>
      <c r="J131" s="226"/>
      <c r="K131" s="226"/>
      <c r="L131" s="226"/>
      <c r="M131" s="226"/>
      <c r="N131" s="226"/>
      <c r="O131" s="213"/>
    </row>
    <row r="132" spans="1:15" x14ac:dyDescent="0.25">
      <c r="A132" s="229"/>
      <c r="B132" s="226"/>
      <c r="C132" s="226"/>
      <c r="D132" s="852" t="s">
        <v>19</v>
      </c>
      <c r="E132" s="853">
        <f>SUM(E128,E131)</f>
        <v>156.14622294752456</v>
      </c>
      <c r="F132" s="231"/>
      <c r="G132" s="226"/>
      <c r="H132" s="226"/>
      <c r="I132" s="226"/>
      <c r="J132" s="226"/>
      <c r="K132" s="226"/>
      <c r="L132" s="226"/>
      <c r="M132" s="226"/>
      <c r="N132" s="226"/>
      <c r="O132" s="213"/>
    </row>
    <row r="133" spans="1:15" x14ac:dyDescent="0.25">
      <c r="A133" s="229"/>
      <c r="B133" s="226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13"/>
    </row>
    <row r="134" spans="1:15" x14ac:dyDescent="0.25">
      <c r="A134" s="851" t="s">
        <v>15</v>
      </c>
      <c r="B134" s="707" t="s">
        <v>20</v>
      </c>
      <c r="C134" s="707" t="s">
        <v>21</v>
      </c>
      <c r="D134" s="707" t="s">
        <v>22</v>
      </c>
      <c r="E134" s="707" t="s">
        <v>23</v>
      </c>
      <c r="F134" s="707" t="s">
        <v>24</v>
      </c>
      <c r="G134" s="707" t="s">
        <v>25</v>
      </c>
      <c r="H134" s="707" t="s">
        <v>26</v>
      </c>
      <c r="I134" s="707" t="s">
        <v>27</v>
      </c>
      <c r="J134" s="707" t="s">
        <v>28</v>
      </c>
      <c r="K134" s="707" t="s">
        <v>29</v>
      </c>
      <c r="L134" s="707" t="s">
        <v>30</v>
      </c>
      <c r="M134" s="707" t="s">
        <v>18</v>
      </c>
      <c r="N134" s="707" t="s">
        <v>19</v>
      </c>
      <c r="O134" s="213"/>
    </row>
    <row r="135" spans="1:15" x14ac:dyDescent="0.25">
      <c r="A135" s="221">
        <v>10</v>
      </c>
      <c r="B135" s="203" t="s">
        <v>180</v>
      </c>
      <c r="C135" s="194" t="s">
        <v>181</v>
      </c>
      <c r="D135" s="195">
        <v>45</v>
      </c>
      <c r="E135" s="196"/>
      <c r="F135" s="197" t="s">
        <v>36</v>
      </c>
      <c r="G135" s="196"/>
      <c r="H135" s="198"/>
      <c r="I135" s="199"/>
      <c r="J135" s="200"/>
      <c r="K135" s="201"/>
      <c r="L135" s="201"/>
      <c r="M135" s="223">
        <v>4</v>
      </c>
      <c r="N135" s="202">
        <v>180</v>
      </c>
      <c r="O135" s="213"/>
    </row>
    <row r="136" spans="1:15" x14ac:dyDescent="0.25">
      <c r="A136" s="221">
        <v>20</v>
      </c>
      <c r="B136" s="194" t="s">
        <v>182</v>
      </c>
      <c r="C136" s="194" t="s">
        <v>183</v>
      </c>
      <c r="D136" s="195">
        <v>5</v>
      </c>
      <c r="E136" s="196"/>
      <c r="F136" s="197" t="s">
        <v>36</v>
      </c>
      <c r="G136" s="196"/>
      <c r="H136" s="198"/>
      <c r="I136" s="204"/>
      <c r="J136" s="200"/>
      <c r="K136" s="201"/>
      <c r="L136" s="205"/>
      <c r="M136" s="223">
        <v>4</v>
      </c>
      <c r="N136" s="202">
        <v>20</v>
      </c>
      <c r="O136" s="213"/>
    </row>
    <row r="137" spans="1:15" x14ac:dyDescent="0.25">
      <c r="A137" s="225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855" t="s">
        <v>19</v>
      </c>
      <c r="N137" s="853">
        <v>200</v>
      </c>
      <c r="O137" s="213"/>
    </row>
    <row r="138" spans="1:15" x14ac:dyDescent="0.25">
      <c r="A138" s="229"/>
      <c r="B138" s="226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13"/>
    </row>
    <row r="139" spans="1:15" x14ac:dyDescent="0.25">
      <c r="A139" s="851" t="s">
        <v>15</v>
      </c>
      <c r="B139" s="707" t="s">
        <v>32</v>
      </c>
      <c r="C139" s="707" t="s">
        <v>21</v>
      </c>
      <c r="D139" s="707" t="s">
        <v>22</v>
      </c>
      <c r="E139" s="707" t="s">
        <v>33</v>
      </c>
      <c r="F139" s="707" t="s">
        <v>18</v>
      </c>
      <c r="G139" s="707" t="s">
        <v>34</v>
      </c>
      <c r="H139" s="707" t="s">
        <v>35</v>
      </c>
      <c r="I139" s="707" t="s">
        <v>19</v>
      </c>
      <c r="J139" s="206"/>
      <c r="K139" s="206"/>
      <c r="L139" s="206"/>
      <c r="M139" s="206"/>
      <c r="N139" s="206"/>
      <c r="O139" s="213"/>
    </row>
    <row r="140" spans="1:15" ht="30" x14ac:dyDescent="0.25">
      <c r="A140" s="221">
        <v>10</v>
      </c>
      <c r="B140" s="210" t="s">
        <v>137</v>
      </c>
      <c r="C140" s="210" t="s">
        <v>184</v>
      </c>
      <c r="D140" s="195">
        <v>0.56000000000000005</v>
      </c>
      <c r="E140" s="197" t="s">
        <v>36</v>
      </c>
      <c r="F140" s="196">
        <v>2</v>
      </c>
      <c r="G140" s="208"/>
      <c r="H140" s="208"/>
      <c r="I140" s="209">
        <v>1.1200000000000001</v>
      </c>
      <c r="J140" s="226"/>
      <c r="K140" s="226"/>
      <c r="L140" s="226"/>
      <c r="M140" s="226"/>
      <c r="N140" s="226"/>
      <c r="O140" s="213"/>
    </row>
    <row r="141" spans="1:15" ht="30" x14ac:dyDescent="0.25">
      <c r="A141" s="221">
        <v>20</v>
      </c>
      <c r="B141" s="210" t="s">
        <v>165</v>
      </c>
      <c r="C141" s="210" t="s">
        <v>185</v>
      </c>
      <c r="D141" s="195">
        <v>1.5</v>
      </c>
      <c r="E141" s="197" t="s">
        <v>36</v>
      </c>
      <c r="F141" s="196">
        <v>2</v>
      </c>
      <c r="G141" s="208"/>
      <c r="H141" s="208"/>
      <c r="I141" s="209">
        <v>3</v>
      </c>
      <c r="J141" s="226"/>
      <c r="K141" s="226"/>
      <c r="L141" s="226"/>
      <c r="M141" s="226"/>
      <c r="N141" s="226"/>
      <c r="O141" s="213"/>
    </row>
    <row r="142" spans="1:15" x14ac:dyDescent="0.25">
      <c r="A142" s="221">
        <v>30</v>
      </c>
      <c r="B142" s="210" t="s">
        <v>139</v>
      </c>
      <c r="C142" s="210" t="s">
        <v>186</v>
      </c>
      <c r="D142" s="195">
        <v>0.19</v>
      </c>
      <c r="E142" s="197" t="s">
        <v>36</v>
      </c>
      <c r="F142" s="196">
        <v>4</v>
      </c>
      <c r="G142" s="208"/>
      <c r="H142" s="208"/>
      <c r="I142" s="209">
        <v>0.76</v>
      </c>
      <c r="J142" s="226"/>
      <c r="K142" s="226"/>
      <c r="L142" s="226"/>
      <c r="M142" s="226"/>
      <c r="N142" s="226"/>
      <c r="O142" s="213"/>
    </row>
    <row r="143" spans="1:15" x14ac:dyDescent="0.25">
      <c r="A143" s="221">
        <v>40</v>
      </c>
      <c r="B143" s="210" t="s">
        <v>139</v>
      </c>
      <c r="C143" s="210" t="s">
        <v>187</v>
      </c>
      <c r="D143" s="195">
        <v>0.19</v>
      </c>
      <c r="E143" s="197" t="s">
        <v>36</v>
      </c>
      <c r="F143" s="196">
        <v>4</v>
      </c>
      <c r="G143" s="208"/>
      <c r="H143" s="208"/>
      <c r="I143" s="209">
        <v>0.76</v>
      </c>
      <c r="J143" s="226"/>
      <c r="K143" s="226"/>
      <c r="L143" s="226"/>
      <c r="M143" s="226"/>
      <c r="N143" s="226"/>
      <c r="O143" s="213"/>
    </row>
    <row r="144" spans="1:15" x14ac:dyDescent="0.25">
      <c r="A144" s="221">
        <v>50</v>
      </c>
      <c r="B144" s="210" t="s">
        <v>162</v>
      </c>
      <c r="C144" s="210" t="s">
        <v>188</v>
      </c>
      <c r="D144" s="195">
        <v>0.13</v>
      </c>
      <c r="E144" s="197" t="s">
        <v>36</v>
      </c>
      <c r="F144" s="196">
        <v>4</v>
      </c>
      <c r="G144" s="208"/>
      <c r="H144" s="208"/>
      <c r="I144" s="209">
        <v>0.52</v>
      </c>
      <c r="J144" s="226"/>
      <c r="K144" s="226"/>
      <c r="L144" s="226"/>
      <c r="M144" s="226"/>
      <c r="N144" s="226"/>
      <c r="O144" s="213"/>
    </row>
    <row r="145" spans="1:15" x14ac:dyDescent="0.25">
      <c r="A145" s="221">
        <v>60</v>
      </c>
      <c r="B145" s="210" t="s">
        <v>139</v>
      </c>
      <c r="C145" s="210" t="s">
        <v>187</v>
      </c>
      <c r="D145" s="195">
        <v>0.19</v>
      </c>
      <c r="E145" s="197" t="s">
        <v>36</v>
      </c>
      <c r="F145" s="196">
        <v>4</v>
      </c>
      <c r="G145" s="208"/>
      <c r="H145" s="208"/>
      <c r="I145" s="209">
        <v>0.76</v>
      </c>
      <c r="J145" s="226"/>
      <c r="K145" s="226"/>
      <c r="L145" s="226"/>
      <c r="M145" s="226"/>
      <c r="N145" s="226"/>
      <c r="O145" s="213"/>
    </row>
    <row r="146" spans="1:15" x14ac:dyDescent="0.25">
      <c r="A146" s="221">
        <v>70</v>
      </c>
      <c r="B146" s="210" t="s">
        <v>189</v>
      </c>
      <c r="C146" s="210" t="s">
        <v>190</v>
      </c>
      <c r="D146" s="195">
        <v>0.19</v>
      </c>
      <c r="E146" s="197" t="s">
        <v>36</v>
      </c>
      <c r="F146" s="196">
        <v>4</v>
      </c>
      <c r="G146" s="208"/>
      <c r="H146" s="208"/>
      <c r="I146" s="209">
        <v>0.76</v>
      </c>
      <c r="J146" s="226"/>
      <c r="K146" s="226"/>
      <c r="L146" s="226"/>
      <c r="M146" s="226"/>
      <c r="N146" s="226"/>
      <c r="O146" s="213"/>
    </row>
    <row r="147" spans="1:15" ht="15" customHeight="1" x14ac:dyDescent="0.25">
      <c r="A147" s="221">
        <v>80</v>
      </c>
      <c r="B147" s="210" t="s">
        <v>139</v>
      </c>
      <c r="C147" s="210" t="s">
        <v>191</v>
      </c>
      <c r="D147" s="195">
        <v>0.19</v>
      </c>
      <c r="E147" s="197" t="s">
        <v>36</v>
      </c>
      <c r="F147" s="196">
        <v>4</v>
      </c>
      <c r="G147" s="208"/>
      <c r="H147" s="208"/>
      <c r="I147" s="209">
        <v>0.76</v>
      </c>
      <c r="J147" s="226"/>
      <c r="K147" s="226"/>
      <c r="L147" s="226"/>
      <c r="M147" s="226"/>
      <c r="N147" s="226"/>
      <c r="O147" s="213"/>
    </row>
    <row r="148" spans="1:15" x14ac:dyDescent="0.25">
      <c r="A148" s="221">
        <v>90</v>
      </c>
      <c r="B148" s="210" t="s">
        <v>137</v>
      </c>
      <c r="C148" s="210" t="s">
        <v>192</v>
      </c>
      <c r="D148" s="195">
        <v>0.56000000000000005</v>
      </c>
      <c r="E148" s="197" t="s">
        <v>36</v>
      </c>
      <c r="F148" s="196">
        <v>2</v>
      </c>
      <c r="G148" s="208"/>
      <c r="H148" s="208"/>
      <c r="I148" s="209">
        <v>1.1200000000000001</v>
      </c>
      <c r="J148" s="226"/>
      <c r="K148" s="226"/>
      <c r="L148" s="226"/>
      <c r="M148" s="226"/>
      <c r="N148" s="226"/>
      <c r="O148" s="213"/>
    </row>
    <row r="149" spans="1:15" x14ac:dyDescent="0.25">
      <c r="A149" s="221">
        <v>100</v>
      </c>
      <c r="B149" s="210" t="s">
        <v>137</v>
      </c>
      <c r="C149" s="210" t="s">
        <v>192</v>
      </c>
      <c r="D149" s="195">
        <v>0.56000000000000005</v>
      </c>
      <c r="E149" s="197" t="s">
        <v>36</v>
      </c>
      <c r="F149" s="196">
        <v>2</v>
      </c>
      <c r="G149" s="208"/>
      <c r="H149" s="208"/>
      <c r="I149" s="209">
        <v>1.1200000000000001</v>
      </c>
      <c r="J149" s="226"/>
      <c r="K149" s="226"/>
      <c r="L149" s="226"/>
      <c r="M149" s="226"/>
      <c r="N149" s="226"/>
      <c r="O149" s="213"/>
    </row>
    <row r="150" spans="1:15" x14ac:dyDescent="0.25">
      <c r="A150" s="221">
        <v>110</v>
      </c>
      <c r="B150" s="210" t="s">
        <v>137</v>
      </c>
      <c r="C150" s="210" t="s">
        <v>193</v>
      </c>
      <c r="D150" s="195">
        <v>0.56000000000000005</v>
      </c>
      <c r="E150" s="197" t="s">
        <v>36</v>
      </c>
      <c r="F150" s="196">
        <v>2</v>
      </c>
      <c r="G150" s="208"/>
      <c r="H150" s="208"/>
      <c r="I150" s="209">
        <v>1.1200000000000001</v>
      </c>
      <c r="J150" s="226"/>
      <c r="K150" s="226"/>
      <c r="L150" s="226"/>
      <c r="M150" s="226"/>
      <c r="N150" s="226"/>
      <c r="O150" s="213"/>
    </row>
    <row r="151" spans="1:15" ht="30" x14ac:dyDescent="0.25">
      <c r="A151" s="221">
        <v>120</v>
      </c>
      <c r="B151" s="210" t="s">
        <v>137</v>
      </c>
      <c r="C151" s="210" t="s">
        <v>194</v>
      </c>
      <c r="D151" s="195">
        <v>0.56000000000000005</v>
      </c>
      <c r="E151" s="197" t="s">
        <v>36</v>
      </c>
      <c r="F151" s="196">
        <v>2</v>
      </c>
      <c r="G151" s="208"/>
      <c r="H151" s="208"/>
      <c r="I151" s="209">
        <v>1.1200000000000001</v>
      </c>
      <c r="J151" s="226"/>
      <c r="K151" s="226"/>
      <c r="L151" s="226"/>
      <c r="M151" s="226"/>
      <c r="N151" s="226"/>
      <c r="O151" s="213"/>
    </row>
    <row r="152" spans="1:15" x14ac:dyDescent="0.25">
      <c r="A152" s="221">
        <v>130</v>
      </c>
      <c r="B152" s="210" t="s">
        <v>165</v>
      </c>
      <c r="C152" s="210" t="s">
        <v>195</v>
      </c>
      <c r="D152" s="195">
        <v>1.5</v>
      </c>
      <c r="E152" s="197" t="s">
        <v>36</v>
      </c>
      <c r="F152" s="196">
        <v>2</v>
      </c>
      <c r="G152" s="208"/>
      <c r="H152" s="208"/>
      <c r="I152" s="209">
        <v>3</v>
      </c>
      <c r="J152" s="226"/>
      <c r="K152" s="226"/>
      <c r="L152" s="226"/>
      <c r="M152" s="226"/>
      <c r="N152" s="226"/>
      <c r="O152" s="213"/>
    </row>
    <row r="153" spans="1:15" x14ac:dyDescent="0.25">
      <c r="A153" s="225"/>
      <c r="B153" s="206"/>
      <c r="C153" s="206"/>
      <c r="D153" s="206"/>
      <c r="E153" s="206"/>
      <c r="F153" s="206"/>
      <c r="G153" s="206"/>
      <c r="H153" s="855" t="s">
        <v>19</v>
      </c>
      <c r="I153" s="853">
        <v>15.920000000000002</v>
      </c>
      <c r="J153" s="234"/>
      <c r="K153" s="206"/>
      <c r="L153" s="206"/>
      <c r="M153" s="206"/>
      <c r="N153" s="206"/>
      <c r="O153" s="213"/>
    </row>
    <row r="154" spans="1:15" x14ac:dyDescent="0.25">
      <c r="A154" s="229"/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13"/>
    </row>
    <row r="155" spans="1:15" x14ac:dyDescent="0.25">
      <c r="A155" s="851" t="s">
        <v>15</v>
      </c>
      <c r="B155" s="707" t="s">
        <v>37</v>
      </c>
      <c r="C155" s="707" t="s">
        <v>21</v>
      </c>
      <c r="D155" s="707" t="s">
        <v>22</v>
      </c>
      <c r="E155" s="707" t="s">
        <v>23</v>
      </c>
      <c r="F155" s="707" t="s">
        <v>24</v>
      </c>
      <c r="G155" s="707" t="s">
        <v>25</v>
      </c>
      <c r="H155" s="707" t="s">
        <v>26</v>
      </c>
      <c r="I155" s="707" t="s">
        <v>18</v>
      </c>
      <c r="J155" s="707" t="s">
        <v>19</v>
      </c>
      <c r="K155" s="206"/>
      <c r="L155" s="206"/>
      <c r="M155" s="206"/>
      <c r="N155" s="206"/>
      <c r="O155" s="213"/>
    </row>
    <row r="156" spans="1:15" x14ac:dyDescent="0.25">
      <c r="A156" s="222">
        <v>10</v>
      </c>
      <c r="B156" s="203" t="s">
        <v>196</v>
      </c>
      <c r="C156" s="217" t="s">
        <v>197</v>
      </c>
      <c r="D156" s="207">
        <v>0.09</v>
      </c>
      <c r="E156" s="196">
        <v>20</v>
      </c>
      <c r="F156" s="218" t="s">
        <v>31</v>
      </c>
      <c r="G156" s="196"/>
      <c r="H156" s="219"/>
      <c r="I156" s="220">
        <v>8</v>
      </c>
      <c r="J156" s="195">
        <v>0.72</v>
      </c>
      <c r="K156" s="226"/>
      <c r="L156" s="226"/>
      <c r="M156" s="226"/>
      <c r="N156" s="226"/>
      <c r="O156" s="213"/>
    </row>
    <row r="157" spans="1:15" x14ac:dyDescent="0.25">
      <c r="A157" s="222">
        <v>20</v>
      </c>
      <c r="B157" s="203" t="s">
        <v>198</v>
      </c>
      <c r="C157" s="217" t="s">
        <v>199</v>
      </c>
      <c r="D157" s="207">
        <v>0.92</v>
      </c>
      <c r="E157" s="196">
        <v>65.5</v>
      </c>
      <c r="F157" s="218" t="s">
        <v>31</v>
      </c>
      <c r="G157" s="196"/>
      <c r="H157" s="219"/>
      <c r="I157" s="220">
        <v>2</v>
      </c>
      <c r="J157" s="195">
        <v>1.84</v>
      </c>
      <c r="K157" s="226"/>
      <c r="L157" s="226"/>
      <c r="M157" s="226"/>
      <c r="N157" s="226"/>
      <c r="O157" s="213"/>
    </row>
    <row r="158" spans="1:15" x14ac:dyDescent="0.25">
      <c r="A158" s="222">
        <v>30</v>
      </c>
      <c r="B158" s="203" t="s">
        <v>198</v>
      </c>
      <c r="C158" s="217" t="s">
        <v>199</v>
      </c>
      <c r="D158" s="207">
        <v>0.28000000000000003</v>
      </c>
      <c r="E158" s="196">
        <v>20</v>
      </c>
      <c r="F158" s="218" t="s">
        <v>31</v>
      </c>
      <c r="G158" s="196"/>
      <c r="H158" s="219"/>
      <c r="I158" s="220">
        <v>2</v>
      </c>
      <c r="J158" s="195">
        <v>0.56000000000000005</v>
      </c>
      <c r="K158" s="226"/>
      <c r="L158" s="226"/>
      <c r="M158" s="226"/>
      <c r="N158" s="226"/>
      <c r="O158" s="213"/>
    </row>
    <row r="159" spans="1:15" ht="30" x14ac:dyDescent="0.25">
      <c r="A159" s="222">
        <v>40</v>
      </c>
      <c r="B159" s="203" t="s">
        <v>151</v>
      </c>
      <c r="C159" s="217" t="s">
        <v>200</v>
      </c>
      <c r="D159" s="207">
        <v>0.08</v>
      </c>
      <c r="E159" s="196">
        <v>8</v>
      </c>
      <c r="F159" s="218" t="s">
        <v>31</v>
      </c>
      <c r="G159" s="196">
        <v>20</v>
      </c>
      <c r="H159" s="219" t="s">
        <v>31</v>
      </c>
      <c r="I159" s="220">
        <v>2</v>
      </c>
      <c r="J159" s="195">
        <v>0.16</v>
      </c>
      <c r="K159" s="226"/>
      <c r="L159" s="226"/>
      <c r="M159" s="226"/>
      <c r="N159" s="226"/>
      <c r="O159" s="213"/>
    </row>
    <row r="160" spans="1:15" x14ac:dyDescent="0.25">
      <c r="A160" s="222">
        <v>50</v>
      </c>
      <c r="B160" s="203" t="s">
        <v>201</v>
      </c>
      <c r="C160" s="217" t="s">
        <v>202</v>
      </c>
      <c r="D160" s="207">
        <v>6.55</v>
      </c>
      <c r="E160" s="196">
        <v>20</v>
      </c>
      <c r="F160" s="218" t="s">
        <v>31</v>
      </c>
      <c r="G160" s="196"/>
      <c r="H160" s="219"/>
      <c r="I160" s="220">
        <v>2</v>
      </c>
      <c r="J160" s="195">
        <v>13.1</v>
      </c>
      <c r="K160" s="226"/>
      <c r="L160" s="226"/>
      <c r="M160" s="226"/>
      <c r="N160" s="226"/>
      <c r="O160" s="213"/>
    </row>
    <row r="161" spans="1:15" x14ac:dyDescent="0.25">
      <c r="A161" s="225"/>
      <c r="B161" s="206"/>
      <c r="C161" s="206"/>
      <c r="D161" s="206"/>
      <c r="E161" s="206"/>
      <c r="F161" s="206"/>
      <c r="G161" s="206"/>
      <c r="H161" s="206"/>
      <c r="I161" s="855" t="s">
        <v>19</v>
      </c>
      <c r="J161" s="853">
        <v>16.38</v>
      </c>
      <c r="K161" s="206"/>
      <c r="L161" s="206"/>
      <c r="M161" s="206"/>
      <c r="N161" s="206"/>
      <c r="O161" s="213"/>
    </row>
    <row r="162" spans="1:15" ht="15.75" thickBot="1" x14ac:dyDescent="0.3">
      <c r="A162" s="214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6"/>
    </row>
    <row r="163" spans="1:15" ht="15.75" thickBot="1" x14ac:dyDescent="0.3"/>
    <row r="164" spans="1:15" x14ac:dyDescent="0.25">
      <c r="A164" s="254"/>
      <c r="B164" s="255"/>
      <c r="C164" s="255"/>
      <c r="D164" s="255"/>
      <c r="E164" s="255"/>
      <c r="F164" s="255"/>
      <c r="G164" s="255"/>
      <c r="H164" s="255"/>
      <c r="I164" s="255"/>
      <c r="J164" s="255"/>
      <c r="K164" s="255"/>
      <c r="L164" s="255"/>
      <c r="M164" s="255"/>
      <c r="N164" s="255"/>
      <c r="O164" s="256"/>
    </row>
    <row r="165" spans="1:15" x14ac:dyDescent="0.25">
      <c r="A165" s="707" t="s">
        <v>0</v>
      </c>
      <c r="B165" s="268" t="s">
        <v>47</v>
      </c>
      <c r="C165" s="271"/>
      <c r="D165" s="271"/>
      <c r="E165" s="271"/>
      <c r="F165" s="271"/>
      <c r="G165" s="271"/>
      <c r="H165" s="271"/>
      <c r="I165" s="271"/>
      <c r="J165" s="707" t="s">
        <v>2</v>
      </c>
      <c r="K165" s="279">
        <v>81</v>
      </c>
      <c r="L165" s="271"/>
      <c r="M165" s="707" t="s">
        <v>3</v>
      </c>
      <c r="N165" s="272">
        <f>EN_A0004_m+EN_A0004_f+EN_A0004_p+E178</f>
        <v>120.44</v>
      </c>
      <c r="O165" s="257"/>
    </row>
    <row r="166" spans="1:15" x14ac:dyDescent="0.25">
      <c r="A166" s="707" t="s">
        <v>4</v>
      </c>
      <c r="B166" s="268" t="s">
        <v>81</v>
      </c>
      <c r="C166" s="271"/>
      <c r="D166" s="271"/>
      <c r="E166" s="271"/>
      <c r="F166" s="271"/>
      <c r="G166" s="271"/>
      <c r="H166" s="271"/>
      <c r="I166" s="271"/>
      <c r="J166" s="268"/>
      <c r="K166" s="271"/>
      <c r="L166" s="271"/>
      <c r="M166" s="707" t="s">
        <v>5</v>
      </c>
      <c r="N166" s="273">
        <v>1</v>
      </c>
      <c r="O166" s="257"/>
    </row>
    <row r="167" spans="1:15" x14ac:dyDescent="0.25">
      <c r="A167" s="707" t="s">
        <v>6</v>
      </c>
      <c r="B167" s="268" t="s">
        <v>203</v>
      </c>
      <c r="C167" s="271"/>
      <c r="D167" s="271"/>
      <c r="E167" s="271"/>
      <c r="F167" s="271"/>
      <c r="G167" s="271"/>
      <c r="H167" s="271"/>
      <c r="I167" s="271"/>
      <c r="J167" s="854" t="s">
        <v>7</v>
      </c>
      <c r="K167" s="271"/>
      <c r="L167" s="271"/>
      <c r="M167" s="268"/>
      <c r="N167" s="271"/>
      <c r="O167" s="257"/>
    </row>
    <row r="168" spans="1:15" x14ac:dyDescent="0.25">
      <c r="A168" s="707" t="s">
        <v>8</v>
      </c>
      <c r="B168" s="268" t="s">
        <v>232</v>
      </c>
      <c r="C168" s="271"/>
      <c r="D168" s="271"/>
      <c r="E168" s="271"/>
      <c r="F168" s="271"/>
      <c r="G168" s="271"/>
      <c r="H168" s="271"/>
      <c r="I168" s="271"/>
      <c r="J168" s="854" t="s">
        <v>9</v>
      </c>
      <c r="K168" s="271"/>
      <c r="L168" s="271"/>
      <c r="M168" s="707" t="s">
        <v>10</v>
      </c>
      <c r="N168" s="272">
        <f>N165*N166</f>
        <v>120.44</v>
      </c>
      <c r="O168" s="257"/>
    </row>
    <row r="169" spans="1:15" x14ac:dyDescent="0.25">
      <c r="A169" s="707" t="s">
        <v>11</v>
      </c>
      <c r="B169" s="268" t="s">
        <v>12</v>
      </c>
      <c r="C169" s="271"/>
      <c r="D169" s="271"/>
      <c r="E169" s="271"/>
      <c r="F169" s="271"/>
      <c r="G169" s="271"/>
      <c r="H169" s="271"/>
      <c r="I169" s="271"/>
      <c r="J169" s="854" t="s">
        <v>13</v>
      </c>
      <c r="K169" s="271"/>
      <c r="L169" s="271"/>
      <c r="M169" s="271"/>
      <c r="N169" s="271"/>
      <c r="O169" s="257"/>
    </row>
    <row r="170" spans="1:15" x14ac:dyDescent="0.25">
      <c r="A170" s="707" t="s">
        <v>14</v>
      </c>
      <c r="B170" s="270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57"/>
    </row>
    <row r="171" spans="1:15" x14ac:dyDescent="0.25">
      <c r="A171" s="274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57"/>
    </row>
    <row r="172" spans="1:15" x14ac:dyDescent="0.25">
      <c r="A172" s="851" t="s">
        <v>15</v>
      </c>
      <c r="B172" s="707" t="s">
        <v>16</v>
      </c>
      <c r="C172" s="707" t="s">
        <v>17</v>
      </c>
      <c r="D172" s="707" t="s">
        <v>18</v>
      </c>
      <c r="E172" s="707" t="s">
        <v>19</v>
      </c>
      <c r="F172" s="268"/>
      <c r="G172" s="268"/>
      <c r="H172" s="268"/>
      <c r="I172" s="268"/>
      <c r="J172" s="268"/>
      <c r="K172" s="268"/>
      <c r="L172" s="268"/>
      <c r="M172" s="268"/>
      <c r="N172" s="268"/>
      <c r="O172" s="257"/>
    </row>
    <row r="173" spans="1:15" x14ac:dyDescent="0.25">
      <c r="A173" s="277">
        <v>10</v>
      </c>
      <c r="B173" s="236" t="s">
        <v>204</v>
      </c>
      <c r="C173" s="275">
        <v>1</v>
      </c>
      <c r="D173" s="276">
        <v>1</v>
      </c>
      <c r="E173" s="272">
        <v>1</v>
      </c>
      <c r="F173" s="271"/>
      <c r="G173" s="271"/>
      <c r="H173" s="271"/>
      <c r="I173" s="271"/>
      <c r="J173" s="271"/>
      <c r="K173" s="271"/>
      <c r="L173" s="271"/>
      <c r="M173" s="271"/>
      <c r="N173" s="271"/>
      <c r="O173" s="257"/>
    </row>
    <row r="174" spans="1:15" x14ac:dyDescent="0.25">
      <c r="A174" s="277">
        <v>20</v>
      </c>
      <c r="B174" s="236" t="s">
        <v>205</v>
      </c>
      <c r="C174" s="275">
        <v>1</v>
      </c>
      <c r="D174" s="276">
        <v>1</v>
      </c>
      <c r="E174" s="272">
        <v>1</v>
      </c>
      <c r="F174" s="271"/>
      <c r="G174" s="271"/>
      <c r="H174" s="271"/>
      <c r="I174" s="271"/>
      <c r="J174" s="271"/>
      <c r="K174" s="271"/>
      <c r="L174" s="271"/>
      <c r="M174" s="271"/>
      <c r="N174" s="271"/>
      <c r="O174" s="257"/>
    </row>
    <row r="175" spans="1:15" x14ac:dyDescent="0.25">
      <c r="A175" s="277">
        <v>30</v>
      </c>
      <c r="B175" s="236" t="s">
        <v>206</v>
      </c>
      <c r="C175" s="275">
        <v>1</v>
      </c>
      <c r="D175" s="276">
        <v>1</v>
      </c>
      <c r="E175" s="272">
        <v>1</v>
      </c>
      <c r="F175" s="271"/>
      <c r="G175" s="271"/>
      <c r="H175" s="271"/>
      <c r="I175" s="271"/>
      <c r="J175" s="271"/>
      <c r="K175" s="271"/>
      <c r="L175" s="271"/>
      <c r="M175" s="271"/>
      <c r="N175" s="271"/>
      <c r="O175" s="257"/>
    </row>
    <row r="176" spans="1:15" x14ac:dyDescent="0.25">
      <c r="A176" s="277">
        <v>40</v>
      </c>
      <c r="B176" s="236" t="s">
        <v>207</v>
      </c>
      <c r="C176" s="275">
        <v>6</v>
      </c>
      <c r="D176" s="276">
        <v>6</v>
      </c>
      <c r="E176" s="272">
        <v>36</v>
      </c>
      <c r="F176" s="271"/>
      <c r="G176" s="271"/>
      <c r="H176" s="271"/>
      <c r="I176" s="271"/>
      <c r="J176" s="271"/>
      <c r="K176" s="271"/>
      <c r="L176" s="271"/>
      <c r="M176" s="271"/>
      <c r="N176" s="271"/>
      <c r="O176" s="257"/>
    </row>
    <row r="177" spans="1:15" x14ac:dyDescent="0.25">
      <c r="A177" s="277">
        <v>50</v>
      </c>
      <c r="B177" s="236" t="s">
        <v>357</v>
      </c>
      <c r="C177" s="275">
        <v>1</v>
      </c>
      <c r="D177" s="276">
        <v>1</v>
      </c>
      <c r="E177" s="272">
        <v>1</v>
      </c>
      <c r="F177" s="271"/>
      <c r="G177" s="271"/>
      <c r="H177" s="271"/>
      <c r="I177" s="271"/>
      <c r="J177" s="271"/>
      <c r="K177" s="271"/>
      <c r="L177" s="271"/>
      <c r="M177" s="271"/>
      <c r="N177" s="271"/>
      <c r="O177" s="257"/>
    </row>
    <row r="178" spans="1:15" x14ac:dyDescent="0.25">
      <c r="A178" s="274"/>
      <c r="B178" s="271"/>
      <c r="C178" s="271"/>
      <c r="D178" s="852" t="s">
        <v>19</v>
      </c>
      <c r="E178" s="853">
        <v>41</v>
      </c>
      <c r="F178" s="271"/>
      <c r="G178" s="271"/>
      <c r="H178" s="271"/>
      <c r="I178" s="271"/>
      <c r="J178" s="271"/>
      <c r="K178" s="271"/>
      <c r="L178" s="271"/>
      <c r="M178" s="271"/>
      <c r="N178" s="271"/>
      <c r="O178" s="257"/>
    </row>
    <row r="179" spans="1:15" x14ac:dyDescent="0.25">
      <c r="A179" s="274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57"/>
    </row>
    <row r="180" spans="1:15" x14ac:dyDescent="0.25">
      <c r="A180" s="851" t="s">
        <v>15</v>
      </c>
      <c r="B180" s="707" t="s">
        <v>20</v>
      </c>
      <c r="C180" s="707" t="s">
        <v>21</v>
      </c>
      <c r="D180" s="707" t="s">
        <v>22</v>
      </c>
      <c r="E180" s="707" t="s">
        <v>23</v>
      </c>
      <c r="F180" s="707" t="s">
        <v>24</v>
      </c>
      <c r="G180" s="707" t="s">
        <v>25</v>
      </c>
      <c r="H180" s="707" t="s">
        <v>26</v>
      </c>
      <c r="I180" s="707" t="s">
        <v>27</v>
      </c>
      <c r="J180" s="707" t="s">
        <v>28</v>
      </c>
      <c r="K180" s="707" t="s">
        <v>29</v>
      </c>
      <c r="L180" s="707" t="s">
        <v>30</v>
      </c>
      <c r="M180" s="707" t="s">
        <v>18</v>
      </c>
      <c r="N180" s="707" t="s">
        <v>19</v>
      </c>
      <c r="O180" s="257"/>
    </row>
    <row r="181" spans="1:15" x14ac:dyDescent="0.25">
      <c r="A181" s="266">
        <v>10</v>
      </c>
      <c r="B181" s="248" t="s">
        <v>208</v>
      </c>
      <c r="C181" s="239" t="s">
        <v>209</v>
      </c>
      <c r="D181" s="240">
        <v>0.05</v>
      </c>
      <c r="E181" s="241">
        <v>1112</v>
      </c>
      <c r="F181" s="242" t="s">
        <v>31</v>
      </c>
      <c r="G181" s="241"/>
      <c r="H181" s="243"/>
      <c r="I181" s="244"/>
      <c r="J181" s="245"/>
      <c r="K181" s="246"/>
      <c r="L181" s="246"/>
      <c r="M181" s="267">
        <v>1112</v>
      </c>
      <c r="N181" s="247">
        <v>55.6</v>
      </c>
      <c r="O181" s="257"/>
    </row>
    <row r="182" spans="1:15" x14ac:dyDescent="0.25">
      <c r="A182" s="269"/>
      <c r="B182" s="249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852" t="s">
        <v>19</v>
      </c>
      <c r="N182" s="853">
        <v>55.6</v>
      </c>
      <c r="O182" s="257"/>
    </row>
    <row r="183" spans="1:15" x14ac:dyDescent="0.25">
      <c r="A183" s="274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57"/>
    </row>
    <row r="184" spans="1:15" x14ac:dyDescent="0.25">
      <c r="A184" s="851" t="s">
        <v>15</v>
      </c>
      <c r="B184" s="707" t="s">
        <v>32</v>
      </c>
      <c r="C184" s="707" t="s">
        <v>21</v>
      </c>
      <c r="D184" s="707" t="s">
        <v>22</v>
      </c>
      <c r="E184" s="707" t="s">
        <v>33</v>
      </c>
      <c r="F184" s="707" t="s">
        <v>18</v>
      </c>
      <c r="G184" s="707" t="s">
        <v>34</v>
      </c>
      <c r="H184" s="707" t="s">
        <v>35</v>
      </c>
      <c r="I184" s="707" t="s">
        <v>19</v>
      </c>
      <c r="J184" s="249"/>
      <c r="K184" s="249"/>
      <c r="L184" s="249"/>
      <c r="M184" s="249"/>
      <c r="N184" s="249"/>
      <c r="O184" s="257"/>
    </row>
    <row r="185" spans="1:15" x14ac:dyDescent="0.25">
      <c r="A185" s="266">
        <v>10</v>
      </c>
      <c r="B185" s="253" t="s">
        <v>132</v>
      </c>
      <c r="C185" s="253" t="s">
        <v>210</v>
      </c>
      <c r="D185" s="240">
        <v>0.15</v>
      </c>
      <c r="E185" s="242" t="s">
        <v>53</v>
      </c>
      <c r="F185" s="241">
        <v>15</v>
      </c>
      <c r="G185" s="251"/>
      <c r="H185" s="251"/>
      <c r="I185" s="252">
        <v>2.25</v>
      </c>
      <c r="J185" s="271"/>
      <c r="K185" s="271"/>
      <c r="L185" s="271"/>
      <c r="M185" s="271"/>
      <c r="N185" s="271"/>
      <c r="O185" s="257"/>
    </row>
    <row r="186" spans="1:15" ht="30" x14ac:dyDescent="0.25">
      <c r="A186" s="266">
        <v>20</v>
      </c>
      <c r="B186" s="253" t="s">
        <v>137</v>
      </c>
      <c r="C186" s="253" t="s">
        <v>211</v>
      </c>
      <c r="D186" s="240">
        <v>0.56000000000000005</v>
      </c>
      <c r="E186" s="242" t="s">
        <v>36</v>
      </c>
      <c r="F186" s="241">
        <v>1</v>
      </c>
      <c r="G186" s="251"/>
      <c r="H186" s="251"/>
      <c r="I186" s="252">
        <v>0.56000000000000005</v>
      </c>
      <c r="J186" s="271"/>
      <c r="K186" s="271"/>
      <c r="L186" s="271"/>
      <c r="M186" s="271"/>
      <c r="N186" s="271"/>
      <c r="O186" s="257"/>
    </row>
    <row r="187" spans="1:15" x14ac:dyDescent="0.25">
      <c r="A187" s="266">
        <v>30</v>
      </c>
      <c r="B187" s="253" t="s">
        <v>139</v>
      </c>
      <c r="C187" s="253" t="s">
        <v>212</v>
      </c>
      <c r="D187" s="240">
        <v>0.19</v>
      </c>
      <c r="E187" s="242" t="s">
        <v>36</v>
      </c>
      <c r="F187" s="241">
        <v>1</v>
      </c>
      <c r="G187" s="251"/>
      <c r="H187" s="251"/>
      <c r="I187" s="252">
        <v>0.19</v>
      </c>
      <c r="J187" s="271"/>
      <c r="K187" s="271"/>
      <c r="L187" s="271"/>
      <c r="M187" s="271"/>
      <c r="N187" s="271"/>
      <c r="O187" s="257"/>
    </row>
    <row r="188" spans="1:15" x14ac:dyDescent="0.25">
      <c r="A188" s="266">
        <v>40</v>
      </c>
      <c r="B188" s="253" t="s">
        <v>168</v>
      </c>
      <c r="C188" s="253" t="s">
        <v>213</v>
      </c>
      <c r="D188" s="240">
        <v>0.06</v>
      </c>
      <c r="E188" s="242" t="s">
        <v>36</v>
      </c>
      <c r="F188" s="241">
        <v>6</v>
      </c>
      <c r="G188" s="251"/>
      <c r="H188" s="251"/>
      <c r="I188" s="252">
        <v>0.36</v>
      </c>
      <c r="J188" s="271"/>
      <c r="K188" s="271"/>
      <c r="L188" s="271"/>
      <c r="M188" s="271"/>
      <c r="N188" s="271"/>
      <c r="O188" s="257"/>
    </row>
    <row r="189" spans="1:15" x14ac:dyDescent="0.25">
      <c r="A189" s="266">
        <v>50</v>
      </c>
      <c r="B189" s="253" t="s">
        <v>168</v>
      </c>
      <c r="C189" s="253" t="s">
        <v>214</v>
      </c>
      <c r="D189" s="240">
        <v>0.06</v>
      </c>
      <c r="E189" s="242" t="s">
        <v>36</v>
      </c>
      <c r="F189" s="241">
        <v>1</v>
      </c>
      <c r="G189" s="251"/>
      <c r="H189" s="251"/>
      <c r="I189" s="252">
        <v>0.06</v>
      </c>
      <c r="J189" s="271"/>
      <c r="K189" s="271"/>
      <c r="L189" s="271"/>
      <c r="M189" s="271"/>
      <c r="N189" s="271"/>
      <c r="O189" s="257"/>
    </row>
    <row r="190" spans="1:15" x14ac:dyDescent="0.25">
      <c r="A190" s="266">
        <v>60</v>
      </c>
      <c r="B190" s="253" t="s">
        <v>170</v>
      </c>
      <c r="C190" s="253" t="s">
        <v>215</v>
      </c>
      <c r="D190" s="240">
        <v>0.75</v>
      </c>
      <c r="E190" s="242" t="s">
        <v>36</v>
      </c>
      <c r="F190" s="241">
        <v>6</v>
      </c>
      <c r="G190" s="251"/>
      <c r="H190" s="251"/>
      <c r="I190" s="252">
        <v>4.5</v>
      </c>
      <c r="J190" s="271"/>
      <c r="K190" s="271"/>
      <c r="L190" s="271"/>
      <c r="M190" s="271"/>
      <c r="N190" s="271"/>
      <c r="O190" s="257"/>
    </row>
    <row r="191" spans="1:15" x14ac:dyDescent="0.25">
      <c r="A191" s="266">
        <v>70</v>
      </c>
      <c r="B191" s="253" t="s">
        <v>145</v>
      </c>
      <c r="C191" s="253" t="s">
        <v>215</v>
      </c>
      <c r="D191" s="240">
        <v>0.25</v>
      </c>
      <c r="E191" s="242" t="s">
        <v>36</v>
      </c>
      <c r="F191" s="241">
        <v>6</v>
      </c>
      <c r="G191" s="251"/>
      <c r="H191" s="251"/>
      <c r="I191" s="252">
        <v>1.5</v>
      </c>
      <c r="J191" s="271"/>
      <c r="K191" s="271"/>
      <c r="L191" s="271"/>
      <c r="M191" s="271"/>
      <c r="N191" s="271"/>
      <c r="O191" s="257"/>
    </row>
    <row r="192" spans="1:15" x14ac:dyDescent="0.25">
      <c r="A192" s="266">
        <v>80</v>
      </c>
      <c r="B192" s="253" t="s">
        <v>139</v>
      </c>
      <c r="C192" s="253" t="s">
        <v>216</v>
      </c>
      <c r="D192" s="240">
        <v>0.19</v>
      </c>
      <c r="E192" s="242" t="s">
        <v>36</v>
      </c>
      <c r="F192" s="241">
        <v>1</v>
      </c>
      <c r="G192" s="251"/>
      <c r="H192" s="251"/>
      <c r="I192" s="252">
        <v>0.19</v>
      </c>
      <c r="J192" s="271"/>
      <c r="K192" s="271"/>
      <c r="L192" s="271"/>
      <c r="M192" s="271"/>
      <c r="N192" s="271"/>
      <c r="O192" s="257"/>
    </row>
    <row r="193" spans="1:15" x14ac:dyDescent="0.25">
      <c r="A193" s="266">
        <v>90</v>
      </c>
      <c r="B193" s="253" t="s">
        <v>170</v>
      </c>
      <c r="C193" s="253" t="s">
        <v>217</v>
      </c>
      <c r="D193" s="240">
        <v>0.75</v>
      </c>
      <c r="E193" s="242" t="s">
        <v>36</v>
      </c>
      <c r="F193" s="241">
        <v>1</v>
      </c>
      <c r="G193" s="251"/>
      <c r="H193" s="251"/>
      <c r="I193" s="252">
        <v>0.75</v>
      </c>
      <c r="J193" s="271"/>
      <c r="K193" s="271"/>
      <c r="L193" s="271"/>
      <c r="M193" s="271"/>
      <c r="N193" s="271"/>
      <c r="O193" s="257"/>
    </row>
    <row r="194" spans="1:15" x14ac:dyDescent="0.25">
      <c r="A194" s="266">
        <v>100</v>
      </c>
      <c r="B194" s="253" t="s">
        <v>218</v>
      </c>
      <c r="C194" s="253" t="s">
        <v>219</v>
      </c>
      <c r="D194" s="240">
        <v>0.63</v>
      </c>
      <c r="E194" s="242" t="s">
        <v>36</v>
      </c>
      <c r="F194" s="241">
        <v>1</v>
      </c>
      <c r="G194" s="251"/>
      <c r="H194" s="251"/>
      <c r="I194" s="252">
        <v>0.63</v>
      </c>
      <c r="J194" s="271"/>
      <c r="K194" s="271"/>
      <c r="L194" s="271"/>
      <c r="M194" s="271"/>
      <c r="N194" s="271"/>
      <c r="O194" s="257"/>
    </row>
    <row r="195" spans="1:15" x14ac:dyDescent="0.25">
      <c r="A195" s="266">
        <v>110</v>
      </c>
      <c r="B195" s="253" t="s">
        <v>220</v>
      </c>
      <c r="C195" s="253" t="s">
        <v>221</v>
      </c>
      <c r="D195" s="240">
        <v>5</v>
      </c>
      <c r="E195" s="242" t="s">
        <v>36</v>
      </c>
      <c r="F195" s="241">
        <v>1</v>
      </c>
      <c r="G195" s="251"/>
      <c r="H195" s="251"/>
      <c r="I195" s="252">
        <v>5</v>
      </c>
      <c r="J195" s="271"/>
      <c r="K195" s="271"/>
      <c r="L195" s="271"/>
      <c r="M195" s="271"/>
      <c r="N195" s="271"/>
      <c r="O195" s="257"/>
    </row>
    <row r="196" spans="1:15" x14ac:dyDescent="0.25">
      <c r="A196" s="266">
        <v>120</v>
      </c>
      <c r="B196" s="253" t="s">
        <v>168</v>
      </c>
      <c r="C196" s="253" t="s">
        <v>222</v>
      </c>
      <c r="D196" s="240">
        <v>0.06</v>
      </c>
      <c r="E196" s="242" t="s">
        <v>36</v>
      </c>
      <c r="F196" s="241">
        <v>1</v>
      </c>
      <c r="G196" s="251"/>
      <c r="H196" s="251"/>
      <c r="I196" s="252">
        <v>0.06</v>
      </c>
      <c r="J196" s="271"/>
      <c r="K196" s="271"/>
      <c r="L196" s="271"/>
      <c r="M196" s="271"/>
      <c r="N196" s="271"/>
      <c r="O196" s="257"/>
    </row>
    <row r="197" spans="1:15" ht="30" x14ac:dyDescent="0.25">
      <c r="A197" s="266">
        <v>130</v>
      </c>
      <c r="B197" s="253" t="s">
        <v>170</v>
      </c>
      <c r="C197" s="253" t="s">
        <v>223</v>
      </c>
      <c r="D197" s="240">
        <v>0.75</v>
      </c>
      <c r="E197" s="242" t="s">
        <v>36</v>
      </c>
      <c r="F197" s="241">
        <v>2</v>
      </c>
      <c r="G197" s="251"/>
      <c r="H197" s="251"/>
      <c r="I197" s="252">
        <v>1.5</v>
      </c>
      <c r="J197" s="271"/>
      <c r="K197" s="271"/>
      <c r="L197" s="271"/>
      <c r="M197" s="271"/>
      <c r="N197" s="271"/>
      <c r="O197" s="257"/>
    </row>
    <row r="198" spans="1:15" ht="30" x14ac:dyDescent="0.25">
      <c r="A198" s="266">
        <v>140</v>
      </c>
      <c r="B198" s="253" t="s">
        <v>145</v>
      </c>
      <c r="C198" s="253" t="s">
        <v>223</v>
      </c>
      <c r="D198" s="240">
        <v>0.25</v>
      </c>
      <c r="E198" s="242" t="s">
        <v>36</v>
      </c>
      <c r="F198" s="241">
        <v>2</v>
      </c>
      <c r="G198" s="251"/>
      <c r="H198" s="251"/>
      <c r="I198" s="252">
        <v>0.5</v>
      </c>
      <c r="J198" s="271"/>
      <c r="K198" s="271"/>
      <c r="L198" s="271"/>
      <c r="M198" s="271"/>
      <c r="N198" s="271"/>
      <c r="O198" s="257"/>
    </row>
    <row r="199" spans="1:15" ht="30" x14ac:dyDescent="0.25">
      <c r="A199" s="266">
        <v>150</v>
      </c>
      <c r="B199" s="253" t="s">
        <v>168</v>
      </c>
      <c r="C199" s="253" t="s">
        <v>224</v>
      </c>
      <c r="D199" s="240">
        <v>0.06</v>
      </c>
      <c r="E199" s="242" t="s">
        <v>36</v>
      </c>
      <c r="F199" s="241">
        <v>1</v>
      </c>
      <c r="G199" s="251"/>
      <c r="H199" s="251"/>
      <c r="I199" s="252">
        <v>0.06</v>
      </c>
      <c r="J199" s="271"/>
      <c r="K199" s="271"/>
      <c r="L199" s="271"/>
      <c r="M199" s="271"/>
      <c r="N199" s="271"/>
      <c r="O199" s="257"/>
    </row>
    <row r="200" spans="1:15" x14ac:dyDescent="0.25">
      <c r="A200" s="266">
        <v>160</v>
      </c>
      <c r="B200" s="253" t="s">
        <v>170</v>
      </c>
      <c r="C200" s="253" t="s">
        <v>225</v>
      </c>
      <c r="D200" s="240">
        <v>0.75</v>
      </c>
      <c r="E200" s="242" t="s">
        <v>36</v>
      </c>
      <c r="F200" s="241">
        <v>1</v>
      </c>
      <c r="G200" s="251"/>
      <c r="H200" s="251"/>
      <c r="I200" s="252">
        <v>0.75</v>
      </c>
      <c r="J200" s="271"/>
      <c r="K200" s="271"/>
      <c r="L200" s="271"/>
      <c r="M200" s="271"/>
      <c r="N200" s="271"/>
      <c r="O200" s="257"/>
    </row>
    <row r="201" spans="1:15" x14ac:dyDescent="0.25">
      <c r="A201" s="266">
        <v>170</v>
      </c>
      <c r="B201" s="253" t="s">
        <v>145</v>
      </c>
      <c r="C201" s="253" t="s">
        <v>225</v>
      </c>
      <c r="D201" s="240">
        <v>0.25</v>
      </c>
      <c r="E201" s="242" t="s">
        <v>36</v>
      </c>
      <c r="F201" s="241">
        <v>1</v>
      </c>
      <c r="G201" s="251"/>
      <c r="H201" s="251"/>
      <c r="I201" s="252">
        <v>0.25</v>
      </c>
      <c r="J201" s="271"/>
      <c r="K201" s="271"/>
      <c r="L201" s="271"/>
      <c r="M201" s="271"/>
      <c r="N201" s="271"/>
      <c r="O201" s="257"/>
    </row>
    <row r="202" spans="1:15" x14ac:dyDescent="0.25">
      <c r="A202" s="269"/>
      <c r="B202" s="249"/>
      <c r="C202" s="249"/>
      <c r="D202" s="249"/>
      <c r="E202" s="249"/>
      <c r="F202" s="249"/>
      <c r="G202" s="249"/>
      <c r="H202" s="852" t="s">
        <v>19</v>
      </c>
      <c r="I202" s="853">
        <v>19.11</v>
      </c>
      <c r="J202" s="278"/>
      <c r="K202" s="249"/>
      <c r="L202" s="249"/>
      <c r="M202" s="249"/>
      <c r="N202" s="249"/>
      <c r="O202" s="257"/>
    </row>
    <row r="203" spans="1:15" x14ac:dyDescent="0.25">
      <c r="A203" s="274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57"/>
    </row>
    <row r="204" spans="1:15" x14ac:dyDescent="0.25">
      <c r="A204" s="851" t="s">
        <v>15</v>
      </c>
      <c r="B204" s="707" t="s">
        <v>37</v>
      </c>
      <c r="C204" s="707" t="s">
        <v>21</v>
      </c>
      <c r="D204" s="707" t="s">
        <v>22</v>
      </c>
      <c r="E204" s="707" t="s">
        <v>23</v>
      </c>
      <c r="F204" s="707" t="s">
        <v>24</v>
      </c>
      <c r="G204" s="707" t="s">
        <v>25</v>
      </c>
      <c r="H204" s="707" t="s">
        <v>26</v>
      </c>
      <c r="I204" s="707" t="s">
        <v>18</v>
      </c>
      <c r="J204" s="707" t="s">
        <v>19</v>
      </c>
      <c r="K204" s="249"/>
      <c r="L204" s="249"/>
      <c r="M204" s="249"/>
      <c r="N204" s="249"/>
      <c r="O204" s="257"/>
    </row>
    <row r="205" spans="1:15" ht="30" x14ac:dyDescent="0.25">
      <c r="A205" s="266">
        <v>10</v>
      </c>
      <c r="B205" s="248" t="s">
        <v>226</v>
      </c>
      <c r="C205" s="262" t="s">
        <v>227</v>
      </c>
      <c r="D205" s="250">
        <v>0.54</v>
      </c>
      <c r="E205" s="241">
        <v>10</v>
      </c>
      <c r="F205" s="263" t="s">
        <v>31</v>
      </c>
      <c r="G205" s="241">
        <v>50</v>
      </c>
      <c r="H205" s="264" t="s">
        <v>31</v>
      </c>
      <c r="I205" s="265">
        <v>6</v>
      </c>
      <c r="J205" s="240">
        <v>3.24</v>
      </c>
      <c r="K205" s="249"/>
      <c r="L205" s="249"/>
      <c r="M205" s="249"/>
      <c r="N205" s="249"/>
      <c r="O205" s="257"/>
    </row>
    <row r="206" spans="1:15" ht="30" x14ac:dyDescent="0.25">
      <c r="A206" s="266">
        <v>20</v>
      </c>
      <c r="B206" s="248" t="s">
        <v>39</v>
      </c>
      <c r="C206" s="262" t="s">
        <v>227</v>
      </c>
      <c r="D206" s="250">
        <v>7.0000000000000007E-2</v>
      </c>
      <c r="E206" s="241">
        <v>10</v>
      </c>
      <c r="F206" s="263" t="s">
        <v>31</v>
      </c>
      <c r="G206" s="241"/>
      <c r="H206" s="264"/>
      <c r="I206" s="265">
        <v>6</v>
      </c>
      <c r="J206" s="240">
        <v>0.42000000000000004</v>
      </c>
      <c r="K206" s="271"/>
      <c r="L206" s="271"/>
      <c r="M206" s="271"/>
      <c r="N206" s="271"/>
      <c r="O206" s="257"/>
    </row>
    <row r="207" spans="1:15" ht="30" x14ac:dyDescent="0.25">
      <c r="A207" s="266">
        <v>30</v>
      </c>
      <c r="B207" s="248" t="s">
        <v>38</v>
      </c>
      <c r="C207" s="262" t="s">
        <v>227</v>
      </c>
      <c r="D207" s="250">
        <v>0.01</v>
      </c>
      <c r="E207" s="241"/>
      <c r="F207" s="263" t="s">
        <v>36</v>
      </c>
      <c r="G207" s="241"/>
      <c r="H207" s="264"/>
      <c r="I207" s="265">
        <v>12</v>
      </c>
      <c r="J207" s="240">
        <v>0.12</v>
      </c>
      <c r="K207" s="271"/>
      <c r="L207" s="271"/>
      <c r="M207" s="271"/>
      <c r="N207" s="271"/>
      <c r="O207" s="257"/>
    </row>
    <row r="208" spans="1:15" ht="30" x14ac:dyDescent="0.25">
      <c r="A208" s="266">
        <v>40</v>
      </c>
      <c r="B208" s="248" t="s">
        <v>151</v>
      </c>
      <c r="C208" s="262" t="s">
        <v>228</v>
      </c>
      <c r="D208" s="250">
        <v>0.08</v>
      </c>
      <c r="E208" s="241">
        <v>8</v>
      </c>
      <c r="F208" s="263" t="s">
        <v>31</v>
      </c>
      <c r="G208" s="241">
        <v>20</v>
      </c>
      <c r="H208" s="264" t="s">
        <v>31</v>
      </c>
      <c r="I208" s="265">
        <v>2</v>
      </c>
      <c r="J208" s="240">
        <v>0.16</v>
      </c>
      <c r="K208" s="271"/>
      <c r="L208" s="271"/>
      <c r="M208" s="271"/>
      <c r="N208" s="271"/>
      <c r="O208" s="257"/>
    </row>
    <row r="209" spans="1:15" ht="30" x14ac:dyDescent="0.25">
      <c r="A209" s="266">
        <v>50</v>
      </c>
      <c r="B209" s="248" t="s">
        <v>39</v>
      </c>
      <c r="C209" s="262" t="s">
        <v>228</v>
      </c>
      <c r="D209" s="250">
        <v>0.04</v>
      </c>
      <c r="E209" s="241">
        <v>8</v>
      </c>
      <c r="F209" s="263" t="s">
        <v>31</v>
      </c>
      <c r="G209" s="241"/>
      <c r="H209" s="264"/>
      <c r="I209" s="265">
        <v>2</v>
      </c>
      <c r="J209" s="240">
        <v>0.08</v>
      </c>
      <c r="K209" s="271"/>
      <c r="L209" s="271"/>
      <c r="M209" s="271"/>
      <c r="N209" s="271"/>
      <c r="O209" s="257"/>
    </row>
    <row r="210" spans="1:15" ht="30" x14ac:dyDescent="0.25">
      <c r="A210" s="266">
        <v>60</v>
      </c>
      <c r="B210" s="248" t="s">
        <v>38</v>
      </c>
      <c r="C210" s="262" t="s">
        <v>228</v>
      </c>
      <c r="D210" s="250">
        <v>0.01</v>
      </c>
      <c r="E210" s="241"/>
      <c r="F210" s="263" t="s">
        <v>36</v>
      </c>
      <c r="G210" s="241"/>
      <c r="H210" s="264"/>
      <c r="I210" s="265">
        <v>4</v>
      </c>
      <c r="J210" s="240">
        <v>0.04</v>
      </c>
      <c r="K210" s="271"/>
      <c r="L210" s="271"/>
      <c r="M210" s="271"/>
      <c r="N210" s="271"/>
      <c r="O210" s="257"/>
    </row>
    <row r="211" spans="1:15" ht="30" x14ac:dyDescent="0.25">
      <c r="A211" s="266">
        <v>70</v>
      </c>
      <c r="B211" s="248" t="s">
        <v>151</v>
      </c>
      <c r="C211" s="262" t="s">
        <v>229</v>
      </c>
      <c r="D211" s="250">
        <v>0.04</v>
      </c>
      <c r="E211" s="241">
        <v>6</v>
      </c>
      <c r="F211" s="263" t="s">
        <v>31</v>
      </c>
      <c r="G211" s="241">
        <v>20</v>
      </c>
      <c r="H211" s="264" t="s">
        <v>31</v>
      </c>
      <c r="I211" s="265">
        <v>1</v>
      </c>
      <c r="J211" s="240">
        <v>0.04</v>
      </c>
      <c r="K211" s="271"/>
      <c r="L211" s="271"/>
      <c r="M211" s="271"/>
      <c r="N211" s="271"/>
      <c r="O211" s="257"/>
    </row>
    <row r="212" spans="1:15" ht="30" x14ac:dyDescent="0.25">
      <c r="A212" s="266">
        <v>80</v>
      </c>
      <c r="B212" s="248" t="s">
        <v>39</v>
      </c>
      <c r="C212" s="262" t="s">
        <v>229</v>
      </c>
      <c r="D212" s="250">
        <v>0.03</v>
      </c>
      <c r="E212" s="241">
        <v>6</v>
      </c>
      <c r="F212" s="263" t="s">
        <v>31</v>
      </c>
      <c r="G212" s="241"/>
      <c r="H212" s="264"/>
      <c r="I212" s="265">
        <v>1</v>
      </c>
      <c r="J212" s="240">
        <v>0.03</v>
      </c>
      <c r="K212" s="271"/>
      <c r="L212" s="271"/>
      <c r="M212" s="271"/>
      <c r="N212" s="271"/>
      <c r="O212" s="257"/>
    </row>
    <row r="213" spans="1:15" ht="30" x14ac:dyDescent="0.25">
      <c r="A213" s="266">
        <v>90</v>
      </c>
      <c r="B213" s="248" t="s">
        <v>38</v>
      </c>
      <c r="C213" s="262" t="s">
        <v>229</v>
      </c>
      <c r="D213" s="250">
        <v>0.01</v>
      </c>
      <c r="E213" s="241"/>
      <c r="F213" s="263" t="s">
        <v>36</v>
      </c>
      <c r="G213" s="241"/>
      <c r="H213" s="264"/>
      <c r="I213" s="265">
        <v>2</v>
      </c>
      <c r="J213" s="240">
        <v>0.02</v>
      </c>
      <c r="K213" s="271"/>
      <c r="L213" s="271"/>
      <c r="M213" s="271"/>
      <c r="N213" s="271"/>
      <c r="O213" s="257"/>
    </row>
    <row r="214" spans="1:15" ht="30" x14ac:dyDescent="0.25">
      <c r="A214" s="266">
        <v>100</v>
      </c>
      <c r="B214" s="248" t="s">
        <v>151</v>
      </c>
      <c r="C214" s="262" t="s">
        <v>230</v>
      </c>
      <c r="D214" s="250">
        <v>0.08</v>
      </c>
      <c r="E214" s="241">
        <v>8</v>
      </c>
      <c r="F214" s="263" t="s">
        <v>31</v>
      </c>
      <c r="G214" s="241">
        <v>20</v>
      </c>
      <c r="H214" s="264" t="s">
        <v>31</v>
      </c>
      <c r="I214" s="265">
        <v>1</v>
      </c>
      <c r="J214" s="240">
        <v>0.08</v>
      </c>
      <c r="K214" s="271"/>
      <c r="L214" s="271"/>
      <c r="M214" s="271"/>
      <c r="N214" s="271"/>
      <c r="O214" s="257"/>
    </row>
    <row r="215" spans="1:15" ht="30" x14ac:dyDescent="0.25">
      <c r="A215" s="266">
        <v>110</v>
      </c>
      <c r="B215" s="248" t="s">
        <v>40</v>
      </c>
      <c r="C215" s="262" t="s">
        <v>231</v>
      </c>
      <c r="D215" s="250">
        <v>0.5</v>
      </c>
      <c r="E215" s="241">
        <v>52</v>
      </c>
      <c r="F215" s="263" t="s">
        <v>31</v>
      </c>
      <c r="G215" s="241"/>
      <c r="H215" s="264"/>
      <c r="I215" s="265">
        <v>1</v>
      </c>
      <c r="J215" s="240">
        <v>0.5</v>
      </c>
      <c r="K215" s="271"/>
      <c r="L215" s="271"/>
      <c r="M215" s="271"/>
      <c r="N215" s="271"/>
      <c r="O215" s="257"/>
    </row>
    <row r="216" spans="1:15" x14ac:dyDescent="0.25">
      <c r="A216" s="269"/>
      <c r="B216" s="249"/>
      <c r="C216" s="249"/>
      <c r="D216" s="249"/>
      <c r="E216" s="249"/>
      <c r="F216" s="249"/>
      <c r="G216" s="249"/>
      <c r="H216" s="249"/>
      <c r="I216" s="852" t="s">
        <v>19</v>
      </c>
      <c r="J216" s="853">
        <v>4.7300000000000004</v>
      </c>
      <c r="K216" s="249"/>
      <c r="L216" s="249"/>
      <c r="M216" s="249"/>
      <c r="N216" s="249"/>
      <c r="O216" s="257"/>
    </row>
    <row r="217" spans="1:15" x14ac:dyDescent="0.25">
      <c r="A217" s="25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57"/>
    </row>
    <row r="218" spans="1:15" ht="15.75" thickBot="1" x14ac:dyDescent="0.3">
      <c r="A218" s="259"/>
      <c r="B218" s="260"/>
      <c r="C218" s="260"/>
      <c r="D218" s="260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1"/>
    </row>
    <row r="219" spans="1:15" ht="15.75" thickBot="1" x14ac:dyDescent="0.3"/>
    <row r="220" spans="1:15" x14ac:dyDescent="0.25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1"/>
    </row>
    <row r="221" spans="1:15" x14ac:dyDescent="0.25">
      <c r="A221" s="112" t="s">
        <v>0</v>
      </c>
      <c r="B221" s="17" t="s">
        <v>1</v>
      </c>
      <c r="C221" s="46"/>
      <c r="D221" s="46"/>
      <c r="E221" s="46"/>
      <c r="F221" s="46"/>
      <c r="G221" s="46"/>
      <c r="H221" s="46"/>
      <c r="I221" s="46"/>
      <c r="J221" s="112" t="s">
        <v>2</v>
      </c>
      <c r="K221" s="86">
        <v>81</v>
      </c>
      <c r="L221" s="46"/>
      <c r="M221" s="112" t="s">
        <v>3</v>
      </c>
      <c r="N221" s="85">
        <f>E235+EN_A0005_m+EN_A0005_p+EN_A0005_f+EN_A0005_t</f>
        <v>107.71420717533333</v>
      </c>
      <c r="O221" s="52"/>
    </row>
    <row r="222" spans="1:15" x14ac:dyDescent="0.25">
      <c r="A222" s="112" t="s">
        <v>4</v>
      </c>
      <c r="B222" s="17" t="s">
        <v>81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112" t="s">
        <v>5</v>
      </c>
      <c r="N222" s="79">
        <v>1</v>
      </c>
      <c r="O222" s="52"/>
    </row>
    <row r="223" spans="1:15" x14ac:dyDescent="0.25">
      <c r="A223" s="112" t="s">
        <v>6</v>
      </c>
      <c r="B223" s="47" t="s">
        <v>83</v>
      </c>
      <c r="C223" s="46"/>
      <c r="D223" s="46"/>
      <c r="E223" s="46"/>
      <c r="F223" s="46"/>
      <c r="G223" s="46"/>
      <c r="H223" s="46"/>
      <c r="I223" s="46"/>
      <c r="J223" s="113" t="s">
        <v>7</v>
      </c>
      <c r="K223" s="46"/>
      <c r="L223" s="46"/>
      <c r="M223" s="46"/>
      <c r="N223" s="46"/>
      <c r="O223" s="52"/>
    </row>
    <row r="224" spans="1:15" x14ac:dyDescent="0.25">
      <c r="A224" s="112" t="s">
        <v>8</v>
      </c>
      <c r="B224" s="18" t="s">
        <v>82</v>
      </c>
      <c r="C224" s="46"/>
      <c r="D224" s="46"/>
      <c r="E224" s="46"/>
      <c r="F224" s="46"/>
      <c r="G224" s="46"/>
      <c r="H224" s="46"/>
      <c r="I224" s="46"/>
      <c r="J224" s="113" t="s">
        <v>9</v>
      </c>
      <c r="K224" s="46"/>
      <c r="L224" s="46"/>
      <c r="M224" s="112" t="s">
        <v>10</v>
      </c>
      <c r="N224" s="63">
        <f>N221*N222</f>
        <v>107.71420717533333</v>
      </c>
      <c r="O224" s="52"/>
    </row>
    <row r="225" spans="1:15" x14ac:dyDescent="0.25">
      <c r="A225" s="112" t="s">
        <v>11</v>
      </c>
      <c r="B225" s="17" t="s">
        <v>12</v>
      </c>
      <c r="C225" s="46"/>
      <c r="D225" s="46"/>
      <c r="E225" s="46"/>
      <c r="F225" s="46"/>
      <c r="G225" s="46"/>
      <c r="H225" s="46"/>
      <c r="I225" s="46"/>
      <c r="J225" s="113" t="s">
        <v>13</v>
      </c>
      <c r="K225" s="46"/>
      <c r="L225" s="46"/>
      <c r="M225" s="46"/>
      <c r="N225" s="46"/>
      <c r="O225" s="52"/>
    </row>
    <row r="226" spans="1:15" x14ac:dyDescent="0.25">
      <c r="A226" s="112" t="s">
        <v>14</v>
      </c>
      <c r="B226" s="17" t="s">
        <v>392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52"/>
    </row>
    <row r="227" spans="1:15" x14ac:dyDescent="0.25">
      <c r="A227" s="53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52"/>
    </row>
    <row r="228" spans="1:15" x14ac:dyDescent="0.25">
      <c r="A228" s="112" t="s">
        <v>15</v>
      </c>
      <c r="B228" s="112" t="s">
        <v>16</v>
      </c>
      <c r="C228" s="112" t="s">
        <v>17</v>
      </c>
      <c r="D228" s="112" t="s">
        <v>18</v>
      </c>
      <c r="E228" s="112" t="s">
        <v>19</v>
      </c>
      <c r="F228" s="46"/>
      <c r="G228" s="46"/>
      <c r="H228" s="46"/>
      <c r="I228" s="46"/>
      <c r="J228" s="46"/>
      <c r="K228" s="46"/>
      <c r="L228" s="46"/>
      <c r="M228" s="46"/>
      <c r="N228" s="46"/>
      <c r="O228" s="52"/>
    </row>
    <row r="229" spans="1:15" x14ac:dyDescent="0.25">
      <c r="A229" s="62">
        <v>10</v>
      </c>
      <c r="B229" s="172" t="s">
        <v>84</v>
      </c>
      <c r="C229" s="63">
        <f>'EN Parts'!N511</f>
        <v>4.9675120000000001</v>
      </c>
      <c r="D229" s="87">
        <f>EN_05001_q</f>
        <v>1</v>
      </c>
      <c r="E229" s="63">
        <f t="shared" ref="E229:E234" si="0">C229*D229</f>
        <v>4.9675120000000001</v>
      </c>
      <c r="F229" s="46"/>
      <c r="G229" s="46"/>
      <c r="H229" s="46"/>
      <c r="I229" s="46"/>
      <c r="J229" s="46"/>
      <c r="K229" s="46"/>
      <c r="L229" s="46"/>
      <c r="M229" s="46"/>
      <c r="N229" s="46"/>
      <c r="O229" s="52"/>
    </row>
    <row r="230" spans="1:15" x14ac:dyDescent="0.25">
      <c r="A230" s="62">
        <v>20</v>
      </c>
      <c r="B230" s="172" t="s">
        <v>85</v>
      </c>
      <c r="C230" s="63">
        <f>'EN Parts'!N552</f>
        <v>18.814900000000002</v>
      </c>
      <c r="D230" s="87">
        <f>EN_05002_q</f>
        <v>1</v>
      </c>
      <c r="E230" s="63">
        <f t="shared" si="0"/>
        <v>18.814900000000002</v>
      </c>
      <c r="F230" s="47"/>
      <c r="G230" s="47"/>
      <c r="H230" s="47"/>
      <c r="I230" s="47"/>
      <c r="J230" s="47"/>
      <c r="K230" s="47"/>
      <c r="L230" s="47"/>
      <c r="M230" s="47"/>
      <c r="N230" s="47"/>
      <c r="O230" s="52"/>
    </row>
    <row r="231" spans="1:15" x14ac:dyDescent="0.25">
      <c r="A231" s="62">
        <v>30</v>
      </c>
      <c r="B231" s="172" t="s">
        <v>87</v>
      </c>
      <c r="C231" s="63">
        <f>'EN Parts'!N589</f>
        <v>16.308600000000002</v>
      </c>
      <c r="D231" s="62">
        <f>EN_05003_q</f>
        <v>1</v>
      </c>
      <c r="E231" s="63">
        <f t="shared" si="0"/>
        <v>16.308600000000002</v>
      </c>
      <c r="F231" s="47"/>
      <c r="G231" s="47"/>
      <c r="H231" s="47"/>
      <c r="I231" s="47"/>
      <c r="J231" s="47"/>
      <c r="K231" s="47"/>
      <c r="L231" s="47"/>
      <c r="M231" s="47"/>
      <c r="N231" s="47"/>
      <c r="O231" s="54"/>
    </row>
    <row r="232" spans="1:15" x14ac:dyDescent="0.25">
      <c r="A232" s="62">
        <v>40</v>
      </c>
      <c r="B232" s="172" t="s">
        <v>86</v>
      </c>
      <c r="C232" s="63">
        <f>'EN Parts'!N628</f>
        <v>0.98840000000000006</v>
      </c>
      <c r="D232" s="62">
        <f>EN_05004_q</f>
        <v>1</v>
      </c>
      <c r="E232" s="63">
        <f t="shared" si="0"/>
        <v>0.98840000000000006</v>
      </c>
      <c r="F232" s="47"/>
      <c r="G232" s="47"/>
      <c r="H232" s="47"/>
      <c r="I232" s="47"/>
      <c r="J232" s="47"/>
      <c r="K232" s="47"/>
      <c r="L232" s="47"/>
      <c r="M232" s="47"/>
      <c r="N232" s="47"/>
      <c r="O232" s="54"/>
    </row>
    <row r="233" spans="1:15" x14ac:dyDescent="0.25">
      <c r="A233" s="62">
        <v>50</v>
      </c>
      <c r="B233" s="823" t="s">
        <v>88</v>
      </c>
      <c r="C233" s="821">
        <f>'EN Parts'!N662</f>
        <v>0.84759059199999998</v>
      </c>
      <c r="D233" s="820">
        <f>EN_05005_q</f>
        <v>1</v>
      </c>
      <c r="E233" s="652">
        <f t="shared" si="0"/>
        <v>0.84759059199999998</v>
      </c>
      <c r="F233" s="47"/>
      <c r="G233" s="47"/>
      <c r="H233" s="47"/>
      <c r="I233" s="47"/>
      <c r="J233" s="47"/>
      <c r="K233" s="47"/>
      <c r="L233" s="47"/>
      <c r="M233" s="47"/>
      <c r="N233" s="47"/>
      <c r="O233" s="55"/>
    </row>
    <row r="234" spans="1:15" x14ac:dyDescent="0.25">
      <c r="A234" s="62">
        <v>60</v>
      </c>
      <c r="B234" s="823" t="s">
        <v>89</v>
      </c>
      <c r="C234" s="822">
        <f>'EN Parts'!N702</f>
        <v>1.2469356249999999</v>
      </c>
      <c r="D234" s="820">
        <f>EN_05006_q</f>
        <v>2</v>
      </c>
      <c r="E234" s="652">
        <f t="shared" si="0"/>
        <v>2.4938712499999998</v>
      </c>
      <c r="F234" s="46"/>
      <c r="G234" s="46"/>
      <c r="H234" s="46"/>
      <c r="I234" s="46"/>
      <c r="J234" s="46"/>
      <c r="K234" s="46"/>
      <c r="L234" s="46"/>
      <c r="M234" s="46"/>
      <c r="N234" s="46"/>
      <c r="O234" s="52"/>
    </row>
    <row r="235" spans="1:15" x14ac:dyDescent="0.25">
      <c r="A235" s="53"/>
      <c r="B235" s="46"/>
      <c r="C235" s="46"/>
      <c r="D235" s="110" t="s">
        <v>19</v>
      </c>
      <c r="E235" s="111">
        <f>SUM(E229:E234)</f>
        <v>44.420873842000006</v>
      </c>
      <c r="F235" s="47"/>
      <c r="G235" s="47"/>
      <c r="H235" s="47"/>
      <c r="I235" s="47"/>
      <c r="J235" s="47"/>
      <c r="K235" s="47"/>
      <c r="L235" s="47"/>
      <c r="M235" s="47"/>
      <c r="N235" s="47"/>
      <c r="O235" s="52"/>
    </row>
    <row r="236" spans="1:15" x14ac:dyDescent="0.25">
      <c r="A236" s="53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52"/>
    </row>
    <row r="237" spans="1:15" x14ac:dyDescent="0.25">
      <c r="A237" s="112" t="s">
        <v>15</v>
      </c>
      <c r="B237" s="112" t="s">
        <v>20</v>
      </c>
      <c r="C237" s="112" t="s">
        <v>21</v>
      </c>
      <c r="D237" s="112" t="s">
        <v>22</v>
      </c>
      <c r="E237" s="112" t="s">
        <v>23</v>
      </c>
      <c r="F237" s="112" t="s">
        <v>24</v>
      </c>
      <c r="G237" s="112" t="s">
        <v>25</v>
      </c>
      <c r="H237" s="112" t="s">
        <v>26</v>
      </c>
      <c r="I237" s="112" t="s">
        <v>27</v>
      </c>
      <c r="J237" s="112" t="s">
        <v>28</v>
      </c>
      <c r="K237" s="112" t="s">
        <v>29</v>
      </c>
      <c r="L237" s="112" t="s">
        <v>30</v>
      </c>
      <c r="M237" s="112" t="s">
        <v>18</v>
      </c>
      <c r="N237" s="112" t="s">
        <v>19</v>
      </c>
      <c r="O237" s="52"/>
    </row>
    <row r="238" spans="1:15" x14ac:dyDescent="0.25">
      <c r="A238" s="62">
        <v>10</v>
      </c>
      <c r="B238" s="62" t="s">
        <v>358</v>
      </c>
      <c r="C238" s="62" t="s">
        <v>359</v>
      </c>
      <c r="D238" s="63">
        <f>0.18*50</f>
        <v>9</v>
      </c>
      <c r="E238" s="62">
        <v>50</v>
      </c>
      <c r="F238" s="62" t="s">
        <v>31</v>
      </c>
      <c r="G238" s="62"/>
      <c r="H238" s="64"/>
      <c r="I238" s="65"/>
      <c r="J238" s="66"/>
      <c r="K238" s="64"/>
      <c r="L238" s="64"/>
      <c r="M238" s="64">
        <v>4</v>
      </c>
      <c r="N238" s="63">
        <f>M238*D238</f>
        <v>36</v>
      </c>
      <c r="O238" s="52"/>
    </row>
    <row r="239" spans="1:15" x14ac:dyDescent="0.25">
      <c r="A239" s="57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112" t="s">
        <v>19</v>
      </c>
      <c r="N239" s="111">
        <f>SUM(N238:N238)</f>
        <v>36</v>
      </c>
      <c r="O239" s="52"/>
    </row>
    <row r="240" spans="1:15" x14ac:dyDescent="0.25">
      <c r="A240" s="53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52"/>
    </row>
    <row r="241" spans="1:15" x14ac:dyDescent="0.25">
      <c r="A241" s="112" t="s">
        <v>15</v>
      </c>
      <c r="B241" s="112" t="s">
        <v>32</v>
      </c>
      <c r="C241" s="112" t="s">
        <v>21</v>
      </c>
      <c r="D241" s="112" t="s">
        <v>22</v>
      </c>
      <c r="E241" s="112" t="s">
        <v>33</v>
      </c>
      <c r="F241" s="112" t="s">
        <v>18</v>
      </c>
      <c r="G241" s="112" t="s">
        <v>34</v>
      </c>
      <c r="H241" s="112" t="s">
        <v>35</v>
      </c>
      <c r="I241" s="112" t="s">
        <v>19</v>
      </c>
      <c r="J241" s="20"/>
      <c r="K241" s="20"/>
      <c r="L241" s="20"/>
      <c r="M241" s="20"/>
      <c r="N241" s="20"/>
      <c r="O241" s="58"/>
    </row>
    <row r="242" spans="1:15" x14ac:dyDescent="0.25">
      <c r="A242" s="62">
        <v>10</v>
      </c>
      <c r="B242" s="62" t="s">
        <v>360</v>
      </c>
      <c r="C242" s="62" t="s">
        <v>361</v>
      </c>
      <c r="D242" s="652">
        <v>0.13</v>
      </c>
      <c r="E242" s="62"/>
      <c r="F242" s="75">
        <v>1</v>
      </c>
      <c r="G242" s="75"/>
      <c r="H242" s="75">
        <v>1</v>
      </c>
      <c r="I242" s="652">
        <f t="shared" ref="I242:I255" si="1">IF(H242="",D242*F242,D242*F242*H242)</f>
        <v>0.13</v>
      </c>
      <c r="J242" s="46"/>
      <c r="K242" s="46"/>
      <c r="L242" s="46"/>
      <c r="M242" s="46"/>
      <c r="N242" s="46"/>
      <c r="O242" s="52"/>
    </row>
    <row r="243" spans="1:15" x14ac:dyDescent="0.25">
      <c r="A243" s="62">
        <v>20</v>
      </c>
      <c r="B243" s="76" t="s">
        <v>362</v>
      </c>
      <c r="C243" s="62" t="s">
        <v>363</v>
      </c>
      <c r="D243" s="652">
        <v>0.5</v>
      </c>
      <c r="E243" s="76"/>
      <c r="F243" s="75">
        <v>12</v>
      </c>
      <c r="G243" s="62"/>
      <c r="H243" s="75">
        <v>1</v>
      </c>
      <c r="I243" s="652">
        <f t="shared" si="1"/>
        <v>6</v>
      </c>
      <c r="J243" s="46"/>
      <c r="K243" s="46"/>
      <c r="L243" s="46"/>
      <c r="M243" s="46"/>
      <c r="N243" s="46"/>
      <c r="O243" s="52"/>
    </row>
    <row r="244" spans="1:15" x14ac:dyDescent="0.25">
      <c r="A244" s="62">
        <v>30</v>
      </c>
      <c r="B244" s="76" t="s">
        <v>364</v>
      </c>
      <c r="C244" s="62" t="s">
        <v>365</v>
      </c>
      <c r="D244" s="652">
        <v>0.25</v>
      </c>
      <c r="E244" s="62"/>
      <c r="F244" s="75">
        <v>12</v>
      </c>
      <c r="G244" s="62"/>
      <c r="H244" s="75">
        <v>1</v>
      </c>
      <c r="I244" s="652">
        <f t="shared" si="1"/>
        <v>3</v>
      </c>
      <c r="J244" s="46"/>
      <c r="K244" s="46"/>
      <c r="L244" s="46"/>
      <c r="M244" s="46"/>
      <c r="N244" s="46"/>
      <c r="O244" s="52"/>
    </row>
    <row r="245" spans="1:15" ht="30" x14ac:dyDescent="0.25">
      <c r="A245" s="62">
        <v>40</v>
      </c>
      <c r="B245" s="76" t="s">
        <v>360</v>
      </c>
      <c r="C245" s="67" t="s">
        <v>366</v>
      </c>
      <c r="D245" s="652">
        <v>0.13</v>
      </c>
      <c r="E245" s="62"/>
      <c r="F245" s="75">
        <v>1</v>
      </c>
      <c r="G245" s="62"/>
      <c r="H245" s="75">
        <v>1</v>
      </c>
      <c r="I245" s="652">
        <f t="shared" si="1"/>
        <v>0.13</v>
      </c>
      <c r="J245" s="47"/>
      <c r="K245" s="47"/>
      <c r="L245" s="47"/>
      <c r="M245" s="47"/>
      <c r="N245" s="47"/>
      <c r="O245" s="55"/>
    </row>
    <row r="246" spans="1:15" x14ac:dyDescent="0.25">
      <c r="A246" s="62">
        <v>50</v>
      </c>
      <c r="B246" s="76" t="s">
        <v>362</v>
      </c>
      <c r="C246" s="62" t="s">
        <v>363</v>
      </c>
      <c r="D246" s="652">
        <v>0.5</v>
      </c>
      <c r="E246" s="62"/>
      <c r="F246" s="75">
        <v>8</v>
      </c>
      <c r="G246" s="75"/>
      <c r="H246" s="75">
        <v>1</v>
      </c>
      <c r="I246" s="652">
        <f t="shared" si="1"/>
        <v>4</v>
      </c>
      <c r="J246" s="46"/>
      <c r="K246" s="46"/>
      <c r="L246" s="46"/>
      <c r="M246" s="46"/>
      <c r="N246" s="46"/>
      <c r="O246" s="52"/>
    </row>
    <row r="247" spans="1:15" x14ac:dyDescent="0.25">
      <c r="A247" s="62">
        <v>60</v>
      </c>
      <c r="B247" s="76" t="s">
        <v>364</v>
      </c>
      <c r="C247" s="62" t="s">
        <v>365</v>
      </c>
      <c r="D247" s="652">
        <v>0.25</v>
      </c>
      <c r="E247" s="76"/>
      <c r="F247" s="75">
        <v>8</v>
      </c>
      <c r="G247" s="62"/>
      <c r="H247" s="75">
        <v>1</v>
      </c>
      <c r="I247" s="652">
        <f t="shared" si="1"/>
        <v>2</v>
      </c>
      <c r="J247" s="46"/>
      <c r="K247" s="46"/>
      <c r="L247" s="46"/>
      <c r="M247" s="46"/>
      <c r="N247" s="46"/>
      <c r="O247" s="52"/>
    </row>
    <row r="248" spans="1:15" x14ac:dyDescent="0.25">
      <c r="A248" s="62">
        <v>70</v>
      </c>
      <c r="B248" s="76" t="s">
        <v>368</v>
      </c>
      <c r="C248" s="67" t="s">
        <v>367</v>
      </c>
      <c r="D248" s="652">
        <v>0.19</v>
      </c>
      <c r="E248" s="62"/>
      <c r="F248" s="75">
        <v>4</v>
      </c>
      <c r="G248" s="62"/>
      <c r="H248" s="75">
        <v>1</v>
      </c>
      <c r="I248" s="652">
        <f t="shared" si="1"/>
        <v>0.76</v>
      </c>
      <c r="J248" s="47"/>
      <c r="K248" s="47"/>
      <c r="L248" s="47"/>
      <c r="M248" s="47"/>
      <c r="N248" s="47"/>
      <c r="O248" s="55"/>
    </row>
    <row r="249" spans="1:15" x14ac:dyDescent="0.25">
      <c r="A249" s="62">
        <v>80</v>
      </c>
      <c r="B249" s="76" t="s">
        <v>369</v>
      </c>
      <c r="C249" s="62" t="s">
        <v>370</v>
      </c>
      <c r="D249" s="652">
        <v>0.06</v>
      </c>
      <c r="E249" s="62"/>
      <c r="F249" s="75">
        <v>4</v>
      </c>
      <c r="G249" s="75"/>
      <c r="H249" s="75">
        <v>1</v>
      </c>
      <c r="I249" s="652">
        <f t="shared" si="1"/>
        <v>0.24</v>
      </c>
      <c r="J249" s="46"/>
      <c r="K249" s="46"/>
      <c r="L249" s="46"/>
      <c r="M249" s="46"/>
      <c r="N249" s="46"/>
      <c r="O249" s="52"/>
    </row>
    <row r="250" spans="1:15" x14ac:dyDescent="0.25">
      <c r="A250" s="62">
        <v>90</v>
      </c>
      <c r="B250" s="76" t="s">
        <v>368</v>
      </c>
      <c r="C250" s="62" t="s">
        <v>371</v>
      </c>
      <c r="D250" s="652">
        <v>0.19</v>
      </c>
      <c r="E250" s="76"/>
      <c r="F250" s="75">
        <v>4</v>
      </c>
      <c r="G250" s="62"/>
      <c r="H250" s="75">
        <v>1</v>
      </c>
      <c r="I250" s="652">
        <f t="shared" si="1"/>
        <v>0.76</v>
      </c>
      <c r="J250" s="46"/>
      <c r="K250" s="46"/>
      <c r="L250" s="46"/>
      <c r="M250" s="46"/>
      <c r="N250" s="46"/>
      <c r="O250" s="52"/>
    </row>
    <row r="251" spans="1:15" x14ac:dyDescent="0.25">
      <c r="A251" s="62">
        <v>100</v>
      </c>
      <c r="B251" s="76" t="s">
        <v>372</v>
      </c>
      <c r="C251" s="62" t="s">
        <v>373</v>
      </c>
      <c r="D251" s="63">
        <v>0.5</v>
      </c>
      <c r="E251" s="62"/>
      <c r="F251" s="75">
        <v>4</v>
      </c>
      <c r="G251" s="62"/>
      <c r="H251" s="75">
        <v>1</v>
      </c>
      <c r="I251" s="63">
        <f t="shared" si="1"/>
        <v>2</v>
      </c>
      <c r="J251" s="46"/>
      <c r="K251" s="46"/>
      <c r="L251" s="46"/>
      <c r="M251" s="46"/>
      <c r="N251" s="46"/>
      <c r="O251" s="52"/>
    </row>
    <row r="252" spans="1:15" x14ac:dyDescent="0.25">
      <c r="A252" s="62">
        <v>110</v>
      </c>
      <c r="B252" s="76" t="s">
        <v>374</v>
      </c>
      <c r="C252" s="62" t="s">
        <v>375</v>
      </c>
      <c r="D252" s="63">
        <v>0.25</v>
      </c>
      <c r="E252" s="62"/>
      <c r="F252" s="75">
        <v>4</v>
      </c>
      <c r="G252" s="62"/>
      <c r="H252" s="62"/>
      <c r="I252" s="63">
        <f t="shared" si="1"/>
        <v>1</v>
      </c>
      <c r="J252" s="47"/>
      <c r="K252" s="47"/>
      <c r="L252" s="47"/>
      <c r="M252" s="47"/>
      <c r="N252" s="47"/>
      <c r="O252" s="55"/>
    </row>
    <row r="253" spans="1:15" x14ac:dyDescent="0.25">
      <c r="A253" s="62">
        <v>120</v>
      </c>
      <c r="B253" s="76" t="s">
        <v>374</v>
      </c>
      <c r="C253" s="62" t="s">
        <v>376</v>
      </c>
      <c r="D253" s="652">
        <v>0.25</v>
      </c>
      <c r="E253" s="62"/>
      <c r="F253" s="75">
        <v>2</v>
      </c>
      <c r="G253" s="62"/>
      <c r="H253" s="62"/>
      <c r="I253" s="652">
        <f t="shared" si="1"/>
        <v>0.5</v>
      </c>
      <c r="J253" s="47"/>
      <c r="K253" s="47"/>
      <c r="L253" s="47"/>
      <c r="M253" s="47"/>
      <c r="N253" s="47"/>
      <c r="O253" s="55"/>
    </row>
    <row r="254" spans="1:15" x14ac:dyDescent="0.25">
      <c r="A254" s="62">
        <v>130</v>
      </c>
      <c r="B254" s="76" t="s">
        <v>362</v>
      </c>
      <c r="C254" s="62" t="s">
        <v>377</v>
      </c>
      <c r="D254" s="652">
        <v>0.5</v>
      </c>
      <c r="E254" s="62"/>
      <c r="F254" s="75">
        <v>2</v>
      </c>
      <c r="G254" s="75"/>
      <c r="H254" s="75">
        <v>1</v>
      </c>
      <c r="I254" s="652">
        <f t="shared" si="1"/>
        <v>1</v>
      </c>
      <c r="J254" s="46"/>
      <c r="K254" s="46"/>
      <c r="L254" s="46"/>
      <c r="M254" s="46"/>
      <c r="N254" s="46"/>
      <c r="O254" s="52"/>
    </row>
    <row r="255" spans="1:15" x14ac:dyDescent="0.25">
      <c r="A255" s="62">
        <v>140</v>
      </c>
      <c r="B255" s="76" t="s">
        <v>364</v>
      </c>
      <c r="C255" s="62" t="s">
        <v>378</v>
      </c>
      <c r="D255" s="652">
        <v>0.25</v>
      </c>
      <c r="E255" s="76"/>
      <c r="F255" s="75">
        <v>2</v>
      </c>
      <c r="G255" s="62"/>
      <c r="H255" s="75">
        <v>1</v>
      </c>
      <c r="I255" s="652">
        <f t="shared" si="1"/>
        <v>0.5</v>
      </c>
      <c r="J255" s="46"/>
      <c r="K255" s="46"/>
      <c r="L255" s="46"/>
      <c r="M255" s="46"/>
      <c r="N255" s="46"/>
      <c r="O255" s="52"/>
    </row>
    <row r="256" spans="1:15" x14ac:dyDescent="0.25">
      <c r="A256" s="57"/>
      <c r="B256" s="20"/>
      <c r="C256" s="20"/>
      <c r="D256" s="20"/>
      <c r="E256" s="20"/>
      <c r="F256" s="20"/>
      <c r="G256" s="20"/>
      <c r="H256" s="110" t="s">
        <v>19</v>
      </c>
      <c r="I256" s="111">
        <f>SUM(I242:I255)</f>
        <v>22.02</v>
      </c>
      <c r="J256" s="46"/>
      <c r="K256" s="46"/>
      <c r="L256" s="46"/>
      <c r="M256" s="46"/>
      <c r="N256" s="46"/>
      <c r="O256" s="52"/>
    </row>
    <row r="257" spans="1:15" x14ac:dyDescent="0.25">
      <c r="A257" s="53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52"/>
    </row>
    <row r="258" spans="1:15" x14ac:dyDescent="0.25">
      <c r="A258" s="112" t="s">
        <v>15</v>
      </c>
      <c r="B258" s="112" t="s">
        <v>37</v>
      </c>
      <c r="C258" s="112" t="s">
        <v>21</v>
      </c>
      <c r="D258" s="112" t="s">
        <v>22</v>
      </c>
      <c r="E258" s="112" t="s">
        <v>23</v>
      </c>
      <c r="F258" s="112" t="s">
        <v>24</v>
      </c>
      <c r="G258" s="112" t="s">
        <v>25</v>
      </c>
      <c r="H258" s="112" t="s">
        <v>26</v>
      </c>
      <c r="I258" s="112" t="s">
        <v>18</v>
      </c>
      <c r="J258" s="112" t="s">
        <v>19</v>
      </c>
      <c r="K258" s="46"/>
      <c r="L258" s="46"/>
      <c r="M258" s="46"/>
      <c r="N258" s="46"/>
      <c r="O258" s="52"/>
    </row>
    <row r="259" spans="1:15" x14ac:dyDescent="0.25">
      <c r="A259" s="62">
        <v>10</v>
      </c>
      <c r="B259" s="62" t="s">
        <v>379</v>
      </c>
      <c r="C259" s="62" t="s">
        <v>380</v>
      </c>
      <c r="D259" s="77">
        <v>0.02</v>
      </c>
      <c r="E259" s="78">
        <v>4</v>
      </c>
      <c r="F259" s="78" t="s">
        <v>31</v>
      </c>
      <c r="G259" s="78">
        <v>20</v>
      </c>
      <c r="H259" s="78" t="s">
        <v>31</v>
      </c>
      <c r="I259" s="79">
        <v>12</v>
      </c>
      <c r="J259" s="63">
        <f t="shared" ref="J259:J269" si="2">I259*D259</f>
        <v>0.24</v>
      </c>
      <c r="K259" s="46"/>
      <c r="L259" s="46"/>
      <c r="M259" s="46"/>
      <c r="N259" s="46"/>
      <c r="O259" s="52"/>
    </row>
    <row r="260" spans="1:15" x14ac:dyDescent="0.25">
      <c r="A260" s="62">
        <v>20</v>
      </c>
      <c r="B260" s="62" t="s">
        <v>39</v>
      </c>
      <c r="C260" s="62" t="s">
        <v>381</v>
      </c>
      <c r="D260" s="77">
        <v>0.02</v>
      </c>
      <c r="E260" s="62">
        <v>4</v>
      </c>
      <c r="F260" s="80" t="s">
        <v>31</v>
      </c>
      <c r="G260" s="62"/>
      <c r="H260" s="62"/>
      <c r="I260" s="79">
        <v>12</v>
      </c>
      <c r="J260" s="63">
        <f t="shared" si="2"/>
        <v>0.24</v>
      </c>
      <c r="K260" s="46"/>
      <c r="L260" s="46"/>
      <c r="M260" s="46"/>
      <c r="N260" s="46"/>
      <c r="O260" s="52"/>
    </row>
    <row r="261" spans="1:15" x14ac:dyDescent="0.25">
      <c r="A261" s="62">
        <v>30</v>
      </c>
      <c r="B261" s="62" t="s">
        <v>38</v>
      </c>
      <c r="C261" s="62" t="s">
        <v>382</v>
      </c>
      <c r="D261" s="77">
        <v>0.01</v>
      </c>
      <c r="E261" s="62">
        <v>4</v>
      </c>
      <c r="F261" s="80" t="s">
        <v>31</v>
      </c>
      <c r="G261" s="62"/>
      <c r="H261" s="62"/>
      <c r="I261" s="79">
        <v>12</v>
      </c>
      <c r="J261" s="63">
        <f t="shared" si="2"/>
        <v>0.12</v>
      </c>
      <c r="K261" s="46"/>
      <c r="L261" s="46"/>
      <c r="M261" s="46"/>
      <c r="N261" s="46"/>
      <c r="O261" s="52"/>
    </row>
    <row r="262" spans="1:15" x14ac:dyDescent="0.25">
      <c r="A262" s="62">
        <v>40</v>
      </c>
      <c r="B262" s="62" t="s">
        <v>151</v>
      </c>
      <c r="C262" s="67" t="s">
        <v>383</v>
      </c>
      <c r="D262" s="82">
        <v>0.04</v>
      </c>
      <c r="E262" s="67">
        <v>6</v>
      </c>
      <c r="F262" s="83" t="s">
        <v>31</v>
      </c>
      <c r="G262" s="67">
        <v>20</v>
      </c>
      <c r="H262" s="67" t="s">
        <v>31</v>
      </c>
      <c r="I262" s="84">
        <v>4</v>
      </c>
      <c r="J262" s="63">
        <f t="shared" si="2"/>
        <v>0.16</v>
      </c>
      <c r="K262" s="48"/>
      <c r="L262" s="48"/>
      <c r="M262" s="48"/>
      <c r="N262" s="48"/>
      <c r="O262" s="52"/>
    </row>
    <row r="263" spans="1:15" x14ac:dyDescent="0.25">
      <c r="A263" s="62">
        <v>50</v>
      </c>
      <c r="B263" s="62" t="s">
        <v>151</v>
      </c>
      <c r="C263" s="67" t="s">
        <v>384</v>
      </c>
      <c r="D263" s="82">
        <v>0.04</v>
      </c>
      <c r="E263" s="67">
        <v>6</v>
      </c>
      <c r="F263" s="83" t="s">
        <v>31</v>
      </c>
      <c r="G263" s="67">
        <v>20</v>
      </c>
      <c r="H263" s="67" t="s">
        <v>31</v>
      </c>
      <c r="I263" s="84">
        <v>2</v>
      </c>
      <c r="J263" s="652">
        <f t="shared" si="2"/>
        <v>0.08</v>
      </c>
      <c r="K263" s="48"/>
      <c r="L263" s="48"/>
      <c r="M263" s="48"/>
      <c r="N263" s="48"/>
      <c r="O263" s="52"/>
    </row>
    <row r="264" spans="1:15" x14ac:dyDescent="0.25">
      <c r="A264" s="62">
        <v>60</v>
      </c>
      <c r="B264" s="62" t="s">
        <v>39</v>
      </c>
      <c r="C264" s="67" t="s">
        <v>385</v>
      </c>
      <c r="D264" s="82">
        <v>0.03</v>
      </c>
      <c r="E264" s="67">
        <v>6</v>
      </c>
      <c r="F264" s="83" t="s">
        <v>31</v>
      </c>
      <c r="G264" s="67"/>
      <c r="H264" s="67"/>
      <c r="I264" s="84">
        <v>2</v>
      </c>
      <c r="J264" s="652">
        <f t="shared" si="2"/>
        <v>0.06</v>
      </c>
      <c r="K264" s="48"/>
      <c r="L264" s="48"/>
      <c r="M264" s="48"/>
      <c r="N264" s="48"/>
      <c r="O264" s="52"/>
    </row>
    <row r="265" spans="1:15" x14ac:dyDescent="0.25">
      <c r="A265" s="62">
        <v>70</v>
      </c>
      <c r="B265" s="62" t="s">
        <v>38</v>
      </c>
      <c r="C265" s="67" t="s">
        <v>386</v>
      </c>
      <c r="D265" s="82">
        <v>0.01</v>
      </c>
      <c r="E265" s="67">
        <v>6</v>
      </c>
      <c r="F265" s="83" t="s">
        <v>31</v>
      </c>
      <c r="G265" s="67"/>
      <c r="H265" s="67"/>
      <c r="I265" s="84">
        <v>2</v>
      </c>
      <c r="J265" s="652">
        <f t="shared" si="2"/>
        <v>0.02</v>
      </c>
      <c r="K265" s="48"/>
      <c r="L265" s="48"/>
      <c r="M265" s="48"/>
      <c r="N265" s="48"/>
      <c r="O265" s="52"/>
    </row>
    <row r="266" spans="1:15" x14ac:dyDescent="0.25">
      <c r="A266" s="62">
        <v>80</v>
      </c>
      <c r="B266" s="62" t="s">
        <v>387</v>
      </c>
      <c r="C266" s="67" t="s">
        <v>388</v>
      </c>
      <c r="D266" s="82">
        <v>0.72</v>
      </c>
      <c r="E266" s="67">
        <v>55</v>
      </c>
      <c r="F266" s="83" t="s">
        <v>31</v>
      </c>
      <c r="G266" s="67"/>
      <c r="H266" s="67"/>
      <c r="I266" s="84">
        <v>4</v>
      </c>
      <c r="J266" s="652">
        <f t="shared" si="2"/>
        <v>2.88</v>
      </c>
      <c r="K266" s="48"/>
      <c r="L266" s="48"/>
      <c r="M266" s="48"/>
      <c r="N266" s="48"/>
      <c r="O266" s="52"/>
    </row>
    <row r="267" spans="1:15" x14ac:dyDescent="0.25">
      <c r="A267" s="62">
        <v>90</v>
      </c>
      <c r="B267" s="81" t="s">
        <v>389</v>
      </c>
      <c r="C267" s="67" t="s">
        <v>389</v>
      </c>
      <c r="D267" s="82">
        <v>0.04</v>
      </c>
      <c r="E267" s="67">
        <v>6</v>
      </c>
      <c r="F267" s="83" t="s">
        <v>31</v>
      </c>
      <c r="G267" s="67">
        <v>16</v>
      </c>
      <c r="H267" s="67" t="s">
        <v>31</v>
      </c>
      <c r="I267" s="84">
        <v>8</v>
      </c>
      <c r="J267" s="652">
        <f t="shared" si="2"/>
        <v>0.32</v>
      </c>
      <c r="K267" s="48"/>
      <c r="L267" s="48"/>
      <c r="M267" s="48"/>
      <c r="N267" s="48"/>
      <c r="O267" s="52"/>
    </row>
    <row r="268" spans="1:15" x14ac:dyDescent="0.25">
      <c r="A268" s="62">
        <v>100</v>
      </c>
      <c r="B268" s="826" t="s">
        <v>39</v>
      </c>
      <c r="C268" s="67" t="s">
        <v>390</v>
      </c>
      <c r="D268" s="77">
        <v>0.03</v>
      </c>
      <c r="E268" s="62">
        <v>6</v>
      </c>
      <c r="F268" s="83" t="s">
        <v>31</v>
      </c>
      <c r="G268" s="62"/>
      <c r="H268" s="62"/>
      <c r="I268" s="79">
        <v>8</v>
      </c>
      <c r="J268" s="652">
        <f t="shared" si="2"/>
        <v>0.24</v>
      </c>
      <c r="K268" s="47"/>
      <c r="L268" s="47"/>
      <c r="M268" s="47"/>
      <c r="N268" s="47"/>
      <c r="O268" s="55"/>
    </row>
    <row r="269" spans="1:15" x14ac:dyDescent="0.25">
      <c r="A269" s="824">
        <v>110</v>
      </c>
      <c r="B269" s="827" t="s">
        <v>38</v>
      </c>
      <c r="C269" s="825" t="s">
        <v>391</v>
      </c>
      <c r="D269" s="82">
        <v>0.01</v>
      </c>
      <c r="E269" s="67">
        <v>6</v>
      </c>
      <c r="F269" s="83" t="s">
        <v>31</v>
      </c>
      <c r="G269" s="67"/>
      <c r="H269" s="67"/>
      <c r="I269" s="84">
        <v>8</v>
      </c>
      <c r="J269" s="652">
        <f t="shared" si="2"/>
        <v>0.08</v>
      </c>
      <c r="K269" s="48"/>
      <c r="L269" s="48"/>
      <c r="M269" s="48"/>
      <c r="N269" s="48"/>
      <c r="O269" s="52"/>
    </row>
    <row r="270" spans="1:15" x14ac:dyDescent="0.25">
      <c r="A270" s="57"/>
      <c r="B270" s="20"/>
      <c r="C270" s="20"/>
      <c r="D270" s="20"/>
      <c r="E270" s="20"/>
      <c r="F270" s="20"/>
      <c r="G270" s="20"/>
      <c r="H270" s="20"/>
      <c r="I270" s="110" t="s">
        <v>19</v>
      </c>
      <c r="J270" s="111">
        <f>SUM(J259:J269)</f>
        <v>4.4400000000000004</v>
      </c>
      <c r="K270" s="46"/>
      <c r="L270" s="46"/>
      <c r="M270" s="46"/>
      <c r="N270" s="46"/>
      <c r="O270" s="52"/>
    </row>
    <row r="271" spans="1:15" x14ac:dyDescent="0.25">
      <c r="A271" s="53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52"/>
    </row>
    <row r="272" spans="1:15" x14ac:dyDescent="0.25">
      <c r="A272" s="112" t="s">
        <v>15</v>
      </c>
      <c r="B272" s="112" t="s">
        <v>41</v>
      </c>
      <c r="C272" s="112" t="s">
        <v>21</v>
      </c>
      <c r="D272" s="112" t="s">
        <v>22</v>
      </c>
      <c r="E272" s="112" t="s">
        <v>33</v>
      </c>
      <c r="F272" s="112" t="s">
        <v>18</v>
      </c>
      <c r="G272" s="112" t="s">
        <v>42</v>
      </c>
      <c r="H272" s="112" t="s">
        <v>43</v>
      </c>
      <c r="I272" s="112" t="s">
        <v>19</v>
      </c>
      <c r="J272" s="20"/>
      <c r="K272" s="46"/>
      <c r="L272" s="46"/>
      <c r="M272" s="46"/>
      <c r="N272" s="46"/>
      <c r="O272" s="52"/>
    </row>
    <row r="273" spans="1:15" x14ac:dyDescent="0.25">
      <c r="A273" s="62">
        <v>10</v>
      </c>
      <c r="B273" s="62" t="s">
        <v>44</v>
      </c>
      <c r="C273" s="62" t="s">
        <v>45</v>
      </c>
      <c r="D273" s="63">
        <v>500</v>
      </c>
      <c r="E273" s="62" t="s">
        <v>46</v>
      </c>
      <c r="F273" s="62">
        <v>5</v>
      </c>
      <c r="G273" s="62">
        <v>3000</v>
      </c>
      <c r="H273" s="62">
        <v>1</v>
      </c>
      <c r="I273" s="63">
        <f>D273*F273/G273*H273</f>
        <v>0.83333333333333337</v>
      </c>
      <c r="J273" s="47"/>
      <c r="K273" s="46"/>
      <c r="L273" s="46"/>
      <c r="M273" s="46"/>
      <c r="N273" s="46"/>
      <c r="O273" s="52"/>
    </row>
    <row r="274" spans="1:15" x14ac:dyDescent="0.25">
      <c r="A274" s="57"/>
      <c r="B274" s="20"/>
      <c r="C274" s="20"/>
      <c r="D274" s="20"/>
      <c r="E274" s="20"/>
      <c r="F274" s="20"/>
      <c r="G274" s="20"/>
      <c r="H274" s="110" t="s">
        <v>19</v>
      </c>
      <c r="I274" s="111">
        <f>SUM(I273)</f>
        <v>0.83333333333333337</v>
      </c>
      <c r="J274" s="20"/>
      <c r="K274" s="46"/>
      <c r="L274" s="46"/>
      <c r="M274" s="46"/>
      <c r="N274" s="46"/>
      <c r="O274" s="52"/>
    </row>
    <row r="275" spans="1:15" ht="15.75" thickBot="1" x14ac:dyDescent="0.3">
      <c r="A275" s="5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1"/>
    </row>
    <row r="276" spans="1:15" ht="15.75" thickBot="1" x14ac:dyDescent="0.3"/>
    <row r="277" spans="1:15" x14ac:dyDescent="0.25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1"/>
    </row>
    <row r="278" spans="1:15" x14ac:dyDescent="0.25">
      <c r="A278" s="112" t="s">
        <v>0</v>
      </c>
      <c r="B278" s="17" t="s">
        <v>1</v>
      </c>
      <c r="C278" s="46"/>
      <c r="D278" s="46"/>
      <c r="E278" s="46"/>
      <c r="F278" s="46"/>
      <c r="G278" s="46"/>
      <c r="H278" s="46"/>
      <c r="I278" s="46"/>
      <c r="J278" s="112" t="s">
        <v>2</v>
      </c>
      <c r="K278" s="86">
        <v>81</v>
      </c>
      <c r="L278" s="46"/>
      <c r="M278" s="112" t="s">
        <v>3</v>
      </c>
      <c r="N278" s="171">
        <f>E299+EN_A0006_m+EN_A0006_p+EN_A0006_f+EN_A0006_t</f>
        <v>176.03548570316664</v>
      </c>
      <c r="O278" s="52"/>
    </row>
    <row r="279" spans="1:15" x14ac:dyDescent="0.25">
      <c r="A279" s="112" t="s">
        <v>4</v>
      </c>
      <c r="B279" s="17" t="s">
        <v>81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112" t="s">
        <v>5</v>
      </c>
      <c r="N279" s="79">
        <v>1</v>
      </c>
      <c r="O279" s="52"/>
    </row>
    <row r="280" spans="1:15" x14ac:dyDescent="0.25">
      <c r="A280" s="112" t="s">
        <v>6</v>
      </c>
      <c r="B280" s="47" t="s">
        <v>113</v>
      </c>
      <c r="C280" s="46"/>
      <c r="D280" s="46"/>
      <c r="E280" s="46"/>
      <c r="F280" s="46"/>
      <c r="G280" s="46"/>
      <c r="H280" s="46"/>
      <c r="I280" s="46"/>
      <c r="J280" s="113" t="s">
        <v>7</v>
      </c>
      <c r="K280" s="46"/>
      <c r="L280" s="46"/>
      <c r="M280" s="46"/>
      <c r="N280" s="46"/>
      <c r="O280" s="52"/>
    </row>
    <row r="281" spans="1:15" x14ac:dyDescent="0.25">
      <c r="A281" s="112" t="s">
        <v>8</v>
      </c>
      <c r="B281" s="18" t="s">
        <v>114</v>
      </c>
      <c r="C281" s="46"/>
      <c r="D281" s="46"/>
      <c r="E281" s="46"/>
      <c r="F281" s="46"/>
      <c r="G281" s="46"/>
      <c r="H281" s="46"/>
      <c r="I281" s="46"/>
      <c r="J281" s="113" t="s">
        <v>9</v>
      </c>
      <c r="K281" s="46"/>
      <c r="L281" s="46"/>
      <c r="M281" s="112" t="s">
        <v>10</v>
      </c>
      <c r="N281" s="63">
        <f>N278*N279</f>
        <v>176.03548570316664</v>
      </c>
      <c r="O281" s="52"/>
    </row>
    <row r="282" spans="1:15" x14ac:dyDescent="0.25">
      <c r="A282" s="112" t="s">
        <v>11</v>
      </c>
      <c r="B282" s="17" t="s">
        <v>12</v>
      </c>
      <c r="C282" s="46"/>
      <c r="D282" s="46"/>
      <c r="E282" s="46"/>
      <c r="F282" s="46"/>
      <c r="G282" s="46"/>
      <c r="H282" s="46"/>
      <c r="I282" s="46"/>
      <c r="J282" s="113" t="s">
        <v>13</v>
      </c>
      <c r="K282" s="46"/>
      <c r="L282" s="46"/>
      <c r="M282" s="46"/>
      <c r="N282" s="46"/>
      <c r="O282" s="52"/>
    </row>
    <row r="283" spans="1:15" x14ac:dyDescent="0.25">
      <c r="A283" s="112" t="s">
        <v>14</v>
      </c>
      <c r="B283" s="17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52"/>
    </row>
    <row r="284" spans="1:15" x14ac:dyDescent="0.25">
      <c r="A284" s="53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52"/>
    </row>
    <row r="285" spans="1:15" x14ac:dyDescent="0.25">
      <c r="A285" s="112" t="s">
        <v>15</v>
      </c>
      <c r="B285" s="112" t="s">
        <v>16</v>
      </c>
      <c r="C285" s="112" t="s">
        <v>17</v>
      </c>
      <c r="D285" s="112" t="s">
        <v>18</v>
      </c>
      <c r="E285" s="112" t="s">
        <v>19</v>
      </c>
      <c r="F285" s="46"/>
      <c r="G285" s="46"/>
      <c r="H285" s="46"/>
      <c r="I285" s="46"/>
      <c r="J285" s="46"/>
      <c r="K285" s="46"/>
      <c r="L285" s="46"/>
      <c r="M285" s="46"/>
      <c r="N285" s="46"/>
      <c r="O285" s="52"/>
    </row>
    <row r="286" spans="1:15" x14ac:dyDescent="0.25">
      <c r="A286" s="62">
        <v>10</v>
      </c>
      <c r="B286" s="172" t="s">
        <v>393</v>
      </c>
      <c r="C286" s="168">
        <f>'EN Parts'!N742</f>
        <v>5.1789856000000007</v>
      </c>
      <c r="D286" s="843">
        <f>EN_06001_q</f>
        <v>1</v>
      </c>
      <c r="E286" s="63">
        <f>C286*D286</f>
        <v>5.1789856000000007</v>
      </c>
      <c r="F286" s="46"/>
      <c r="G286" s="46"/>
      <c r="H286" s="46"/>
      <c r="I286" s="46"/>
      <c r="J286" s="46"/>
      <c r="K286" s="46"/>
      <c r="L286" s="46"/>
      <c r="M286" s="46"/>
      <c r="N286" s="46"/>
      <c r="O286" s="52"/>
    </row>
    <row r="287" spans="1:15" x14ac:dyDescent="0.25">
      <c r="A287" s="62">
        <v>20</v>
      </c>
      <c r="B287" s="172" t="s">
        <v>394</v>
      </c>
      <c r="C287" s="168">
        <f>'EN Parts'!N767</f>
        <v>5.8790627200000003</v>
      </c>
      <c r="D287" s="843">
        <f>EN_06002_q</f>
        <v>1</v>
      </c>
      <c r="E287" s="652">
        <f t="shared" ref="E287:E298" si="3">C287*D287</f>
        <v>5.8790627200000003</v>
      </c>
      <c r="F287" s="46"/>
      <c r="G287" s="46"/>
      <c r="H287" s="46"/>
      <c r="I287" s="46"/>
      <c r="J287" s="46"/>
      <c r="K287" s="46"/>
      <c r="L287" s="46"/>
      <c r="M287" s="46"/>
      <c r="N287" s="46"/>
      <c r="O287" s="52"/>
    </row>
    <row r="288" spans="1:15" x14ac:dyDescent="0.25">
      <c r="A288" s="62">
        <v>30</v>
      </c>
      <c r="B288" s="172" t="s">
        <v>395</v>
      </c>
      <c r="C288" s="168">
        <f>'EN Parts'!N788</f>
        <v>4.3526223999999996</v>
      </c>
      <c r="D288" s="843">
        <f>EN_06003_q</f>
        <v>1</v>
      </c>
      <c r="E288" s="652">
        <f t="shared" si="3"/>
        <v>4.3526223999999996</v>
      </c>
      <c r="F288" s="46"/>
      <c r="G288" s="46"/>
      <c r="H288" s="46"/>
      <c r="I288" s="46"/>
      <c r="J288" s="46"/>
      <c r="K288" s="46"/>
      <c r="L288" s="46"/>
      <c r="M288" s="46"/>
      <c r="N288" s="46"/>
      <c r="O288" s="52"/>
    </row>
    <row r="289" spans="1:15" x14ac:dyDescent="0.25">
      <c r="A289" s="62">
        <v>40</v>
      </c>
      <c r="B289" s="172" t="s">
        <v>396</v>
      </c>
      <c r="C289" s="168">
        <f>'EN Parts'!N809</f>
        <v>2.7254602499999998</v>
      </c>
      <c r="D289" s="843">
        <f>EN_06004_q</f>
        <v>1</v>
      </c>
      <c r="E289" s="652">
        <f t="shared" si="3"/>
        <v>2.7254602499999998</v>
      </c>
      <c r="F289" s="46"/>
      <c r="G289" s="46"/>
      <c r="H289" s="46"/>
      <c r="I289" s="46"/>
      <c r="J289" s="46"/>
      <c r="K289" s="46"/>
      <c r="L289" s="46"/>
      <c r="M289" s="46"/>
      <c r="N289" s="46"/>
      <c r="O289" s="52"/>
    </row>
    <row r="290" spans="1:15" x14ac:dyDescent="0.25">
      <c r="A290" s="62">
        <v>50</v>
      </c>
      <c r="B290" s="172" t="s">
        <v>397</v>
      </c>
      <c r="C290" s="168">
        <f>'EN Parts'!N830</f>
        <v>2.7115951874999999</v>
      </c>
      <c r="D290" s="843">
        <f>EN_06005_q</f>
        <v>1</v>
      </c>
      <c r="E290" s="652">
        <f t="shared" si="3"/>
        <v>2.7115951874999999</v>
      </c>
      <c r="F290" s="46"/>
      <c r="G290" s="46"/>
      <c r="H290" s="46"/>
      <c r="I290" s="46"/>
      <c r="J290" s="46"/>
      <c r="K290" s="46"/>
      <c r="L290" s="46"/>
      <c r="M290" s="46"/>
      <c r="N290" s="46"/>
      <c r="O290" s="52"/>
    </row>
    <row r="291" spans="1:15" x14ac:dyDescent="0.25">
      <c r="A291" s="62">
        <v>60</v>
      </c>
      <c r="B291" s="172" t="s">
        <v>398</v>
      </c>
      <c r="C291" s="168">
        <f>'EN Parts'!N851</f>
        <v>3.5695600000000001</v>
      </c>
      <c r="D291" s="843">
        <f>EN_06006_q</f>
        <v>1</v>
      </c>
      <c r="E291" s="652">
        <f t="shared" si="3"/>
        <v>3.5695600000000001</v>
      </c>
      <c r="F291" s="46"/>
      <c r="G291" s="46"/>
      <c r="H291" s="46"/>
      <c r="I291" s="46"/>
      <c r="J291" s="46"/>
      <c r="K291" s="46"/>
      <c r="L291" s="46"/>
      <c r="M291" s="46"/>
      <c r="N291" s="46"/>
      <c r="O291" s="52"/>
    </row>
    <row r="292" spans="1:15" x14ac:dyDescent="0.25">
      <c r="A292" s="62">
        <v>70</v>
      </c>
      <c r="B292" s="172" t="s">
        <v>399</v>
      </c>
      <c r="C292" s="168">
        <f>'EN Parts'!N872</f>
        <v>2.0401686250000002</v>
      </c>
      <c r="D292" s="843">
        <f>EN_06007_q</f>
        <v>1</v>
      </c>
      <c r="E292" s="652">
        <f t="shared" si="3"/>
        <v>2.0401686250000002</v>
      </c>
      <c r="F292" s="46"/>
      <c r="G292" s="46"/>
      <c r="H292" s="46"/>
      <c r="I292" s="46"/>
      <c r="J292" s="46"/>
      <c r="K292" s="46"/>
      <c r="L292" s="46"/>
      <c r="M292" s="46"/>
      <c r="N292" s="46"/>
      <c r="O292" s="52"/>
    </row>
    <row r="293" spans="1:15" x14ac:dyDescent="0.25">
      <c r="A293" s="62">
        <v>80</v>
      </c>
      <c r="B293" s="172" t="s">
        <v>400</v>
      </c>
      <c r="C293" s="168">
        <f>'EN Parts'!N891</f>
        <v>12.510559839999999</v>
      </c>
      <c r="D293" s="843">
        <f>EN_06008_q</f>
        <v>1</v>
      </c>
      <c r="E293" s="652">
        <f t="shared" si="3"/>
        <v>12.510559839999999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52"/>
    </row>
    <row r="294" spans="1:15" x14ac:dyDescent="0.25">
      <c r="A294" s="62">
        <v>90</v>
      </c>
      <c r="B294" s="172" t="s">
        <v>401</v>
      </c>
      <c r="C294" s="168">
        <f>'EN Parts'!N910</f>
        <v>1.4910032499999999</v>
      </c>
      <c r="D294" s="843">
        <f>EN_06009_q</f>
        <v>1</v>
      </c>
      <c r="E294" s="652">
        <f t="shared" si="3"/>
        <v>1.4910032499999999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54"/>
    </row>
    <row r="295" spans="1:15" x14ac:dyDescent="0.25">
      <c r="A295" s="62">
        <v>100</v>
      </c>
      <c r="B295" s="172" t="s">
        <v>327</v>
      </c>
      <c r="C295" s="168">
        <f>'EN Parts'!N929</f>
        <v>0.81920945000000001</v>
      </c>
      <c r="D295" s="843">
        <f>EN_06010_q</f>
        <v>2</v>
      </c>
      <c r="E295" s="652">
        <f t="shared" si="3"/>
        <v>1.6384189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54"/>
    </row>
    <row r="296" spans="1:15" x14ac:dyDescent="0.25">
      <c r="A296" s="62">
        <v>110</v>
      </c>
      <c r="B296" s="823" t="s">
        <v>402</v>
      </c>
      <c r="C296" s="844">
        <f>'EN Parts'!N960</f>
        <v>0.73918297599999994</v>
      </c>
      <c r="D296" s="181">
        <f>EN_06011_q</f>
        <v>1</v>
      </c>
      <c r="E296" s="652">
        <f t="shared" si="3"/>
        <v>0.73918297599999994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55"/>
    </row>
    <row r="297" spans="1:15" x14ac:dyDescent="0.25">
      <c r="A297" s="62">
        <v>120</v>
      </c>
      <c r="B297" s="823" t="s">
        <v>403</v>
      </c>
      <c r="C297" s="844">
        <f>'EN Parts'!N992</f>
        <v>0.74966214399999997</v>
      </c>
      <c r="D297" s="181">
        <f>EN_06012_q</f>
        <v>1</v>
      </c>
      <c r="E297" s="652">
        <f t="shared" si="3"/>
        <v>0.74966214399999997</v>
      </c>
      <c r="F297" s="47"/>
      <c r="G297" s="47"/>
      <c r="H297" s="47"/>
      <c r="I297" s="47"/>
      <c r="J297" s="47"/>
      <c r="K297" s="47"/>
      <c r="L297" s="47"/>
      <c r="M297" s="47"/>
      <c r="N297" s="47"/>
      <c r="O297" s="55"/>
    </row>
    <row r="298" spans="1:15" x14ac:dyDescent="0.25">
      <c r="A298" s="62">
        <v>130</v>
      </c>
      <c r="B298" s="823" t="s">
        <v>404</v>
      </c>
      <c r="C298" s="845">
        <f>'EN Parts'!N1023</f>
        <v>1.749662144</v>
      </c>
      <c r="D298" s="181">
        <f>EN_06013_q</f>
        <v>1</v>
      </c>
      <c r="E298" s="652">
        <f t="shared" si="3"/>
        <v>1.749662144</v>
      </c>
      <c r="F298" s="46"/>
      <c r="G298" s="46"/>
      <c r="H298" s="46"/>
      <c r="I298" s="46"/>
      <c r="J298" s="46"/>
      <c r="K298" s="46"/>
      <c r="L298" s="46"/>
      <c r="M298" s="46"/>
      <c r="N298" s="46"/>
      <c r="O298" s="52"/>
    </row>
    <row r="299" spans="1:15" x14ac:dyDescent="0.25">
      <c r="A299" s="53"/>
      <c r="B299" s="46"/>
      <c r="C299" s="46"/>
      <c r="D299" s="110" t="s">
        <v>19</v>
      </c>
      <c r="E299" s="111">
        <f>SUM(E286:E298)</f>
        <v>45.335944036499988</v>
      </c>
      <c r="F299" s="47"/>
      <c r="G299" s="47"/>
      <c r="H299" s="47"/>
      <c r="I299" s="47"/>
      <c r="J299" s="47"/>
      <c r="K299" s="47"/>
      <c r="L299" s="47"/>
      <c r="M299" s="47"/>
      <c r="N299" s="47"/>
      <c r="O299" s="52"/>
    </row>
    <row r="300" spans="1:15" x14ac:dyDescent="0.25">
      <c r="A300" s="53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52"/>
    </row>
    <row r="301" spans="1:15" x14ac:dyDescent="0.25">
      <c r="A301" s="112" t="s">
        <v>15</v>
      </c>
      <c r="B301" s="112" t="s">
        <v>20</v>
      </c>
      <c r="C301" s="112" t="s">
        <v>21</v>
      </c>
      <c r="D301" s="112" t="s">
        <v>22</v>
      </c>
      <c r="E301" s="112" t="s">
        <v>23</v>
      </c>
      <c r="F301" s="112" t="s">
        <v>24</v>
      </c>
      <c r="G301" s="112" t="s">
        <v>25</v>
      </c>
      <c r="H301" s="112" t="s">
        <v>26</v>
      </c>
      <c r="I301" s="112" t="s">
        <v>27</v>
      </c>
      <c r="J301" s="112" t="s">
        <v>28</v>
      </c>
      <c r="K301" s="112" t="s">
        <v>29</v>
      </c>
      <c r="L301" s="112" t="s">
        <v>30</v>
      </c>
      <c r="M301" s="112" t="s">
        <v>18</v>
      </c>
      <c r="N301" s="112" t="s">
        <v>19</v>
      </c>
      <c r="O301" s="52"/>
    </row>
    <row r="302" spans="1:15" x14ac:dyDescent="0.25">
      <c r="A302" s="62">
        <v>10</v>
      </c>
      <c r="B302" s="62" t="s">
        <v>453</v>
      </c>
      <c r="C302" s="62"/>
      <c r="D302" s="63">
        <v>0.15</v>
      </c>
      <c r="E302" s="62">
        <v>420</v>
      </c>
      <c r="F302" s="62" t="s">
        <v>454</v>
      </c>
      <c r="G302" s="62"/>
      <c r="H302" s="64"/>
      <c r="I302" s="65"/>
      <c r="J302" s="66"/>
      <c r="K302" s="64"/>
      <c r="L302" s="64"/>
      <c r="M302" s="64">
        <v>420</v>
      </c>
      <c r="N302" s="63">
        <f>M302*D302</f>
        <v>63</v>
      </c>
      <c r="O302" s="52"/>
    </row>
    <row r="303" spans="1:15" x14ac:dyDescent="0.25">
      <c r="A303" s="62">
        <v>20</v>
      </c>
      <c r="B303" s="62" t="s">
        <v>129</v>
      </c>
      <c r="C303" s="67" t="s">
        <v>455</v>
      </c>
      <c r="D303" s="63">
        <v>10</v>
      </c>
      <c r="E303" s="69">
        <v>1.5E-3</v>
      </c>
      <c r="F303" s="68" t="s">
        <v>136</v>
      </c>
      <c r="G303" s="68"/>
      <c r="H303" s="64"/>
      <c r="I303" s="69"/>
      <c r="J303" s="70"/>
      <c r="K303" s="71"/>
      <c r="L303" s="72"/>
      <c r="M303" s="70">
        <v>1.5E-3</v>
      </c>
      <c r="N303" s="652">
        <f t="shared" ref="N303:N310" si="4">M303*D303</f>
        <v>1.4999999999999999E-2</v>
      </c>
      <c r="O303" s="56"/>
    </row>
    <row r="304" spans="1:15" x14ac:dyDescent="0.25">
      <c r="A304" s="62">
        <v>30</v>
      </c>
      <c r="B304" s="62" t="s">
        <v>456</v>
      </c>
      <c r="C304" s="67" t="s">
        <v>457</v>
      </c>
      <c r="D304" s="652">
        <v>1</v>
      </c>
      <c r="E304" s="68"/>
      <c r="F304" s="68"/>
      <c r="G304" s="68"/>
      <c r="H304" s="64"/>
      <c r="I304" s="69"/>
      <c r="J304" s="70"/>
      <c r="K304" s="71"/>
      <c r="L304" s="72"/>
      <c r="M304" s="181">
        <v>1</v>
      </c>
      <c r="N304" s="652">
        <f t="shared" si="4"/>
        <v>1</v>
      </c>
      <c r="O304" s="56"/>
    </row>
    <row r="305" spans="1:15" x14ac:dyDescent="0.25">
      <c r="A305" s="62">
        <v>40</v>
      </c>
      <c r="B305" s="62" t="s">
        <v>456</v>
      </c>
      <c r="C305" s="67" t="s">
        <v>458</v>
      </c>
      <c r="D305" s="652">
        <v>1</v>
      </c>
      <c r="E305" s="68"/>
      <c r="F305" s="68"/>
      <c r="G305" s="68"/>
      <c r="H305" s="64"/>
      <c r="I305" s="69"/>
      <c r="J305" s="70"/>
      <c r="K305" s="71"/>
      <c r="L305" s="72"/>
      <c r="M305" s="181">
        <v>1</v>
      </c>
      <c r="N305" s="652">
        <f t="shared" si="4"/>
        <v>1</v>
      </c>
      <c r="O305" s="56"/>
    </row>
    <row r="306" spans="1:15" x14ac:dyDescent="0.25">
      <c r="A306" s="62">
        <v>50</v>
      </c>
      <c r="B306" s="62" t="s">
        <v>239</v>
      </c>
      <c r="C306" s="67" t="s">
        <v>459</v>
      </c>
      <c r="D306" s="652">
        <v>0.05</v>
      </c>
      <c r="E306" s="68"/>
      <c r="F306" s="68"/>
      <c r="G306" s="68"/>
      <c r="H306" s="64"/>
      <c r="I306" s="69"/>
      <c r="J306" s="70"/>
      <c r="K306" s="71"/>
      <c r="L306" s="72"/>
      <c r="M306" s="181">
        <v>1</v>
      </c>
      <c r="N306" s="652">
        <f t="shared" si="4"/>
        <v>0.05</v>
      </c>
      <c r="O306" s="56"/>
    </row>
    <row r="307" spans="1:15" x14ac:dyDescent="0.25">
      <c r="A307" s="62">
        <v>60</v>
      </c>
      <c r="B307" s="62" t="s">
        <v>239</v>
      </c>
      <c r="C307" s="62" t="s">
        <v>460</v>
      </c>
      <c r="D307" s="63">
        <v>0.05</v>
      </c>
      <c r="E307" s="62"/>
      <c r="F307" s="62"/>
      <c r="G307" s="62"/>
      <c r="H307" s="64"/>
      <c r="I307" s="73"/>
      <c r="J307" s="74"/>
      <c r="K307" s="64"/>
      <c r="L307" s="70"/>
      <c r="M307" s="181">
        <v>1</v>
      </c>
      <c r="N307" s="652">
        <f t="shared" si="4"/>
        <v>0.05</v>
      </c>
      <c r="O307" s="52"/>
    </row>
    <row r="308" spans="1:15" x14ac:dyDescent="0.25">
      <c r="A308" s="62">
        <v>70</v>
      </c>
      <c r="B308" s="62" t="s">
        <v>461</v>
      </c>
      <c r="C308" s="62" t="s">
        <v>462</v>
      </c>
      <c r="D308" s="63">
        <v>15</v>
      </c>
      <c r="E308" s="62">
        <v>2.5</v>
      </c>
      <c r="F308" s="62" t="s">
        <v>271</v>
      </c>
      <c r="G308" s="62"/>
      <c r="H308" s="64"/>
      <c r="I308" s="73"/>
      <c r="J308" s="74"/>
      <c r="K308" s="64"/>
      <c r="L308" s="64"/>
      <c r="M308" s="181">
        <v>2.5</v>
      </c>
      <c r="N308" s="652">
        <f t="shared" si="4"/>
        <v>37.5</v>
      </c>
      <c r="O308" s="52"/>
    </row>
    <row r="309" spans="1:15" x14ac:dyDescent="0.25">
      <c r="A309" s="62">
        <v>80</v>
      </c>
      <c r="B309" s="62" t="s">
        <v>463</v>
      </c>
      <c r="C309" s="62"/>
      <c r="D309" s="652">
        <v>1</v>
      </c>
      <c r="E309" s="62"/>
      <c r="F309" s="62"/>
      <c r="G309" s="62"/>
      <c r="H309" s="64"/>
      <c r="I309" s="73"/>
      <c r="J309" s="74"/>
      <c r="K309" s="64"/>
      <c r="L309" s="64"/>
      <c r="M309" s="181">
        <v>1</v>
      </c>
      <c r="N309" s="652">
        <f t="shared" si="4"/>
        <v>1</v>
      </c>
      <c r="O309" s="52"/>
    </row>
    <row r="310" spans="1:15" x14ac:dyDescent="0.25">
      <c r="A310" s="62">
        <v>90</v>
      </c>
      <c r="B310" s="62" t="s">
        <v>464</v>
      </c>
      <c r="C310" s="846" t="s">
        <v>465</v>
      </c>
      <c r="D310" s="63">
        <v>8.1</v>
      </c>
      <c r="E310" s="62">
        <v>30</v>
      </c>
      <c r="F310" s="62" t="s">
        <v>31</v>
      </c>
      <c r="G310" s="62"/>
      <c r="H310" s="64"/>
      <c r="I310" s="73"/>
      <c r="J310" s="74"/>
      <c r="K310" s="64"/>
      <c r="L310" s="64"/>
      <c r="M310" s="181">
        <v>2</v>
      </c>
      <c r="N310" s="652">
        <f t="shared" si="4"/>
        <v>16.2</v>
      </c>
      <c r="O310" s="52"/>
    </row>
    <row r="311" spans="1:15" x14ac:dyDescent="0.25">
      <c r="A311" s="57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112" t="s">
        <v>19</v>
      </c>
      <c r="N311" s="111">
        <f>SUM(N302:N310)</f>
        <v>119.815</v>
      </c>
      <c r="O311" s="52"/>
    </row>
    <row r="312" spans="1:15" x14ac:dyDescent="0.25">
      <c r="A312" s="53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52"/>
    </row>
    <row r="313" spans="1:15" x14ac:dyDescent="0.25">
      <c r="A313" s="112" t="s">
        <v>15</v>
      </c>
      <c r="B313" s="112" t="s">
        <v>32</v>
      </c>
      <c r="C313" s="112" t="s">
        <v>21</v>
      </c>
      <c r="D313" s="112" t="s">
        <v>22</v>
      </c>
      <c r="E313" s="112" t="s">
        <v>33</v>
      </c>
      <c r="F313" s="112" t="s">
        <v>18</v>
      </c>
      <c r="G313" s="112" t="s">
        <v>34</v>
      </c>
      <c r="H313" s="112" t="s">
        <v>35</v>
      </c>
      <c r="I313" s="112" t="s">
        <v>19</v>
      </c>
      <c r="J313" s="20"/>
      <c r="K313" s="20"/>
      <c r="L313" s="20"/>
      <c r="M313" s="20"/>
      <c r="N313" s="20"/>
      <c r="O313" s="58"/>
    </row>
    <row r="314" spans="1:15" x14ac:dyDescent="0.25">
      <c r="A314" s="62">
        <v>10</v>
      </c>
      <c r="B314" s="62" t="s">
        <v>132</v>
      </c>
      <c r="C314" s="62" t="s">
        <v>466</v>
      </c>
      <c r="D314" s="652">
        <v>0.15</v>
      </c>
      <c r="E314" s="62" t="s">
        <v>53</v>
      </c>
      <c r="F314" s="75">
        <v>4</v>
      </c>
      <c r="G314" s="75"/>
      <c r="H314" s="75">
        <v>1</v>
      </c>
      <c r="I314" s="652">
        <f t="shared" ref="I314:I334" si="5">IF(H314="",D314*F314,D314*F314*H314)</f>
        <v>0.6</v>
      </c>
      <c r="J314" s="46"/>
      <c r="K314" s="46"/>
      <c r="L314" s="46"/>
      <c r="M314" s="46"/>
      <c r="N314" s="46"/>
      <c r="O314" s="52"/>
    </row>
    <row r="315" spans="1:15" x14ac:dyDescent="0.25">
      <c r="A315" s="62">
        <v>20</v>
      </c>
      <c r="B315" s="62" t="s">
        <v>467</v>
      </c>
      <c r="C315" s="62" t="s">
        <v>455</v>
      </c>
      <c r="D315" s="652">
        <v>5.25</v>
      </c>
      <c r="E315" s="62" t="s">
        <v>136</v>
      </c>
      <c r="F315" s="75">
        <v>1.5E-3</v>
      </c>
      <c r="G315" s="75"/>
      <c r="H315" s="75">
        <v>1</v>
      </c>
      <c r="I315" s="652">
        <f t="shared" si="5"/>
        <v>7.8750000000000001E-3</v>
      </c>
      <c r="J315" s="46"/>
      <c r="K315" s="46"/>
      <c r="L315" s="46"/>
      <c r="M315" s="46"/>
      <c r="N315" s="46"/>
      <c r="O315" s="52"/>
    </row>
    <row r="316" spans="1:15" x14ac:dyDescent="0.25">
      <c r="A316" s="62">
        <v>30</v>
      </c>
      <c r="B316" s="62" t="s">
        <v>368</v>
      </c>
      <c r="C316" s="62" t="s">
        <v>469</v>
      </c>
      <c r="D316" s="652">
        <v>0.19</v>
      </c>
      <c r="E316" s="62" t="s">
        <v>33</v>
      </c>
      <c r="F316" s="75">
        <v>1</v>
      </c>
      <c r="G316" s="75"/>
      <c r="H316" s="75">
        <v>1</v>
      </c>
      <c r="I316" s="652">
        <f t="shared" si="5"/>
        <v>0.19</v>
      </c>
      <c r="J316" s="46"/>
      <c r="K316" s="46"/>
      <c r="L316" s="46"/>
      <c r="M316" s="46"/>
      <c r="N316" s="46"/>
      <c r="O316" s="52"/>
    </row>
    <row r="317" spans="1:15" x14ac:dyDescent="0.25">
      <c r="A317" s="62">
        <v>40</v>
      </c>
      <c r="B317" s="62" t="s">
        <v>368</v>
      </c>
      <c r="C317" s="62" t="s">
        <v>468</v>
      </c>
      <c r="D317" s="652">
        <v>0.19</v>
      </c>
      <c r="E317" s="62" t="s">
        <v>33</v>
      </c>
      <c r="F317" s="75">
        <v>1</v>
      </c>
      <c r="G317" s="75"/>
      <c r="H317" s="75">
        <v>1</v>
      </c>
      <c r="I317" s="652">
        <f t="shared" si="5"/>
        <v>0.19</v>
      </c>
      <c r="J317" s="46"/>
      <c r="K317" s="46"/>
      <c r="L317" s="46"/>
      <c r="M317" s="46"/>
      <c r="N317" s="46"/>
      <c r="O317" s="52"/>
    </row>
    <row r="318" spans="1:15" x14ac:dyDescent="0.25">
      <c r="A318" s="62">
        <v>50</v>
      </c>
      <c r="B318" s="62" t="s">
        <v>368</v>
      </c>
      <c r="C318" s="62" t="s">
        <v>470</v>
      </c>
      <c r="D318" s="652">
        <v>0.19</v>
      </c>
      <c r="E318" s="62" t="s">
        <v>33</v>
      </c>
      <c r="F318" s="75">
        <v>1</v>
      </c>
      <c r="G318" s="75"/>
      <c r="H318" s="75">
        <v>1</v>
      </c>
      <c r="I318" s="652">
        <f t="shared" si="5"/>
        <v>0.19</v>
      </c>
      <c r="J318" s="46"/>
      <c r="K318" s="46"/>
      <c r="L318" s="46"/>
      <c r="M318" s="46"/>
      <c r="N318" s="46"/>
      <c r="O318" s="52"/>
    </row>
    <row r="319" spans="1:15" x14ac:dyDescent="0.25">
      <c r="A319" s="62">
        <v>60</v>
      </c>
      <c r="B319" s="62" t="s">
        <v>368</v>
      </c>
      <c r="C319" s="62" t="s">
        <v>471</v>
      </c>
      <c r="D319" s="652">
        <v>0.19</v>
      </c>
      <c r="E319" s="62" t="s">
        <v>33</v>
      </c>
      <c r="F319" s="75">
        <v>1</v>
      </c>
      <c r="G319" s="75"/>
      <c r="H319" s="75">
        <v>1</v>
      </c>
      <c r="I319" s="652">
        <f t="shared" si="5"/>
        <v>0.19</v>
      </c>
      <c r="J319" s="46"/>
      <c r="K319" s="46"/>
      <c r="L319" s="46"/>
      <c r="M319" s="46"/>
      <c r="N319" s="46"/>
      <c r="O319" s="52"/>
    </row>
    <row r="320" spans="1:15" x14ac:dyDescent="0.25">
      <c r="A320" s="62">
        <v>70</v>
      </c>
      <c r="B320" s="62" t="s">
        <v>368</v>
      </c>
      <c r="C320" s="62" t="s">
        <v>472</v>
      </c>
      <c r="D320" s="652">
        <v>0.19</v>
      </c>
      <c r="E320" s="62" t="s">
        <v>33</v>
      </c>
      <c r="F320" s="75">
        <v>1</v>
      </c>
      <c r="G320" s="75"/>
      <c r="H320" s="75">
        <v>1</v>
      </c>
      <c r="I320" s="652">
        <f t="shared" si="5"/>
        <v>0.19</v>
      </c>
      <c r="J320" s="46"/>
      <c r="K320" s="46"/>
      <c r="L320" s="46"/>
      <c r="M320" s="46"/>
      <c r="N320" s="46"/>
      <c r="O320" s="52"/>
    </row>
    <row r="321" spans="1:15" x14ac:dyDescent="0.25">
      <c r="A321" s="62">
        <v>80</v>
      </c>
      <c r="B321" s="62" t="s">
        <v>368</v>
      </c>
      <c r="C321" s="62" t="s">
        <v>473</v>
      </c>
      <c r="D321" s="652">
        <v>0.19</v>
      </c>
      <c r="E321" s="62" t="s">
        <v>33</v>
      </c>
      <c r="F321" s="75">
        <v>1</v>
      </c>
      <c r="G321" s="75"/>
      <c r="H321" s="75">
        <v>1</v>
      </c>
      <c r="I321" s="652">
        <f t="shared" si="5"/>
        <v>0.19</v>
      </c>
      <c r="J321" s="46"/>
      <c r="K321" s="46"/>
      <c r="L321" s="46"/>
      <c r="M321" s="46"/>
      <c r="N321" s="46"/>
      <c r="O321" s="52"/>
    </row>
    <row r="322" spans="1:15" x14ac:dyDescent="0.25">
      <c r="A322" s="62">
        <v>90</v>
      </c>
      <c r="B322" s="62" t="s">
        <v>368</v>
      </c>
      <c r="C322" s="62" t="s">
        <v>474</v>
      </c>
      <c r="D322" s="652">
        <v>0.19</v>
      </c>
      <c r="E322" s="62" t="s">
        <v>33</v>
      </c>
      <c r="F322" s="75">
        <v>1</v>
      </c>
      <c r="G322" s="75"/>
      <c r="H322" s="75">
        <v>1</v>
      </c>
      <c r="I322" s="652">
        <f t="shared" si="5"/>
        <v>0.19</v>
      </c>
      <c r="J322" s="46"/>
      <c r="K322" s="46"/>
      <c r="L322" s="46"/>
      <c r="M322" s="46"/>
      <c r="N322" s="46"/>
      <c r="O322" s="52"/>
    </row>
    <row r="323" spans="1:15" x14ac:dyDescent="0.25">
      <c r="A323" s="62">
        <v>100</v>
      </c>
      <c r="B323" s="62" t="s">
        <v>475</v>
      </c>
      <c r="C323" s="62" t="s">
        <v>476</v>
      </c>
      <c r="D323" s="652">
        <v>0.5</v>
      </c>
      <c r="E323" s="62" t="s">
        <v>33</v>
      </c>
      <c r="F323" s="75">
        <v>1</v>
      </c>
      <c r="G323" s="75"/>
      <c r="H323" s="75">
        <v>1</v>
      </c>
      <c r="I323" s="652">
        <f t="shared" si="5"/>
        <v>0.5</v>
      </c>
      <c r="J323" s="46"/>
      <c r="K323" s="46"/>
      <c r="L323" s="46"/>
      <c r="M323" s="46"/>
      <c r="N323" s="46"/>
      <c r="O323" s="52"/>
    </row>
    <row r="324" spans="1:15" x14ac:dyDescent="0.25">
      <c r="A324" s="62">
        <v>110</v>
      </c>
      <c r="B324" s="62" t="s">
        <v>478</v>
      </c>
      <c r="C324" s="62" t="s">
        <v>477</v>
      </c>
      <c r="D324" s="652">
        <v>0.25</v>
      </c>
      <c r="E324" s="62" t="s">
        <v>33</v>
      </c>
      <c r="F324" s="75">
        <v>1</v>
      </c>
      <c r="G324" s="75"/>
      <c r="H324" s="75">
        <v>1</v>
      </c>
      <c r="I324" s="652">
        <f t="shared" si="5"/>
        <v>0.25</v>
      </c>
      <c r="J324" s="46"/>
      <c r="K324" s="46"/>
      <c r="L324" s="46"/>
      <c r="M324" s="46"/>
      <c r="N324" s="46"/>
      <c r="O324" s="52"/>
    </row>
    <row r="325" spans="1:15" x14ac:dyDescent="0.25">
      <c r="A325" s="62">
        <v>120</v>
      </c>
      <c r="B325" s="62" t="s">
        <v>360</v>
      </c>
      <c r="C325" s="62" t="s">
        <v>479</v>
      </c>
      <c r="D325" s="652">
        <v>0.13</v>
      </c>
      <c r="E325" s="62" t="s">
        <v>33</v>
      </c>
      <c r="F325" s="75">
        <v>1</v>
      </c>
      <c r="G325" s="75"/>
      <c r="H325" s="75">
        <v>1</v>
      </c>
      <c r="I325" s="652">
        <f t="shared" si="5"/>
        <v>0.13</v>
      </c>
      <c r="J325" s="46"/>
      <c r="K325" s="46"/>
      <c r="L325" s="46"/>
      <c r="M325" s="46"/>
      <c r="N325" s="46"/>
      <c r="O325" s="52"/>
    </row>
    <row r="326" spans="1:15" x14ac:dyDescent="0.25">
      <c r="A326" s="62">
        <v>130</v>
      </c>
      <c r="B326" s="62" t="s">
        <v>480</v>
      </c>
      <c r="C326" s="62" t="s">
        <v>481</v>
      </c>
      <c r="D326" s="652">
        <v>0.06</v>
      </c>
      <c r="E326" s="62" t="s">
        <v>33</v>
      </c>
      <c r="F326" s="75">
        <v>2</v>
      </c>
      <c r="G326" s="75"/>
      <c r="H326" s="75">
        <v>1</v>
      </c>
      <c r="I326" s="652">
        <f t="shared" si="5"/>
        <v>0.12</v>
      </c>
      <c r="J326" s="46"/>
      <c r="K326" s="46"/>
      <c r="L326" s="46"/>
      <c r="M326" s="46"/>
      <c r="N326" s="46"/>
      <c r="O326" s="52"/>
    </row>
    <row r="327" spans="1:15" x14ac:dyDescent="0.25">
      <c r="A327" s="62">
        <v>140</v>
      </c>
      <c r="B327" s="62" t="s">
        <v>475</v>
      </c>
      <c r="C327" s="62" t="s">
        <v>476</v>
      </c>
      <c r="D327" s="652">
        <v>0.5</v>
      </c>
      <c r="E327" s="62" t="s">
        <v>33</v>
      </c>
      <c r="F327" s="75">
        <v>1</v>
      </c>
      <c r="G327" s="75"/>
      <c r="H327" s="75">
        <v>1</v>
      </c>
      <c r="I327" s="652">
        <f t="shared" si="5"/>
        <v>0.5</v>
      </c>
      <c r="J327" s="46"/>
      <c r="K327" s="46"/>
      <c r="L327" s="46"/>
      <c r="M327" s="46"/>
      <c r="N327" s="46"/>
      <c r="O327" s="52"/>
    </row>
    <row r="328" spans="1:15" x14ac:dyDescent="0.25">
      <c r="A328" s="62">
        <v>150</v>
      </c>
      <c r="B328" s="62" t="s">
        <v>480</v>
      </c>
      <c r="C328" s="62" t="s">
        <v>482</v>
      </c>
      <c r="D328" s="652">
        <v>0.06</v>
      </c>
      <c r="E328" s="62" t="s">
        <v>33</v>
      </c>
      <c r="F328" s="75">
        <v>2</v>
      </c>
      <c r="G328" s="75"/>
      <c r="H328" s="75">
        <v>1</v>
      </c>
      <c r="I328" s="652">
        <f t="shared" si="5"/>
        <v>0.12</v>
      </c>
      <c r="J328" s="46"/>
      <c r="K328" s="46"/>
      <c r="L328" s="46"/>
      <c r="M328" s="46"/>
      <c r="N328" s="46"/>
      <c r="O328" s="52"/>
    </row>
    <row r="329" spans="1:15" x14ac:dyDescent="0.25">
      <c r="A329" s="62">
        <v>160</v>
      </c>
      <c r="B329" s="62" t="s">
        <v>368</v>
      </c>
      <c r="C329" s="62" t="s">
        <v>483</v>
      </c>
      <c r="D329" s="652">
        <v>0.19</v>
      </c>
      <c r="E329" s="62" t="s">
        <v>33</v>
      </c>
      <c r="F329" s="75">
        <v>1</v>
      </c>
      <c r="G329" s="75"/>
      <c r="H329" s="75">
        <v>1</v>
      </c>
      <c r="I329" s="652">
        <f t="shared" si="5"/>
        <v>0.19</v>
      </c>
      <c r="J329" s="46"/>
      <c r="K329" s="46"/>
      <c r="L329" s="46"/>
      <c r="M329" s="46"/>
      <c r="N329" s="46"/>
      <c r="O329" s="52"/>
    </row>
    <row r="330" spans="1:15" x14ac:dyDescent="0.25">
      <c r="A330" s="62">
        <v>170</v>
      </c>
      <c r="B330" s="62" t="s">
        <v>475</v>
      </c>
      <c r="C330" s="62" t="s">
        <v>484</v>
      </c>
      <c r="D330" s="652">
        <v>0.5</v>
      </c>
      <c r="E330" s="62" t="s">
        <v>33</v>
      </c>
      <c r="F330" s="75">
        <v>2</v>
      </c>
      <c r="G330" s="75"/>
      <c r="H330" s="75">
        <v>1</v>
      </c>
      <c r="I330" s="652">
        <f t="shared" si="5"/>
        <v>1</v>
      </c>
      <c r="J330" s="46"/>
      <c r="K330" s="46"/>
      <c r="L330" s="46"/>
      <c r="M330" s="46"/>
      <c r="N330" s="46"/>
      <c r="O330" s="52"/>
    </row>
    <row r="331" spans="1:15" x14ac:dyDescent="0.25">
      <c r="A331" s="62">
        <v>180</v>
      </c>
      <c r="B331" s="62" t="s">
        <v>478</v>
      </c>
      <c r="C331" s="62" t="s">
        <v>485</v>
      </c>
      <c r="D331" s="652">
        <v>0.25</v>
      </c>
      <c r="E331" s="62" t="s">
        <v>33</v>
      </c>
      <c r="F331" s="75">
        <v>2</v>
      </c>
      <c r="G331" s="75"/>
      <c r="H331" s="75">
        <v>1</v>
      </c>
      <c r="I331" s="652">
        <f t="shared" si="5"/>
        <v>0.5</v>
      </c>
      <c r="J331" s="46"/>
      <c r="K331" s="46"/>
      <c r="L331" s="46"/>
      <c r="M331" s="46"/>
      <c r="N331" s="46"/>
      <c r="O331" s="52"/>
    </row>
    <row r="332" spans="1:15" x14ac:dyDescent="0.25">
      <c r="A332" s="62">
        <v>190</v>
      </c>
      <c r="B332" s="62" t="s">
        <v>480</v>
      </c>
      <c r="C332" s="62" t="s">
        <v>486</v>
      </c>
      <c r="D332" s="652">
        <v>0.06</v>
      </c>
      <c r="E332" s="62" t="s">
        <v>33</v>
      </c>
      <c r="F332" s="75">
        <v>1</v>
      </c>
      <c r="G332" s="75"/>
      <c r="H332" s="75">
        <v>1</v>
      </c>
      <c r="I332" s="652">
        <f t="shared" si="5"/>
        <v>0.06</v>
      </c>
      <c r="J332" s="46"/>
      <c r="K332" s="46"/>
      <c r="L332" s="46"/>
      <c r="M332" s="46"/>
      <c r="N332" s="46"/>
      <c r="O332" s="52"/>
    </row>
    <row r="333" spans="1:15" x14ac:dyDescent="0.25">
      <c r="A333" s="62">
        <v>200</v>
      </c>
      <c r="B333" s="62" t="s">
        <v>487</v>
      </c>
      <c r="C333" s="62" t="s">
        <v>488</v>
      </c>
      <c r="D333" s="652">
        <v>0.12</v>
      </c>
      <c r="E333" s="62" t="s">
        <v>33</v>
      </c>
      <c r="F333" s="75">
        <v>1</v>
      </c>
      <c r="G333" s="75"/>
      <c r="H333" s="75">
        <v>1</v>
      </c>
      <c r="I333" s="652">
        <f t="shared" si="5"/>
        <v>0.12</v>
      </c>
      <c r="J333" s="46"/>
      <c r="K333" s="46"/>
      <c r="L333" s="46"/>
      <c r="M333" s="46"/>
      <c r="N333" s="46"/>
      <c r="O333" s="52"/>
    </row>
    <row r="334" spans="1:15" x14ac:dyDescent="0.25">
      <c r="A334" s="62">
        <v>210</v>
      </c>
      <c r="B334" s="62" t="s">
        <v>480</v>
      </c>
      <c r="C334" s="62" t="s">
        <v>489</v>
      </c>
      <c r="D334" s="652">
        <v>0.06</v>
      </c>
      <c r="E334" s="62" t="s">
        <v>33</v>
      </c>
      <c r="F334" s="75">
        <v>1</v>
      </c>
      <c r="G334" s="75"/>
      <c r="H334" s="75">
        <v>1</v>
      </c>
      <c r="I334" s="652">
        <f t="shared" si="5"/>
        <v>0.06</v>
      </c>
      <c r="J334" s="46"/>
      <c r="K334" s="46"/>
      <c r="L334" s="46"/>
      <c r="M334" s="46"/>
      <c r="N334" s="46"/>
      <c r="O334" s="52"/>
    </row>
    <row r="335" spans="1:15" x14ac:dyDescent="0.25">
      <c r="A335" s="62">
        <v>220</v>
      </c>
      <c r="B335" s="62" t="s">
        <v>490</v>
      </c>
      <c r="C335" s="62" t="s">
        <v>491</v>
      </c>
      <c r="D335" s="652">
        <v>0.25</v>
      </c>
      <c r="E335" s="62" t="s">
        <v>33</v>
      </c>
      <c r="F335" s="75">
        <v>1</v>
      </c>
      <c r="G335" s="75"/>
      <c r="H335" s="75">
        <v>1</v>
      </c>
      <c r="I335" s="63">
        <f t="shared" ref="I335:I342" si="6">IF(H335="",D335*F335,D335*F335*H335)</f>
        <v>0.25</v>
      </c>
      <c r="J335" s="46"/>
      <c r="K335" s="46"/>
      <c r="L335" s="46"/>
      <c r="M335" s="46"/>
      <c r="N335" s="46"/>
      <c r="O335" s="52"/>
    </row>
    <row r="336" spans="1:15" x14ac:dyDescent="0.25">
      <c r="A336" s="62">
        <v>230</v>
      </c>
      <c r="B336" s="62" t="s">
        <v>480</v>
      </c>
      <c r="C336" s="62" t="s">
        <v>492</v>
      </c>
      <c r="D336" s="652">
        <v>0.06</v>
      </c>
      <c r="E336" s="62" t="s">
        <v>33</v>
      </c>
      <c r="F336" s="75">
        <v>1</v>
      </c>
      <c r="G336" s="75"/>
      <c r="H336" s="75">
        <v>1</v>
      </c>
      <c r="I336" s="63">
        <f t="shared" si="6"/>
        <v>0.06</v>
      </c>
      <c r="J336" s="46"/>
      <c r="K336" s="46"/>
      <c r="L336" s="46"/>
      <c r="M336" s="46"/>
      <c r="N336" s="46"/>
      <c r="O336" s="52"/>
    </row>
    <row r="337" spans="1:15" x14ac:dyDescent="0.25">
      <c r="A337" s="62">
        <v>240</v>
      </c>
      <c r="B337" s="62" t="s">
        <v>480</v>
      </c>
      <c r="C337" s="62" t="s">
        <v>493</v>
      </c>
      <c r="D337" s="652">
        <v>0.06</v>
      </c>
      <c r="E337" s="62" t="s">
        <v>33</v>
      </c>
      <c r="F337" s="75">
        <v>1</v>
      </c>
      <c r="G337" s="75"/>
      <c r="H337" s="75">
        <v>1</v>
      </c>
      <c r="I337" s="63">
        <f t="shared" si="6"/>
        <v>0.06</v>
      </c>
      <c r="J337" s="46"/>
      <c r="K337" s="46"/>
      <c r="L337" s="46"/>
      <c r="M337" s="46"/>
      <c r="N337" s="46"/>
      <c r="O337" s="52"/>
    </row>
    <row r="338" spans="1:15" x14ac:dyDescent="0.25">
      <c r="A338" s="62">
        <v>250</v>
      </c>
      <c r="B338" s="62" t="s">
        <v>475</v>
      </c>
      <c r="C338" s="62" t="s">
        <v>484</v>
      </c>
      <c r="D338" s="63">
        <v>0.5</v>
      </c>
      <c r="E338" s="62" t="s">
        <v>33</v>
      </c>
      <c r="F338" s="75">
        <v>2</v>
      </c>
      <c r="G338" s="62"/>
      <c r="H338" s="75">
        <v>1</v>
      </c>
      <c r="I338" s="63">
        <f t="shared" si="6"/>
        <v>1</v>
      </c>
      <c r="J338" s="47"/>
      <c r="K338" s="47"/>
      <c r="L338" s="47"/>
      <c r="M338" s="47"/>
      <c r="N338" s="47"/>
      <c r="O338" s="55"/>
    </row>
    <row r="339" spans="1:15" x14ac:dyDescent="0.25">
      <c r="A339" s="62">
        <v>260</v>
      </c>
      <c r="B339" s="62" t="s">
        <v>478</v>
      </c>
      <c r="C339" s="62" t="s">
        <v>485</v>
      </c>
      <c r="D339" s="652">
        <v>0.25</v>
      </c>
      <c r="E339" s="62" t="s">
        <v>33</v>
      </c>
      <c r="F339" s="75">
        <v>2</v>
      </c>
      <c r="G339" s="75"/>
      <c r="H339" s="75">
        <v>1</v>
      </c>
      <c r="I339" s="652">
        <f>IF(H339="",D339*F339,D339*F339*H339)</f>
        <v>0.5</v>
      </c>
      <c r="J339" s="47"/>
      <c r="K339" s="47"/>
      <c r="L339" s="47"/>
      <c r="M339" s="47"/>
      <c r="N339" s="47"/>
      <c r="O339" s="58"/>
    </row>
    <row r="340" spans="1:15" ht="30" x14ac:dyDescent="0.25">
      <c r="A340" s="62">
        <v>270</v>
      </c>
      <c r="B340" s="62" t="s">
        <v>480</v>
      </c>
      <c r="C340" s="847" t="s">
        <v>494</v>
      </c>
      <c r="D340" s="652">
        <v>0.06</v>
      </c>
      <c r="E340" s="62" t="s">
        <v>33</v>
      </c>
      <c r="F340" s="75">
        <v>2</v>
      </c>
      <c r="G340" s="62"/>
      <c r="H340" s="75">
        <v>1</v>
      </c>
      <c r="I340" s="652">
        <f>IF(H340="",D340*F340,D340*F340*H340)</f>
        <v>0.12</v>
      </c>
      <c r="J340" s="47"/>
      <c r="K340" s="47"/>
      <c r="L340" s="47"/>
      <c r="M340" s="47"/>
      <c r="N340" s="47"/>
      <c r="O340" s="55"/>
    </row>
    <row r="341" spans="1:15" x14ac:dyDescent="0.25">
      <c r="A341" s="62">
        <v>280</v>
      </c>
      <c r="B341" s="62" t="s">
        <v>475</v>
      </c>
      <c r="C341" s="62" t="s">
        <v>484</v>
      </c>
      <c r="D341" s="63">
        <v>0.5</v>
      </c>
      <c r="E341" s="62" t="s">
        <v>33</v>
      </c>
      <c r="F341" s="75">
        <v>2</v>
      </c>
      <c r="G341" s="75"/>
      <c r="H341" s="75">
        <v>1</v>
      </c>
      <c r="I341" s="63">
        <f t="shared" si="6"/>
        <v>1</v>
      </c>
      <c r="J341" s="47"/>
      <c r="K341" s="47"/>
      <c r="L341" s="47"/>
      <c r="M341" s="47"/>
      <c r="N341" s="47"/>
      <c r="O341" s="58"/>
    </row>
    <row r="342" spans="1:15" x14ac:dyDescent="0.25">
      <c r="A342" s="62">
        <v>290</v>
      </c>
      <c r="B342" s="62" t="s">
        <v>478</v>
      </c>
      <c r="C342" s="846" t="s">
        <v>485</v>
      </c>
      <c r="D342" s="63">
        <v>0.25</v>
      </c>
      <c r="E342" s="62" t="s">
        <v>33</v>
      </c>
      <c r="F342" s="75">
        <v>2</v>
      </c>
      <c r="G342" s="62"/>
      <c r="H342" s="75">
        <v>1</v>
      </c>
      <c r="I342" s="63">
        <f t="shared" si="6"/>
        <v>0.5</v>
      </c>
      <c r="J342" s="47"/>
      <c r="K342" s="47"/>
      <c r="L342" s="47"/>
      <c r="M342" s="47"/>
      <c r="N342" s="47"/>
      <c r="O342" s="55"/>
    </row>
    <row r="343" spans="1:15" x14ac:dyDescent="0.25">
      <c r="A343" s="57"/>
      <c r="B343" s="20"/>
      <c r="C343" s="20"/>
      <c r="D343" s="20"/>
      <c r="E343" s="20"/>
      <c r="F343" s="20"/>
      <c r="G343" s="20"/>
      <c r="H343" s="110" t="s">
        <v>19</v>
      </c>
      <c r="I343" s="111">
        <f>SUM(I314:I342)</f>
        <v>8.9778749999999974</v>
      </c>
      <c r="J343" s="46"/>
      <c r="K343" s="46"/>
      <c r="L343" s="46"/>
      <c r="M343" s="46"/>
      <c r="N343" s="46"/>
      <c r="O343" s="52"/>
    </row>
    <row r="344" spans="1:15" x14ac:dyDescent="0.25">
      <c r="A344" s="53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52"/>
    </row>
    <row r="345" spans="1:15" x14ac:dyDescent="0.25">
      <c r="A345" s="112" t="s">
        <v>15</v>
      </c>
      <c r="B345" s="112" t="s">
        <v>37</v>
      </c>
      <c r="C345" s="112" t="s">
        <v>21</v>
      </c>
      <c r="D345" s="112" t="s">
        <v>22</v>
      </c>
      <c r="E345" s="112" t="s">
        <v>23</v>
      </c>
      <c r="F345" s="112" t="s">
        <v>24</v>
      </c>
      <c r="G345" s="112" t="s">
        <v>25</v>
      </c>
      <c r="H345" s="112" t="s">
        <v>26</v>
      </c>
      <c r="I345" s="112" t="s">
        <v>18</v>
      </c>
      <c r="J345" s="112" t="s">
        <v>19</v>
      </c>
      <c r="K345" s="46"/>
      <c r="L345" s="46"/>
      <c r="M345" s="46"/>
      <c r="N345" s="46"/>
      <c r="O345" s="52"/>
    </row>
    <row r="346" spans="1:15" x14ac:dyDescent="0.25">
      <c r="A346" s="62">
        <v>10</v>
      </c>
      <c r="B346" s="62" t="s">
        <v>151</v>
      </c>
      <c r="C346" s="62" t="s">
        <v>495</v>
      </c>
      <c r="D346" s="77">
        <v>0.02</v>
      </c>
      <c r="E346" s="78">
        <v>5</v>
      </c>
      <c r="F346" s="78" t="s">
        <v>31</v>
      </c>
      <c r="G346" s="78">
        <v>10</v>
      </c>
      <c r="H346" s="78" t="s">
        <v>31</v>
      </c>
      <c r="I346" s="79">
        <v>1</v>
      </c>
      <c r="J346" s="63">
        <f t="shared" ref="J346:J356" si="7">I346*D346</f>
        <v>0.02</v>
      </c>
      <c r="K346" s="46"/>
      <c r="L346" s="46"/>
      <c r="M346" s="46"/>
      <c r="N346" s="46"/>
      <c r="O346" s="52"/>
    </row>
    <row r="347" spans="1:15" x14ac:dyDescent="0.25">
      <c r="A347" s="62">
        <v>20</v>
      </c>
      <c r="B347" s="62" t="s">
        <v>39</v>
      </c>
      <c r="C347" s="62" t="s">
        <v>495</v>
      </c>
      <c r="D347" s="77">
        <v>0.02</v>
      </c>
      <c r="E347" s="62">
        <v>5</v>
      </c>
      <c r="F347" s="80" t="s">
        <v>31</v>
      </c>
      <c r="G347" s="62"/>
      <c r="H347" s="62"/>
      <c r="I347" s="414">
        <v>1</v>
      </c>
      <c r="J347" s="652">
        <f t="shared" si="7"/>
        <v>0.02</v>
      </c>
      <c r="K347" s="46"/>
      <c r="L347" s="46"/>
      <c r="M347" s="46"/>
      <c r="N347" s="46"/>
      <c r="O347" s="52"/>
    </row>
    <row r="348" spans="1:15" x14ac:dyDescent="0.25">
      <c r="A348" s="62">
        <v>30</v>
      </c>
      <c r="B348" s="62" t="s">
        <v>151</v>
      </c>
      <c r="C348" s="62" t="s">
        <v>496</v>
      </c>
      <c r="D348" s="77">
        <v>0.02</v>
      </c>
      <c r="E348" s="62">
        <v>5</v>
      </c>
      <c r="F348" s="80" t="s">
        <v>31</v>
      </c>
      <c r="G348" s="62">
        <v>10</v>
      </c>
      <c r="H348" s="62" t="s">
        <v>31</v>
      </c>
      <c r="I348" s="414">
        <v>1</v>
      </c>
      <c r="J348" s="652">
        <f t="shared" si="7"/>
        <v>0.02</v>
      </c>
      <c r="K348" s="46"/>
      <c r="L348" s="46"/>
      <c r="M348" s="46"/>
      <c r="N348" s="46"/>
      <c r="O348" s="52"/>
    </row>
    <row r="349" spans="1:15" x14ac:dyDescent="0.25">
      <c r="A349" s="62">
        <v>40</v>
      </c>
      <c r="B349" s="62" t="s">
        <v>151</v>
      </c>
      <c r="C349" s="62" t="s">
        <v>497</v>
      </c>
      <c r="D349" s="77">
        <v>0.04</v>
      </c>
      <c r="E349" s="62">
        <v>6</v>
      </c>
      <c r="F349" s="80" t="s">
        <v>31</v>
      </c>
      <c r="G349" s="62">
        <v>16</v>
      </c>
      <c r="H349" s="62" t="s">
        <v>31</v>
      </c>
      <c r="I349" s="414">
        <v>2</v>
      </c>
      <c r="J349" s="652">
        <f t="shared" si="7"/>
        <v>0.08</v>
      </c>
      <c r="K349" s="46"/>
      <c r="L349" s="46"/>
      <c r="M349" s="46"/>
      <c r="N349" s="46"/>
      <c r="O349" s="52"/>
    </row>
    <row r="350" spans="1:15" x14ac:dyDescent="0.25">
      <c r="A350" s="62">
        <v>50</v>
      </c>
      <c r="B350" s="81" t="s">
        <v>39</v>
      </c>
      <c r="C350" s="62" t="s">
        <v>497</v>
      </c>
      <c r="D350" s="82">
        <v>0.03</v>
      </c>
      <c r="E350" s="67">
        <v>6</v>
      </c>
      <c r="F350" s="83" t="s">
        <v>31</v>
      </c>
      <c r="G350" s="67"/>
      <c r="H350" s="67"/>
      <c r="I350" s="84">
        <v>2</v>
      </c>
      <c r="J350" s="652">
        <f t="shared" si="7"/>
        <v>0.06</v>
      </c>
      <c r="K350" s="48"/>
      <c r="L350" s="48"/>
      <c r="M350" s="48"/>
      <c r="N350" s="48"/>
      <c r="O350" s="52"/>
    </row>
    <row r="351" spans="1:15" x14ac:dyDescent="0.25">
      <c r="A351" s="62">
        <v>60</v>
      </c>
      <c r="B351" s="62" t="s">
        <v>38</v>
      </c>
      <c r="C351" s="62" t="s">
        <v>497</v>
      </c>
      <c r="D351" s="77">
        <v>0.01</v>
      </c>
      <c r="E351" s="62">
        <v>6</v>
      </c>
      <c r="F351" s="80" t="s">
        <v>31</v>
      </c>
      <c r="G351" s="62"/>
      <c r="H351" s="62"/>
      <c r="I351" s="414">
        <v>2</v>
      </c>
      <c r="J351" s="652">
        <f t="shared" si="7"/>
        <v>0.02</v>
      </c>
      <c r="K351" s="46"/>
      <c r="L351" s="46"/>
      <c r="M351" s="46"/>
      <c r="N351" s="46"/>
      <c r="O351" s="52"/>
    </row>
    <row r="352" spans="1:15" x14ac:dyDescent="0.25">
      <c r="A352" s="62">
        <v>70</v>
      </c>
      <c r="B352" s="62" t="s">
        <v>387</v>
      </c>
      <c r="C352" s="62" t="s">
        <v>498</v>
      </c>
      <c r="D352" s="77">
        <v>0.8</v>
      </c>
      <c r="E352" s="62">
        <v>75</v>
      </c>
      <c r="F352" s="80" t="s">
        <v>31</v>
      </c>
      <c r="G352" s="62"/>
      <c r="H352" s="62"/>
      <c r="I352" s="414">
        <v>1</v>
      </c>
      <c r="J352" s="652">
        <f t="shared" si="7"/>
        <v>0.8</v>
      </c>
      <c r="K352" s="46"/>
      <c r="L352" s="46"/>
      <c r="M352" s="46"/>
      <c r="N352" s="46"/>
      <c r="O352" s="52"/>
    </row>
    <row r="353" spans="1:15" x14ac:dyDescent="0.25">
      <c r="A353" s="62">
        <v>80</v>
      </c>
      <c r="B353" s="81" t="s">
        <v>151</v>
      </c>
      <c r="C353" s="67" t="s">
        <v>499</v>
      </c>
      <c r="D353" s="82">
        <v>0.04</v>
      </c>
      <c r="E353" s="67">
        <v>6</v>
      </c>
      <c r="F353" s="83" t="s">
        <v>31</v>
      </c>
      <c r="G353" s="67">
        <v>16</v>
      </c>
      <c r="H353" s="67" t="s">
        <v>31</v>
      </c>
      <c r="I353" s="84">
        <v>2</v>
      </c>
      <c r="J353" s="652">
        <f t="shared" si="7"/>
        <v>0.08</v>
      </c>
      <c r="K353" s="48"/>
      <c r="L353" s="48"/>
      <c r="M353" s="48"/>
      <c r="N353" s="48"/>
      <c r="O353" s="52"/>
    </row>
    <row r="354" spans="1:15" x14ac:dyDescent="0.25">
      <c r="A354" s="62">
        <v>90</v>
      </c>
      <c r="B354" s="62" t="s">
        <v>39</v>
      </c>
      <c r="C354" s="67" t="s">
        <v>499</v>
      </c>
      <c r="D354" s="77">
        <v>0.03</v>
      </c>
      <c r="E354" s="62">
        <v>6</v>
      </c>
      <c r="F354" s="80" t="s">
        <v>31</v>
      </c>
      <c r="G354" s="62"/>
      <c r="H354" s="62"/>
      <c r="I354" s="79">
        <v>2</v>
      </c>
      <c r="J354" s="63">
        <f t="shared" si="7"/>
        <v>0.06</v>
      </c>
      <c r="K354" s="46"/>
      <c r="L354" s="46"/>
      <c r="M354" s="46"/>
      <c r="N354" s="46"/>
      <c r="O354" s="52"/>
    </row>
    <row r="355" spans="1:15" x14ac:dyDescent="0.25">
      <c r="A355" s="62">
        <v>100</v>
      </c>
      <c r="B355" s="62" t="s">
        <v>38</v>
      </c>
      <c r="C355" s="67" t="s">
        <v>499</v>
      </c>
      <c r="D355" s="77">
        <v>0.01</v>
      </c>
      <c r="E355" s="62">
        <v>6</v>
      </c>
      <c r="F355" s="80" t="s">
        <v>31</v>
      </c>
      <c r="G355" s="62"/>
      <c r="H355" s="62"/>
      <c r="I355" s="79">
        <v>2</v>
      </c>
      <c r="J355" s="63">
        <f t="shared" si="7"/>
        <v>0.02</v>
      </c>
      <c r="K355" s="46"/>
      <c r="L355" s="46"/>
      <c r="M355" s="46"/>
      <c r="N355" s="46"/>
      <c r="O355" s="52"/>
    </row>
    <row r="356" spans="1:15" x14ac:dyDescent="0.25">
      <c r="A356" s="62">
        <v>110</v>
      </c>
      <c r="B356" s="81" t="s">
        <v>39</v>
      </c>
      <c r="C356" s="67" t="s">
        <v>500</v>
      </c>
      <c r="D356" s="82">
        <v>0.03</v>
      </c>
      <c r="E356" s="67">
        <v>6</v>
      </c>
      <c r="F356" s="83" t="s">
        <v>31</v>
      </c>
      <c r="G356" s="67"/>
      <c r="H356" s="67"/>
      <c r="I356" s="84">
        <v>2</v>
      </c>
      <c r="J356" s="63">
        <f t="shared" si="7"/>
        <v>0.06</v>
      </c>
      <c r="K356" s="48"/>
      <c r="L356" s="48"/>
      <c r="M356" s="48"/>
      <c r="N356" s="48"/>
      <c r="O356" s="52"/>
    </row>
    <row r="357" spans="1:15" x14ac:dyDescent="0.25">
      <c r="A357" s="57"/>
      <c r="B357" s="20"/>
      <c r="C357" s="20"/>
      <c r="D357" s="20"/>
      <c r="E357" s="20"/>
      <c r="F357" s="20"/>
      <c r="G357" s="20"/>
      <c r="H357" s="20"/>
      <c r="I357" s="110" t="s">
        <v>19</v>
      </c>
      <c r="J357" s="111">
        <f>SUM(J346:J356)</f>
        <v>1.2400000000000002</v>
      </c>
      <c r="K357" s="46"/>
      <c r="L357" s="46"/>
      <c r="M357" s="46"/>
      <c r="N357" s="46"/>
      <c r="O357" s="52"/>
    </row>
    <row r="358" spans="1:15" x14ac:dyDescent="0.25">
      <c r="A358" s="53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52"/>
    </row>
    <row r="359" spans="1:15" x14ac:dyDescent="0.25">
      <c r="A359" s="112" t="s">
        <v>15</v>
      </c>
      <c r="B359" s="112" t="s">
        <v>41</v>
      </c>
      <c r="C359" s="112" t="s">
        <v>21</v>
      </c>
      <c r="D359" s="112" t="s">
        <v>22</v>
      </c>
      <c r="E359" s="112" t="s">
        <v>33</v>
      </c>
      <c r="F359" s="112" t="s">
        <v>18</v>
      </c>
      <c r="G359" s="112" t="s">
        <v>42</v>
      </c>
      <c r="H359" s="112" t="s">
        <v>43</v>
      </c>
      <c r="I359" s="112" t="s">
        <v>19</v>
      </c>
      <c r="J359" s="20"/>
      <c r="K359" s="46"/>
      <c r="L359" s="46"/>
      <c r="M359" s="46"/>
      <c r="N359" s="46"/>
      <c r="O359" s="52"/>
    </row>
    <row r="360" spans="1:15" x14ac:dyDescent="0.25">
      <c r="A360" s="62">
        <v>10</v>
      </c>
      <c r="B360" s="62" t="s">
        <v>44</v>
      </c>
      <c r="C360" s="62" t="s">
        <v>466</v>
      </c>
      <c r="D360" s="63">
        <v>500</v>
      </c>
      <c r="E360" s="62" t="s">
        <v>46</v>
      </c>
      <c r="F360" s="62">
        <v>4</v>
      </c>
      <c r="G360" s="62">
        <v>3000</v>
      </c>
      <c r="H360" s="62">
        <v>1</v>
      </c>
      <c r="I360" s="63">
        <f>D360*F360/G360*H360</f>
        <v>0.66666666666666663</v>
      </c>
      <c r="J360" s="47"/>
      <c r="K360" s="46"/>
      <c r="L360" s="46"/>
      <c r="M360" s="46"/>
      <c r="N360" s="46"/>
      <c r="O360" s="52"/>
    </row>
    <row r="361" spans="1:15" x14ac:dyDescent="0.25">
      <c r="A361" s="57"/>
      <c r="B361" s="20"/>
      <c r="C361" s="20"/>
      <c r="D361" s="20"/>
      <c r="E361" s="20"/>
      <c r="F361" s="20"/>
      <c r="G361" s="20"/>
      <c r="H361" s="110" t="s">
        <v>19</v>
      </c>
      <c r="I361" s="111">
        <f>SUM(I360)</f>
        <v>0.66666666666666663</v>
      </c>
      <c r="J361" s="20"/>
      <c r="K361" s="46"/>
      <c r="L361" s="46"/>
      <c r="M361" s="46"/>
      <c r="N361" s="46"/>
      <c r="O361" s="52"/>
    </row>
    <row r="362" spans="1:15" ht="15.75" thickBot="1" x14ac:dyDescent="0.3">
      <c r="A362" s="5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1"/>
    </row>
  </sheetData>
  <hyperlinks>
    <hyperlink ref="B230" location="EN_05002" display="Upper plenum"/>
    <hyperlink ref="B229" location="EN_05001" display="Bottom plenum"/>
    <hyperlink ref="B228" location="'EN 01002'!B5" display="Bearing carrier"/>
    <hyperlink ref="B227" location="'EN 01001'!B5" display="'EN 01001'!B5"/>
    <hyperlink ref="B11" location="'EN Parts'!B82" display="Bearing carrier"/>
    <hyperlink ref="B12" location="'EN Parts'!B104" display="Tie rod support"/>
    <hyperlink ref="B13" location="'EN Parts'!B124" display="bearing carrier tab"/>
    <hyperlink ref="B79" location="'EN Parts'!B144" display="Tie rod tab"/>
    <hyperlink ref="B80" location="'EN Parts'!B164" display="Threaded tube"/>
    <hyperlink ref="B81" location="'EN Parts'!B185" display="Tie rod spacer"/>
    <hyperlink ref="B128" location="'EN Parts'!B205" display="Inboard tripod housing"/>
    <hyperlink ref="B129" location="'EN Parts'!B227" display="Outboard tripod housing"/>
    <hyperlink ref="B130" location="'EN Parts'!B250" display="Right axle"/>
    <hyperlink ref="B131" location="'EN Parts'!B271" display="Left axle"/>
    <hyperlink ref="B10" location="EN_01001" display="Housing"/>
    <hyperlink ref="B173" location="'EN Parts'!B291" display="Front sprocket"/>
    <hyperlink ref="B174" location="'EN Parts'!B313" display="Rear sprocket"/>
    <hyperlink ref="B175" location="'EN Parts'!B333" display="Rear sprocket adapter"/>
    <hyperlink ref="B176" location="'EN Parts'!B358" display="Rear sprocket spacer"/>
    <hyperlink ref="B177" location="'EN Parts'!B379" display="chain shield"/>
    <hyperlink ref="B231" location="EN_05003" display="Upper pipes"/>
    <hyperlink ref="B232" location="EN_05004" display="Pipes"/>
    <hyperlink ref="B233" location="EN_05005" display="Obstruction plate"/>
    <hyperlink ref="B234" location="EN_05006" display="Plenum Mount"/>
    <hyperlink ref="B286" location="EN_06001" display="Throttle Frange"/>
    <hyperlink ref="B287" location="EN_06002" display="Restrictor"/>
    <hyperlink ref="B288" location="EN_06003" display="Throttle Housing"/>
    <hyperlink ref="B289" location="EN_06004" display="Throttle Axle"/>
    <hyperlink ref="B290" location="EN_06005" display="TPS Axle"/>
    <hyperlink ref="B291" location="EN_06006" display="Cable Housing"/>
    <hyperlink ref="B292" location="EN_06007" display="Axle Stop"/>
    <hyperlink ref="B293" location="EN_06008" display="Ram pipe"/>
    <hyperlink ref="B294" location="EN_06009" display="Throttle Plate"/>
    <hyperlink ref="B295" location="EN_06010" display="Tabs"/>
    <hyperlink ref="B296" location="EN_06010" display="Mount 1"/>
    <hyperlink ref="B297" location="EN_06011" display="Mount 2"/>
    <hyperlink ref="B298" location="EN_06013" display="Hose Clip"/>
  </hyperlinks>
  <pageMargins left="0.70866141732283472" right="0.70866141732283472" top="0.74803149606299213" bottom="0.74803149606299213" header="0.51181102362204722" footer="0.31496062992125984"/>
  <pageSetup paperSize="9" scale="58" firstPageNumber="0" fitToHeight="0" orientation="landscape" r:id="rId1"/>
  <headerFooter>
    <oddFooter>&amp;C&amp;P</oddFooter>
  </headerFooter>
  <rowBreaks count="9" manualBreakCount="9">
    <brk id="44" max="16383" man="1"/>
    <brk id="68" max="16383" man="1"/>
    <brk id="117" max="16383" man="1"/>
    <brk id="162" max="16383" man="1"/>
    <brk id="202" max="16383" man="1"/>
    <brk id="218" max="16383" man="1"/>
    <brk id="256" max="16383" man="1"/>
    <brk id="275" max="16383" man="1"/>
    <brk id="326" max="16383" man="1"/>
  </rowBreaks>
  <colBreaks count="4" manualBreakCount="4">
    <brk id="3" max="1048575" man="1"/>
    <brk id="4" max="1048575" man="1"/>
    <brk id="5" max="1048575" man="1"/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1051"/>
  <sheetViews>
    <sheetView topLeftCell="B661" zoomScale="75" zoomScaleNormal="75" zoomScaleSheetLayoutView="50" zoomScalePageLayoutView="10" workbookViewId="0">
      <selection activeCell="L672" sqref="L672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5.140625" customWidth="1"/>
    <col min="4" max="4" width="10.5703125"/>
    <col min="5" max="6" width="10.7109375" bestFit="1" customWidth="1"/>
    <col min="7" max="7" width="35.5703125" customWidth="1"/>
    <col min="8" max="8" width="13.42578125" bestFit="1" customWidth="1"/>
    <col min="9" max="9" width="36.85546875" customWidth="1"/>
    <col min="10" max="11" width="10.7109375" bestFit="1" customWidth="1"/>
    <col min="12" max="12" width="11.140625" customWidth="1"/>
    <col min="13" max="13" width="15.42578125" bestFit="1" customWidth="1"/>
    <col min="14" max="14" width="10.7109375" customWidth="1"/>
    <col min="15" max="15" width="3.140625" customWidth="1"/>
    <col min="16" max="1025" width="10.5703125"/>
  </cols>
  <sheetData>
    <row r="1" spans="1:15" s="117" customFormat="1" x14ac:dyDescent="0.25">
      <c r="A1" s="306"/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8"/>
    </row>
    <row r="2" spans="1:15" s="117" customFormat="1" x14ac:dyDescent="0.25">
      <c r="A2" s="690" t="s">
        <v>0</v>
      </c>
      <c r="B2" s="280" t="s">
        <v>47</v>
      </c>
      <c r="C2" s="281"/>
      <c r="D2" s="281"/>
      <c r="E2" s="281"/>
      <c r="F2" s="281"/>
      <c r="G2" s="281"/>
      <c r="H2" s="281"/>
      <c r="I2" s="281"/>
      <c r="J2" s="692" t="s">
        <v>2</v>
      </c>
      <c r="K2" s="282">
        <v>81</v>
      </c>
      <c r="L2" s="281"/>
      <c r="M2" s="691" t="s">
        <v>17</v>
      </c>
      <c r="N2" s="286">
        <f>EN_01001_f+EN_01001_m+EN_01001_p</f>
        <v>125.31212934775738</v>
      </c>
      <c r="O2" s="309"/>
    </row>
    <row r="3" spans="1:15" s="117" customFormat="1" x14ac:dyDescent="0.25">
      <c r="A3" s="690" t="s">
        <v>4</v>
      </c>
      <c r="B3" s="280" t="s">
        <v>81</v>
      </c>
      <c r="C3" s="281"/>
      <c r="D3" s="691" t="s">
        <v>7</v>
      </c>
      <c r="E3" s="281"/>
      <c r="F3" s="281"/>
      <c r="G3" s="281"/>
      <c r="H3" s="281"/>
      <c r="I3" s="281"/>
      <c r="J3" s="693"/>
      <c r="K3" s="281"/>
      <c r="L3" s="281"/>
      <c r="M3" s="691" t="s">
        <v>5</v>
      </c>
      <c r="N3" s="283">
        <v>1</v>
      </c>
      <c r="O3" s="309"/>
    </row>
    <row r="4" spans="1:15" s="117" customFormat="1" x14ac:dyDescent="0.25">
      <c r="A4" s="690" t="s">
        <v>6</v>
      </c>
      <c r="B4" s="675" t="s">
        <v>117</v>
      </c>
      <c r="C4" s="281"/>
      <c r="D4" s="691" t="s">
        <v>9</v>
      </c>
      <c r="E4" s="281"/>
      <c r="F4" s="281"/>
      <c r="G4" s="281"/>
      <c r="H4" s="281"/>
      <c r="I4" s="281"/>
      <c r="J4" s="694" t="s">
        <v>7</v>
      </c>
      <c r="K4" s="281"/>
      <c r="L4" s="281"/>
      <c r="M4" s="281"/>
      <c r="N4" s="281"/>
      <c r="O4" s="309"/>
    </row>
    <row r="5" spans="1:15" s="117" customFormat="1" x14ac:dyDescent="0.25">
      <c r="A5" s="690" t="s">
        <v>16</v>
      </c>
      <c r="B5" s="285" t="s">
        <v>119</v>
      </c>
      <c r="C5" s="281"/>
      <c r="D5" s="691" t="s">
        <v>13</v>
      </c>
      <c r="E5" s="281"/>
      <c r="F5" s="281"/>
      <c r="G5" s="281"/>
      <c r="H5" s="281"/>
      <c r="I5" s="281"/>
      <c r="J5" s="694" t="s">
        <v>9</v>
      </c>
      <c r="K5" s="281"/>
      <c r="L5" s="281"/>
      <c r="M5" s="691" t="s">
        <v>10</v>
      </c>
      <c r="N5" s="286">
        <f>N2*N3</f>
        <v>125.31212934775738</v>
      </c>
      <c r="O5" s="309"/>
    </row>
    <row r="6" spans="1:15" s="117" customFormat="1" x14ac:dyDescent="0.25">
      <c r="A6" s="690" t="s">
        <v>8</v>
      </c>
      <c r="B6" s="322" t="s">
        <v>78</v>
      </c>
      <c r="C6" s="281"/>
      <c r="D6" s="281"/>
      <c r="E6" s="281"/>
      <c r="F6" s="281"/>
      <c r="G6" s="281"/>
      <c r="H6" s="281"/>
      <c r="I6" s="281"/>
      <c r="J6" s="694" t="s">
        <v>13</v>
      </c>
      <c r="K6" s="281"/>
      <c r="L6" s="281"/>
      <c r="M6" s="281"/>
      <c r="N6" s="281"/>
      <c r="O6" s="309"/>
    </row>
    <row r="7" spans="1:15" s="117" customFormat="1" x14ac:dyDescent="0.25">
      <c r="A7" s="690" t="s">
        <v>11</v>
      </c>
      <c r="B7" s="280" t="s">
        <v>12</v>
      </c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309"/>
    </row>
    <row r="8" spans="1:15" s="117" customFormat="1" x14ac:dyDescent="0.25">
      <c r="A8" s="690" t="s">
        <v>14</v>
      </c>
      <c r="B8" s="280" t="s">
        <v>233</v>
      </c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309"/>
    </row>
    <row r="9" spans="1:15" s="117" customFormat="1" x14ac:dyDescent="0.25">
      <c r="A9" s="312"/>
      <c r="B9" s="287"/>
      <c r="C9" s="287"/>
      <c r="D9" s="287"/>
      <c r="E9" s="287"/>
      <c r="F9" s="281"/>
      <c r="G9" s="281"/>
      <c r="H9" s="281"/>
      <c r="I9" s="281"/>
      <c r="J9" s="281"/>
      <c r="K9" s="281"/>
      <c r="L9" s="281"/>
      <c r="M9" s="281"/>
      <c r="N9" s="281"/>
      <c r="O9" s="309"/>
    </row>
    <row r="10" spans="1:15" s="117" customFormat="1" x14ac:dyDescent="0.25">
      <c r="A10" s="325"/>
      <c r="B10" s="324"/>
      <c r="C10" s="324"/>
      <c r="D10" s="324"/>
      <c r="E10" s="324"/>
      <c r="F10" s="281"/>
      <c r="G10" s="281"/>
      <c r="H10" s="281"/>
      <c r="I10" s="281"/>
      <c r="J10" s="281"/>
      <c r="K10" s="281"/>
      <c r="L10" s="281"/>
      <c r="M10" s="281"/>
      <c r="N10" s="281"/>
      <c r="O10" s="309"/>
    </row>
    <row r="11" spans="1:15" s="117" customFormat="1" x14ac:dyDescent="0.25">
      <c r="A11" s="695" t="s">
        <v>15</v>
      </c>
      <c r="B11" s="696" t="s">
        <v>20</v>
      </c>
      <c r="C11" s="696" t="s">
        <v>21</v>
      </c>
      <c r="D11" s="696" t="s">
        <v>22</v>
      </c>
      <c r="E11" s="696" t="s">
        <v>23</v>
      </c>
      <c r="F11" s="697" t="s">
        <v>24</v>
      </c>
      <c r="G11" s="697" t="s">
        <v>25</v>
      </c>
      <c r="H11" s="697" t="s">
        <v>26</v>
      </c>
      <c r="I11" s="697" t="s">
        <v>27</v>
      </c>
      <c r="J11" s="697" t="s">
        <v>28</v>
      </c>
      <c r="K11" s="697" t="s">
        <v>29</v>
      </c>
      <c r="L11" s="697" t="s">
        <v>30</v>
      </c>
      <c r="M11" s="697" t="s">
        <v>18</v>
      </c>
      <c r="N11" s="697" t="s">
        <v>19</v>
      </c>
      <c r="O11" s="309"/>
    </row>
    <row r="12" spans="1:15" s="117" customFormat="1" ht="30" x14ac:dyDescent="0.25">
      <c r="A12" s="321">
        <v>10</v>
      </c>
      <c r="B12" s="289" t="s">
        <v>234</v>
      </c>
      <c r="C12" s="290" t="s">
        <v>235</v>
      </c>
      <c r="D12" s="291">
        <v>4.2</v>
      </c>
      <c r="E12" s="292"/>
      <c r="F12" s="293"/>
      <c r="G12" s="292"/>
      <c r="H12" s="294"/>
      <c r="I12" s="295" t="s">
        <v>236</v>
      </c>
      <c r="J12" s="301">
        <v>8.1712824919870503E-3</v>
      </c>
      <c r="K12" s="297">
        <v>8.8050000000000003E-2</v>
      </c>
      <c r="L12" s="989">
        <v>2712</v>
      </c>
      <c r="M12" s="323">
        <v>1</v>
      </c>
      <c r="N12" s="298">
        <v>8.1891375613602921</v>
      </c>
      <c r="O12" s="309"/>
    </row>
    <row r="13" spans="1:15" s="117" customFormat="1" ht="30" x14ac:dyDescent="0.25">
      <c r="A13" s="321">
        <v>20</v>
      </c>
      <c r="B13" s="299" t="s">
        <v>234</v>
      </c>
      <c r="C13" s="290" t="s">
        <v>237</v>
      </c>
      <c r="D13" s="291">
        <v>4.2</v>
      </c>
      <c r="E13" s="292"/>
      <c r="F13" s="293"/>
      <c r="G13" s="292"/>
      <c r="H13" s="294"/>
      <c r="I13" s="295" t="s">
        <v>236</v>
      </c>
      <c r="J13" s="301">
        <v>8.1712824919870503E-3</v>
      </c>
      <c r="K13" s="297">
        <v>6.5199999999999994E-2</v>
      </c>
      <c r="L13" s="989">
        <v>2712</v>
      </c>
      <c r="M13" s="323">
        <v>1</v>
      </c>
      <c r="N13" s="298">
        <v>6.0639610335115393</v>
      </c>
      <c r="O13" s="313"/>
    </row>
    <row r="14" spans="1:15" s="117" customFormat="1" ht="30" x14ac:dyDescent="0.25">
      <c r="A14" s="321">
        <v>30</v>
      </c>
      <c r="B14" s="290" t="s">
        <v>234</v>
      </c>
      <c r="C14" s="290" t="s">
        <v>238</v>
      </c>
      <c r="D14" s="291">
        <v>4.2</v>
      </c>
      <c r="E14" s="292"/>
      <c r="F14" s="293"/>
      <c r="G14" s="292"/>
      <c r="H14" s="294"/>
      <c r="I14" s="300" t="s">
        <v>236</v>
      </c>
      <c r="J14" s="301">
        <v>8.1712824919870503E-3</v>
      </c>
      <c r="K14" s="297">
        <v>7.775E-2</v>
      </c>
      <c r="L14" s="989">
        <v>2712</v>
      </c>
      <c r="M14" s="323">
        <v>1</v>
      </c>
      <c r="N14" s="298">
        <v>7.2311805269251872</v>
      </c>
      <c r="O14" s="309"/>
    </row>
    <row r="15" spans="1:15" s="117" customFormat="1" x14ac:dyDescent="0.25">
      <c r="A15" s="321">
        <v>40</v>
      </c>
      <c r="B15" s="299" t="s">
        <v>239</v>
      </c>
      <c r="C15" s="290"/>
      <c r="D15" s="291">
        <v>0.05</v>
      </c>
      <c r="E15" s="292"/>
      <c r="F15" s="293"/>
      <c r="G15" s="292"/>
      <c r="H15" s="294"/>
      <c r="I15" s="295"/>
      <c r="J15" s="296"/>
      <c r="K15" s="297"/>
      <c r="L15" s="297"/>
      <c r="M15" s="323">
        <v>2</v>
      </c>
      <c r="N15" s="298">
        <v>0.1</v>
      </c>
      <c r="O15" s="311"/>
    </row>
    <row r="16" spans="1:15" s="117" customFormat="1" x14ac:dyDescent="0.25">
      <c r="A16" s="310"/>
      <c r="B16" s="281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699" t="s">
        <v>19</v>
      </c>
      <c r="N16" s="700">
        <v>21.584279121797021</v>
      </c>
      <c r="O16" s="309"/>
    </row>
    <row r="17" spans="1:15" s="117" customFormat="1" x14ac:dyDescent="0.25">
      <c r="A17" s="310"/>
      <c r="B17" s="281"/>
      <c r="C17" s="281"/>
      <c r="D17" s="281"/>
      <c r="E17" s="281"/>
      <c r="F17" s="281"/>
      <c r="G17" s="281"/>
      <c r="H17" s="281"/>
      <c r="I17" s="281"/>
      <c r="J17" s="281"/>
      <c r="K17" s="288"/>
      <c r="L17" s="288"/>
      <c r="M17" s="288"/>
      <c r="N17" s="288"/>
      <c r="O17" s="309"/>
    </row>
    <row r="18" spans="1:15" s="117" customFormat="1" x14ac:dyDescent="0.25">
      <c r="A18" s="698" t="s">
        <v>15</v>
      </c>
      <c r="B18" s="697" t="s">
        <v>32</v>
      </c>
      <c r="C18" s="697" t="s">
        <v>21</v>
      </c>
      <c r="D18" s="697" t="s">
        <v>22</v>
      </c>
      <c r="E18" s="697" t="s">
        <v>33</v>
      </c>
      <c r="F18" s="697" t="s">
        <v>18</v>
      </c>
      <c r="G18" s="697" t="s">
        <v>34</v>
      </c>
      <c r="H18" s="697" t="s">
        <v>35</v>
      </c>
      <c r="I18" s="697" t="s">
        <v>19</v>
      </c>
      <c r="J18" s="281"/>
      <c r="K18" s="281"/>
      <c r="L18" s="281"/>
      <c r="M18" s="281"/>
      <c r="N18" s="281"/>
      <c r="O18" s="309"/>
    </row>
    <row r="19" spans="1:15" s="117" customFormat="1" ht="45" x14ac:dyDescent="0.25">
      <c r="A19" s="321">
        <v>10</v>
      </c>
      <c r="B19" s="305" t="s">
        <v>50</v>
      </c>
      <c r="C19" s="305" t="s">
        <v>240</v>
      </c>
      <c r="D19" s="291">
        <v>1.3</v>
      </c>
      <c r="E19" s="293" t="s">
        <v>36</v>
      </c>
      <c r="F19" s="292">
        <v>1</v>
      </c>
      <c r="G19" s="303"/>
      <c r="H19" s="303"/>
      <c r="I19" s="304">
        <v>1.3</v>
      </c>
      <c r="J19" s="281"/>
      <c r="K19" s="281"/>
      <c r="L19" s="281"/>
      <c r="M19" s="281"/>
      <c r="N19" s="281"/>
      <c r="O19" s="309"/>
    </row>
    <row r="20" spans="1:15" s="117" customFormat="1" ht="30" x14ac:dyDescent="0.25">
      <c r="A20" s="321">
        <v>20</v>
      </c>
      <c r="B20" s="305" t="s">
        <v>241</v>
      </c>
      <c r="C20" s="305" t="s">
        <v>242</v>
      </c>
      <c r="D20" s="291">
        <v>0.04</v>
      </c>
      <c r="E20" s="293" t="s">
        <v>243</v>
      </c>
      <c r="F20" s="323">
        <v>623.46142341945983</v>
      </c>
      <c r="G20" s="303" t="s">
        <v>244</v>
      </c>
      <c r="H20" s="303">
        <v>1</v>
      </c>
      <c r="I20" s="304">
        <v>24.938456936778394</v>
      </c>
      <c r="J20" s="281"/>
      <c r="K20" s="281"/>
      <c r="L20" s="281"/>
      <c r="M20" s="281"/>
      <c r="N20" s="281"/>
      <c r="O20" s="309"/>
    </row>
    <row r="21" spans="1:15" s="117" customFormat="1" ht="30" x14ac:dyDescent="0.25">
      <c r="A21" s="321">
        <v>30</v>
      </c>
      <c r="B21" s="305" t="s">
        <v>245</v>
      </c>
      <c r="C21" s="305" t="s">
        <v>246</v>
      </c>
      <c r="D21" s="291">
        <v>0.35</v>
      </c>
      <c r="E21" s="293" t="s">
        <v>247</v>
      </c>
      <c r="F21" s="292">
        <v>24</v>
      </c>
      <c r="G21" s="303"/>
      <c r="H21" s="303"/>
      <c r="I21" s="304">
        <v>8.3999999999999986</v>
      </c>
      <c r="J21" s="287"/>
      <c r="K21" s="281"/>
      <c r="L21" s="281"/>
      <c r="M21" s="281"/>
      <c r="N21" s="281"/>
      <c r="O21" s="309"/>
    </row>
    <row r="22" spans="1:15" s="117" customFormat="1" ht="45" x14ac:dyDescent="0.25">
      <c r="A22" s="321">
        <v>40</v>
      </c>
      <c r="B22" s="305" t="s">
        <v>245</v>
      </c>
      <c r="C22" s="305" t="s">
        <v>248</v>
      </c>
      <c r="D22" s="291">
        <v>0.35</v>
      </c>
      <c r="E22" s="293" t="s">
        <v>247</v>
      </c>
      <c r="F22" s="292">
        <v>3</v>
      </c>
      <c r="G22" s="303"/>
      <c r="H22" s="303"/>
      <c r="I22" s="304">
        <v>1.0499999999999998</v>
      </c>
      <c r="J22" s="281"/>
      <c r="K22" s="281"/>
      <c r="L22" s="281"/>
      <c r="M22" s="281"/>
      <c r="N22" s="281"/>
      <c r="O22" s="311"/>
    </row>
    <row r="23" spans="1:15" s="117" customFormat="1" ht="45" x14ac:dyDescent="0.25">
      <c r="A23" s="321">
        <v>50</v>
      </c>
      <c r="B23" s="305" t="s">
        <v>50</v>
      </c>
      <c r="C23" s="305" t="s">
        <v>249</v>
      </c>
      <c r="D23" s="291">
        <v>1.3</v>
      </c>
      <c r="E23" s="293" t="s">
        <v>36</v>
      </c>
      <c r="F23" s="292">
        <v>1</v>
      </c>
      <c r="G23" s="303"/>
      <c r="H23" s="303"/>
      <c r="I23" s="304">
        <v>1.3</v>
      </c>
      <c r="J23" s="281"/>
      <c r="K23" s="281"/>
      <c r="L23" s="281"/>
      <c r="M23" s="281"/>
      <c r="N23" s="281"/>
      <c r="O23" s="309"/>
    </row>
    <row r="24" spans="1:15" s="117" customFormat="1" ht="30" x14ac:dyDescent="0.25">
      <c r="A24" s="321">
        <v>60</v>
      </c>
      <c r="B24" s="305" t="s">
        <v>241</v>
      </c>
      <c r="C24" s="305" t="s">
        <v>250</v>
      </c>
      <c r="D24" s="291">
        <v>0.04</v>
      </c>
      <c r="E24" s="293" t="s">
        <v>243</v>
      </c>
      <c r="F24" s="323">
        <v>426.46761847755562</v>
      </c>
      <c r="G24" s="303" t="s">
        <v>244</v>
      </c>
      <c r="H24" s="303">
        <v>1</v>
      </c>
      <c r="I24" s="304">
        <v>17.058704739102225</v>
      </c>
      <c r="J24" s="281"/>
      <c r="K24" s="281"/>
      <c r="L24" s="281"/>
      <c r="M24" s="281"/>
      <c r="N24" s="281"/>
      <c r="O24" s="309"/>
    </row>
    <row r="25" spans="1:15" s="117" customFormat="1" ht="30" x14ac:dyDescent="0.25">
      <c r="A25" s="321">
        <v>70</v>
      </c>
      <c r="B25" s="305" t="s">
        <v>251</v>
      </c>
      <c r="C25" s="305" t="s">
        <v>252</v>
      </c>
      <c r="D25" s="291">
        <v>0.35</v>
      </c>
      <c r="E25" s="293" t="s">
        <v>247</v>
      </c>
      <c r="F25" s="292">
        <v>12</v>
      </c>
      <c r="G25" s="303"/>
      <c r="H25" s="303"/>
      <c r="I25" s="304">
        <v>4.1999999999999993</v>
      </c>
      <c r="J25" s="281"/>
      <c r="K25" s="281"/>
      <c r="L25" s="281"/>
      <c r="M25" s="281"/>
      <c r="N25" s="281"/>
      <c r="O25" s="309"/>
    </row>
    <row r="26" spans="1:15" s="117" customFormat="1" ht="30" x14ac:dyDescent="0.25">
      <c r="A26" s="321">
        <v>80</v>
      </c>
      <c r="B26" s="305" t="s">
        <v>253</v>
      </c>
      <c r="C26" s="305" t="s">
        <v>254</v>
      </c>
      <c r="D26" s="291">
        <v>0.5</v>
      </c>
      <c r="E26" s="293" t="s">
        <v>53</v>
      </c>
      <c r="F26" s="292">
        <v>3.5</v>
      </c>
      <c r="G26" s="303"/>
      <c r="H26" s="303"/>
      <c r="I26" s="304">
        <v>1.75</v>
      </c>
      <c r="J26" s="281"/>
      <c r="K26" s="284"/>
      <c r="L26" s="284"/>
      <c r="M26" s="284"/>
      <c r="N26" s="284"/>
      <c r="O26" s="309"/>
    </row>
    <row r="27" spans="1:15" s="117" customFormat="1" ht="30" x14ac:dyDescent="0.25">
      <c r="A27" s="321">
        <v>90</v>
      </c>
      <c r="B27" s="305" t="s">
        <v>50</v>
      </c>
      <c r="C27" s="305" t="s">
        <v>255</v>
      </c>
      <c r="D27" s="291">
        <v>0.35</v>
      </c>
      <c r="E27" s="293" t="s">
        <v>36</v>
      </c>
      <c r="F27" s="292">
        <v>1</v>
      </c>
      <c r="G27" s="303"/>
      <c r="H27" s="303"/>
      <c r="I27" s="304">
        <v>0.35</v>
      </c>
      <c r="J27" s="281"/>
      <c r="K27" s="281"/>
      <c r="L27" s="281"/>
      <c r="M27" s="281"/>
      <c r="N27" s="281"/>
      <c r="O27" s="309"/>
    </row>
    <row r="28" spans="1:15" s="117" customFormat="1" ht="30" x14ac:dyDescent="0.25">
      <c r="A28" s="321">
        <v>100</v>
      </c>
      <c r="B28" s="305" t="s">
        <v>241</v>
      </c>
      <c r="C28" s="305" t="s">
        <v>256</v>
      </c>
      <c r="D28" s="291">
        <v>0.04</v>
      </c>
      <c r="E28" s="293" t="s">
        <v>243</v>
      </c>
      <c r="F28" s="323">
        <v>538.31721375199311</v>
      </c>
      <c r="G28" s="303" t="s">
        <v>244</v>
      </c>
      <c r="H28" s="303">
        <v>1</v>
      </c>
      <c r="I28" s="304">
        <v>21.532688550079726</v>
      </c>
      <c r="J28" s="281"/>
      <c r="K28" s="281"/>
      <c r="L28" s="281"/>
      <c r="M28" s="281"/>
      <c r="N28" s="281"/>
      <c r="O28" s="309"/>
    </row>
    <row r="29" spans="1:15" s="117" customFormat="1" ht="30" x14ac:dyDescent="0.25">
      <c r="A29" s="321">
        <v>110</v>
      </c>
      <c r="B29" s="305" t="s">
        <v>251</v>
      </c>
      <c r="C29" s="305" t="s">
        <v>257</v>
      </c>
      <c r="D29" s="291">
        <v>0.35</v>
      </c>
      <c r="E29" s="293" t="s">
        <v>247</v>
      </c>
      <c r="F29" s="292">
        <v>12</v>
      </c>
      <c r="G29" s="303"/>
      <c r="H29" s="303"/>
      <c r="I29" s="304">
        <v>4.1999999999999993</v>
      </c>
      <c r="J29" s="281"/>
      <c r="K29" s="281"/>
      <c r="L29" s="281"/>
      <c r="M29" s="281"/>
      <c r="N29" s="281"/>
      <c r="O29" s="309"/>
    </row>
    <row r="30" spans="1:15" s="117" customFormat="1" ht="30" x14ac:dyDescent="0.25">
      <c r="A30" s="321">
        <v>120</v>
      </c>
      <c r="B30" s="305" t="s">
        <v>162</v>
      </c>
      <c r="C30" s="305" t="s">
        <v>258</v>
      </c>
      <c r="D30" s="291">
        <v>0.13</v>
      </c>
      <c r="E30" s="293" t="s">
        <v>36</v>
      </c>
      <c r="F30" s="292">
        <v>2</v>
      </c>
      <c r="G30" s="303"/>
      <c r="H30" s="303"/>
      <c r="I30" s="304">
        <v>0.26</v>
      </c>
      <c r="J30" s="281"/>
      <c r="K30" s="281"/>
      <c r="L30" s="281"/>
      <c r="M30" s="281"/>
      <c r="N30" s="281"/>
      <c r="O30" s="309"/>
    </row>
    <row r="31" spans="1:15" s="117" customFormat="1" x14ac:dyDescent="0.25">
      <c r="A31" s="321">
        <v>130</v>
      </c>
      <c r="B31" s="305" t="s">
        <v>148</v>
      </c>
      <c r="C31" s="305" t="s">
        <v>259</v>
      </c>
      <c r="D31" s="291">
        <v>0.5</v>
      </c>
      <c r="E31" s="293" t="s">
        <v>36</v>
      </c>
      <c r="F31" s="292">
        <v>24</v>
      </c>
      <c r="G31" s="303"/>
      <c r="H31" s="303"/>
      <c r="I31" s="304">
        <v>12</v>
      </c>
      <c r="J31" s="281"/>
      <c r="K31" s="281"/>
      <c r="L31" s="281"/>
      <c r="M31" s="281"/>
      <c r="N31" s="281"/>
      <c r="O31" s="309"/>
    </row>
    <row r="32" spans="1:15" s="117" customFormat="1" ht="30" x14ac:dyDescent="0.25">
      <c r="A32" s="321">
        <v>140</v>
      </c>
      <c r="B32" s="305" t="s">
        <v>170</v>
      </c>
      <c r="C32" s="305" t="s">
        <v>260</v>
      </c>
      <c r="D32" s="291">
        <v>0.75</v>
      </c>
      <c r="E32" s="293" t="s">
        <v>36</v>
      </c>
      <c r="F32" s="292">
        <v>3</v>
      </c>
      <c r="G32" s="303"/>
      <c r="H32" s="303"/>
      <c r="I32" s="304">
        <v>2.25</v>
      </c>
      <c r="J32" s="281"/>
      <c r="K32" s="281"/>
      <c r="L32" s="281"/>
      <c r="M32" s="281"/>
      <c r="N32" s="281"/>
      <c r="O32" s="309"/>
    </row>
    <row r="33" spans="1:15" s="117" customFormat="1" x14ac:dyDescent="0.25">
      <c r="A33" s="310"/>
      <c r="B33" s="281"/>
      <c r="C33" s="281"/>
      <c r="D33" s="281"/>
      <c r="E33" s="281"/>
      <c r="F33" s="281"/>
      <c r="G33" s="281"/>
      <c r="H33" s="699" t="s">
        <v>19</v>
      </c>
      <c r="I33" s="700">
        <v>100.58985022596036</v>
      </c>
      <c r="J33" s="281"/>
      <c r="K33" s="281"/>
      <c r="L33" s="281"/>
      <c r="M33" s="281"/>
      <c r="N33" s="281"/>
      <c r="O33" s="309"/>
    </row>
    <row r="34" spans="1:15" s="117" customFormat="1" x14ac:dyDescent="0.25">
      <c r="A34" s="310"/>
      <c r="B34" s="281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309"/>
    </row>
    <row r="35" spans="1:15" s="117" customFormat="1" x14ac:dyDescent="0.25">
      <c r="A35" s="698" t="s">
        <v>15</v>
      </c>
      <c r="B35" s="697" t="s">
        <v>37</v>
      </c>
      <c r="C35" s="697" t="s">
        <v>21</v>
      </c>
      <c r="D35" s="697" t="s">
        <v>22</v>
      </c>
      <c r="E35" s="697" t="s">
        <v>23</v>
      </c>
      <c r="F35" s="697" t="s">
        <v>24</v>
      </c>
      <c r="G35" s="697" t="s">
        <v>25</v>
      </c>
      <c r="H35" s="697" t="s">
        <v>26</v>
      </c>
      <c r="I35" s="697" t="s">
        <v>18</v>
      </c>
      <c r="J35" s="697" t="s">
        <v>19</v>
      </c>
      <c r="K35" s="281"/>
      <c r="L35" s="281"/>
      <c r="M35" s="281"/>
      <c r="N35" s="281"/>
      <c r="O35" s="309"/>
    </row>
    <row r="36" spans="1:15" s="117" customFormat="1" ht="30" x14ac:dyDescent="0.25">
      <c r="A36" s="326">
        <v>10</v>
      </c>
      <c r="B36" s="299" t="s">
        <v>261</v>
      </c>
      <c r="C36" s="317" t="s">
        <v>262</v>
      </c>
      <c r="D36" s="302">
        <v>0.06</v>
      </c>
      <c r="E36" s="292">
        <v>6</v>
      </c>
      <c r="F36" s="318" t="s">
        <v>31</v>
      </c>
      <c r="G36" s="292">
        <v>14</v>
      </c>
      <c r="H36" s="319" t="s">
        <v>31</v>
      </c>
      <c r="I36" s="320">
        <v>24</v>
      </c>
      <c r="J36" s="291">
        <v>1.44</v>
      </c>
      <c r="K36" s="281"/>
      <c r="L36" s="281"/>
      <c r="M36" s="281"/>
      <c r="N36" s="281"/>
      <c r="O36" s="309"/>
    </row>
    <row r="37" spans="1:15" s="117" customFormat="1" x14ac:dyDescent="0.25">
      <c r="A37" s="326">
        <v>20</v>
      </c>
      <c r="B37" s="299" t="s">
        <v>263</v>
      </c>
      <c r="C37" s="317"/>
      <c r="D37" s="302">
        <v>0.02</v>
      </c>
      <c r="E37" s="292"/>
      <c r="F37" s="318" t="s">
        <v>36</v>
      </c>
      <c r="G37" s="292"/>
      <c r="H37" s="319"/>
      <c r="I37" s="320">
        <v>24</v>
      </c>
      <c r="J37" s="291">
        <v>0.48</v>
      </c>
      <c r="K37" s="281"/>
      <c r="L37" s="281"/>
      <c r="M37" s="281"/>
      <c r="N37" s="281"/>
      <c r="O37" s="309"/>
    </row>
    <row r="38" spans="1:15" s="117" customFormat="1" x14ac:dyDescent="0.25">
      <c r="A38" s="326">
        <v>30</v>
      </c>
      <c r="B38" s="299" t="s">
        <v>264</v>
      </c>
      <c r="C38" s="317" t="s">
        <v>265</v>
      </c>
      <c r="D38" s="302">
        <v>7.0000000000000007E-2</v>
      </c>
      <c r="E38" s="292">
        <v>8</v>
      </c>
      <c r="F38" s="318" t="s">
        <v>31</v>
      </c>
      <c r="G38" s="292">
        <v>8</v>
      </c>
      <c r="H38" s="319" t="s">
        <v>31</v>
      </c>
      <c r="I38" s="320">
        <v>3</v>
      </c>
      <c r="J38" s="291">
        <v>0.21000000000000002</v>
      </c>
      <c r="K38" s="281"/>
      <c r="L38" s="281"/>
      <c r="M38" s="281"/>
      <c r="N38" s="281"/>
      <c r="O38" s="309"/>
    </row>
    <row r="39" spans="1:15" s="117" customFormat="1" ht="45" x14ac:dyDescent="0.25">
      <c r="A39" s="321">
        <v>40</v>
      </c>
      <c r="B39" s="299" t="s">
        <v>266</v>
      </c>
      <c r="C39" s="317" t="s">
        <v>267</v>
      </c>
      <c r="D39" s="302">
        <v>0.33600000000000002</v>
      </c>
      <c r="E39" s="292">
        <v>8</v>
      </c>
      <c r="F39" s="318" t="s">
        <v>31</v>
      </c>
      <c r="G39" s="292"/>
      <c r="H39" s="319"/>
      <c r="I39" s="320">
        <v>3</v>
      </c>
      <c r="J39" s="291">
        <v>1.008</v>
      </c>
      <c r="K39" s="281"/>
      <c r="L39" s="281"/>
      <c r="M39" s="281"/>
      <c r="N39" s="281"/>
      <c r="O39" s="309"/>
    </row>
    <row r="40" spans="1:15" s="117" customFormat="1" x14ac:dyDescent="0.25">
      <c r="A40" s="310"/>
      <c r="B40" s="281"/>
      <c r="C40" s="281"/>
      <c r="D40" s="281"/>
      <c r="E40" s="281"/>
      <c r="F40" s="281"/>
      <c r="G40" s="281"/>
      <c r="H40" s="281"/>
      <c r="I40" s="699" t="s">
        <v>19</v>
      </c>
      <c r="J40" s="700">
        <v>3.1379999999999999</v>
      </c>
      <c r="K40" s="281"/>
      <c r="L40" s="281"/>
      <c r="M40" s="281"/>
      <c r="N40" s="281"/>
      <c r="O40" s="309"/>
    </row>
    <row r="41" spans="1:15" s="117" customFormat="1" x14ac:dyDescent="0.25">
      <c r="A41" s="310"/>
      <c r="B41" s="281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309"/>
    </row>
    <row r="42" spans="1:15" s="117" customFormat="1" ht="15.75" thickBot="1" x14ac:dyDescent="0.3">
      <c r="A42" s="314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6"/>
    </row>
    <row r="43" spans="1:15" s="117" customFormat="1" ht="15.75" thickBot="1" x14ac:dyDescent="0.3">
      <c r="A43" s="120"/>
      <c r="B43" s="120"/>
      <c r="C43" s="120"/>
      <c r="D43" s="120"/>
      <c r="E43" s="120"/>
      <c r="F43" s="120"/>
      <c r="G43" s="120"/>
      <c r="H43" s="170"/>
      <c r="I43" s="170"/>
      <c r="J43" s="120"/>
      <c r="K43" s="120"/>
      <c r="L43" s="120"/>
      <c r="M43" s="120"/>
      <c r="N43" s="120"/>
      <c r="O43" s="120"/>
    </row>
    <row r="44" spans="1:15" s="117" customFormat="1" x14ac:dyDescent="0.25">
      <c r="A44" s="327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9"/>
    </row>
    <row r="45" spans="1:15" s="117" customFormat="1" x14ac:dyDescent="0.25">
      <c r="A45" s="691" t="s">
        <v>0</v>
      </c>
      <c r="B45" s="330" t="s">
        <v>47</v>
      </c>
      <c r="C45" s="331"/>
      <c r="D45" s="331"/>
      <c r="E45" s="331"/>
      <c r="F45" s="331"/>
      <c r="G45" s="331"/>
      <c r="H45" s="331"/>
      <c r="I45" s="331"/>
      <c r="J45" s="692" t="s">
        <v>2</v>
      </c>
      <c r="K45" s="332">
        <v>81</v>
      </c>
      <c r="L45" s="331"/>
      <c r="M45" s="691" t="s">
        <v>17</v>
      </c>
      <c r="N45" s="337">
        <f>EN_01002_m+EN_01002_p</f>
        <v>10.729011119999999</v>
      </c>
      <c r="O45" s="333"/>
    </row>
    <row r="46" spans="1:15" s="117" customFormat="1" x14ac:dyDescent="0.25">
      <c r="A46" s="691" t="s">
        <v>4</v>
      </c>
      <c r="B46" s="330" t="s">
        <v>81</v>
      </c>
      <c r="C46" s="331"/>
      <c r="D46" s="691" t="s">
        <v>7</v>
      </c>
      <c r="E46" s="331"/>
      <c r="F46" s="331"/>
      <c r="G46" s="331"/>
      <c r="H46" s="331"/>
      <c r="I46" s="331"/>
      <c r="J46" s="331"/>
      <c r="K46" s="331"/>
      <c r="L46" s="331"/>
      <c r="M46" s="691" t="s">
        <v>5</v>
      </c>
      <c r="N46" s="334">
        <v>2</v>
      </c>
      <c r="O46" s="333"/>
    </row>
    <row r="47" spans="1:15" s="117" customFormat="1" x14ac:dyDescent="0.25">
      <c r="A47" s="691" t="s">
        <v>6</v>
      </c>
      <c r="B47" s="675" t="s">
        <v>117</v>
      </c>
      <c r="C47" s="331"/>
      <c r="D47" s="691" t="s">
        <v>9</v>
      </c>
      <c r="E47" s="331"/>
      <c r="F47" s="331"/>
      <c r="G47" s="331"/>
      <c r="H47" s="331"/>
      <c r="I47" s="331"/>
      <c r="J47" s="694" t="s">
        <v>7</v>
      </c>
      <c r="K47" s="331"/>
      <c r="L47" s="331"/>
      <c r="M47" s="331"/>
      <c r="N47" s="331"/>
      <c r="O47" s="333"/>
    </row>
    <row r="48" spans="1:15" s="117" customFormat="1" x14ac:dyDescent="0.25">
      <c r="A48" s="691" t="s">
        <v>16</v>
      </c>
      <c r="B48" s="336" t="s">
        <v>268</v>
      </c>
      <c r="C48" s="331"/>
      <c r="D48" s="691" t="s">
        <v>13</v>
      </c>
      <c r="E48" s="331"/>
      <c r="F48" s="331"/>
      <c r="G48" s="331"/>
      <c r="H48" s="331"/>
      <c r="I48" s="331"/>
      <c r="J48" s="694" t="s">
        <v>9</v>
      </c>
      <c r="K48" s="331"/>
      <c r="L48" s="331"/>
      <c r="M48" s="691" t="s">
        <v>10</v>
      </c>
      <c r="N48" s="337">
        <f>N45*N46</f>
        <v>21.458022239999998</v>
      </c>
      <c r="O48" s="333"/>
    </row>
    <row r="49" spans="1:15" s="117" customFormat="1" x14ac:dyDescent="0.25">
      <c r="A49" s="691" t="s">
        <v>8</v>
      </c>
      <c r="B49" s="362" t="s">
        <v>269</v>
      </c>
      <c r="C49" s="331"/>
      <c r="D49" s="331"/>
      <c r="E49" s="331"/>
      <c r="F49" s="331"/>
      <c r="G49" s="331"/>
      <c r="H49" s="331"/>
      <c r="I49" s="331"/>
      <c r="J49" s="694" t="s">
        <v>13</v>
      </c>
      <c r="K49" s="331"/>
      <c r="L49" s="331"/>
      <c r="M49" s="331"/>
      <c r="N49" s="331"/>
      <c r="O49" s="333"/>
    </row>
    <row r="50" spans="1:15" s="117" customFormat="1" x14ac:dyDescent="0.25">
      <c r="A50" s="691" t="s">
        <v>11</v>
      </c>
      <c r="B50" s="330" t="s">
        <v>12</v>
      </c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331"/>
      <c r="N50" s="331"/>
      <c r="O50" s="333"/>
    </row>
    <row r="51" spans="1:15" s="117" customFormat="1" x14ac:dyDescent="0.25">
      <c r="A51" s="691" t="s">
        <v>14</v>
      </c>
      <c r="B51" s="330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3"/>
    </row>
    <row r="52" spans="1:15" s="117" customFormat="1" x14ac:dyDescent="0.25">
      <c r="A52" s="363"/>
      <c r="B52" s="364"/>
      <c r="C52" s="364"/>
      <c r="D52" s="364"/>
      <c r="E52" s="364"/>
      <c r="F52" s="331"/>
      <c r="G52" s="331"/>
      <c r="H52" s="331"/>
      <c r="I52" s="331"/>
      <c r="J52" s="331"/>
      <c r="K52" s="331"/>
      <c r="L52" s="331"/>
      <c r="M52" s="331"/>
      <c r="N52" s="331"/>
      <c r="O52" s="333"/>
    </row>
    <row r="53" spans="1:15" s="117" customFormat="1" x14ac:dyDescent="0.25">
      <c r="A53" s="701" t="s">
        <v>15</v>
      </c>
      <c r="B53" s="696" t="s">
        <v>20</v>
      </c>
      <c r="C53" s="696" t="s">
        <v>21</v>
      </c>
      <c r="D53" s="696" t="s">
        <v>22</v>
      </c>
      <c r="E53" s="696" t="s">
        <v>23</v>
      </c>
      <c r="F53" s="697" t="s">
        <v>24</v>
      </c>
      <c r="G53" s="697" t="s">
        <v>25</v>
      </c>
      <c r="H53" s="697" t="s">
        <v>26</v>
      </c>
      <c r="I53" s="697" t="s">
        <v>27</v>
      </c>
      <c r="J53" s="697" t="s">
        <v>28</v>
      </c>
      <c r="K53" s="697" t="s">
        <v>29</v>
      </c>
      <c r="L53" s="697" t="s">
        <v>30</v>
      </c>
      <c r="M53" s="697" t="s">
        <v>18</v>
      </c>
      <c r="N53" s="697" t="s">
        <v>19</v>
      </c>
      <c r="O53" s="333"/>
    </row>
    <row r="54" spans="1:15" s="117" customFormat="1" ht="30" x14ac:dyDescent="0.25">
      <c r="A54" s="348">
        <v>10</v>
      </c>
      <c r="B54" s="357" t="s">
        <v>234</v>
      </c>
      <c r="C54" s="349" t="s">
        <v>270</v>
      </c>
      <c r="D54" s="350">
        <v>4.2</v>
      </c>
      <c r="E54" s="351">
        <v>0.23100000000000001</v>
      </c>
      <c r="F54" s="352" t="s">
        <v>271</v>
      </c>
      <c r="G54" s="351">
        <v>0.11799999999999999</v>
      </c>
      <c r="H54" s="353" t="s">
        <v>271</v>
      </c>
      <c r="I54" s="354" t="s">
        <v>272</v>
      </c>
      <c r="J54" s="365">
        <v>2.7258000000000001E-2</v>
      </c>
      <c r="K54" s="355">
        <v>0.02</v>
      </c>
      <c r="L54" s="989">
        <v>2712</v>
      </c>
      <c r="M54" s="366">
        <v>1</v>
      </c>
      <c r="N54" s="356">
        <v>6.20501112</v>
      </c>
      <c r="O54" s="340"/>
    </row>
    <row r="55" spans="1:15" s="117" customFormat="1" x14ac:dyDescent="0.25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702" t="s">
        <v>19</v>
      </c>
      <c r="N55" s="700">
        <v>6.20501112</v>
      </c>
      <c r="O55" s="333"/>
    </row>
    <row r="56" spans="1:15" s="117" customFormat="1" x14ac:dyDescent="0.25">
      <c r="A56" s="338"/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3"/>
    </row>
    <row r="57" spans="1:15" s="117" customFormat="1" x14ac:dyDescent="0.25">
      <c r="A57" s="703" t="s">
        <v>15</v>
      </c>
      <c r="B57" s="697" t="s">
        <v>32</v>
      </c>
      <c r="C57" s="697" t="s">
        <v>21</v>
      </c>
      <c r="D57" s="697" t="s">
        <v>22</v>
      </c>
      <c r="E57" s="697" t="s">
        <v>33</v>
      </c>
      <c r="F57" s="697" t="s">
        <v>18</v>
      </c>
      <c r="G57" s="697" t="s">
        <v>34</v>
      </c>
      <c r="H57" s="697" t="s">
        <v>35</v>
      </c>
      <c r="I57" s="697" t="s">
        <v>19</v>
      </c>
      <c r="J57" s="342"/>
      <c r="K57" s="342"/>
      <c r="L57" s="342"/>
      <c r="M57" s="342"/>
      <c r="N57" s="342"/>
      <c r="O57" s="333"/>
    </row>
    <row r="58" spans="1:15" s="117" customFormat="1" ht="30" x14ac:dyDescent="0.25">
      <c r="A58" s="348">
        <v>10</v>
      </c>
      <c r="B58" s="361" t="s">
        <v>50</v>
      </c>
      <c r="C58" s="361" t="s">
        <v>273</v>
      </c>
      <c r="D58" s="350">
        <v>1.3</v>
      </c>
      <c r="E58" s="349" t="s">
        <v>36</v>
      </c>
      <c r="F58" s="358">
        <v>1</v>
      </c>
      <c r="G58" s="359"/>
      <c r="H58" s="359"/>
      <c r="I58" s="360">
        <v>1.3</v>
      </c>
      <c r="J58" s="344"/>
      <c r="K58" s="344"/>
      <c r="L58" s="344"/>
      <c r="M58" s="344"/>
      <c r="N58" s="344"/>
      <c r="O58" s="343"/>
    </row>
    <row r="59" spans="1:15" s="117" customFormat="1" ht="30" x14ac:dyDescent="0.25">
      <c r="A59" s="348">
        <v>20</v>
      </c>
      <c r="B59" s="361" t="s">
        <v>52</v>
      </c>
      <c r="C59" s="361" t="s">
        <v>274</v>
      </c>
      <c r="D59" s="350">
        <v>0.01</v>
      </c>
      <c r="E59" s="349" t="s">
        <v>53</v>
      </c>
      <c r="F59" s="367">
        <v>157.4</v>
      </c>
      <c r="G59" s="359" t="s">
        <v>244</v>
      </c>
      <c r="H59" s="359">
        <v>1</v>
      </c>
      <c r="I59" s="360">
        <v>1.5740000000000001</v>
      </c>
      <c r="J59" s="331"/>
      <c r="K59" s="331"/>
      <c r="L59" s="331"/>
      <c r="M59" s="331"/>
      <c r="N59" s="331"/>
      <c r="O59" s="333"/>
    </row>
    <row r="60" spans="1:15" s="117" customFormat="1" ht="30" x14ac:dyDescent="0.25">
      <c r="A60" s="348">
        <v>30</v>
      </c>
      <c r="B60" s="361" t="s">
        <v>50</v>
      </c>
      <c r="C60" s="361" t="s">
        <v>275</v>
      </c>
      <c r="D60" s="350">
        <v>1.3</v>
      </c>
      <c r="E60" s="349" t="s">
        <v>36</v>
      </c>
      <c r="F60" s="358">
        <v>1</v>
      </c>
      <c r="G60" s="359"/>
      <c r="H60" s="359"/>
      <c r="I60" s="360">
        <v>1.3</v>
      </c>
      <c r="J60" s="335"/>
      <c r="K60" s="335"/>
      <c r="L60" s="335"/>
      <c r="M60" s="335"/>
      <c r="N60" s="335"/>
      <c r="O60" s="339"/>
    </row>
    <row r="61" spans="1:15" s="117" customFormat="1" x14ac:dyDescent="0.25">
      <c r="A61" s="348">
        <v>40</v>
      </c>
      <c r="B61" s="361" t="s">
        <v>276</v>
      </c>
      <c r="C61" s="361" t="s">
        <v>277</v>
      </c>
      <c r="D61" s="368">
        <v>0.35</v>
      </c>
      <c r="E61" s="369" t="s">
        <v>247</v>
      </c>
      <c r="F61" s="367">
        <v>1</v>
      </c>
      <c r="G61" s="359" t="s">
        <v>244</v>
      </c>
      <c r="H61" s="359">
        <v>1</v>
      </c>
      <c r="I61" s="360">
        <v>0.35</v>
      </c>
      <c r="J61" s="331"/>
      <c r="K61" s="331"/>
      <c r="L61" s="331"/>
      <c r="M61" s="331"/>
      <c r="N61" s="331"/>
      <c r="O61" s="333"/>
    </row>
    <row r="62" spans="1:15" s="117" customFormat="1" x14ac:dyDescent="0.25">
      <c r="A62" s="341"/>
      <c r="B62" s="342"/>
      <c r="C62" s="342"/>
      <c r="D62" s="342"/>
      <c r="E62" s="342"/>
      <c r="F62" s="342"/>
      <c r="G62" s="342"/>
      <c r="H62" s="699" t="s">
        <v>19</v>
      </c>
      <c r="I62" s="700">
        <v>4.524</v>
      </c>
      <c r="J62" s="342"/>
      <c r="K62" s="342"/>
      <c r="L62" s="342"/>
      <c r="M62" s="342"/>
      <c r="N62" s="342"/>
      <c r="O62" s="333"/>
    </row>
    <row r="63" spans="1:15" s="117" customFormat="1" x14ac:dyDescent="0.25">
      <c r="A63" s="338"/>
      <c r="B63" s="331"/>
      <c r="C63" s="331"/>
      <c r="D63" s="331"/>
      <c r="E63" s="331"/>
      <c r="F63" s="331"/>
      <c r="G63" s="331"/>
      <c r="H63" s="331"/>
      <c r="I63" s="335"/>
      <c r="J63" s="331"/>
      <c r="K63" s="331"/>
      <c r="L63" s="331"/>
      <c r="M63" s="331"/>
      <c r="N63" s="331"/>
      <c r="O63" s="333"/>
    </row>
    <row r="64" spans="1:15" s="117" customFormat="1" ht="15.75" thickBot="1" x14ac:dyDescent="0.3">
      <c r="A64" s="345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7"/>
    </row>
    <row r="65" spans="1:15" s="117" customFormat="1" ht="15.75" thickBot="1" x14ac:dyDescent="0.3">
      <c r="A65" s="120"/>
      <c r="B65" s="120"/>
      <c r="C65" s="120"/>
      <c r="D65" s="120"/>
      <c r="E65" s="120"/>
      <c r="F65" s="120"/>
      <c r="G65" s="120"/>
      <c r="H65" s="170"/>
      <c r="I65" s="170"/>
      <c r="J65" s="120"/>
      <c r="K65" s="120"/>
      <c r="L65" s="120"/>
      <c r="M65" s="120"/>
      <c r="N65" s="120"/>
      <c r="O65" s="120"/>
    </row>
    <row r="66" spans="1:15" s="117" customFormat="1" x14ac:dyDescent="0.25">
      <c r="A66" s="370"/>
      <c r="B66" s="371"/>
      <c r="C66" s="371"/>
      <c r="D66" s="371"/>
      <c r="E66" s="371"/>
      <c r="F66" s="371"/>
      <c r="G66" s="371"/>
      <c r="H66" s="371"/>
      <c r="I66" s="371"/>
      <c r="J66" s="371"/>
      <c r="K66" s="371"/>
      <c r="L66" s="371"/>
      <c r="M66" s="371"/>
      <c r="N66" s="371"/>
      <c r="O66" s="372"/>
    </row>
    <row r="67" spans="1:15" s="117" customFormat="1" x14ac:dyDescent="0.25">
      <c r="A67" s="691" t="s">
        <v>0</v>
      </c>
      <c r="B67" s="373" t="s">
        <v>47</v>
      </c>
      <c r="C67" s="374"/>
      <c r="D67" s="374"/>
      <c r="E67" s="374"/>
      <c r="F67" s="374"/>
      <c r="G67" s="374"/>
      <c r="H67" s="374"/>
      <c r="I67" s="374"/>
      <c r="J67" s="692" t="s">
        <v>2</v>
      </c>
      <c r="K67" s="375">
        <v>81</v>
      </c>
      <c r="L67" s="374"/>
      <c r="M67" s="691" t="s">
        <v>17</v>
      </c>
      <c r="N67" s="380">
        <f>EN_01003_m+EN_01003_p</f>
        <v>1.883575295</v>
      </c>
      <c r="O67" s="376"/>
    </row>
    <row r="68" spans="1:15" s="117" customFormat="1" x14ac:dyDescent="0.25">
      <c r="A68" s="691" t="s">
        <v>4</v>
      </c>
      <c r="B68" s="373" t="s">
        <v>81</v>
      </c>
      <c r="C68" s="374"/>
      <c r="D68" s="691" t="s">
        <v>7</v>
      </c>
      <c r="E68" s="374"/>
      <c r="F68" s="374"/>
      <c r="G68" s="374"/>
      <c r="H68" s="374"/>
      <c r="I68" s="374"/>
      <c r="J68" s="374"/>
      <c r="K68" s="374"/>
      <c r="L68" s="374"/>
      <c r="M68" s="691" t="s">
        <v>5</v>
      </c>
      <c r="N68" s="377">
        <v>4</v>
      </c>
      <c r="O68" s="376"/>
    </row>
    <row r="69" spans="1:15" s="117" customFormat="1" x14ac:dyDescent="0.25">
      <c r="A69" s="691" t="s">
        <v>6</v>
      </c>
      <c r="B69" s="675" t="s">
        <v>117</v>
      </c>
      <c r="C69" s="374"/>
      <c r="D69" s="691" t="s">
        <v>9</v>
      </c>
      <c r="E69" s="374"/>
      <c r="F69" s="374"/>
      <c r="G69" s="374"/>
      <c r="H69" s="374"/>
      <c r="I69" s="374"/>
      <c r="J69" s="694" t="s">
        <v>7</v>
      </c>
      <c r="K69" s="374"/>
      <c r="L69" s="374"/>
      <c r="M69" s="374"/>
      <c r="N69" s="374"/>
      <c r="O69" s="376"/>
    </row>
    <row r="70" spans="1:15" s="117" customFormat="1" x14ac:dyDescent="0.25">
      <c r="A70" s="691" t="s">
        <v>16</v>
      </c>
      <c r="B70" s="379" t="s">
        <v>121</v>
      </c>
      <c r="C70" s="374"/>
      <c r="D70" s="691" t="s">
        <v>13</v>
      </c>
      <c r="E70" s="374"/>
      <c r="F70" s="374"/>
      <c r="G70" s="374"/>
      <c r="H70" s="374"/>
      <c r="I70" s="374"/>
      <c r="J70" s="694" t="s">
        <v>9</v>
      </c>
      <c r="K70" s="374"/>
      <c r="L70" s="374"/>
      <c r="M70" s="691" t="s">
        <v>10</v>
      </c>
      <c r="N70" s="380">
        <f>N67*N68</f>
        <v>7.5343011799999999</v>
      </c>
      <c r="O70" s="376"/>
    </row>
    <row r="71" spans="1:15" s="117" customFormat="1" x14ac:dyDescent="0.25">
      <c r="A71" s="691" t="s">
        <v>8</v>
      </c>
      <c r="B71" s="402" t="s">
        <v>278</v>
      </c>
      <c r="C71" s="374"/>
      <c r="D71" s="374"/>
      <c r="E71" s="374"/>
      <c r="F71" s="374"/>
      <c r="G71" s="374"/>
      <c r="H71" s="374"/>
      <c r="I71" s="374"/>
      <c r="J71" s="694" t="s">
        <v>13</v>
      </c>
      <c r="K71" s="374"/>
      <c r="L71" s="374"/>
      <c r="M71" s="374"/>
      <c r="N71" s="374"/>
      <c r="O71" s="376"/>
    </row>
    <row r="72" spans="1:15" s="117" customFormat="1" x14ac:dyDescent="0.25">
      <c r="A72" s="691" t="s">
        <v>11</v>
      </c>
      <c r="B72" s="373" t="s">
        <v>12</v>
      </c>
      <c r="C72" s="374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6"/>
    </row>
    <row r="73" spans="1:15" s="117" customFormat="1" x14ac:dyDescent="0.25">
      <c r="A73" s="691" t="s">
        <v>14</v>
      </c>
      <c r="B73" s="373"/>
      <c r="C73" s="374"/>
      <c r="D73" s="374"/>
      <c r="E73" s="374"/>
      <c r="F73" s="374"/>
      <c r="G73" s="374"/>
      <c r="H73" s="374"/>
      <c r="I73" s="374"/>
      <c r="J73" s="374"/>
      <c r="K73" s="374"/>
      <c r="L73" s="374"/>
      <c r="M73" s="374"/>
      <c r="N73" s="374"/>
      <c r="O73" s="376"/>
    </row>
    <row r="74" spans="1:15" s="117" customFormat="1" x14ac:dyDescent="0.25">
      <c r="A74" s="403"/>
      <c r="B74" s="404"/>
      <c r="C74" s="404"/>
      <c r="D74" s="404"/>
      <c r="E74" s="404"/>
      <c r="F74" s="374"/>
      <c r="G74" s="374"/>
      <c r="H74" s="374"/>
      <c r="I74" s="374"/>
      <c r="J74" s="374"/>
      <c r="K74" s="374"/>
      <c r="L74" s="374"/>
      <c r="M74" s="374"/>
      <c r="N74" s="374"/>
      <c r="O74" s="376"/>
    </row>
    <row r="75" spans="1:15" s="117" customFormat="1" x14ac:dyDescent="0.25">
      <c r="A75" s="701" t="s">
        <v>15</v>
      </c>
      <c r="B75" s="696" t="s">
        <v>20</v>
      </c>
      <c r="C75" s="696" t="s">
        <v>21</v>
      </c>
      <c r="D75" s="696" t="s">
        <v>22</v>
      </c>
      <c r="E75" s="696" t="s">
        <v>23</v>
      </c>
      <c r="F75" s="697" t="s">
        <v>24</v>
      </c>
      <c r="G75" s="697" t="s">
        <v>25</v>
      </c>
      <c r="H75" s="697" t="s">
        <v>26</v>
      </c>
      <c r="I75" s="697" t="s">
        <v>27</v>
      </c>
      <c r="J75" s="697" t="s">
        <v>28</v>
      </c>
      <c r="K75" s="697" t="s">
        <v>29</v>
      </c>
      <c r="L75" s="697" t="s">
        <v>30</v>
      </c>
      <c r="M75" s="697" t="s">
        <v>18</v>
      </c>
      <c r="N75" s="697" t="s">
        <v>19</v>
      </c>
      <c r="O75" s="376"/>
    </row>
    <row r="76" spans="1:15" s="117" customFormat="1" ht="30" x14ac:dyDescent="0.25">
      <c r="A76" s="390">
        <v>10</v>
      </c>
      <c r="B76" s="396" t="s">
        <v>279</v>
      </c>
      <c r="C76" s="391" t="s">
        <v>280</v>
      </c>
      <c r="D76" s="392">
        <v>2.25</v>
      </c>
      <c r="E76" s="397">
        <v>6.3E-2</v>
      </c>
      <c r="F76" s="391" t="s">
        <v>271</v>
      </c>
      <c r="G76" s="397">
        <v>6.3E-2</v>
      </c>
      <c r="H76" s="400" t="s">
        <v>271</v>
      </c>
      <c r="I76" s="395" t="s">
        <v>281</v>
      </c>
      <c r="J76" s="406">
        <v>3.9690000000000003E-3</v>
      </c>
      <c r="K76" s="406">
        <v>3.0000000000000001E-3</v>
      </c>
      <c r="L76" s="989">
        <v>7850</v>
      </c>
      <c r="M76" s="398">
        <v>1</v>
      </c>
      <c r="N76" s="399">
        <v>0.210575295</v>
      </c>
      <c r="O76" s="382"/>
    </row>
    <row r="77" spans="1:15" s="117" customFormat="1" x14ac:dyDescent="0.25">
      <c r="A77" s="383"/>
      <c r="B77" s="384"/>
      <c r="C77" s="384"/>
      <c r="D77" s="384"/>
      <c r="E77" s="384"/>
      <c r="F77" s="384"/>
      <c r="G77" s="384"/>
      <c r="H77" s="384"/>
      <c r="I77" s="384"/>
      <c r="J77" s="384"/>
      <c r="K77" s="384"/>
      <c r="L77" s="384"/>
      <c r="M77" s="702" t="s">
        <v>19</v>
      </c>
      <c r="N77" s="700">
        <v>0.210575295</v>
      </c>
      <c r="O77" s="376"/>
    </row>
    <row r="78" spans="1:15" s="117" customFormat="1" x14ac:dyDescent="0.25">
      <c r="A78" s="381"/>
      <c r="B78" s="374"/>
      <c r="C78" s="374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6"/>
    </row>
    <row r="79" spans="1:15" s="117" customFormat="1" x14ac:dyDescent="0.25">
      <c r="A79" s="703" t="s">
        <v>15</v>
      </c>
      <c r="B79" s="697" t="s">
        <v>32</v>
      </c>
      <c r="C79" s="697" t="s">
        <v>21</v>
      </c>
      <c r="D79" s="697" t="s">
        <v>22</v>
      </c>
      <c r="E79" s="697" t="s">
        <v>33</v>
      </c>
      <c r="F79" s="697" t="s">
        <v>18</v>
      </c>
      <c r="G79" s="697" t="s">
        <v>34</v>
      </c>
      <c r="H79" s="697" t="s">
        <v>35</v>
      </c>
      <c r="I79" s="697" t="s">
        <v>19</v>
      </c>
      <c r="J79" s="384"/>
      <c r="K79" s="384"/>
      <c r="L79" s="384"/>
      <c r="M79" s="384"/>
      <c r="N79" s="384"/>
      <c r="O79" s="376"/>
    </row>
    <row r="80" spans="1:15" s="117" customFormat="1" ht="30" x14ac:dyDescent="0.25">
      <c r="A80" s="390">
        <v>10</v>
      </c>
      <c r="B80" s="401" t="s">
        <v>50</v>
      </c>
      <c r="C80" s="401" t="s">
        <v>273</v>
      </c>
      <c r="D80" s="392">
        <v>1.3</v>
      </c>
      <c r="E80" s="394" t="s">
        <v>36</v>
      </c>
      <c r="F80" s="393">
        <v>1</v>
      </c>
      <c r="G80" s="398" t="s">
        <v>282</v>
      </c>
      <c r="H80" s="398">
        <v>0.25</v>
      </c>
      <c r="I80" s="399">
        <v>1.3</v>
      </c>
      <c r="J80" s="386"/>
      <c r="K80" s="386"/>
      <c r="L80" s="386"/>
      <c r="M80" s="386"/>
      <c r="N80" s="386"/>
      <c r="O80" s="385"/>
    </row>
    <row r="81" spans="1:15" s="117" customFormat="1" x14ac:dyDescent="0.25">
      <c r="A81" s="390">
        <v>20</v>
      </c>
      <c r="B81" s="401" t="s">
        <v>94</v>
      </c>
      <c r="C81" s="401" t="s">
        <v>283</v>
      </c>
      <c r="D81" s="392">
        <v>0.01</v>
      </c>
      <c r="E81" s="394" t="s">
        <v>53</v>
      </c>
      <c r="F81" s="405">
        <v>37.299999999999997</v>
      </c>
      <c r="G81" s="398" t="s">
        <v>111</v>
      </c>
      <c r="H81" s="398">
        <v>3</v>
      </c>
      <c r="I81" s="399">
        <v>0.373</v>
      </c>
      <c r="J81" s="374"/>
      <c r="K81" s="374"/>
      <c r="L81" s="374"/>
      <c r="M81" s="374"/>
      <c r="N81" s="374"/>
      <c r="O81" s="376"/>
    </row>
    <row r="82" spans="1:15" s="117" customFormat="1" x14ac:dyDescent="0.25">
      <c r="A82" s="383"/>
      <c r="B82" s="384"/>
      <c r="C82" s="384"/>
      <c r="D82" s="384"/>
      <c r="E82" s="384"/>
      <c r="F82" s="384"/>
      <c r="G82" s="384"/>
      <c r="H82" s="699" t="s">
        <v>19</v>
      </c>
      <c r="I82" s="700">
        <v>1.673</v>
      </c>
      <c r="J82" s="384"/>
      <c r="K82" s="384"/>
      <c r="L82" s="384"/>
      <c r="M82" s="384"/>
      <c r="N82" s="384"/>
      <c r="O82" s="376"/>
    </row>
    <row r="83" spans="1:15" s="117" customFormat="1" x14ac:dyDescent="0.25">
      <c r="A83" s="381"/>
      <c r="B83" s="374"/>
      <c r="C83" s="374"/>
      <c r="D83" s="374"/>
      <c r="E83" s="374"/>
      <c r="F83" s="374"/>
      <c r="G83" s="374"/>
      <c r="H83" s="374"/>
      <c r="I83" s="378"/>
      <c r="J83" s="374"/>
      <c r="K83" s="374"/>
      <c r="L83" s="374"/>
      <c r="M83" s="374"/>
      <c r="N83" s="374"/>
      <c r="O83" s="376"/>
    </row>
    <row r="84" spans="1:15" s="117" customFormat="1" ht="15.75" thickBot="1" x14ac:dyDescent="0.3">
      <c r="A84" s="387"/>
      <c r="B84" s="388"/>
      <c r="C84" s="388"/>
      <c r="D84" s="388"/>
      <c r="E84" s="388"/>
      <c r="F84" s="388"/>
      <c r="G84" s="388"/>
      <c r="H84" s="388"/>
      <c r="I84" s="388"/>
      <c r="J84" s="388"/>
      <c r="K84" s="388"/>
      <c r="L84" s="388"/>
      <c r="M84" s="388"/>
      <c r="N84" s="388"/>
      <c r="O84" s="389"/>
    </row>
    <row r="85" spans="1:15" s="117" customFormat="1" ht="15.75" thickBot="1" x14ac:dyDescent="0.3">
      <c r="A85" s="120"/>
      <c r="B85" s="120"/>
      <c r="C85" s="120"/>
      <c r="D85" s="120"/>
      <c r="E85" s="120"/>
      <c r="F85" s="120"/>
      <c r="G85" s="120"/>
      <c r="H85" s="170"/>
      <c r="I85" s="170"/>
      <c r="J85" s="120"/>
      <c r="K85" s="120"/>
      <c r="L85" s="120"/>
      <c r="M85" s="120"/>
      <c r="N85" s="120"/>
      <c r="O85" s="120"/>
    </row>
    <row r="86" spans="1:15" s="117" customFormat="1" x14ac:dyDescent="0.25">
      <c r="A86" s="407"/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9"/>
    </row>
    <row r="87" spans="1:15" s="117" customFormat="1" x14ac:dyDescent="0.25">
      <c r="A87" s="691" t="s">
        <v>0</v>
      </c>
      <c r="B87" s="410" t="s">
        <v>47</v>
      </c>
      <c r="C87" s="411"/>
      <c r="D87" s="411"/>
      <c r="E87" s="411"/>
      <c r="F87" s="411"/>
      <c r="G87" s="411"/>
      <c r="H87" s="411"/>
      <c r="I87" s="411"/>
      <c r="J87" s="692" t="s">
        <v>2</v>
      </c>
      <c r="K87" s="412">
        <v>81</v>
      </c>
      <c r="L87" s="411"/>
      <c r="M87" s="691" t="s">
        <v>17</v>
      </c>
      <c r="N87" s="417">
        <f>EN_01004_m+EN_01004_p</f>
        <v>0.92447507499999992</v>
      </c>
      <c r="O87" s="413"/>
    </row>
    <row r="88" spans="1:15" s="117" customFormat="1" x14ac:dyDescent="0.25">
      <c r="A88" s="691" t="s">
        <v>4</v>
      </c>
      <c r="B88" s="410" t="s">
        <v>81</v>
      </c>
      <c r="C88" s="411"/>
      <c r="D88" s="691" t="s">
        <v>7</v>
      </c>
      <c r="E88" s="411"/>
      <c r="F88" s="411"/>
      <c r="G88" s="411"/>
      <c r="H88" s="411"/>
      <c r="I88" s="411"/>
      <c r="J88" s="411"/>
      <c r="K88" s="411"/>
      <c r="L88" s="411"/>
      <c r="M88" s="691" t="s">
        <v>5</v>
      </c>
      <c r="N88" s="414">
        <v>4</v>
      </c>
      <c r="O88" s="413"/>
    </row>
    <row r="89" spans="1:15" s="117" customFormat="1" x14ac:dyDescent="0.25">
      <c r="A89" s="691" t="s">
        <v>6</v>
      </c>
      <c r="B89" s="675" t="s">
        <v>117</v>
      </c>
      <c r="C89" s="411"/>
      <c r="D89" s="691" t="s">
        <v>9</v>
      </c>
      <c r="E89" s="411"/>
      <c r="F89" s="411"/>
      <c r="G89" s="411"/>
      <c r="H89" s="411"/>
      <c r="I89" s="411"/>
      <c r="J89" s="694" t="s">
        <v>7</v>
      </c>
      <c r="K89" s="411"/>
      <c r="L89" s="411"/>
      <c r="M89" s="411"/>
      <c r="N89" s="411"/>
      <c r="O89" s="413"/>
    </row>
    <row r="90" spans="1:15" s="117" customFormat="1" x14ac:dyDescent="0.25">
      <c r="A90" s="691" t="s">
        <v>16</v>
      </c>
      <c r="B90" s="416" t="s">
        <v>122</v>
      </c>
      <c r="C90" s="411"/>
      <c r="D90" s="691" t="s">
        <v>13</v>
      </c>
      <c r="E90" s="411"/>
      <c r="F90" s="411"/>
      <c r="G90" s="411"/>
      <c r="H90" s="411"/>
      <c r="I90" s="411"/>
      <c r="J90" s="694" t="s">
        <v>9</v>
      </c>
      <c r="K90" s="411"/>
      <c r="L90" s="411"/>
      <c r="M90" s="691" t="s">
        <v>10</v>
      </c>
      <c r="N90" s="417">
        <f>N87*N88</f>
        <v>3.6979002999999997</v>
      </c>
      <c r="O90" s="413"/>
    </row>
    <row r="91" spans="1:15" s="117" customFormat="1" x14ac:dyDescent="0.25">
      <c r="A91" s="691" t="s">
        <v>8</v>
      </c>
      <c r="B91" s="440" t="s">
        <v>284</v>
      </c>
      <c r="C91" s="411"/>
      <c r="D91" s="411"/>
      <c r="E91" s="411"/>
      <c r="F91" s="411"/>
      <c r="G91" s="411"/>
      <c r="H91" s="411"/>
      <c r="I91" s="411"/>
      <c r="J91" s="694" t="s">
        <v>13</v>
      </c>
      <c r="K91" s="411"/>
      <c r="L91" s="411"/>
      <c r="M91" s="411"/>
      <c r="N91" s="411"/>
      <c r="O91" s="413"/>
    </row>
    <row r="92" spans="1:15" s="117" customFormat="1" x14ac:dyDescent="0.25">
      <c r="A92" s="691" t="s">
        <v>11</v>
      </c>
      <c r="B92" s="410" t="s">
        <v>12</v>
      </c>
      <c r="C92" s="411"/>
      <c r="D92" s="411"/>
      <c r="E92" s="411"/>
      <c r="F92" s="411"/>
      <c r="G92" s="411"/>
      <c r="H92" s="411"/>
      <c r="I92" s="411"/>
      <c r="J92" s="411"/>
      <c r="K92" s="411"/>
      <c r="L92" s="411"/>
      <c r="M92" s="411"/>
      <c r="N92" s="411"/>
      <c r="O92" s="413"/>
    </row>
    <row r="93" spans="1:15" s="117" customFormat="1" x14ac:dyDescent="0.25">
      <c r="A93" s="691" t="s">
        <v>14</v>
      </c>
      <c r="B93" s="410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3"/>
    </row>
    <row r="94" spans="1:15" s="117" customFormat="1" x14ac:dyDescent="0.25">
      <c r="A94" s="441"/>
      <c r="B94" s="442"/>
      <c r="C94" s="442"/>
      <c r="D94" s="442"/>
      <c r="E94" s="442"/>
      <c r="F94" s="411"/>
      <c r="G94" s="411"/>
      <c r="H94" s="411"/>
      <c r="I94" s="411"/>
      <c r="J94" s="411"/>
      <c r="K94" s="411"/>
      <c r="L94" s="411"/>
      <c r="M94" s="411"/>
      <c r="N94" s="411"/>
      <c r="O94" s="413"/>
    </row>
    <row r="95" spans="1:15" s="117" customFormat="1" x14ac:dyDescent="0.25">
      <c r="A95" s="701" t="s">
        <v>15</v>
      </c>
      <c r="B95" s="696" t="s">
        <v>20</v>
      </c>
      <c r="C95" s="696" t="s">
        <v>21</v>
      </c>
      <c r="D95" s="696" t="s">
        <v>22</v>
      </c>
      <c r="E95" s="696" t="s">
        <v>23</v>
      </c>
      <c r="F95" s="697" t="s">
        <v>24</v>
      </c>
      <c r="G95" s="697" t="s">
        <v>25</v>
      </c>
      <c r="H95" s="697" t="s">
        <v>26</v>
      </c>
      <c r="I95" s="697" t="s">
        <v>27</v>
      </c>
      <c r="J95" s="697" t="s">
        <v>28</v>
      </c>
      <c r="K95" s="697" t="s">
        <v>29</v>
      </c>
      <c r="L95" s="697" t="s">
        <v>30</v>
      </c>
      <c r="M95" s="697" t="s">
        <v>18</v>
      </c>
      <c r="N95" s="697" t="s">
        <v>19</v>
      </c>
      <c r="O95" s="413"/>
    </row>
    <row r="96" spans="1:15" s="117" customFormat="1" x14ac:dyDescent="0.25">
      <c r="A96" s="427">
        <v>10</v>
      </c>
      <c r="B96" s="436" t="s">
        <v>107</v>
      </c>
      <c r="C96" s="428" t="s">
        <v>285</v>
      </c>
      <c r="D96" s="429">
        <v>2.25</v>
      </c>
      <c r="E96" s="430">
        <v>4.2999999999999997E-2</v>
      </c>
      <c r="F96" s="431" t="s">
        <v>271</v>
      </c>
      <c r="G96" s="430">
        <v>3.3000000000000002E-2</v>
      </c>
      <c r="H96" s="432" t="s">
        <v>271</v>
      </c>
      <c r="I96" s="433" t="s">
        <v>286</v>
      </c>
      <c r="J96" s="444">
        <v>1.4189999999999999E-3</v>
      </c>
      <c r="K96" s="434">
        <v>5.0000000000000001E-3</v>
      </c>
      <c r="L96" s="989">
        <v>7850</v>
      </c>
      <c r="M96" s="430">
        <v>1</v>
      </c>
      <c r="N96" s="435">
        <v>0.12547507500000002</v>
      </c>
      <c r="O96" s="419"/>
    </row>
    <row r="97" spans="1:15" s="117" customFormat="1" x14ac:dyDescent="0.25">
      <c r="A97" s="420"/>
      <c r="B97" s="421"/>
      <c r="C97" s="421"/>
      <c r="D97" s="421"/>
      <c r="E97" s="421"/>
      <c r="F97" s="421"/>
      <c r="G97" s="421"/>
      <c r="H97" s="421"/>
      <c r="I97" s="421"/>
      <c r="J97" s="421"/>
      <c r="K97" s="421"/>
      <c r="L97" s="421"/>
      <c r="M97" s="702" t="s">
        <v>19</v>
      </c>
      <c r="N97" s="700">
        <v>0.12547507500000002</v>
      </c>
      <c r="O97" s="413"/>
    </row>
    <row r="98" spans="1:15" s="117" customFormat="1" x14ac:dyDescent="0.25">
      <c r="A98" s="418"/>
      <c r="B98" s="411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1"/>
      <c r="N98" s="411"/>
      <c r="O98" s="413"/>
    </row>
    <row r="99" spans="1:15" s="117" customFormat="1" x14ac:dyDescent="0.25">
      <c r="A99" s="703" t="s">
        <v>15</v>
      </c>
      <c r="B99" s="697" t="s">
        <v>32</v>
      </c>
      <c r="C99" s="697" t="s">
        <v>21</v>
      </c>
      <c r="D99" s="697" t="s">
        <v>22</v>
      </c>
      <c r="E99" s="697" t="s">
        <v>33</v>
      </c>
      <c r="F99" s="697" t="s">
        <v>18</v>
      </c>
      <c r="G99" s="697" t="s">
        <v>34</v>
      </c>
      <c r="H99" s="697" t="s">
        <v>35</v>
      </c>
      <c r="I99" s="697" t="s">
        <v>19</v>
      </c>
      <c r="J99" s="421"/>
      <c r="K99" s="421"/>
      <c r="L99" s="421"/>
      <c r="M99" s="421"/>
      <c r="N99" s="421"/>
      <c r="O99" s="413"/>
    </row>
    <row r="100" spans="1:15" s="117" customFormat="1" ht="30" x14ac:dyDescent="0.25">
      <c r="A100" s="427">
        <v>10</v>
      </c>
      <c r="B100" s="439" t="s">
        <v>50</v>
      </c>
      <c r="C100" s="439" t="s">
        <v>255</v>
      </c>
      <c r="D100" s="429">
        <v>1.3</v>
      </c>
      <c r="E100" s="431" t="s">
        <v>36</v>
      </c>
      <c r="F100" s="430">
        <v>1</v>
      </c>
      <c r="G100" s="437" t="s">
        <v>282</v>
      </c>
      <c r="H100" s="437">
        <v>0.25</v>
      </c>
      <c r="I100" s="438">
        <v>0.32500000000000001</v>
      </c>
      <c r="J100" s="423"/>
      <c r="K100" s="423"/>
      <c r="L100" s="423"/>
      <c r="M100" s="423"/>
      <c r="N100" s="423"/>
      <c r="O100" s="422"/>
    </row>
    <row r="101" spans="1:15" s="117" customFormat="1" x14ac:dyDescent="0.25">
      <c r="A101" s="427">
        <v>20</v>
      </c>
      <c r="B101" s="439" t="s">
        <v>52</v>
      </c>
      <c r="C101" s="439" t="s">
        <v>287</v>
      </c>
      <c r="D101" s="429">
        <v>0.01</v>
      </c>
      <c r="E101" s="431" t="s">
        <v>53</v>
      </c>
      <c r="F101" s="443">
        <v>15.8</v>
      </c>
      <c r="G101" s="437" t="s">
        <v>288</v>
      </c>
      <c r="H101" s="437">
        <v>3</v>
      </c>
      <c r="I101" s="438">
        <v>0.47399999999999998</v>
      </c>
      <c r="J101" s="411"/>
      <c r="K101" s="411"/>
      <c r="L101" s="411"/>
      <c r="M101" s="411"/>
      <c r="N101" s="411"/>
      <c r="O101" s="413"/>
    </row>
    <row r="102" spans="1:15" s="117" customFormat="1" x14ac:dyDescent="0.25">
      <c r="A102" s="420"/>
      <c r="B102" s="421"/>
      <c r="C102" s="421"/>
      <c r="D102" s="421"/>
      <c r="E102" s="421"/>
      <c r="F102" s="421"/>
      <c r="G102" s="421"/>
      <c r="H102" s="699" t="s">
        <v>19</v>
      </c>
      <c r="I102" s="700">
        <v>0.79899999999999993</v>
      </c>
      <c r="J102" s="421"/>
      <c r="K102" s="421"/>
      <c r="L102" s="421"/>
      <c r="M102" s="421"/>
      <c r="N102" s="421"/>
      <c r="O102" s="413"/>
    </row>
    <row r="103" spans="1:15" s="117" customFormat="1" x14ac:dyDescent="0.25">
      <c r="A103" s="418"/>
      <c r="B103" s="411"/>
      <c r="C103" s="411"/>
      <c r="D103" s="411"/>
      <c r="E103" s="411"/>
      <c r="F103" s="411"/>
      <c r="G103" s="411"/>
      <c r="H103" s="411"/>
      <c r="I103" s="415"/>
      <c r="J103" s="411"/>
      <c r="K103" s="411"/>
      <c r="L103" s="411"/>
      <c r="M103" s="411"/>
      <c r="N103" s="411"/>
      <c r="O103" s="413"/>
    </row>
    <row r="104" spans="1:15" s="117" customFormat="1" ht="15.75" thickBot="1" x14ac:dyDescent="0.3">
      <c r="A104" s="424"/>
      <c r="B104" s="425"/>
      <c r="C104" s="425"/>
      <c r="D104" s="425"/>
      <c r="E104" s="425"/>
      <c r="F104" s="425"/>
      <c r="G104" s="425"/>
      <c r="H104" s="425"/>
      <c r="I104" s="425"/>
      <c r="J104" s="425"/>
      <c r="K104" s="425"/>
      <c r="L104" s="425"/>
      <c r="M104" s="425"/>
      <c r="N104" s="425"/>
      <c r="O104" s="426"/>
    </row>
    <row r="105" spans="1:15" s="117" customFormat="1" ht="15.75" thickBot="1" x14ac:dyDescent="0.3">
      <c r="A105" s="120"/>
      <c r="B105" s="120"/>
      <c r="C105" s="120"/>
      <c r="D105" s="120"/>
      <c r="E105" s="120"/>
      <c r="F105" s="120"/>
      <c r="G105" s="120"/>
      <c r="H105" s="170"/>
      <c r="I105" s="170"/>
      <c r="J105" s="120"/>
      <c r="K105" s="120"/>
      <c r="L105" s="120"/>
      <c r="M105" s="120"/>
      <c r="N105" s="120"/>
      <c r="O105" s="120"/>
    </row>
    <row r="106" spans="1:15" s="117" customFormat="1" x14ac:dyDescent="0.25">
      <c r="A106" s="459"/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1"/>
    </row>
    <row r="107" spans="1:15" s="117" customFormat="1" x14ac:dyDescent="0.25">
      <c r="A107" s="704" t="s">
        <v>0</v>
      </c>
      <c r="B107" s="470" t="s">
        <v>47</v>
      </c>
      <c r="C107" s="471"/>
      <c r="D107" s="471"/>
      <c r="E107" s="471"/>
      <c r="F107" s="471"/>
      <c r="G107" s="471"/>
      <c r="H107" s="471"/>
      <c r="I107" s="471"/>
      <c r="J107" s="706" t="s">
        <v>2</v>
      </c>
      <c r="K107" s="474">
        <v>81</v>
      </c>
      <c r="L107" s="471"/>
      <c r="M107" s="706" t="s">
        <v>17</v>
      </c>
      <c r="N107" s="475">
        <f>EN_02001_m+EN_02001_p</f>
        <v>0.92447507499999992</v>
      </c>
      <c r="O107" s="462"/>
    </row>
    <row r="108" spans="1:15" s="117" customFormat="1" x14ac:dyDescent="0.25">
      <c r="A108" s="704" t="s">
        <v>4</v>
      </c>
      <c r="B108" s="471" t="s">
        <v>289</v>
      </c>
      <c r="C108" s="471"/>
      <c r="D108" s="705" t="s">
        <v>7</v>
      </c>
      <c r="E108" s="471"/>
      <c r="F108" s="471"/>
      <c r="G108" s="471"/>
      <c r="H108" s="471"/>
      <c r="I108" s="471"/>
      <c r="J108" s="471"/>
      <c r="K108" s="471"/>
      <c r="L108" s="471"/>
      <c r="M108" s="706" t="s">
        <v>5</v>
      </c>
      <c r="N108" s="476">
        <v>4</v>
      </c>
      <c r="O108" s="462"/>
    </row>
    <row r="109" spans="1:15" s="117" customFormat="1" x14ac:dyDescent="0.25">
      <c r="A109" s="704" t="s">
        <v>6</v>
      </c>
      <c r="B109" s="685" t="s">
        <v>154</v>
      </c>
      <c r="C109" s="471"/>
      <c r="D109" s="705" t="s">
        <v>9</v>
      </c>
      <c r="E109" s="471"/>
      <c r="F109" s="471"/>
      <c r="G109" s="471"/>
      <c r="H109" s="471"/>
      <c r="I109" s="471"/>
      <c r="J109" s="705" t="s">
        <v>7</v>
      </c>
      <c r="K109" s="471"/>
      <c r="L109" s="471"/>
      <c r="M109" s="471"/>
      <c r="N109" s="472"/>
      <c r="O109" s="462"/>
    </row>
    <row r="110" spans="1:15" s="117" customFormat="1" x14ac:dyDescent="0.25">
      <c r="A110" s="704" t="s">
        <v>16</v>
      </c>
      <c r="B110" s="471" t="s">
        <v>156</v>
      </c>
      <c r="C110" s="471"/>
      <c r="D110" s="705" t="s">
        <v>13</v>
      </c>
      <c r="E110" s="471"/>
      <c r="F110" s="471"/>
      <c r="G110" s="471"/>
      <c r="H110" s="471"/>
      <c r="I110" s="471"/>
      <c r="J110" s="705" t="s">
        <v>9</v>
      </c>
      <c r="K110" s="471"/>
      <c r="L110" s="471"/>
      <c r="M110" s="706" t="s">
        <v>10</v>
      </c>
      <c r="N110" s="475">
        <f>N107*N108</f>
        <v>3.6979002999999997</v>
      </c>
      <c r="O110" s="462"/>
    </row>
    <row r="111" spans="1:15" s="117" customFormat="1" x14ac:dyDescent="0.25">
      <c r="A111" s="704" t="s">
        <v>8</v>
      </c>
      <c r="B111" s="471" t="s">
        <v>77</v>
      </c>
      <c r="C111" s="471"/>
      <c r="D111" s="471"/>
      <c r="E111" s="471"/>
      <c r="F111" s="471"/>
      <c r="G111" s="471"/>
      <c r="H111" s="471"/>
      <c r="I111" s="471"/>
      <c r="J111" s="705" t="s">
        <v>13</v>
      </c>
      <c r="K111" s="471"/>
      <c r="L111" s="471"/>
      <c r="M111" s="471"/>
      <c r="N111" s="471"/>
      <c r="O111" s="462"/>
    </row>
    <row r="112" spans="1:15" s="117" customFormat="1" x14ac:dyDescent="0.25">
      <c r="A112" s="704" t="s">
        <v>11</v>
      </c>
      <c r="B112" s="471" t="s">
        <v>12</v>
      </c>
      <c r="C112" s="471"/>
      <c r="D112" s="471"/>
      <c r="E112" s="471"/>
      <c r="F112" s="471"/>
      <c r="G112" s="471"/>
      <c r="H112" s="471"/>
      <c r="I112" s="471"/>
      <c r="J112" s="471"/>
      <c r="K112" s="471"/>
      <c r="L112" s="471"/>
      <c r="M112" s="471"/>
      <c r="N112" s="471"/>
      <c r="O112" s="462"/>
    </row>
    <row r="113" spans="1:15" s="117" customFormat="1" x14ac:dyDescent="0.25">
      <c r="A113" s="704" t="s">
        <v>14</v>
      </c>
      <c r="B113" s="470"/>
      <c r="C113" s="471"/>
      <c r="D113" s="471"/>
      <c r="E113" s="471"/>
      <c r="F113" s="471"/>
      <c r="G113" s="471"/>
      <c r="H113" s="471"/>
      <c r="I113" s="471"/>
      <c r="J113" s="471"/>
      <c r="K113" s="471"/>
      <c r="L113" s="471"/>
      <c r="M113" s="471"/>
      <c r="N113" s="471"/>
      <c r="O113" s="462"/>
    </row>
    <row r="114" spans="1:15" s="117" customFormat="1" x14ac:dyDescent="0.25">
      <c r="A114" s="477"/>
      <c r="B114" s="472"/>
      <c r="C114" s="472"/>
      <c r="D114" s="472"/>
      <c r="E114" s="472"/>
      <c r="F114" s="472"/>
      <c r="G114" s="472"/>
      <c r="H114" s="472"/>
      <c r="I114" s="472"/>
      <c r="J114" s="472"/>
      <c r="K114" s="472"/>
      <c r="L114" s="472"/>
      <c r="M114" s="472"/>
      <c r="N114" s="472"/>
      <c r="O114" s="462"/>
    </row>
    <row r="115" spans="1:15" s="117" customFormat="1" x14ac:dyDescent="0.25">
      <c r="A115" s="704" t="s">
        <v>15</v>
      </c>
      <c r="B115" s="707" t="s">
        <v>20</v>
      </c>
      <c r="C115" s="707" t="s">
        <v>21</v>
      </c>
      <c r="D115" s="707" t="s">
        <v>22</v>
      </c>
      <c r="E115" s="707" t="s">
        <v>23</v>
      </c>
      <c r="F115" s="707" t="s">
        <v>24</v>
      </c>
      <c r="G115" s="707" t="s">
        <v>25</v>
      </c>
      <c r="H115" s="707" t="s">
        <v>26</v>
      </c>
      <c r="I115" s="707" t="s">
        <v>27</v>
      </c>
      <c r="J115" s="707" t="s">
        <v>28</v>
      </c>
      <c r="K115" s="707" t="s">
        <v>29</v>
      </c>
      <c r="L115" s="707" t="s">
        <v>30</v>
      </c>
      <c r="M115" s="707" t="s">
        <v>18</v>
      </c>
      <c r="N115" s="707" t="s">
        <v>19</v>
      </c>
      <c r="O115" s="462"/>
    </row>
    <row r="116" spans="1:15" s="117" customFormat="1" x14ac:dyDescent="0.25">
      <c r="A116" s="467">
        <v>10</v>
      </c>
      <c r="B116" s="454" t="s">
        <v>107</v>
      </c>
      <c r="C116" s="446" t="s">
        <v>285</v>
      </c>
      <c r="D116" s="447">
        <v>2.25</v>
      </c>
      <c r="E116" s="448">
        <v>4.2999999999999997E-2</v>
      </c>
      <c r="F116" s="449" t="s">
        <v>271</v>
      </c>
      <c r="G116" s="448">
        <v>3.3000000000000002E-2</v>
      </c>
      <c r="H116" s="450" t="s">
        <v>271</v>
      </c>
      <c r="I116" s="451" t="s">
        <v>286</v>
      </c>
      <c r="J116" s="469">
        <v>1.4189999999999999E-3</v>
      </c>
      <c r="K116" s="452">
        <v>5.0000000000000001E-3</v>
      </c>
      <c r="L116" s="989">
        <v>7850</v>
      </c>
      <c r="M116" s="448">
        <v>1</v>
      </c>
      <c r="N116" s="453">
        <v>0.12547507499999999</v>
      </c>
      <c r="O116" s="462"/>
    </row>
    <row r="117" spans="1:15" s="117" customFormat="1" x14ac:dyDescent="0.25">
      <c r="A117" s="468"/>
      <c r="B117" s="455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708" t="s">
        <v>19</v>
      </c>
      <c r="N117" s="709">
        <f>N116</f>
        <v>0.12547507499999999</v>
      </c>
      <c r="O117" s="462"/>
    </row>
    <row r="118" spans="1:15" s="117" customFormat="1" x14ac:dyDescent="0.25">
      <c r="A118" s="478"/>
      <c r="B118" s="472"/>
      <c r="C118" s="472"/>
      <c r="D118" s="472"/>
      <c r="E118" s="472"/>
      <c r="F118" s="472"/>
      <c r="G118" s="472"/>
      <c r="H118" s="472"/>
      <c r="I118" s="472"/>
      <c r="J118" s="472"/>
      <c r="K118" s="472"/>
      <c r="L118" s="472"/>
      <c r="M118" s="472"/>
      <c r="N118" s="472"/>
      <c r="O118" s="462"/>
    </row>
    <row r="119" spans="1:15" s="117" customFormat="1" x14ac:dyDescent="0.25">
      <c r="A119" s="704" t="s">
        <v>15</v>
      </c>
      <c r="B119" s="707" t="s">
        <v>32</v>
      </c>
      <c r="C119" s="707" t="s">
        <v>21</v>
      </c>
      <c r="D119" s="707" t="s">
        <v>22</v>
      </c>
      <c r="E119" s="707" t="s">
        <v>33</v>
      </c>
      <c r="F119" s="707" t="s">
        <v>18</v>
      </c>
      <c r="G119" s="707" t="s">
        <v>34</v>
      </c>
      <c r="H119" s="707" t="s">
        <v>35</v>
      </c>
      <c r="I119" s="707" t="s">
        <v>19</v>
      </c>
      <c r="J119" s="455"/>
      <c r="K119" s="455"/>
      <c r="L119" s="455"/>
      <c r="M119" s="455"/>
      <c r="N119" s="455"/>
      <c r="O119" s="462"/>
    </row>
    <row r="120" spans="1:15" s="117" customFormat="1" ht="30" x14ac:dyDescent="0.25">
      <c r="A120" s="467">
        <v>10</v>
      </c>
      <c r="B120" s="458" t="s">
        <v>50</v>
      </c>
      <c r="C120" s="458" t="s">
        <v>255</v>
      </c>
      <c r="D120" s="447">
        <v>1.3</v>
      </c>
      <c r="E120" s="446" t="s">
        <v>36</v>
      </c>
      <c r="F120" s="456">
        <v>1</v>
      </c>
      <c r="G120" s="456" t="s">
        <v>282</v>
      </c>
      <c r="H120" s="456">
        <v>0.25</v>
      </c>
      <c r="I120" s="457">
        <v>0.32500000000000001</v>
      </c>
      <c r="J120" s="472"/>
      <c r="K120" s="472"/>
      <c r="L120" s="472"/>
      <c r="M120" s="472"/>
      <c r="N120" s="472"/>
      <c r="O120" s="462"/>
    </row>
    <row r="121" spans="1:15" s="117" customFormat="1" x14ac:dyDescent="0.25">
      <c r="A121" s="467">
        <v>20</v>
      </c>
      <c r="B121" s="458" t="s">
        <v>52</v>
      </c>
      <c r="C121" s="458" t="s">
        <v>287</v>
      </c>
      <c r="D121" s="447">
        <v>0.01</v>
      </c>
      <c r="E121" s="449" t="s">
        <v>53</v>
      </c>
      <c r="F121" s="473">
        <v>15.8</v>
      </c>
      <c r="G121" s="456" t="s">
        <v>288</v>
      </c>
      <c r="H121" s="456">
        <v>3</v>
      </c>
      <c r="I121" s="457">
        <v>0.47399999999999998</v>
      </c>
      <c r="J121" s="472"/>
      <c r="K121" s="472"/>
      <c r="L121" s="472"/>
      <c r="M121" s="472"/>
      <c r="N121" s="472"/>
      <c r="O121" s="462"/>
    </row>
    <row r="122" spans="1:15" s="117" customFormat="1" x14ac:dyDescent="0.25">
      <c r="A122" s="468"/>
      <c r="B122" s="455"/>
      <c r="C122" s="455"/>
      <c r="D122" s="455"/>
      <c r="E122" s="455"/>
      <c r="F122" s="455"/>
      <c r="G122" s="455"/>
      <c r="H122" s="708" t="s">
        <v>19</v>
      </c>
      <c r="I122" s="709">
        <v>0.79899999999999993</v>
      </c>
      <c r="J122" s="455"/>
      <c r="K122" s="455"/>
      <c r="L122" s="455"/>
      <c r="M122" s="455"/>
      <c r="N122" s="455"/>
      <c r="O122" s="462"/>
    </row>
    <row r="123" spans="1:15" s="117" customFormat="1" x14ac:dyDescent="0.25">
      <c r="A123" s="463"/>
      <c r="B123" s="445"/>
      <c r="C123" s="445"/>
      <c r="D123" s="445"/>
      <c r="E123" s="445"/>
      <c r="F123" s="445"/>
      <c r="G123" s="445"/>
      <c r="H123" s="445"/>
      <c r="I123" s="445"/>
      <c r="J123" s="445"/>
      <c r="K123" s="445"/>
      <c r="L123" s="445"/>
      <c r="M123" s="445"/>
      <c r="N123" s="445"/>
      <c r="O123" s="462"/>
    </row>
    <row r="124" spans="1:15" s="117" customFormat="1" ht="15.75" thickBot="1" x14ac:dyDescent="0.3">
      <c r="A124" s="464"/>
      <c r="B124" s="465"/>
      <c r="C124" s="465"/>
      <c r="D124" s="465"/>
      <c r="E124" s="465"/>
      <c r="F124" s="465"/>
      <c r="G124" s="465"/>
      <c r="H124" s="465"/>
      <c r="I124" s="465"/>
      <c r="J124" s="465"/>
      <c r="K124" s="465"/>
      <c r="L124" s="465"/>
      <c r="M124" s="465"/>
      <c r="N124" s="465"/>
      <c r="O124" s="466"/>
    </row>
    <row r="125" spans="1:15" s="117" customFormat="1" ht="15.75" thickBot="1" x14ac:dyDescent="0.3">
      <c r="A125" s="120"/>
      <c r="B125" s="120"/>
      <c r="C125" s="120"/>
      <c r="D125" s="120"/>
      <c r="E125" s="120"/>
      <c r="F125" s="120"/>
      <c r="G125" s="120"/>
      <c r="H125" s="170"/>
      <c r="I125" s="170"/>
      <c r="J125" s="120"/>
      <c r="K125" s="120"/>
      <c r="L125" s="120"/>
      <c r="M125" s="120"/>
      <c r="N125" s="120"/>
      <c r="O125" s="120"/>
    </row>
    <row r="126" spans="1:15" s="117" customFormat="1" x14ac:dyDescent="0.25">
      <c r="A126" s="494"/>
      <c r="B126" s="495"/>
      <c r="C126" s="495"/>
      <c r="D126" s="495"/>
      <c r="E126" s="495"/>
      <c r="F126" s="495"/>
      <c r="G126" s="495"/>
      <c r="H126" s="495"/>
      <c r="I126" s="495"/>
      <c r="J126" s="495"/>
      <c r="K126" s="495"/>
      <c r="L126" s="495"/>
      <c r="M126" s="495"/>
      <c r="N126" s="495"/>
      <c r="O126" s="496"/>
    </row>
    <row r="127" spans="1:15" s="117" customFormat="1" x14ac:dyDescent="0.25">
      <c r="A127" s="704" t="s">
        <v>0</v>
      </c>
      <c r="B127" s="506" t="s">
        <v>47</v>
      </c>
      <c r="C127" s="507"/>
      <c r="D127" s="507"/>
      <c r="E127" s="507"/>
      <c r="F127" s="507"/>
      <c r="G127" s="507"/>
      <c r="H127" s="507"/>
      <c r="I127" s="507"/>
      <c r="J127" s="706" t="s">
        <v>2</v>
      </c>
      <c r="K127" s="509">
        <v>81</v>
      </c>
      <c r="L127" s="507"/>
      <c r="M127" s="706" t="s">
        <v>17</v>
      </c>
      <c r="N127" s="510">
        <f>EN_02002_m+EN_02002_p</f>
        <v>2.4357939860159226</v>
      </c>
      <c r="O127" s="497"/>
    </row>
    <row r="128" spans="1:15" s="117" customFormat="1" x14ac:dyDescent="0.25">
      <c r="A128" s="704" t="s">
        <v>4</v>
      </c>
      <c r="B128" s="507" t="s">
        <v>289</v>
      </c>
      <c r="C128" s="507"/>
      <c r="D128" s="705" t="s">
        <v>7</v>
      </c>
      <c r="E128" s="507"/>
      <c r="F128" s="507"/>
      <c r="G128" s="507"/>
      <c r="H128" s="507"/>
      <c r="I128" s="507"/>
      <c r="J128" s="507"/>
      <c r="K128" s="507"/>
      <c r="L128" s="507"/>
      <c r="M128" s="706" t="s">
        <v>5</v>
      </c>
      <c r="N128" s="511">
        <v>2</v>
      </c>
      <c r="O128" s="497"/>
    </row>
    <row r="129" spans="1:15" s="117" customFormat="1" x14ac:dyDescent="0.25">
      <c r="A129" s="704" t="s">
        <v>6</v>
      </c>
      <c r="B129" s="685" t="s">
        <v>154</v>
      </c>
      <c r="C129" s="507"/>
      <c r="D129" s="705" t="s">
        <v>9</v>
      </c>
      <c r="E129" s="507"/>
      <c r="F129" s="507"/>
      <c r="G129" s="507"/>
      <c r="H129" s="507"/>
      <c r="I129" s="507"/>
      <c r="J129" s="705" t="s">
        <v>7</v>
      </c>
      <c r="K129" s="507"/>
      <c r="L129" s="507"/>
      <c r="M129" s="507"/>
      <c r="N129" s="508"/>
      <c r="O129" s="497"/>
    </row>
    <row r="130" spans="1:15" s="117" customFormat="1" x14ac:dyDescent="0.25">
      <c r="A130" s="704" t="s">
        <v>16</v>
      </c>
      <c r="B130" s="507" t="s">
        <v>157</v>
      </c>
      <c r="C130" s="507"/>
      <c r="D130" s="705" t="s">
        <v>13</v>
      </c>
      <c r="E130" s="507"/>
      <c r="F130" s="507"/>
      <c r="G130" s="507"/>
      <c r="H130" s="507"/>
      <c r="I130" s="507"/>
      <c r="J130" s="705" t="s">
        <v>9</v>
      </c>
      <c r="K130" s="507"/>
      <c r="L130" s="507"/>
      <c r="M130" s="706" t="s">
        <v>10</v>
      </c>
      <c r="N130" s="510">
        <f>N127*N128</f>
        <v>4.8715879720318451</v>
      </c>
      <c r="O130" s="497"/>
    </row>
    <row r="131" spans="1:15" s="117" customFormat="1" x14ac:dyDescent="0.25">
      <c r="A131" s="704" t="s">
        <v>8</v>
      </c>
      <c r="B131" s="507" t="s">
        <v>76</v>
      </c>
      <c r="C131" s="507"/>
      <c r="D131" s="507"/>
      <c r="E131" s="507"/>
      <c r="F131" s="507"/>
      <c r="G131" s="507"/>
      <c r="H131" s="507"/>
      <c r="I131" s="507"/>
      <c r="J131" s="705" t="s">
        <v>13</v>
      </c>
      <c r="K131" s="507"/>
      <c r="L131" s="507"/>
      <c r="M131" s="507"/>
      <c r="N131" s="507"/>
      <c r="O131" s="497"/>
    </row>
    <row r="132" spans="1:15" s="117" customFormat="1" x14ac:dyDescent="0.25">
      <c r="A132" s="704" t="s">
        <v>11</v>
      </c>
      <c r="B132" s="507" t="s">
        <v>12</v>
      </c>
      <c r="C132" s="507"/>
      <c r="D132" s="507"/>
      <c r="E132" s="507"/>
      <c r="F132" s="507"/>
      <c r="G132" s="507"/>
      <c r="H132" s="507"/>
      <c r="I132" s="507"/>
      <c r="J132" s="507"/>
      <c r="K132" s="507"/>
      <c r="L132" s="507"/>
      <c r="M132" s="507"/>
      <c r="N132" s="507"/>
      <c r="O132" s="497"/>
    </row>
    <row r="133" spans="1:15" s="117" customFormat="1" x14ac:dyDescent="0.25">
      <c r="A133" s="704" t="s">
        <v>14</v>
      </c>
      <c r="B133" s="506"/>
      <c r="C133" s="507"/>
      <c r="D133" s="507"/>
      <c r="E133" s="507"/>
      <c r="F133" s="507"/>
      <c r="G133" s="507"/>
      <c r="H133" s="507"/>
      <c r="I133" s="507"/>
      <c r="J133" s="507"/>
      <c r="K133" s="507"/>
      <c r="L133" s="507"/>
      <c r="M133" s="507"/>
      <c r="N133" s="507"/>
      <c r="O133" s="497"/>
    </row>
    <row r="134" spans="1:15" s="117" customFormat="1" x14ac:dyDescent="0.25">
      <c r="A134" s="512"/>
      <c r="B134" s="508"/>
      <c r="C134" s="508"/>
      <c r="D134" s="508"/>
      <c r="E134" s="508"/>
      <c r="F134" s="508"/>
      <c r="G134" s="508"/>
      <c r="H134" s="508"/>
      <c r="I134" s="508"/>
      <c r="J134" s="508"/>
      <c r="K134" s="508"/>
      <c r="L134" s="508"/>
      <c r="M134" s="508"/>
      <c r="N134" s="508"/>
      <c r="O134" s="497"/>
    </row>
    <row r="135" spans="1:15" s="117" customFormat="1" x14ac:dyDescent="0.25">
      <c r="A135" s="704" t="s">
        <v>15</v>
      </c>
      <c r="B135" s="707" t="s">
        <v>20</v>
      </c>
      <c r="C135" s="707" t="s">
        <v>21</v>
      </c>
      <c r="D135" s="707" t="s">
        <v>22</v>
      </c>
      <c r="E135" s="707" t="s">
        <v>23</v>
      </c>
      <c r="F135" s="707" t="s">
        <v>24</v>
      </c>
      <c r="G135" s="707" t="s">
        <v>25</v>
      </c>
      <c r="H135" s="707" t="s">
        <v>26</v>
      </c>
      <c r="I135" s="707" t="s">
        <v>27</v>
      </c>
      <c r="J135" s="707" t="s">
        <v>28</v>
      </c>
      <c r="K135" s="707" t="s">
        <v>29</v>
      </c>
      <c r="L135" s="707" t="s">
        <v>30</v>
      </c>
      <c r="M135" s="707" t="s">
        <v>18</v>
      </c>
      <c r="N135" s="707" t="s">
        <v>19</v>
      </c>
      <c r="O135" s="497"/>
    </row>
    <row r="136" spans="1:15" s="117" customFormat="1" x14ac:dyDescent="0.25">
      <c r="A136" s="502">
        <v>10</v>
      </c>
      <c r="B136" s="489" t="s">
        <v>107</v>
      </c>
      <c r="C136" s="481" t="s">
        <v>290</v>
      </c>
      <c r="D136" s="482">
        <v>2.25</v>
      </c>
      <c r="E136" s="483">
        <v>1.7000000000000001E-2</v>
      </c>
      <c r="F136" s="484" t="s">
        <v>271</v>
      </c>
      <c r="G136" s="483"/>
      <c r="H136" s="485"/>
      <c r="I136" s="486" t="s">
        <v>291</v>
      </c>
      <c r="J136" s="505">
        <v>2.2698006922186259E-4</v>
      </c>
      <c r="K136" s="487">
        <v>4.2000000000000003E-2</v>
      </c>
      <c r="L136" s="989">
        <v>7850</v>
      </c>
      <c r="M136" s="503">
        <v>1</v>
      </c>
      <c r="N136" s="488">
        <v>0.1685939860159229</v>
      </c>
      <c r="O136" s="497"/>
    </row>
    <row r="137" spans="1:15" s="117" customFormat="1" x14ac:dyDescent="0.25">
      <c r="A137" s="504"/>
      <c r="B137" s="490"/>
      <c r="C137" s="490"/>
      <c r="D137" s="490"/>
      <c r="E137" s="490"/>
      <c r="F137" s="490"/>
      <c r="G137" s="490"/>
      <c r="H137" s="490"/>
      <c r="I137" s="490"/>
      <c r="J137" s="490"/>
      <c r="K137" s="490"/>
      <c r="L137" s="490"/>
      <c r="M137" s="708" t="s">
        <v>19</v>
      </c>
      <c r="N137" s="709">
        <v>0.1685939860159229</v>
      </c>
      <c r="O137" s="497"/>
    </row>
    <row r="138" spans="1:15" s="117" customFormat="1" x14ac:dyDescent="0.25">
      <c r="A138" s="513"/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497"/>
    </row>
    <row r="139" spans="1:15" s="117" customFormat="1" x14ac:dyDescent="0.25">
      <c r="A139" s="704" t="s">
        <v>15</v>
      </c>
      <c r="B139" s="707" t="s">
        <v>32</v>
      </c>
      <c r="C139" s="707" t="s">
        <v>21</v>
      </c>
      <c r="D139" s="707" t="s">
        <v>22</v>
      </c>
      <c r="E139" s="707" t="s">
        <v>33</v>
      </c>
      <c r="F139" s="707" t="s">
        <v>18</v>
      </c>
      <c r="G139" s="707" t="s">
        <v>34</v>
      </c>
      <c r="H139" s="707" t="s">
        <v>35</v>
      </c>
      <c r="I139" s="707" t="s">
        <v>19</v>
      </c>
      <c r="J139" s="490"/>
      <c r="K139" s="490"/>
      <c r="L139" s="490"/>
      <c r="M139" s="490"/>
      <c r="N139" s="490"/>
      <c r="O139" s="497"/>
    </row>
    <row r="140" spans="1:15" s="117" customFormat="1" ht="30" x14ac:dyDescent="0.25">
      <c r="A140" s="480">
        <v>10</v>
      </c>
      <c r="B140" s="493" t="s">
        <v>50</v>
      </c>
      <c r="C140" s="493"/>
      <c r="D140" s="482">
        <v>1.3</v>
      </c>
      <c r="E140" s="484" t="s">
        <v>36</v>
      </c>
      <c r="F140" s="483">
        <v>1</v>
      </c>
      <c r="G140" s="491"/>
      <c r="H140" s="491"/>
      <c r="I140" s="492">
        <v>1.3</v>
      </c>
      <c r="J140" s="508"/>
      <c r="K140" s="508"/>
      <c r="L140" s="508"/>
      <c r="M140" s="508"/>
      <c r="N140" s="508"/>
      <c r="O140" s="497"/>
    </row>
    <row r="141" spans="1:15" s="117" customFormat="1" ht="30" x14ac:dyDescent="0.25">
      <c r="A141" s="480">
        <v>20</v>
      </c>
      <c r="B141" s="493" t="s">
        <v>241</v>
      </c>
      <c r="C141" s="493" t="s">
        <v>292</v>
      </c>
      <c r="D141" s="482">
        <v>0.04</v>
      </c>
      <c r="E141" s="484" t="s">
        <v>243</v>
      </c>
      <c r="F141" s="483">
        <v>5.0599999999999996</v>
      </c>
      <c r="G141" s="491" t="s">
        <v>288</v>
      </c>
      <c r="H141" s="491">
        <v>3</v>
      </c>
      <c r="I141" s="492">
        <v>0.60719999999999996</v>
      </c>
      <c r="J141" s="508"/>
      <c r="K141" s="508"/>
      <c r="L141" s="508"/>
      <c r="M141" s="508"/>
      <c r="N141" s="508"/>
      <c r="O141" s="497"/>
    </row>
    <row r="142" spans="1:15" s="117" customFormat="1" x14ac:dyDescent="0.25">
      <c r="A142" s="480">
        <v>30</v>
      </c>
      <c r="B142" s="493" t="s">
        <v>293</v>
      </c>
      <c r="C142" s="493" t="s">
        <v>294</v>
      </c>
      <c r="D142" s="482">
        <v>0.1</v>
      </c>
      <c r="E142" s="484" t="s">
        <v>53</v>
      </c>
      <c r="F142" s="483">
        <v>3.6</v>
      </c>
      <c r="G142" s="491"/>
      <c r="H142" s="491"/>
      <c r="I142" s="492">
        <v>0.36000000000000004</v>
      </c>
      <c r="J142" s="490"/>
      <c r="K142" s="490"/>
      <c r="L142" s="490"/>
      <c r="M142" s="490"/>
      <c r="N142" s="490"/>
      <c r="O142" s="497"/>
    </row>
    <row r="143" spans="1:15" s="117" customFormat="1" x14ac:dyDescent="0.25">
      <c r="A143" s="498"/>
      <c r="B143" s="479"/>
      <c r="C143" s="479"/>
      <c r="D143" s="479"/>
      <c r="E143" s="479"/>
      <c r="F143" s="479"/>
      <c r="G143" s="479"/>
      <c r="H143" s="708" t="s">
        <v>19</v>
      </c>
      <c r="I143" s="709">
        <v>2.2671999999999999</v>
      </c>
      <c r="J143" s="479"/>
      <c r="K143" s="479"/>
      <c r="L143" s="479"/>
      <c r="M143" s="479"/>
      <c r="N143" s="479"/>
      <c r="O143" s="497"/>
    </row>
    <row r="144" spans="1:15" s="117" customFormat="1" x14ac:dyDescent="0.25">
      <c r="A144" s="498"/>
      <c r="B144" s="479"/>
      <c r="C144" s="479"/>
      <c r="D144" s="479"/>
      <c r="E144" s="479"/>
      <c r="F144" s="479"/>
      <c r="G144" s="479"/>
      <c r="H144" s="479"/>
      <c r="I144" s="479"/>
      <c r="J144" s="479"/>
      <c r="K144" s="479"/>
      <c r="L144" s="479"/>
      <c r="M144" s="479"/>
      <c r="N144" s="479"/>
      <c r="O144" s="497"/>
    </row>
    <row r="145" spans="1:15" s="117" customFormat="1" ht="15.75" thickBot="1" x14ac:dyDescent="0.3">
      <c r="A145" s="499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1"/>
    </row>
    <row r="146" spans="1:15" s="117" customFormat="1" ht="15.75" thickBot="1" x14ac:dyDescent="0.3">
      <c r="A146" s="120"/>
      <c r="B146" s="120"/>
      <c r="C146" s="120"/>
      <c r="D146" s="120"/>
      <c r="E146" s="120"/>
      <c r="F146" s="120"/>
      <c r="G146" s="120"/>
      <c r="H146" s="170"/>
      <c r="I146" s="170"/>
      <c r="J146" s="120"/>
      <c r="K146" s="120"/>
      <c r="L146" s="120"/>
      <c r="M146" s="120"/>
      <c r="N146" s="120"/>
      <c r="O146" s="120"/>
    </row>
    <row r="147" spans="1:15" s="117" customFormat="1" x14ac:dyDescent="0.25">
      <c r="A147" s="529"/>
      <c r="B147" s="530"/>
      <c r="C147" s="530"/>
      <c r="D147" s="530"/>
      <c r="E147" s="530"/>
      <c r="F147" s="530"/>
      <c r="G147" s="530"/>
      <c r="H147" s="530"/>
      <c r="I147" s="530"/>
      <c r="J147" s="530"/>
      <c r="K147" s="530"/>
      <c r="L147" s="530"/>
      <c r="M147" s="530"/>
      <c r="N147" s="530"/>
      <c r="O147" s="531"/>
    </row>
    <row r="148" spans="1:15" s="117" customFormat="1" x14ac:dyDescent="0.25">
      <c r="A148" s="704" t="s">
        <v>0</v>
      </c>
      <c r="B148" s="541" t="s">
        <v>47</v>
      </c>
      <c r="C148" s="542"/>
      <c r="D148" s="542"/>
      <c r="E148" s="542"/>
      <c r="F148" s="542"/>
      <c r="G148" s="542"/>
      <c r="H148" s="542"/>
      <c r="I148" s="542"/>
      <c r="J148" s="706" t="s">
        <v>2</v>
      </c>
      <c r="K148" s="544">
        <v>81</v>
      </c>
      <c r="L148" s="542"/>
      <c r="M148" s="706" t="s">
        <v>17</v>
      </c>
      <c r="N148" s="545">
        <f>EN_02003_m+EN_02003_p</f>
        <v>0.23635456454989542</v>
      </c>
      <c r="O148" s="532"/>
    </row>
    <row r="149" spans="1:15" s="117" customFormat="1" x14ac:dyDescent="0.25">
      <c r="A149" s="704" t="s">
        <v>4</v>
      </c>
      <c r="B149" s="542" t="s">
        <v>289</v>
      </c>
      <c r="C149" s="542"/>
      <c r="D149" s="705" t="s">
        <v>7</v>
      </c>
      <c r="E149" s="542"/>
      <c r="F149" s="542"/>
      <c r="G149" s="542"/>
      <c r="H149" s="542"/>
      <c r="I149" s="542"/>
      <c r="J149" s="542"/>
      <c r="K149" s="542"/>
      <c r="L149" s="542"/>
      <c r="M149" s="706" t="s">
        <v>5</v>
      </c>
      <c r="N149" s="546">
        <v>8</v>
      </c>
      <c r="O149" s="532"/>
    </row>
    <row r="150" spans="1:15" s="117" customFormat="1" x14ac:dyDescent="0.25">
      <c r="A150" s="704" t="s">
        <v>6</v>
      </c>
      <c r="B150" s="685" t="s">
        <v>154</v>
      </c>
      <c r="C150" s="542"/>
      <c r="D150" s="705" t="s">
        <v>9</v>
      </c>
      <c r="E150" s="542"/>
      <c r="F150" s="542"/>
      <c r="G150" s="542"/>
      <c r="H150" s="542"/>
      <c r="I150" s="542"/>
      <c r="J150" s="705" t="s">
        <v>7</v>
      </c>
      <c r="K150" s="542"/>
      <c r="L150" s="542"/>
      <c r="M150" s="542"/>
      <c r="N150" s="543"/>
      <c r="O150" s="532"/>
    </row>
    <row r="151" spans="1:15" s="117" customFormat="1" x14ac:dyDescent="0.25">
      <c r="A151" s="704" t="s">
        <v>16</v>
      </c>
      <c r="B151" s="542" t="s">
        <v>158</v>
      </c>
      <c r="C151" s="542"/>
      <c r="D151" s="705" t="s">
        <v>13</v>
      </c>
      <c r="E151" s="542"/>
      <c r="F151" s="542"/>
      <c r="G151" s="542"/>
      <c r="H151" s="542"/>
      <c r="I151" s="542"/>
      <c r="J151" s="705" t="s">
        <v>9</v>
      </c>
      <c r="K151" s="542"/>
      <c r="L151" s="542"/>
      <c r="M151" s="706" t="s">
        <v>10</v>
      </c>
      <c r="N151" s="545">
        <f>N148*N149</f>
        <v>1.8908365163991634</v>
      </c>
      <c r="O151" s="532"/>
    </row>
    <row r="152" spans="1:15" s="117" customFormat="1" x14ac:dyDescent="0.25">
      <c r="A152" s="704" t="s">
        <v>8</v>
      </c>
      <c r="B152" s="542" t="s">
        <v>100</v>
      </c>
      <c r="C152" s="542"/>
      <c r="D152" s="542"/>
      <c r="E152" s="542"/>
      <c r="F152" s="542"/>
      <c r="G152" s="542"/>
      <c r="H152" s="542"/>
      <c r="I152" s="542"/>
      <c r="J152" s="705" t="s">
        <v>13</v>
      </c>
      <c r="K152" s="542"/>
      <c r="L152" s="542"/>
      <c r="M152" s="542"/>
      <c r="N152" s="542"/>
      <c r="O152" s="532"/>
    </row>
    <row r="153" spans="1:15" s="117" customFormat="1" x14ac:dyDescent="0.25">
      <c r="A153" s="704" t="s">
        <v>11</v>
      </c>
      <c r="B153" s="542" t="s">
        <v>12</v>
      </c>
      <c r="C153" s="542"/>
      <c r="D153" s="542"/>
      <c r="E153" s="542"/>
      <c r="F153" s="542"/>
      <c r="G153" s="542"/>
      <c r="H153" s="542"/>
      <c r="I153" s="542"/>
      <c r="J153" s="542"/>
      <c r="K153" s="542"/>
      <c r="L153" s="542"/>
      <c r="M153" s="542"/>
      <c r="N153" s="542"/>
      <c r="O153" s="532"/>
    </row>
    <row r="154" spans="1:15" s="117" customFormat="1" x14ac:dyDescent="0.25">
      <c r="A154" s="704" t="s">
        <v>14</v>
      </c>
      <c r="B154" s="541"/>
      <c r="C154" s="542"/>
      <c r="D154" s="542"/>
      <c r="E154" s="542"/>
      <c r="F154" s="542"/>
      <c r="G154" s="542"/>
      <c r="H154" s="542"/>
      <c r="I154" s="542"/>
      <c r="J154" s="542"/>
      <c r="K154" s="542"/>
      <c r="L154" s="542"/>
      <c r="M154" s="542"/>
      <c r="N154" s="542"/>
      <c r="O154" s="532"/>
    </row>
    <row r="155" spans="1:15" s="117" customFormat="1" x14ac:dyDescent="0.25">
      <c r="A155" s="547"/>
      <c r="B155" s="543"/>
      <c r="C155" s="543"/>
      <c r="D155" s="543"/>
      <c r="E155" s="543"/>
      <c r="F155" s="543"/>
      <c r="G155" s="543"/>
      <c r="H155" s="543"/>
      <c r="I155" s="543"/>
      <c r="J155" s="543"/>
      <c r="K155" s="543"/>
      <c r="L155" s="543"/>
      <c r="M155" s="543"/>
      <c r="N155" s="543"/>
      <c r="O155" s="532"/>
    </row>
    <row r="156" spans="1:15" s="117" customFormat="1" x14ac:dyDescent="0.25">
      <c r="A156" s="704" t="s">
        <v>15</v>
      </c>
      <c r="B156" s="707" t="s">
        <v>20</v>
      </c>
      <c r="C156" s="707" t="s">
        <v>21</v>
      </c>
      <c r="D156" s="707" t="s">
        <v>22</v>
      </c>
      <c r="E156" s="707" t="s">
        <v>23</v>
      </c>
      <c r="F156" s="707" t="s">
        <v>24</v>
      </c>
      <c r="G156" s="707" t="s">
        <v>25</v>
      </c>
      <c r="H156" s="707" t="s">
        <v>26</v>
      </c>
      <c r="I156" s="707" t="s">
        <v>27</v>
      </c>
      <c r="J156" s="707" t="s">
        <v>28</v>
      </c>
      <c r="K156" s="707" t="s">
        <v>29</v>
      </c>
      <c r="L156" s="707" t="s">
        <v>30</v>
      </c>
      <c r="M156" s="707" t="s">
        <v>18</v>
      </c>
      <c r="N156" s="707" t="s">
        <v>19</v>
      </c>
      <c r="O156" s="532"/>
    </row>
    <row r="157" spans="1:15" s="117" customFormat="1" x14ac:dyDescent="0.25">
      <c r="A157" s="515">
        <v>10</v>
      </c>
      <c r="B157" s="523" t="s">
        <v>91</v>
      </c>
      <c r="C157" s="516"/>
      <c r="D157" s="517">
        <v>4.2</v>
      </c>
      <c r="E157" s="518">
        <v>0.02</v>
      </c>
      <c r="F157" s="519" t="s">
        <v>271</v>
      </c>
      <c r="G157" s="518"/>
      <c r="H157" s="520"/>
      <c r="I157" s="521" t="s">
        <v>295</v>
      </c>
      <c r="J157" s="540">
        <v>3.1415926535897931E-4</v>
      </c>
      <c r="K157" s="537">
        <v>6.0000000000000001E-3</v>
      </c>
      <c r="L157" s="989">
        <v>2712</v>
      </c>
      <c r="M157" s="538">
        <v>1</v>
      </c>
      <c r="N157" s="522">
        <v>2.1454564549895413E-2</v>
      </c>
      <c r="O157" s="532"/>
    </row>
    <row r="158" spans="1:15" s="117" customFormat="1" x14ac:dyDescent="0.25">
      <c r="A158" s="539"/>
      <c r="B158" s="524"/>
      <c r="C158" s="524"/>
      <c r="D158" s="524"/>
      <c r="E158" s="524"/>
      <c r="F158" s="524"/>
      <c r="G158" s="524"/>
      <c r="H158" s="524"/>
      <c r="I158" s="524"/>
      <c r="J158" s="524"/>
      <c r="K158" s="524"/>
      <c r="L158" s="524"/>
      <c r="M158" s="708" t="s">
        <v>19</v>
      </c>
      <c r="N158" s="709">
        <v>2.1454564549895413E-2</v>
      </c>
      <c r="O158" s="532"/>
    </row>
    <row r="159" spans="1:15" s="117" customFormat="1" x14ac:dyDescent="0.25">
      <c r="A159" s="548"/>
      <c r="B159" s="543"/>
      <c r="C159" s="543"/>
      <c r="D159" s="543"/>
      <c r="E159" s="543"/>
      <c r="F159" s="543"/>
      <c r="G159" s="543"/>
      <c r="H159" s="543"/>
      <c r="I159" s="543"/>
      <c r="J159" s="543"/>
      <c r="K159" s="543"/>
      <c r="L159" s="543"/>
      <c r="M159" s="543"/>
      <c r="N159" s="543"/>
      <c r="O159" s="532"/>
    </row>
    <row r="160" spans="1:15" s="117" customFormat="1" x14ac:dyDescent="0.25">
      <c r="A160" s="704" t="s">
        <v>15</v>
      </c>
      <c r="B160" s="707" t="s">
        <v>32</v>
      </c>
      <c r="C160" s="707" t="s">
        <v>21</v>
      </c>
      <c r="D160" s="707" t="s">
        <v>22</v>
      </c>
      <c r="E160" s="707" t="s">
        <v>33</v>
      </c>
      <c r="F160" s="707" t="s">
        <v>18</v>
      </c>
      <c r="G160" s="707" t="s">
        <v>34</v>
      </c>
      <c r="H160" s="707" t="s">
        <v>35</v>
      </c>
      <c r="I160" s="707" t="s">
        <v>19</v>
      </c>
      <c r="J160" s="524"/>
      <c r="K160" s="524"/>
      <c r="L160" s="524"/>
      <c r="M160" s="524"/>
      <c r="N160" s="524"/>
      <c r="O160" s="532"/>
    </row>
    <row r="161" spans="1:15" s="117" customFormat="1" ht="30" x14ac:dyDescent="0.25">
      <c r="A161" s="515">
        <v>10</v>
      </c>
      <c r="B161" s="528" t="s">
        <v>50</v>
      </c>
      <c r="C161" s="528"/>
      <c r="D161" s="517">
        <v>1.3</v>
      </c>
      <c r="E161" s="516" t="s">
        <v>36</v>
      </c>
      <c r="F161" s="525">
        <v>1</v>
      </c>
      <c r="G161" s="526" t="s">
        <v>296</v>
      </c>
      <c r="H161" s="526">
        <v>0.125</v>
      </c>
      <c r="I161" s="527">
        <v>0.16250000000000001</v>
      </c>
      <c r="J161" s="543"/>
      <c r="K161" s="543"/>
      <c r="L161" s="543"/>
      <c r="M161" s="543"/>
      <c r="N161" s="543"/>
      <c r="O161" s="532"/>
    </row>
    <row r="162" spans="1:15" s="117" customFormat="1" x14ac:dyDescent="0.25">
      <c r="A162" s="515">
        <v>20</v>
      </c>
      <c r="B162" s="528" t="s">
        <v>241</v>
      </c>
      <c r="C162" s="528" t="s">
        <v>297</v>
      </c>
      <c r="D162" s="517">
        <v>0.04</v>
      </c>
      <c r="E162" s="519" t="s">
        <v>243</v>
      </c>
      <c r="F162" s="518">
        <v>1.31</v>
      </c>
      <c r="G162" s="526" t="s">
        <v>298</v>
      </c>
      <c r="H162" s="526">
        <v>1</v>
      </c>
      <c r="I162" s="527">
        <v>5.2400000000000002E-2</v>
      </c>
      <c r="J162" s="543"/>
      <c r="K162" s="543"/>
      <c r="L162" s="543"/>
      <c r="M162" s="543"/>
      <c r="N162" s="543"/>
      <c r="O162" s="532"/>
    </row>
    <row r="163" spans="1:15" s="117" customFormat="1" x14ac:dyDescent="0.25">
      <c r="A163" s="539"/>
      <c r="B163" s="524"/>
      <c r="C163" s="524"/>
      <c r="D163" s="524"/>
      <c r="E163" s="524"/>
      <c r="F163" s="524"/>
      <c r="G163" s="524"/>
      <c r="H163" s="708" t="s">
        <v>19</v>
      </c>
      <c r="I163" s="709">
        <v>0.21490000000000001</v>
      </c>
      <c r="J163" s="524"/>
      <c r="K163" s="524"/>
      <c r="L163" s="524"/>
      <c r="M163" s="524"/>
      <c r="N163" s="524"/>
      <c r="O163" s="532"/>
    </row>
    <row r="164" spans="1:15" s="117" customFormat="1" x14ac:dyDescent="0.25">
      <c r="A164" s="533"/>
      <c r="B164" s="514"/>
      <c r="C164" s="514"/>
      <c r="D164" s="514"/>
      <c r="E164" s="514"/>
      <c r="F164" s="514"/>
      <c r="G164" s="514"/>
      <c r="H164" s="514"/>
      <c r="I164" s="514"/>
      <c r="J164" s="514"/>
      <c r="K164" s="514"/>
      <c r="L164" s="514"/>
      <c r="M164" s="514"/>
      <c r="N164" s="514"/>
      <c r="O164" s="532"/>
    </row>
    <row r="165" spans="1:15" s="117" customFormat="1" ht="15.75" thickBot="1" x14ac:dyDescent="0.3">
      <c r="A165" s="534"/>
      <c r="B165" s="535"/>
      <c r="C165" s="535"/>
      <c r="D165" s="535"/>
      <c r="E165" s="535"/>
      <c r="F165" s="535"/>
      <c r="G165" s="535"/>
      <c r="H165" s="535"/>
      <c r="I165" s="535"/>
      <c r="J165" s="535"/>
      <c r="K165" s="535"/>
      <c r="L165" s="535"/>
      <c r="M165" s="535"/>
      <c r="N165" s="535"/>
      <c r="O165" s="536"/>
    </row>
    <row r="166" spans="1:15" s="117" customFormat="1" ht="15.75" thickBot="1" x14ac:dyDescent="0.3">
      <c r="A166" s="120"/>
      <c r="B166" s="120"/>
      <c r="C166" s="120"/>
      <c r="D166" s="120"/>
      <c r="E166" s="120"/>
      <c r="F166" s="120"/>
      <c r="G166" s="120"/>
      <c r="H166" s="170"/>
      <c r="I166" s="170"/>
      <c r="J166" s="120"/>
      <c r="K166" s="120"/>
      <c r="L166" s="120"/>
      <c r="M166" s="120"/>
      <c r="N166" s="120"/>
      <c r="O166" s="120"/>
    </row>
    <row r="167" spans="1:15" s="117" customFormat="1" x14ac:dyDescent="0.25">
      <c r="A167" s="563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5"/>
    </row>
    <row r="168" spans="1:15" s="117" customFormat="1" x14ac:dyDescent="0.25">
      <c r="A168" s="710" t="s">
        <v>0</v>
      </c>
      <c r="B168" s="576" t="s">
        <v>47</v>
      </c>
      <c r="C168" s="577"/>
      <c r="D168" s="577"/>
      <c r="E168" s="577"/>
      <c r="F168" s="577"/>
      <c r="G168" s="577"/>
      <c r="H168" s="577"/>
      <c r="I168" s="577"/>
      <c r="J168" s="706" t="s">
        <v>2</v>
      </c>
      <c r="K168" s="579">
        <v>81</v>
      </c>
      <c r="L168" s="577"/>
      <c r="M168" s="706" t="s">
        <v>17</v>
      </c>
      <c r="N168" s="580">
        <f>EN_03001_m+EN_03001_p</f>
        <v>67.721670109364652</v>
      </c>
      <c r="O168" s="566"/>
    </row>
    <row r="169" spans="1:15" s="117" customFormat="1" x14ac:dyDescent="0.25">
      <c r="A169" s="710" t="s">
        <v>4</v>
      </c>
      <c r="B169" s="577" t="s">
        <v>289</v>
      </c>
      <c r="C169" s="577"/>
      <c r="D169" s="705" t="s">
        <v>7</v>
      </c>
      <c r="E169" s="577"/>
      <c r="F169" s="577"/>
      <c r="G169" s="577"/>
      <c r="H169" s="577"/>
      <c r="I169" s="577"/>
      <c r="J169" s="577"/>
      <c r="K169" s="577"/>
      <c r="L169" s="577"/>
      <c r="M169" s="706" t="s">
        <v>5</v>
      </c>
      <c r="N169" s="581">
        <v>2</v>
      </c>
      <c r="O169" s="566"/>
    </row>
    <row r="170" spans="1:15" s="117" customFormat="1" x14ac:dyDescent="0.25">
      <c r="A170" s="710" t="s">
        <v>6</v>
      </c>
      <c r="B170" s="685" t="s">
        <v>174</v>
      </c>
      <c r="C170" s="577"/>
      <c r="D170" s="705" t="s">
        <v>9</v>
      </c>
      <c r="E170" s="577"/>
      <c r="F170" s="577"/>
      <c r="G170" s="577"/>
      <c r="H170" s="577"/>
      <c r="I170" s="577"/>
      <c r="J170" s="705" t="s">
        <v>7</v>
      </c>
      <c r="K170" s="577"/>
      <c r="L170" s="577"/>
      <c r="M170" s="577"/>
      <c r="N170" s="578"/>
      <c r="O170" s="566"/>
    </row>
    <row r="171" spans="1:15" s="117" customFormat="1" x14ac:dyDescent="0.25">
      <c r="A171" s="710" t="s">
        <v>16</v>
      </c>
      <c r="B171" s="577" t="s">
        <v>176</v>
      </c>
      <c r="C171" s="577"/>
      <c r="D171" s="705" t="s">
        <v>13</v>
      </c>
      <c r="E171" s="577"/>
      <c r="F171" s="577"/>
      <c r="G171" s="577"/>
      <c r="H171" s="577"/>
      <c r="I171" s="577"/>
      <c r="J171" s="705" t="s">
        <v>9</v>
      </c>
      <c r="K171" s="577"/>
      <c r="L171" s="577"/>
      <c r="M171" s="706" t="s">
        <v>10</v>
      </c>
      <c r="N171" s="580">
        <f>N168*N169</f>
        <v>135.4433402187293</v>
      </c>
      <c r="O171" s="566"/>
    </row>
    <row r="172" spans="1:15" s="117" customFormat="1" x14ac:dyDescent="0.25">
      <c r="A172" s="710" t="s">
        <v>8</v>
      </c>
      <c r="B172" s="577" t="s">
        <v>299</v>
      </c>
      <c r="C172" s="577"/>
      <c r="D172" s="577"/>
      <c r="E172" s="577"/>
      <c r="F172" s="577"/>
      <c r="G172" s="577"/>
      <c r="H172" s="577"/>
      <c r="I172" s="577"/>
      <c r="J172" s="705" t="s">
        <v>13</v>
      </c>
      <c r="K172" s="577"/>
      <c r="L172" s="577"/>
      <c r="M172" s="577"/>
      <c r="N172" s="577"/>
      <c r="O172" s="566"/>
    </row>
    <row r="173" spans="1:15" s="117" customFormat="1" x14ac:dyDescent="0.25">
      <c r="A173" s="710" t="s">
        <v>11</v>
      </c>
      <c r="B173" s="577" t="s">
        <v>12</v>
      </c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66"/>
    </row>
    <row r="174" spans="1:15" s="117" customFormat="1" x14ac:dyDescent="0.25">
      <c r="A174" s="710" t="s">
        <v>14</v>
      </c>
      <c r="B174" s="576" t="s">
        <v>300</v>
      </c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66"/>
    </row>
    <row r="175" spans="1:15" s="117" customFormat="1" x14ac:dyDescent="0.25">
      <c r="A175" s="582"/>
      <c r="B175" s="578"/>
      <c r="C175" s="578"/>
      <c r="D175" s="578"/>
      <c r="E175" s="578"/>
      <c r="F175" s="578"/>
      <c r="G175" s="578"/>
      <c r="H175" s="578"/>
      <c r="I175" s="578"/>
      <c r="J175" s="578"/>
      <c r="K175" s="578"/>
      <c r="L175" s="578"/>
      <c r="M175" s="578"/>
      <c r="N175" s="578"/>
      <c r="O175" s="566"/>
    </row>
    <row r="176" spans="1:15" s="117" customFormat="1" x14ac:dyDescent="0.25">
      <c r="A176" s="704" t="s">
        <v>15</v>
      </c>
      <c r="B176" s="707" t="s">
        <v>20</v>
      </c>
      <c r="C176" s="707" t="s">
        <v>21</v>
      </c>
      <c r="D176" s="707" t="s">
        <v>22</v>
      </c>
      <c r="E176" s="707" t="s">
        <v>23</v>
      </c>
      <c r="F176" s="707" t="s">
        <v>24</v>
      </c>
      <c r="G176" s="707" t="s">
        <v>25</v>
      </c>
      <c r="H176" s="707" t="s">
        <v>26</v>
      </c>
      <c r="I176" s="707" t="s">
        <v>27</v>
      </c>
      <c r="J176" s="707" t="s">
        <v>28</v>
      </c>
      <c r="K176" s="707" t="s">
        <v>29</v>
      </c>
      <c r="L176" s="707" t="s">
        <v>30</v>
      </c>
      <c r="M176" s="707" t="s">
        <v>18</v>
      </c>
      <c r="N176" s="707" t="s">
        <v>19</v>
      </c>
      <c r="O176" s="566"/>
    </row>
    <row r="177" spans="1:15" s="117" customFormat="1" ht="30" x14ac:dyDescent="0.25">
      <c r="A177" s="571">
        <v>10</v>
      </c>
      <c r="B177" s="558" t="s">
        <v>301</v>
      </c>
      <c r="C177" s="550" t="s">
        <v>302</v>
      </c>
      <c r="D177" s="551">
        <v>2.25</v>
      </c>
      <c r="E177" s="552"/>
      <c r="F177" s="553"/>
      <c r="G177" s="552"/>
      <c r="H177" s="554"/>
      <c r="I177" s="555" t="s">
        <v>303</v>
      </c>
      <c r="J177" s="575">
        <v>3.369554470515903E-3</v>
      </c>
      <c r="K177" s="556">
        <v>0.157</v>
      </c>
      <c r="L177" s="989">
        <v>7850</v>
      </c>
      <c r="M177" s="573">
        <v>1</v>
      </c>
      <c r="N177" s="557">
        <v>9.5342638848450409</v>
      </c>
      <c r="O177" s="566"/>
    </row>
    <row r="178" spans="1:15" s="117" customFormat="1" x14ac:dyDescent="0.25">
      <c r="A178" s="574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708" t="s">
        <v>19</v>
      </c>
      <c r="N178" s="709">
        <v>9.5342638848450409</v>
      </c>
      <c r="O178" s="566"/>
    </row>
    <row r="179" spans="1:15" s="117" customFormat="1" x14ac:dyDescent="0.25">
      <c r="A179" s="583"/>
      <c r="B179" s="578"/>
      <c r="C179" s="578"/>
      <c r="D179" s="578"/>
      <c r="E179" s="578"/>
      <c r="F179" s="578"/>
      <c r="G179" s="578"/>
      <c r="H179" s="578"/>
      <c r="I179" s="578"/>
      <c r="J179" s="578"/>
      <c r="K179" s="578"/>
      <c r="L179" s="578"/>
      <c r="M179" s="578"/>
      <c r="N179" s="578"/>
      <c r="O179" s="566"/>
    </row>
    <row r="180" spans="1:15" s="117" customFormat="1" x14ac:dyDescent="0.25">
      <c r="A180" s="704" t="s">
        <v>15</v>
      </c>
      <c r="B180" s="707" t="s">
        <v>32</v>
      </c>
      <c r="C180" s="707" t="s">
        <v>21</v>
      </c>
      <c r="D180" s="707" t="s">
        <v>22</v>
      </c>
      <c r="E180" s="707" t="s">
        <v>33</v>
      </c>
      <c r="F180" s="707" t="s">
        <v>18</v>
      </c>
      <c r="G180" s="707" t="s">
        <v>34</v>
      </c>
      <c r="H180" s="707" t="s">
        <v>35</v>
      </c>
      <c r="I180" s="707" t="s">
        <v>19</v>
      </c>
      <c r="J180" s="559"/>
      <c r="K180" s="559"/>
      <c r="L180" s="559"/>
      <c r="M180" s="559"/>
      <c r="N180" s="559"/>
      <c r="O180" s="566"/>
    </row>
    <row r="181" spans="1:15" s="117" customFormat="1" ht="45" x14ac:dyDescent="0.25">
      <c r="A181" s="571">
        <v>10</v>
      </c>
      <c r="B181" s="562" t="s">
        <v>50</v>
      </c>
      <c r="C181" s="562" t="s">
        <v>304</v>
      </c>
      <c r="D181" s="551">
        <v>1.3</v>
      </c>
      <c r="E181" s="553" t="s">
        <v>36</v>
      </c>
      <c r="F181" s="552">
        <v>1</v>
      </c>
      <c r="G181" s="560"/>
      <c r="H181" s="560"/>
      <c r="I181" s="561">
        <v>1.3</v>
      </c>
      <c r="J181" s="578"/>
      <c r="K181" s="578"/>
      <c r="L181" s="578"/>
      <c r="M181" s="578"/>
      <c r="N181" s="578"/>
      <c r="O181" s="566"/>
    </row>
    <row r="182" spans="1:15" s="117" customFormat="1" ht="30" x14ac:dyDescent="0.25">
      <c r="A182" s="571">
        <v>20</v>
      </c>
      <c r="B182" s="562" t="s">
        <v>241</v>
      </c>
      <c r="C182" s="562" t="s">
        <v>305</v>
      </c>
      <c r="D182" s="551">
        <v>0.04</v>
      </c>
      <c r="E182" s="553" t="s">
        <v>243</v>
      </c>
      <c r="F182" s="572">
        <v>453.02005187099678</v>
      </c>
      <c r="G182" s="560" t="s">
        <v>288</v>
      </c>
      <c r="H182" s="560">
        <v>3</v>
      </c>
      <c r="I182" s="561">
        <v>54.362406224519617</v>
      </c>
      <c r="J182" s="578"/>
      <c r="K182" s="578"/>
      <c r="L182" s="578"/>
      <c r="M182" s="578"/>
      <c r="N182" s="578"/>
      <c r="O182" s="566"/>
    </row>
    <row r="183" spans="1:15" s="117" customFormat="1" ht="45" x14ac:dyDescent="0.25">
      <c r="A183" s="571">
        <v>30</v>
      </c>
      <c r="B183" s="562" t="s">
        <v>50</v>
      </c>
      <c r="C183" s="562" t="s">
        <v>306</v>
      </c>
      <c r="D183" s="551">
        <v>1.3</v>
      </c>
      <c r="E183" s="553" t="s">
        <v>36</v>
      </c>
      <c r="F183" s="552">
        <v>1</v>
      </c>
      <c r="G183" s="560"/>
      <c r="H183" s="560"/>
      <c r="I183" s="561">
        <v>1.3</v>
      </c>
      <c r="J183" s="578"/>
      <c r="K183" s="578"/>
      <c r="L183" s="578"/>
      <c r="M183" s="578"/>
      <c r="N183" s="578"/>
      <c r="O183" s="566"/>
    </row>
    <row r="184" spans="1:15" s="117" customFormat="1" ht="30" x14ac:dyDescent="0.25">
      <c r="A184" s="571">
        <v>40</v>
      </c>
      <c r="B184" s="562" t="s">
        <v>253</v>
      </c>
      <c r="C184" s="562" t="s">
        <v>307</v>
      </c>
      <c r="D184" s="551">
        <v>0.5</v>
      </c>
      <c r="E184" s="553" t="s">
        <v>53</v>
      </c>
      <c r="F184" s="552">
        <v>2.4500000000000002</v>
      </c>
      <c r="G184" s="560"/>
      <c r="H184" s="560"/>
      <c r="I184" s="561">
        <v>1.2250000000000001</v>
      </c>
      <c r="J184" s="578"/>
      <c r="K184" s="578"/>
      <c r="L184" s="578"/>
      <c r="M184" s="578"/>
      <c r="N184" s="578"/>
      <c r="O184" s="566"/>
    </row>
    <row r="185" spans="1:15" s="117" customFormat="1" x14ac:dyDescent="0.25">
      <c r="A185" s="574"/>
      <c r="B185" s="559"/>
      <c r="C185" s="559"/>
      <c r="D185" s="559"/>
      <c r="E185" s="559"/>
      <c r="F185" s="559"/>
      <c r="G185" s="559"/>
      <c r="H185" s="708" t="s">
        <v>19</v>
      </c>
      <c r="I185" s="709">
        <v>58.187406224519613</v>
      </c>
      <c r="J185" s="559"/>
      <c r="K185" s="559"/>
      <c r="L185" s="559"/>
      <c r="M185" s="559"/>
      <c r="N185" s="559"/>
      <c r="O185" s="566"/>
    </row>
    <row r="186" spans="1:15" s="117" customFormat="1" x14ac:dyDescent="0.25">
      <c r="A186" s="567"/>
      <c r="B186" s="549"/>
      <c r="C186" s="549"/>
      <c r="D186" s="549"/>
      <c r="E186" s="549"/>
      <c r="F186" s="549"/>
      <c r="G186" s="549"/>
      <c r="H186" s="549"/>
      <c r="I186" s="549"/>
      <c r="J186" s="549"/>
      <c r="K186" s="549"/>
      <c r="L186" s="549"/>
      <c r="M186" s="549"/>
      <c r="N186" s="549"/>
      <c r="O186" s="566"/>
    </row>
    <row r="187" spans="1:15" s="117" customFormat="1" x14ac:dyDescent="0.25">
      <c r="A187" s="567"/>
      <c r="B187" s="651"/>
      <c r="C187" s="651"/>
      <c r="D187" s="651"/>
      <c r="E187" s="651"/>
      <c r="F187" s="651"/>
      <c r="G187" s="651"/>
      <c r="H187" s="651"/>
      <c r="I187" s="651"/>
      <c r="J187" s="651"/>
      <c r="K187" s="651"/>
      <c r="L187" s="651"/>
      <c r="M187" s="651"/>
      <c r="N187" s="651"/>
      <c r="O187" s="669"/>
    </row>
    <row r="188" spans="1:15" s="117" customFormat="1" x14ac:dyDescent="0.25">
      <c r="A188" s="567"/>
      <c r="B188" s="651"/>
      <c r="C188" s="651"/>
      <c r="D188" s="651"/>
      <c r="E188" s="651"/>
      <c r="F188" s="651"/>
      <c r="G188" s="651"/>
      <c r="H188" s="651"/>
      <c r="I188" s="651"/>
      <c r="J188" s="651"/>
      <c r="K188" s="651"/>
      <c r="L188" s="651"/>
      <c r="M188" s="651"/>
      <c r="N188" s="651"/>
      <c r="O188" s="669"/>
    </row>
    <row r="189" spans="1:15" s="117" customFormat="1" x14ac:dyDescent="0.25">
      <c r="A189" s="567"/>
      <c r="B189" s="651"/>
      <c r="C189" s="651"/>
      <c r="D189" s="651"/>
      <c r="E189" s="651"/>
      <c r="F189" s="651"/>
      <c r="G189" s="651"/>
      <c r="H189" s="651"/>
      <c r="I189" s="651"/>
      <c r="J189" s="651"/>
      <c r="K189" s="651"/>
      <c r="L189" s="651"/>
      <c r="M189" s="651"/>
      <c r="N189" s="651"/>
      <c r="O189" s="669"/>
    </row>
    <row r="190" spans="1:15" s="117" customFormat="1" x14ac:dyDescent="0.25">
      <c r="A190" s="567"/>
      <c r="B190" s="651"/>
      <c r="C190" s="651"/>
      <c r="D190" s="651"/>
      <c r="E190" s="651"/>
      <c r="F190" s="651"/>
      <c r="G190" s="651"/>
      <c r="H190" s="651"/>
      <c r="I190" s="651"/>
      <c r="J190" s="651"/>
      <c r="K190" s="651"/>
      <c r="L190" s="651"/>
      <c r="M190" s="651"/>
      <c r="N190" s="651"/>
      <c r="O190" s="669"/>
    </row>
    <row r="191" spans="1:15" s="117" customFormat="1" x14ac:dyDescent="0.25">
      <c r="A191" s="567"/>
      <c r="B191" s="651"/>
      <c r="C191" s="651"/>
      <c r="D191" s="651"/>
      <c r="E191" s="651"/>
      <c r="F191" s="651"/>
      <c r="G191" s="651"/>
      <c r="H191" s="651"/>
      <c r="I191" s="651"/>
      <c r="J191" s="651"/>
      <c r="K191" s="651"/>
      <c r="L191" s="651"/>
      <c r="M191" s="651"/>
      <c r="N191" s="651"/>
      <c r="O191" s="669"/>
    </row>
    <row r="192" spans="1:15" s="117" customFormat="1" x14ac:dyDescent="0.25">
      <c r="A192" s="567"/>
      <c r="B192" s="651"/>
      <c r="C192" s="651"/>
      <c r="D192" s="651"/>
      <c r="E192" s="651"/>
      <c r="F192" s="651"/>
      <c r="G192" s="651"/>
      <c r="H192" s="651"/>
      <c r="I192" s="651"/>
      <c r="J192" s="651"/>
      <c r="K192" s="651"/>
      <c r="L192" s="651"/>
      <c r="M192" s="651"/>
      <c r="N192" s="651"/>
      <c r="O192" s="669"/>
    </row>
    <row r="193" spans="1:15" s="117" customFormat="1" x14ac:dyDescent="0.25">
      <c r="A193" s="567"/>
      <c r="B193" s="651"/>
      <c r="C193" s="651"/>
      <c r="D193" s="651"/>
      <c r="E193" s="651"/>
      <c r="F193" s="651"/>
      <c r="G193" s="651"/>
      <c r="H193" s="651"/>
      <c r="I193" s="651"/>
      <c r="J193" s="651"/>
      <c r="K193" s="651"/>
      <c r="L193" s="651"/>
      <c r="M193" s="651"/>
      <c r="N193" s="651"/>
      <c r="O193" s="669"/>
    </row>
    <row r="194" spans="1:15" s="117" customFormat="1" x14ac:dyDescent="0.25">
      <c r="A194" s="567"/>
      <c r="B194" s="651"/>
      <c r="C194" s="651"/>
      <c r="D194" s="651"/>
      <c r="E194" s="651"/>
      <c r="F194" s="651"/>
      <c r="G194" s="651"/>
      <c r="H194" s="651"/>
      <c r="I194" s="651"/>
      <c r="J194" s="651"/>
      <c r="K194" s="651"/>
      <c r="L194" s="651"/>
      <c r="M194" s="651"/>
      <c r="N194" s="651"/>
      <c r="O194" s="669"/>
    </row>
    <row r="195" spans="1:15" s="117" customFormat="1" x14ac:dyDescent="0.25">
      <c r="A195" s="567"/>
      <c r="B195" s="651"/>
      <c r="C195" s="651"/>
      <c r="D195" s="651"/>
      <c r="E195" s="651"/>
      <c r="F195" s="651"/>
      <c r="G195" s="651"/>
      <c r="H195" s="651"/>
      <c r="I195" s="651"/>
      <c r="J195" s="651"/>
      <c r="K195" s="651"/>
      <c r="L195" s="651"/>
      <c r="M195" s="651"/>
      <c r="N195" s="651"/>
      <c r="O195" s="669"/>
    </row>
    <row r="196" spans="1:15" s="117" customFormat="1" x14ac:dyDescent="0.25">
      <c r="A196" s="567"/>
      <c r="B196" s="651"/>
      <c r="C196" s="651"/>
      <c r="D196" s="651"/>
      <c r="E196" s="651"/>
      <c r="F196" s="651"/>
      <c r="G196" s="651"/>
      <c r="H196" s="651"/>
      <c r="I196" s="651"/>
      <c r="J196" s="651"/>
      <c r="K196" s="651"/>
      <c r="L196" s="651"/>
      <c r="M196" s="651"/>
      <c r="N196" s="651"/>
      <c r="O196" s="669"/>
    </row>
    <row r="197" spans="1:15" s="117" customFormat="1" x14ac:dyDescent="0.25">
      <c r="A197" s="567"/>
      <c r="B197" s="651"/>
      <c r="C197" s="651"/>
      <c r="D197" s="651"/>
      <c r="E197" s="651"/>
      <c r="F197" s="651"/>
      <c r="G197" s="651"/>
      <c r="H197" s="651"/>
      <c r="I197" s="651"/>
      <c r="J197" s="651"/>
      <c r="K197" s="651"/>
      <c r="L197" s="651"/>
      <c r="M197" s="651"/>
      <c r="N197" s="651"/>
      <c r="O197" s="669"/>
    </row>
    <row r="198" spans="1:15" s="117" customFormat="1" x14ac:dyDescent="0.25">
      <c r="A198" s="567"/>
      <c r="B198" s="651"/>
      <c r="C198" s="651"/>
      <c r="D198" s="651"/>
      <c r="E198" s="651"/>
      <c r="F198" s="651"/>
      <c r="G198" s="651"/>
      <c r="H198" s="651"/>
      <c r="I198" s="651"/>
      <c r="J198" s="651"/>
      <c r="K198" s="651"/>
      <c r="L198" s="651"/>
      <c r="M198" s="651"/>
      <c r="N198" s="651"/>
      <c r="O198" s="669"/>
    </row>
    <row r="199" spans="1:15" s="117" customFormat="1" x14ac:dyDescent="0.25">
      <c r="A199" s="567"/>
      <c r="B199" s="651"/>
      <c r="C199" s="651"/>
      <c r="D199" s="651"/>
      <c r="E199" s="651"/>
      <c r="F199" s="651"/>
      <c r="G199" s="651"/>
      <c r="H199" s="651"/>
      <c r="I199" s="651"/>
      <c r="J199" s="651"/>
      <c r="K199" s="651"/>
      <c r="L199" s="651"/>
      <c r="M199" s="651"/>
      <c r="N199" s="651"/>
      <c r="O199" s="669"/>
    </row>
    <row r="200" spans="1:15" s="117" customFormat="1" x14ac:dyDescent="0.25">
      <c r="A200" s="567"/>
      <c r="B200" s="651"/>
      <c r="C200" s="651"/>
      <c r="D200" s="651"/>
      <c r="E200" s="651"/>
      <c r="F200" s="651"/>
      <c r="G200" s="651"/>
      <c r="H200" s="651"/>
      <c r="I200" s="651"/>
      <c r="J200" s="651"/>
      <c r="K200" s="651"/>
      <c r="L200" s="651"/>
      <c r="M200" s="651"/>
      <c r="N200" s="651"/>
      <c r="O200" s="669"/>
    </row>
    <row r="201" spans="1:15" s="117" customFormat="1" x14ac:dyDescent="0.25">
      <c r="A201" s="567"/>
      <c r="B201" s="651"/>
      <c r="C201" s="651"/>
      <c r="D201" s="651"/>
      <c r="E201" s="651"/>
      <c r="F201" s="651"/>
      <c r="G201" s="651"/>
      <c r="H201" s="651"/>
      <c r="I201" s="651"/>
      <c r="J201" s="651"/>
      <c r="K201" s="651"/>
      <c r="L201" s="651"/>
      <c r="M201" s="651"/>
      <c r="N201" s="651"/>
      <c r="O201" s="669"/>
    </row>
    <row r="202" spans="1:15" s="117" customFormat="1" x14ac:dyDescent="0.25">
      <c r="A202" s="567"/>
      <c r="B202" s="651"/>
      <c r="C202" s="651"/>
      <c r="D202" s="651"/>
      <c r="E202" s="651"/>
      <c r="F202" s="651"/>
      <c r="G202" s="651"/>
      <c r="H202" s="651"/>
      <c r="I202" s="651"/>
      <c r="J202" s="651"/>
      <c r="K202" s="651"/>
      <c r="L202" s="651"/>
      <c r="M202" s="651"/>
      <c r="N202" s="651"/>
      <c r="O202" s="669"/>
    </row>
    <row r="203" spans="1:15" s="117" customFormat="1" x14ac:dyDescent="0.25">
      <c r="A203" s="567"/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69"/>
    </row>
    <row r="204" spans="1:15" s="117" customFormat="1" x14ac:dyDescent="0.25">
      <c r="A204" s="567"/>
      <c r="B204" s="651"/>
      <c r="C204" s="651"/>
      <c r="D204" s="651"/>
      <c r="E204" s="651"/>
      <c r="F204" s="651"/>
      <c r="G204" s="651"/>
      <c r="H204" s="651"/>
      <c r="I204" s="651"/>
      <c r="J204" s="651"/>
      <c r="K204" s="651"/>
      <c r="L204" s="651"/>
      <c r="M204" s="651"/>
      <c r="N204" s="651"/>
      <c r="O204" s="669"/>
    </row>
    <row r="205" spans="1:15" s="117" customFormat="1" x14ac:dyDescent="0.25">
      <c r="A205" s="567"/>
      <c r="B205" s="651"/>
      <c r="C205" s="651"/>
      <c r="D205" s="651"/>
      <c r="E205" s="651"/>
      <c r="F205" s="651"/>
      <c r="G205" s="651"/>
      <c r="H205" s="651"/>
      <c r="I205" s="651"/>
      <c r="J205" s="651"/>
      <c r="K205" s="651"/>
      <c r="L205" s="651"/>
      <c r="M205" s="651"/>
      <c r="N205" s="651"/>
      <c r="O205" s="669"/>
    </row>
    <row r="206" spans="1:15" s="117" customFormat="1" x14ac:dyDescent="0.25">
      <c r="A206" s="567"/>
      <c r="B206" s="651"/>
      <c r="C206" s="651"/>
      <c r="D206" s="651"/>
      <c r="E206" s="651"/>
      <c r="F206" s="651"/>
      <c r="G206" s="651"/>
      <c r="H206" s="651"/>
      <c r="I206" s="651"/>
      <c r="J206" s="651"/>
      <c r="K206" s="651"/>
      <c r="L206" s="651"/>
      <c r="M206" s="651"/>
      <c r="N206" s="651"/>
      <c r="O206" s="669"/>
    </row>
    <row r="207" spans="1:15" s="117" customFormat="1" x14ac:dyDescent="0.25">
      <c r="A207" s="567"/>
      <c r="B207" s="651"/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69"/>
    </row>
    <row r="208" spans="1:15" s="117" customFormat="1" x14ac:dyDescent="0.25">
      <c r="A208" s="567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69"/>
    </row>
    <row r="209" spans="1:15" s="117" customFormat="1" x14ac:dyDescent="0.25">
      <c r="A209" s="567"/>
      <c r="B209" s="651"/>
      <c r="C209" s="651"/>
      <c r="D209" s="651"/>
      <c r="E209" s="651"/>
      <c r="F209" s="651"/>
      <c r="G209" s="651"/>
      <c r="H209" s="651"/>
      <c r="I209" s="651"/>
      <c r="J209" s="651"/>
      <c r="K209" s="651"/>
      <c r="L209" s="651"/>
      <c r="M209" s="651"/>
      <c r="N209" s="651"/>
      <c r="O209" s="669"/>
    </row>
    <row r="210" spans="1:15" s="117" customFormat="1" x14ac:dyDescent="0.25">
      <c r="A210" s="567"/>
      <c r="B210" s="651"/>
      <c r="C210" s="651"/>
      <c r="D210" s="651"/>
      <c r="E210" s="651"/>
      <c r="F210" s="651"/>
      <c r="G210" s="651"/>
      <c r="H210" s="651"/>
      <c r="I210" s="651"/>
      <c r="J210" s="651"/>
      <c r="K210" s="651"/>
      <c r="L210" s="651"/>
      <c r="M210" s="651"/>
      <c r="N210" s="651"/>
      <c r="O210" s="669"/>
    </row>
    <row r="211" spans="1:15" s="117" customFormat="1" ht="15.75" thickBot="1" x14ac:dyDescent="0.3">
      <c r="A211" s="568"/>
      <c r="B211" s="569"/>
      <c r="C211" s="569"/>
      <c r="D211" s="569"/>
      <c r="E211" s="569"/>
      <c r="F211" s="569"/>
      <c r="G211" s="569"/>
      <c r="H211" s="569"/>
      <c r="I211" s="569"/>
      <c r="J211" s="569"/>
      <c r="K211" s="569"/>
      <c r="L211" s="569"/>
      <c r="M211" s="569"/>
      <c r="N211" s="569"/>
      <c r="O211" s="570"/>
    </row>
    <row r="212" spans="1:15" s="117" customFormat="1" ht="15.75" thickBot="1" x14ac:dyDescent="0.3">
      <c r="A212" s="120"/>
      <c r="B212" s="120"/>
      <c r="C212" s="120"/>
      <c r="D212" s="120"/>
      <c r="E212" s="120"/>
      <c r="F212" s="120"/>
      <c r="G212" s="120"/>
      <c r="H212" s="170"/>
      <c r="I212" s="170"/>
      <c r="J212" s="120"/>
      <c r="K212" s="120"/>
      <c r="L212" s="120"/>
      <c r="M212" s="120"/>
      <c r="N212" s="120"/>
      <c r="O212" s="120"/>
    </row>
    <row r="213" spans="1:15" s="117" customFormat="1" x14ac:dyDescent="0.25">
      <c r="A213" s="597"/>
      <c r="B213" s="598"/>
      <c r="C213" s="598"/>
      <c r="D213" s="598"/>
      <c r="E213" s="598"/>
      <c r="F213" s="598"/>
      <c r="G213" s="598"/>
      <c r="H213" s="598"/>
      <c r="I213" s="598"/>
      <c r="J213" s="598"/>
      <c r="K213" s="598"/>
      <c r="L213" s="598"/>
      <c r="M213" s="598"/>
      <c r="N213" s="598"/>
      <c r="O213" s="599"/>
    </row>
    <row r="214" spans="1:15" s="117" customFormat="1" x14ac:dyDescent="0.25">
      <c r="A214" s="710" t="s">
        <v>0</v>
      </c>
      <c r="B214" s="609" t="s">
        <v>47</v>
      </c>
      <c r="C214" s="610"/>
      <c r="D214" s="610"/>
      <c r="E214" s="610"/>
      <c r="F214" s="610"/>
      <c r="G214" s="610"/>
      <c r="H214" s="610"/>
      <c r="I214" s="610"/>
      <c r="J214" s="706" t="s">
        <v>2</v>
      </c>
      <c r="K214" s="612">
        <v>81</v>
      </c>
      <c r="L214" s="610"/>
      <c r="M214" s="706" t="s">
        <v>17</v>
      </c>
      <c r="N214" s="613">
        <f>EN_03002_m+EN_03002_p</f>
        <v>59.565811811695127</v>
      </c>
      <c r="O214" s="600"/>
    </row>
    <row r="215" spans="1:15" s="117" customFormat="1" x14ac:dyDescent="0.25">
      <c r="A215" s="710" t="s">
        <v>4</v>
      </c>
      <c r="B215" s="610" t="s">
        <v>289</v>
      </c>
      <c r="C215" s="610"/>
      <c r="D215" s="705" t="s">
        <v>7</v>
      </c>
      <c r="E215" s="610"/>
      <c r="F215" s="610"/>
      <c r="G215" s="610"/>
      <c r="H215" s="610"/>
      <c r="I215" s="610"/>
      <c r="J215" s="610"/>
      <c r="K215" s="610"/>
      <c r="L215" s="610"/>
      <c r="M215" s="706" t="s">
        <v>5</v>
      </c>
      <c r="N215" s="614">
        <v>2</v>
      </c>
      <c r="O215" s="600"/>
    </row>
    <row r="216" spans="1:15" s="117" customFormat="1" x14ac:dyDescent="0.25">
      <c r="A216" s="710" t="s">
        <v>6</v>
      </c>
      <c r="B216" s="685" t="s">
        <v>174</v>
      </c>
      <c r="C216" s="610"/>
      <c r="D216" s="705" t="s">
        <v>9</v>
      </c>
      <c r="E216" s="610"/>
      <c r="F216" s="610"/>
      <c r="G216" s="610"/>
      <c r="H216" s="610"/>
      <c r="I216" s="610"/>
      <c r="J216" s="705" t="s">
        <v>7</v>
      </c>
      <c r="K216" s="610"/>
      <c r="L216" s="610"/>
      <c r="M216" s="610"/>
      <c r="N216" s="611"/>
      <c r="O216" s="600"/>
    </row>
    <row r="217" spans="1:15" s="117" customFormat="1" x14ac:dyDescent="0.25">
      <c r="A217" s="710" t="s">
        <v>16</v>
      </c>
      <c r="B217" s="610" t="s">
        <v>177</v>
      </c>
      <c r="C217" s="610"/>
      <c r="D217" s="705" t="s">
        <v>13</v>
      </c>
      <c r="E217" s="610"/>
      <c r="F217" s="610"/>
      <c r="G217" s="610"/>
      <c r="H217" s="610"/>
      <c r="I217" s="610"/>
      <c r="J217" s="705" t="s">
        <v>9</v>
      </c>
      <c r="K217" s="610"/>
      <c r="L217" s="610"/>
      <c r="M217" s="706" t="s">
        <v>10</v>
      </c>
      <c r="N217" s="613">
        <f>N214*N215</f>
        <v>119.13162362339025</v>
      </c>
      <c r="O217" s="600"/>
    </row>
    <row r="218" spans="1:15" s="117" customFormat="1" x14ac:dyDescent="0.25">
      <c r="A218" s="710" t="s">
        <v>8</v>
      </c>
      <c r="B218" s="610" t="s">
        <v>308</v>
      </c>
      <c r="C218" s="610"/>
      <c r="D218" s="610"/>
      <c r="E218" s="610"/>
      <c r="F218" s="610"/>
      <c r="G218" s="610"/>
      <c r="H218" s="610"/>
      <c r="I218" s="610"/>
      <c r="J218" s="705" t="s">
        <v>13</v>
      </c>
      <c r="K218" s="610"/>
      <c r="L218" s="610"/>
      <c r="M218" s="610"/>
      <c r="N218" s="610"/>
      <c r="O218" s="600"/>
    </row>
    <row r="219" spans="1:15" s="117" customFormat="1" x14ac:dyDescent="0.25">
      <c r="A219" s="710" t="s">
        <v>11</v>
      </c>
      <c r="B219" s="610" t="s">
        <v>12</v>
      </c>
      <c r="C219" s="610"/>
      <c r="D219" s="610"/>
      <c r="E219" s="610"/>
      <c r="F219" s="610"/>
      <c r="G219" s="610"/>
      <c r="H219" s="610"/>
      <c r="I219" s="610"/>
      <c r="J219" s="610"/>
      <c r="K219" s="610"/>
      <c r="L219" s="610"/>
      <c r="M219" s="610"/>
      <c r="N219" s="610"/>
      <c r="O219" s="600"/>
    </row>
    <row r="220" spans="1:15" s="117" customFormat="1" x14ac:dyDescent="0.25">
      <c r="A220" s="710" t="s">
        <v>14</v>
      </c>
      <c r="B220" s="609" t="s">
        <v>300</v>
      </c>
      <c r="C220" s="610"/>
      <c r="D220" s="610"/>
      <c r="E220" s="610"/>
      <c r="F220" s="610"/>
      <c r="G220" s="610"/>
      <c r="H220" s="610"/>
      <c r="I220" s="610"/>
      <c r="J220" s="610"/>
      <c r="K220" s="610"/>
      <c r="L220" s="610"/>
      <c r="M220" s="610"/>
      <c r="N220" s="610"/>
      <c r="O220" s="600"/>
    </row>
    <row r="221" spans="1:15" s="117" customFormat="1" x14ac:dyDescent="0.25">
      <c r="A221" s="615"/>
      <c r="B221" s="611"/>
      <c r="C221" s="611"/>
      <c r="D221" s="611"/>
      <c r="E221" s="611"/>
      <c r="F221" s="611"/>
      <c r="G221" s="611"/>
      <c r="H221" s="611"/>
      <c r="I221" s="611"/>
      <c r="J221" s="611"/>
      <c r="K221" s="611"/>
      <c r="L221" s="611"/>
      <c r="M221" s="611"/>
      <c r="N221" s="611"/>
      <c r="O221" s="600"/>
    </row>
    <row r="222" spans="1:15" s="117" customFormat="1" x14ac:dyDescent="0.25">
      <c r="A222" s="704" t="s">
        <v>15</v>
      </c>
      <c r="B222" s="707" t="s">
        <v>20</v>
      </c>
      <c r="C222" s="707" t="s">
        <v>21</v>
      </c>
      <c r="D222" s="707" t="s">
        <v>22</v>
      </c>
      <c r="E222" s="707" t="s">
        <v>23</v>
      </c>
      <c r="F222" s="707" t="s">
        <v>24</v>
      </c>
      <c r="G222" s="707" t="s">
        <v>25</v>
      </c>
      <c r="H222" s="707" t="s">
        <v>26</v>
      </c>
      <c r="I222" s="707" t="s">
        <v>27</v>
      </c>
      <c r="J222" s="707" t="s">
        <v>28</v>
      </c>
      <c r="K222" s="707" t="s">
        <v>29</v>
      </c>
      <c r="L222" s="707" t="s">
        <v>30</v>
      </c>
      <c r="M222" s="707" t="s">
        <v>18</v>
      </c>
      <c r="N222" s="707" t="s">
        <v>19</v>
      </c>
      <c r="O222" s="600"/>
    </row>
    <row r="223" spans="1:15" s="117" customFormat="1" ht="30" x14ac:dyDescent="0.25">
      <c r="A223" s="604">
        <v>10</v>
      </c>
      <c r="B223" s="592" t="s">
        <v>301</v>
      </c>
      <c r="C223" s="584" t="s">
        <v>309</v>
      </c>
      <c r="D223" s="585">
        <v>2.25</v>
      </c>
      <c r="E223" s="586"/>
      <c r="F223" s="587"/>
      <c r="G223" s="586"/>
      <c r="H223" s="588"/>
      <c r="I223" s="589" t="s">
        <v>310</v>
      </c>
      <c r="J223" s="608">
        <v>3.369554470515903E-3</v>
      </c>
      <c r="K223" s="590">
        <v>0.13200000000000001</v>
      </c>
      <c r="L223" s="989">
        <v>7850</v>
      </c>
      <c r="M223" s="606">
        <v>1</v>
      </c>
      <c r="N223" s="591">
        <v>8.0160689987232185</v>
      </c>
      <c r="O223" s="600"/>
    </row>
    <row r="224" spans="1:15" s="117" customFormat="1" x14ac:dyDescent="0.25">
      <c r="A224" s="607"/>
      <c r="B224" s="593"/>
      <c r="C224" s="593"/>
      <c r="D224" s="593"/>
      <c r="E224" s="593"/>
      <c r="F224" s="593"/>
      <c r="G224" s="593"/>
      <c r="H224" s="593"/>
      <c r="I224" s="593"/>
      <c r="J224" s="593"/>
      <c r="K224" s="593"/>
      <c r="L224" s="593"/>
      <c r="M224" s="708" t="s">
        <v>19</v>
      </c>
      <c r="N224" s="709">
        <v>8.0160689987232185</v>
      </c>
      <c r="O224" s="600"/>
    </row>
    <row r="225" spans="1:15" s="117" customFormat="1" x14ac:dyDescent="0.25">
      <c r="A225" s="616"/>
      <c r="B225" s="611"/>
      <c r="C225" s="611"/>
      <c r="D225" s="611"/>
      <c r="E225" s="611"/>
      <c r="F225" s="611"/>
      <c r="G225" s="611"/>
      <c r="H225" s="611"/>
      <c r="I225" s="611"/>
      <c r="J225" s="611"/>
      <c r="K225" s="611"/>
      <c r="L225" s="611"/>
      <c r="M225" s="611"/>
      <c r="N225" s="611"/>
      <c r="O225" s="600"/>
    </row>
    <row r="226" spans="1:15" s="117" customFormat="1" x14ac:dyDescent="0.25">
      <c r="A226" s="704" t="s">
        <v>15</v>
      </c>
      <c r="B226" s="707" t="s">
        <v>32</v>
      </c>
      <c r="C226" s="707" t="s">
        <v>21</v>
      </c>
      <c r="D226" s="707" t="s">
        <v>22</v>
      </c>
      <c r="E226" s="707" t="s">
        <v>33</v>
      </c>
      <c r="F226" s="707" t="s">
        <v>18</v>
      </c>
      <c r="G226" s="707" t="s">
        <v>34</v>
      </c>
      <c r="H226" s="707" t="s">
        <v>35</v>
      </c>
      <c r="I226" s="707" t="s">
        <v>19</v>
      </c>
      <c r="J226" s="593"/>
      <c r="K226" s="593"/>
      <c r="L226" s="593"/>
      <c r="M226" s="593"/>
      <c r="N226" s="593"/>
      <c r="O226" s="600"/>
    </row>
    <row r="227" spans="1:15" s="117" customFormat="1" ht="45" x14ac:dyDescent="0.25">
      <c r="A227" s="604">
        <v>10</v>
      </c>
      <c r="B227" s="596" t="s">
        <v>50</v>
      </c>
      <c r="C227" s="596" t="s">
        <v>304</v>
      </c>
      <c r="D227" s="585">
        <v>1.3</v>
      </c>
      <c r="E227" s="587" t="s">
        <v>36</v>
      </c>
      <c r="F227" s="586">
        <v>1</v>
      </c>
      <c r="G227" s="594"/>
      <c r="H227" s="594"/>
      <c r="I227" s="595">
        <v>1.3</v>
      </c>
      <c r="J227" s="611"/>
      <c r="K227" s="611"/>
      <c r="L227" s="611"/>
      <c r="M227" s="611"/>
      <c r="N227" s="611"/>
      <c r="O227" s="600"/>
    </row>
    <row r="228" spans="1:15" s="117" customFormat="1" ht="30" x14ac:dyDescent="0.25">
      <c r="A228" s="604">
        <v>20</v>
      </c>
      <c r="B228" s="596" t="s">
        <v>241</v>
      </c>
      <c r="C228" s="596" t="s">
        <v>305</v>
      </c>
      <c r="D228" s="585">
        <v>0.04</v>
      </c>
      <c r="E228" s="587" t="s">
        <v>243</v>
      </c>
      <c r="F228" s="605">
        <v>377.58119010809924</v>
      </c>
      <c r="G228" s="594" t="s">
        <v>288</v>
      </c>
      <c r="H228" s="594">
        <v>3</v>
      </c>
      <c r="I228" s="595">
        <v>45.309742812971912</v>
      </c>
      <c r="J228" s="611"/>
      <c r="K228" s="611"/>
      <c r="L228" s="611"/>
      <c r="M228" s="611"/>
      <c r="N228" s="611"/>
      <c r="O228" s="600"/>
    </row>
    <row r="229" spans="1:15" s="117" customFormat="1" ht="45" x14ac:dyDescent="0.25">
      <c r="A229" s="604">
        <v>30</v>
      </c>
      <c r="B229" s="596" t="s">
        <v>50</v>
      </c>
      <c r="C229" s="596" t="s">
        <v>306</v>
      </c>
      <c r="D229" s="585">
        <v>1.3</v>
      </c>
      <c r="E229" s="587" t="s">
        <v>36</v>
      </c>
      <c r="F229" s="586">
        <v>1</v>
      </c>
      <c r="G229" s="594"/>
      <c r="H229" s="594"/>
      <c r="I229" s="595">
        <v>1.3</v>
      </c>
      <c r="J229" s="611"/>
      <c r="K229" s="611"/>
      <c r="L229" s="611"/>
      <c r="M229" s="611"/>
      <c r="N229" s="611"/>
      <c r="O229" s="600"/>
    </row>
    <row r="230" spans="1:15" s="117" customFormat="1" ht="30" x14ac:dyDescent="0.25">
      <c r="A230" s="604">
        <v>40</v>
      </c>
      <c r="B230" s="596" t="s">
        <v>253</v>
      </c>
      <c r="C230" s="596" t="s">
        <v>307</v>
      </c>
      <c r="D230" s="585">
        <v>0.5</v>
      </c>
      <c r="E230" s="587" t="s">
        <v>53</v>
      </c>
      <c r="F230" s="586">
        <v>4.2</v>
      </c>
      <c r="G230" s="594"/>
      <c r="H230" s="594"/>
      <c r="I230" s="595">
        <v>2.1</v>
      </c>
      <c r="J230" s="611"/>
      <c r="K230" s="611"/>
      <c r="L230" s="611"/>
      <c r="M230" s="611"/>
      <c r="N230" s="611"/>
      <c r="O230" s="600"/>
    </row>
    <row r="231" spans="1:15" s="117" customFormat="1" ht="45" x14ac:dyDescent="0.25">
      <c r="A231" s="604">
        <v>50</v>
      </c>
      <c r="B231" s="596" t="s">
        <v>50</v>
      </c>
      <c r="C231" s="596" t="s">
        <v>311</v>
      </c>
      <c r="D231" s="585">
        <v>1.3</v>
      </c>
      <c r="E231" s="587" t="s">
        <v>36</v>
      </c>
      <c r="F231" s="586">
        <v>1</v>
      </c>
      <c r="G231" s="594"/>
      <c r="H231" s="594"/>
      <c r="I231" s="595">
        <v>1.3</v>
      </c>
      <c r="J231" s="611"/>
      <c r="K231" s="611"/>
      <c r="L231" s="611"/>
      <c r="M231" s="611"/>
      <c r="N231" s="611"/>
      <c r="O231" s="600"/>
    </row>
    <row r="232" spans="1:15" s="117" customFormat="1" ht="30" x14ac:dyDescent="0.25">
      <c r="A232" s="604">
        <v>60</v>
      </c>
      <c r="B232" s="596" t="s">
        <v>312</v>
      </c>
      <c r="C232" s="596" t="s">
        <v>313</v>
      </c>
      <c r="D232" s="585">
        <v>0.1</v>
      </c>
      <c r="E232" s="587" t="s">
        <v>53</v>
      </c>
      <c r="F232" s="586">
        <v>2.4</v>
      </c>
      <c r="G232" s="594"/>
      <c r="H232" s="594"/>
      <c r="I232" s="595">
        <v>0.24</v>
      </c>
      <c r="J232" s="611"/>
      <c r="K232" s="611"/>
      <c r="L232" s="611"/>
      <c r="M232" s="611"/>
      <c r="N232" s="611"/>
      <c r="O232" s="600"/>
    </row>
    <row r="233" spans="1:15" s="117" customFormat="1" x14ac:dyDescent="0.25">
      <c r="A233" s="607"/>
      <c r="B233" s="593"/>
      <c r="C233" s="593"/>
      <c r="D233" s="593"/>
      <c r="E233" s="593"/>
      <c r="F233" s="593"/>
      <c r="G233" s="593"/>
      <c r="H233" s="708" t="s">
        <v>19</v>
      </c>
      <c r="I233" s="709">
        <v>51.549742812971907</v>
      </c>
      <c r="J233" s="593"/>
      <c r="K233" s="593"/>
      <c r="L233" s="593"/>
      <c r="M233" s="593"/>
      <c r="N233" s="593"/>
      <c r="O233" s="600"/>
    </row>
    <row r="234" spans="1:15" s="117" customFormat="1" x14ac:dyDescent="0.25">
      <c r="A234" s="567"/>
      <c r="B234" s="651"/>
      <c r="C234" s="651"/>
      <c r="D234" s="651"/>
      <c r="E234" s="651"/>
      <c r="F234" s="651"/>
      <c r="G234" s="651"/>
      <c r="H234" s="651"/>
      <c r="I234" s="651"/>
      <c r="J234" s="651"/>
      <c r="K234" s="651"/>
      <c r="L234" s="651"/>
      <c r="M234" s="651"/>
      <c r="N234" s="651"/>
      <c r="O234" s="669"/>
    </row>
    <row r="235" spans="1:15" s="117" customFormat="1" x14ac:dyDescent="0.25">
      <c r="A235" s="567"/>
      <c r="B235" s="651"/>
      <c r="C235" s="651"/>
      <c r="D235" s="651"/>
      <c r="E235" s="651"/>
      <c r="F235" s="651"/>
      <c r="G235" s="651"/>
      <c r="H235" s="651"/>
      <c r="I235" s="651"/>
      <c r="J235" s="651"/>
      <c r="K235" s="651"/>
      <c r="L235" s="651"/>
      <c r="M235" s="651"/>
      <c r="N235" s="651"/>
      <c r="O235" s="669"/>
    </row>
    <row r="236" spans="1:15" s="117" customFormat="1" x14ac:dyDescent="0.25">
      <c r="A236" s="567"/>
      <c r="B236" s="651"/>
      <c r="C236" s="651"/>
      <c r="D236" s="651"/>
      <c r="E236" s="651"/>
      <c r="F236" s="651"/>
      <c r="G236" s="651"/>
      <c r="H236" s="651"/>
      <c r="I236" s="651"/>
      <c r="J236" s="651"/>
      <c r="K236" s="651"/>
      <c r="L236" s="651"/>
      <c r="M236" s="651"/>
      <c r="N236" s="651"/>
      <c r="O236" s="669"/>
    </row>
    <row r="237" spans="1:15" s="117" customFormat="1" x14ac:dyDescent="0.25">
      <c r="A237" s="567"/>
      <c r="B237" s="651"/>
      <c r="C237" s="651"/>
      <c r="D237" s="651"/>
      <c r="E237" s="651"/>
      <c r="F237" s="651"/>
      <c r="G237" s="651"/>
      <c r="H237" s="651"/>
      <c r="I237" s="651"/>
      <c r="J237" s="651"/>
      <c r="K237" s="651"/>
      <c r="L237" s="651"/>
      <c r="M237" s="651"/>
      <c r="N237" s="651"/>
      <c r="O237" s="669"/>
    </row>
    <row r="238" spans="1:15" s="117" customFormat="1" x14ac:dyDescent="0.25">
      <c r="A238" s="567"/>
      <c r="B238" s="651"/>
      <c r="C238" s="651"/>
      <c r="D238" s="651"/>
      <c r="E238" s="651"/>
      <c r="F238" s="651"/>
      <c r="G238" s="651"/>
      <c r="H238" s="651"/>
      <c r="I238" s="651"/>
      <c r="J238" s="651"/>
      <c r="K238" s="651"/>
      <c r="L238" s="651"/>
      <c r="M238" s="651"/>
      <c r="N238" s="651"/>
      <c r="O238" s="669"/>
    </row>
    <row r="239" spans="1:15" s="117" customFormat="1" x14ac:dyDescent="0.25">
      <c r="A239" s="567"/>
      <c r="B239" s="651"/>
      <c r="C239" s="651"/>
      <c r="D239" s="651"/>
      <c r="E239" s="651"/>
      <c r="F239" s="651"/>
      <c r="G239" s="651"/>
      <c r="H239" s="651"/>
      <c r="I239" s="651"/>
      <c r="J239" s="651"/>
      <c r="K239" s="651"/>
      <c r="L239" s="651"/>
      <c r="M239" s="651"/>
      <c r="N239" s="651"/>
      <c r="O239" s="669"/>
    </row>
    <row r="240" spans="1:15" s="117" customFormat="1" x14ac:dyDescent="0.25">
      <c r="A240" s="567"/>
      <c r="B240" s="651"/>
      <c r="C240" s="651"/>
      <c r="D240" s="651"/>
      <c r="E240" s="651"/>
      <c r="F240" s="651"/>
      <c r="G240" s="651"/>
      <c r="H240" s="651"/>
      <c r="I240" s="651"/>
      <c r="J240" s="651"/>
      <c r="K240" s="651"/>
      <c r="L240" s="651"/>
      <c r="M240" s="651"/>
      <c r="N240" s="651"/>
      <c r="O240" s="669"/>
    </row>
    <row r="241" spans="1:15" s="117" customFormat="1" x14ac:dyDescent="0.25">
      <c r="A241" s="567"/>
      <c r="B241" s="651"/>
      <c r="C241" s="651"/>
      <c r="D241" s="651"/>
      <c r="E241" s="651"/>
      <c r="F241" s="651"/>
      <c r="G241" s="651"/>
      <c r="H241" s="651"/>
      <c r="I241" s="651"/>
      <c r="J241" s="651"/>
      <c r="K241" s="651"/>
      <c r="L241" s="651"/>
      <c r="M241" s="651"/>
      <c r="N241" s="651"/>
      <c r="O241" s="669"/>
    </row>
    <row r="242" spans="1:15" s="117" customFormat="1" x14ac:dyDescent="0.25">
      <c r="A242" s="567"/>
      <c r="B242" s="651"/>
      <c r="C242" s="651"/>
      <c r="D242" s="651"/>
      <c r="E242" s="651"/>
      <c r="F242" s="651"/>
      <c r="G242" s="651"/>
      <c r="H242" s="651"/>
      <c r="I242" s="651"/>
      <c r="J242" s="651"/>
      <c r="K242" s="651"/>
      <c r="L242" s="651"/>
      <c r="M242" s="651"/>
      <c r="N242" s="651"/>
      <c r="O242" s="669"/>
    </row>
    <row r="243" spans="1:15" s="117" customFormat="1" x14ac:dyDescent="0.25">
      <c r="A243" s="567"/>
      <c r="B243" s="651"/>
      <c r="C243" s="651"/>
      <c r="D243" s="651"/>
      <c r="E243" s="651"/>
      <c r="F243" s="651"/>
      <c r="G243" s="651"/>
      <c r="H243" s="651"/>
      <c r="I243" s="651"/>
      <c r="J243" s="651"/>
      <c r="K243" s="651"/>
      <c r="L243" s="651"/>
      <c r="M243" s="651"/>
      <c r="N243" s="651"/>
      <c r="O243" s="669"/>
    </row>
    <row r="244" spans="1:15" s="117" customFormat="1" x14ac:dyDescent="0.25">
      <c r="A244" s="567"/>
      <c r="B244" s="651"/>
      <c r="C244" s="651"/>
      <c r="D244" s="651"/>
      <c r="E244" s="651"/>
      <c r="F244" s="651"/>
      <c r="G244" s="651"/>
      <c r="H244" s="651"/>
      <c r="I244" s="651"/>
      <c r="J244" s="651"/>
      <c r="K244" s="651"/>
      <c r="L244" s="651"/>
      <c r="M244" s="651"/>
      <c r="N244" s="651"/>
      <c r="O244" s="669"/>
    </row>
    <row r="245" spans="1:15" s="117" customFormat="1" x14ac:dyDescent="0.25">
      <c r="A245" s="567"/>
      <c r="B245" s="651"/>
      <c r="C245" s="651"/>
      <c r="D245" s="651"/>
      <c r="E245" s="651"/>
      <c r="F245" s="651"/>
      <c r="G245" s="651"/>
      <c r="H245" s="651"/>
      <c r="I245" s="651"/>
      <c r="J245" s="651"/>
      <c r="K245" s="651"/>
      <c r="L245" s="651"/>
      <c r="M245" s="651"/>
      <c r="N245" s="651"/>
      <c r="O245" s="669"/>
    </row>
    <row r="246" spans="1:15" s="117" customFormat="1" x14ac:dyDescent="0.25">
      <c r="A246" s="567"/>
      <c r="B246" s="651"/>
      <c r="C246" s="651"/>
      <c r="D246" s="651"/>
      <c r="E246" s="651"/>
      <c r="F246" s="651"/>
      <c r="G246" s="651"/>
      <c r="H246" s="651"/>
      <c r="I246" s="651"/>
      <c r="J246" s="651"/>
      <c r="K246" s="651"/>
      <c r="L246" s="651"/>
      <c r="M246" s="651"/>
      <c r="N246" s="651"/>
      <c r="O246" s="669"/>
    </row>
    <row r="247" spans="1:15" s="117" customFormat="1" x14ac:dyDescent="0.25">
      <c r="A247" s="567"/>
      <c r="B247" s="651"/>
      <c r="C247" s="651"/>
      <c r="D247" s="651"/>
      <c r="E247" s="651"/>
      <c r="F247" s="651"/>
      <c r="G247" s="651"/>
      <c r="H247" s="651"/>
      <c r="I247" s="651"/>
      <c r="J247" s="651"/>
      <c r="K247" s="651"/>
      <c r="L247" s="651"/>
      <c r="M247" s="651"/>
      <c r="N247" s="651"/>
      <c r="O247" s="669"/>
    </row>
    <row r="248" spans="1:15" s="117" customFormat="1" x14ac:dyDescent="0.25">
      <c r="A248" s="567"/>
      <c r="B248" s="651"/>
      <c r="C248" s="651"/>
      <c r="D248" s="651"/>
      <c r="E248" s="651"/>
      <c r="F248" s="651"/>
      <c r="G248" s="651"/>
      <c r="H248" s="651"/>
      <c r="I248" s="651"/>
      <c r="J248" s="651"/>
      <c r="K248" s="651"/>
      <c r="L248" s="651"/>
      <c r="M248" s="651"/>
      <c r="N248" s="651"/>
      <c r="O248" s="669"/>
    </row>
    <row r="249" spans="1:15" s="117" customFormat="1" x14ac:dyDescent="0.25">
      <c r="A249" s="567"/>
      <c r="B249" s="651"/>
      <c r="C249" s="651"/>
      <c r="D249" s="651"/>
      <c r="E249" s="651"/>
      <c r="F249" s="651"/>
      <c r="G249" s="651"/>
      <c r="H249" s="651"/>
      <c r="I249" s="651"/>
      <c r="J249" s="651"/>
      <c r="K249" s="651"/>
      <c r="L249" s="651"/>
      <c r="M249" s="651"/>
      <c r="N249" s="651"/>
      <c r="O249" s="669"/>
    </row>
    <row r="250" spans="1:15" s="117" customFormat="1" x14ac:dyDescent="0.25">
      <c r="A250" s="567"/>
      <c r="B250" s="651"/>
      <c r="C250" s="651"/>
      <c r="D250" s="651"/>
      <c r="E250" s="651"/>
      <c r="F250" s="651"/>
      <c r="G250" s="651"/>
      <c r="H250" s="651"/>
      <c r="I250" s="651"/>
      <c r="J250" s="651"/>
      <c r="K250" s="651"/>
      <c r="L250" s="651"/>
      <c r="M250" s="651"/>
      <c r="N250" s="651"/>
      <c r="O250" s="669"/>
    </row>
    <row r="251" spans="1:15" s="117" customFormat="1" x14ac:dyDescent="0.25">
      <c r="A251" s="567"/>
      <c r="B251" s="651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69"/>
    </row>
    <row r="252" spans="1:15" s="117" customFormat="1" x14ac:dyDescent="0.25">
      <c r="A252" s="567"/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69"/>
    </row>
    <row r="253" spans="1:15" s="117" customFormat="1" x14ac:dyDescent="0.25">
      <c r="A253" s="567"/>
      <c r="B253" s="651"/>
      <c r="C253" s="651"/>
      <c r="D253" s="651"/>
      <c r="E253" s="651"/>
      <c r="F253" s="651"/>
      <c r="G253" s="651"/>
      <c r="H253" s="651"/>
      <c r="I253" s="651"/>
      <c r="J253" s="651"/>
      <c r="K253" s="651"/>
      <c r="L253" s="651"/>
      <c r="M253" s="651"/>
      <c r="N253" s="651"/>
      <c r="O253" s="669"/>
    </row>
    <row r="254" spans="1:15" s="117" customFormat="1" x14ac:dyDescent="0.25">
      <c r="A254" s="567"/>
      <c r="B254" s="651"/>
      <c r="C254" s="651"/>
      <c r="D254" s="651"/>
      <c r="E254" s="651"/>
      <c r="F254" s="651"/>
      <c r="G254" s="651"/>
      <c r="H254" s="651"/>
      <c r="I254" s="651"/>
      <c r="J254" s="651"/>
      <c r="K254" s="651"/>
      <c r="L254" s="651"/>
      <c r="M254" s="651"/>
      <c r="N254" s="651"/>
      <c r="O254" s="669"/>
    </row>
    <row r="255" spans="1:15" s="117" customFormat="1" x14ac:dyDescent="0.25">
      <c r="A255" s="567"/>
      <c r="B255" s="651"/>
      <c r="C255" s="651"/>
      <c r="D255" s="651"/>
      <c r="E255" s="651"/>
      <c r="F255" s="651"/>
      <c r="G255" s="651"/>
      <c r="H255" s="651"/>
      <c r="I255" s="651"/>
      <c r="J255" s="651"/>
      <c r="K255" s="651"/>
      <c r="L255" s="651"/>
      <c r="M255" s="651"/>
      <c r="N255" s="651"/>
      <c r="O255" s="669"/>
    </row>
    <row r="256" spans="1:15" s="117" customFormat="1" x14ac:dyDescent="0.25">
      <c r="A256" s="567"/>
      <c r="B256" s="651"/>
      <c r="C256" s="651"/>
      <c r="D256" s="651"/>
      <c r="E256" s="651"/>
      <c r="F256" s="651"/>
      <c r="G256" s="651"/>
      <c r="H256" s="651"/>
      <c r="I256" s="651"/>
      <c r="J256" s="651"/>
      <c r="K256" s="651"/>
      <c r="L256" s="651"/>
      <c r="M256" s="651"/>
      <c r="N256" s="651"/>
      <c r="O256" s="669"/>
    </row>
    <row r="257" spans="1:15" s="117" customFormat="1" x14ac:dyDescent="0.25">
      <c r="A257" s="567"/>
      <c r="B257" s="651"/>
      <c r="C257" s="651"/>
      <c r="D257" s="651"/>
      <c r="E257" s="651"/>
      <c r="F257" s="651"/>
      <c r="G257" s="651"/>
      <c r="H257" s="651"/>
      <c r="I257" s="651"/>
      <c r="J257" s="651"/>
      <c r="K257" s="651"/>
      <c r="L257" s="651"/>
      <c r="M257" s="651"/>
      <c r="N257" s="651"/>
      <c r="O257" s="669"/>
    </row>
    <row r="258" spans="1:15" s="117" customFormat="1" x14ac:dyDescent="0.25">
      <c r="A258" s="567"/>
      <c r="B258" s="651"/>
      <c r="C258" s="651"/>
      <c r="D258" s="651"/>
      <c r="E258" s="651"/>
      <c r="F258" s="651"/>
      <c r="G258" s="651"/>
      <c r="H258" s="651"/>
      <c r="I258" s="651"/>
      <c r="J258" s="651"/>
      <c r="K258" s="651"/>
      <c r="L258" s="651"/>
      <c r="M258" s="651"/>
      <c r="N258" s="651"/>
      <c r="O258" s="669"/>
    </row>
    <row r="259" spans="1:15" s="117" customFormat="1" x14ac:dyDescent="0.25">
      <c r="A259" s="567"/>
      <c r="B259" s="651"/>
      <c r="C259" s="651"/>
      <c r="D259" s="651"/>
      <c r="E259" s="651"/>
      <c r="F259" s="651"/>
      <c r="G259" s="651"/>
      <c r="H259" s="651"/>
      <c r="I259" s="651"/>
      <c r="J259" s="651"/>
      <c r="K259" s="651"/>
      <c r="L259" s="651"/>
      <c r="M259" s="651"/>
      <c r="N259" s="651"/>
      <c r="O259" s="669"/>
    </row>
    <row r="260" spans="1:15" s="117" customFormat="1" ht="15.75" thickBot="1" x14ac:dyDescent="0.3">
      <c r="A260" s="601"/>
      <c r="B260" s="602"/>
      <c r="C260" s="602"/>
      <c r="D260" s="602"/>
      <c r="E260" s="602"/>
      <c r="F260" s="602"/>
      <c r="G260" s="602"/>
      <c r="H260" s="602"/>
      <c r="I260" s="602"/>
      <c r="J260" s="602"/>
      <c r="K260" s="602"/>
      <c r="L260" s="602"/>
      <c r="M260" s="602"/>
      <c r="N260" s="602"/>
      <c r="O260" s="603"/>
    </row>
    <row r="261" spans="1:15" s="117" customFormat="1" ht="15.75" thickBot="1" x14ac:dyDescent="0.3">
      <c r="A261" s="120"/>
      <c r="B261" s="120"/>
      <c r="C261" s="120"/>
      <c r="D261" s="120"/>
      <c r="E261" s="120"/>
      <c r="F261" s="120"/>
      <c r="G261" s="120"/>
      <c r="H261" s="170"/>
      <c r="I261" s="170"/>
      <c r="J261" s="120"/>
      <c r="K261" s="120"/>
      <c r="L261" s="120"/>
      <c r="M261" s="120"/>
      <c r="N261" s="120"/>
      <c r="O261" s="120"/>
    </row>
    <row r="262" spans="1:15" s="117" customFormat="1" x14ac:dyDescent="0.25">
      <c r="A262" s="630"/>
      <c r="B262" s="631"/>
      <c r="C262" s="631"/>
      <c r="D262" s="631"/>
      <c r="E262" s="631"/>
      <c r="F262" s="631"/>
      <c r="G262" s="631"/>
      <c r="H262" s="631"/>
      <c r="I262" s="631"/>
      <c r="J262" s="631"/>
      <c r="K262" s="631"/>
      <c r="L262" s="631"/>
      <c r="M262" s="631"/>
      <c r="N262" s="631"/>
      <c r="O262" s="632"/>
    </row>
    <row r="263" spans="1:15" s="117" customFormat="1" x14ac:dyDescent="0.25">
      <c r="A263" s="710" t="s">
        <v>0</v>
      </c>
      <c r="B263" s="639" t="s">
        <v>47</v>
      </c>
      <c r="C263" s="640"/>
      <c r="D263" s="640"/>
      <c r="E263" s="640"/>
      <c r="F263" s="640"/>
      <c r="G263" s="640"/>
      <c r="H263" s="640"/>
      <c r="I263" s="640"/>
      <c r="J263" s="706" t="s">
        <v>2</v>
      </c>
      <c r="K263" s="642">
        <v>81</v>
      </c>
      <c r="L263" s="640"/>
      <c r="M263" s="706" t="s">
        <v>17</v>
      </c>
      <c r="N263" s="643">
        <f>EN_03003_m+EN_03003_p</f>
        <v>20.859922268656938</v>
      </c>
      <c r="O263" s="633"/>
    </row>
    <row r="264" spans="1:15" s="117" customFormat="1" x14ac:dyDescent="0.25">
      <c r="A264" s="710" t="s">
        <v>4</v>
      </c>
      <c r="B264" s="640" t="s">
        <v>289</v>
      </c>
      <c r="C264" s="640"/>
      <c r="D264" s="705" t="s">
        <v>7</v>
      </c>
      <c r="E264" s="640"/>
      <c r="F264" s="640"/>
      <c r="G264" s="640"/>
      <c r="H264" s="640"/>
      <c r="I264" s="640"/>
      <c r="J264" s="640"/>
      <c r="K264" s="640"/>
      <c r="L264" s="640"/>
      <c r="M264" s="706" t="s">
        <v>5</v>
      </c>
      <c r="N264" s="644">
        <v>1</v>
      </c>
      <c r="O264" s="633"/>
    </row>
    <row r="265" spans="1:15" s="117" customFormat="1" x14ac:dyDescent="0.25">
      <c r="A265" s="710" t="s">
        <v>6</v>
      </c>
      <c r="B265" s="685" t="s">
        <v>174</v>
      </c>
      <c r="C265" s="640"/>
      <c r="D265" s="705" t="s">
        <v>9</v>
      </c>
      <c r="E265" s="640"/>
      <c r="F265" s="640"/>
      <c r="G265" s="640"/>
      <c r="H265" s="640"/>
      <c r="I265" s="640"/>
      <c r="J265" s="705" t="s">
        <v>7</v>
      </c>
      <c r="K265" s="640"/>
      <c r="L265" s="640"/>
      <c r="M265" s="640"/>
      <c r="N265" s="641"/>
      <c r="O265" s="633"/>
    </row>
    <row r="266" spans="1:15" s="117" customFormat="1" x14ac:dyDescent="0.25">
      <c r="A266" s="710" t="s">
        <v>16</v>
      </c>
      <c r="B266" s="640" t="s">
        <v>178</v>
      </c>
      <c r="C266" s="640"/>
      <c r="D266" s="705" t="s">
        <v>13</v>
      </c>
      <c r="E266" s="640"/>
      <c r="F266" s="640"/>
      <c r="G266" s="640"/>
      <c r="H266" s="640"/>
      <c r="I266" s="640"/>
      <c r="J266" s="705" t="s">
        <v>9</v>
      </c>
      <c r="K266" s="640"/>
      <c r="L266" s="640"/>
      <c r="M266" s="706" t="s">
        <v>10</v>
      </c>
      <c r="N266" s="643">
        <f>N264*N263</f>
        <v>20.859922268656938</v>
      </c>
      <c r="O266" s="633"/>
    </row>
    <row r="267" spans="1:15" s="117" customFormat="1" x14ac:dyDescent="0.25">
      <c r="A267" s="710" t="s">
        <v>8</v>
      </c>
      <c r="B267" s="640" t="s">
        <v>314</v>
      </c>
      <c r="C267" s="640"/>
      <c r="D267" s="640"/>
      <c r="E267" s="640"/>
      <c r="F267" s="640"/>
      <c r="G267" s="640"/>
      <c r="H267" s="640"/>
      <c r="I267" s="640"/>
      <c r="J267" s="705" t="s">
        <v>13</v>
      </c>
      <c r="K267" s="640"/>
      <c r="L267" s="640"/>
      <c r="M267" s="640"/>
      <c r="N267" s="640"/>
      <c r="O267" s="633"/>
    </row>
    <row r="268" spans="1:15" s="117" customFormat="1" x14ac:dyDescent="0.25">
      <c r="A268" s="710" t="s">
        <v>11</v>
      </c>
      <c r="B268" s="640" t="s">
        <v>12</v>
      </c>
      <c r="C268" s="640"/>
      <c r="D268" s="640"/>
      <c r="E268" s="640"/>
      <c r="F268" s="640"/>
      <c r="G268" s="640"/>
      <c r="H268" s="640"/>
      <c r="I268" s="640"/>
      <c r="J268" s="640"/>
      <c r="K268" s="640"/>
      <c r="L268" s="640"/>
      <c r="M268" s="640"/>
      <c r="N268" s="640"/>
      <c r="O268" s="633"/>
    </row>
    <row r="269" spans="1:15" s="117" customFormat="1" x14ac:dyDescent="0.25">
      <c r="A269" s="710" t="s">
        <v>14</v>
      </c>
      <c r="B269" s="639" t="s">
        <v>300</v>
      </c>
      <c r="C269" s="640"/>
      <c r="D269" s="640"/>
      <c r="E269" s="640"/>
      <c r="F269" s="640"/>
      <c r="G269" s="640"/>
      <c r="H269" s="640"/>
      <c r="I269" s="640"/>
      <c r="J269" s="640"/>
      <c r="K269" s="640"/>
      <c r="L269" s="640"/>
      <c r="M269" s="640"/>
      <c r="N269" s="640"/>
      <c r="O269" s="633"/>
    </row>
    <row r="270" spans="1:15" s="117" customFormat="1" x14ac:dyDescent="0.25">
      <c r="A270" s="645"/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33"/>
    </row>
    <row r="271" spans="1:15" s="117" customFormat="1" x14ac:dyDescent="0.25">
      <c r="A271" s="704" t="s">
        <v>15</v>
      </c>
      <c r="B271" s="707" t="s">
        <v>20</v>
      </c>
      <c r="C271" s="707" t="s">
        <v>21</v>
      </c>
      <c r="D271" s="707" t="s">
        <v>22</v>
      </c>
      <c r="E271" s="707" t="s">
        <v>23</v>
      </c>
      <c r="F271" s="707" t="s">
        <v>24</v>
      </c>
      <c r="G271" s="707" t="s">
        <v>25</v>
      </c>
      <c r="H271" s="707" t="s">
        <v>26</v>
      </c>
      <c r="I271" s="707" t="s">
        <v>27</v>
      </c>
      <c r="J271" s="707" t="s">
        <v>28</v>
      </c>
      <c r="K271" s="707" t="s">
        <v>29</v>
      </c>
      <c r="L271" s="707" t="s">
        <v>30</v>
      </c>
      <c r="M271" s="707" t="s">
        <v>18</v>
      </c>
      <c r="N271" s="707" t="s">
        <v>19</v>
      </c>
      <c r="O271" s="633"/>
    </row>
    <row r="272" spans="1:15" s="117" customFormat="1" ht="30" x14ac:dyDescent="0.25">
      <c r="A272" s="635">
        <v>10</v>
      </c>
      <c r="B272" s="625" t="s">
        <v>301</v>
      </c>
      <c r="C272" s="617" t="s">
        <v>315</v>
      </c>
      <c r="D272" s="618">
        <v>2.25</v>
      </c>
      <c r="E272" s="619"/>
      <c r="F272" s="620"/>
      <c r="G272" s="619"/>
      <c r="H272" s="621"/>
      <c r="I272" s="622" t="s">
        <v>316</v>
      </c>
      <c r="J272" s="638">
        <v>4.523893421169302E-4</v>
      </c>
      <c r="K272" s="623">
        <v>0.41</v>
      </c>
      <c r="L272" s="989">
        <v>7850</v>
      </c>
      <c r="M272" s="636">
        <v>1</v>
      </c>
      <c r="N272" s="624">
        <v>3.3428066365039735</v>
      </c>
      <c r="O272" s="633"/>
    </row>
    <row r="273" spans="1:15" s="117" customFormat="1" x14ac:dyDescent="0.25">
      <c r="A273" s="637"/>
      <c r="B273" s="626"/>
      <c r="C273" s="626"/>
      <c r="D273" s="626"/>
      <c r="E273" s="626"/>
      <c r="F273" s="626"/>
      <c r="G273" s="626"/>
      <c r="H273" s="626"/>
      <c r="I273" s="626"/>
      <c r="J273" s="626"/>
      <c r="K273" s="626"/>
      <c r="L273" s="626"/>
      <c r="M273" s="708" t="s">
        <v>19</v>
      </c>
      <c r="N273" s="709">
        <v>3.3428066365039735</v>
      </c>
      <c r="O273" s="633"/>
    </row>
    <row r="274" spans="1:15" s="117" customFormat="1" x14ac:dyDescent="0.25">
      <c r="A274" s="646"/>
      <c r="B274" s="641"/>
      <c r="C274" s="641"/>
      <c r="D274" s="641"/>
      <c r="E274" s="641"/>
      <c r="F274" s="641"/>
      <c r="G274" s="641"/>
      <c r="H274" s="641"/>
      <c r="I274" s="641"/>
      <c r="J274" s="641"/>
      <c r="K274" s="641"/>
      <c r="L274" s="641"/>
      <c r="M274" s="641"/>
      <c r="N274" s="641"/>
      <c r="O274" s="633"/>
    </row>
    <row r="275" spans="1:15" s="117" customFormat="1" x14ac:dyDescent="0.25">
      <c r="A275" s="704" t="s">
        <v>15</v>
      </c>
      <c r="B275" s="707" t="s">
        <v>32</v>
      </c>
      <c r="C275" s="707" t="s">
        <v>21</v>
      </c>
      <c r="D275" s="707" t="s">
        <v>22</v>
      </c>
      <c r="E275" s="707" t="s">
        <v>33</v>
      </c>
      <c r="F275" s="707" t="s">
        <v>18</v>
      </c>
      <c r="G275" s="707" t="s">
        <v>34</v>
      </c>
      <c r="H275" s="707" t="s">
        <v>35</v>
      </c>
      <c r="I275" s="707" t="s">
        <v>19</v>
      </c>
      <c r="J275" s="626"/>
      <c r="K275" s="626"/>
      <c r="L275" s="626"/>
      <c r="M275" s="626"/>
      <c r="N275" s="626"/>
      <c r="O275" s="633"/>
    </row>
    <row r="276" spans="1:15" s="117" customFormat="1" ht="30" x14ac:dyDescent="0.25">
      <c r="A276" s="635">
        <v>10</v>
      </c>
      <c r="B276" s="629" t="s">
        <v>50</v>
      </c>
      <c r="C276" s="629" t="s">
        <v>317</v>
      </c>
      <c r="D276" s="618">
        <v>1.3</v>
      </c>
      <c r="E276" s="620" t="s">
        <v>36</v>
      </c>
      <c r="F276" s="619">
        <v>1</v>
      </c>
      <c r="G276" s="627"/>
      <c r="H276" s="627"/>
      <c r="I276" s="628">
        <v>1.3</v>
      </c>
      <c r="J276" s="641"/>
      <c r="K276" s="641"/>
      <c r="L276" s="641"/>
      <c r="M276" s="641"/>
      <c r="N276" s="641"/>
      <c r="O276" s="633"/>
    </row>
    <row r="277" spans="1:15" s="117" customFormat="1" x14ac:dyDescent="0.25">
      <c r="A277" s="635">
        <v>20</v>
      </c>
      <c r="B277" s="629" t="s">
        <v>241</v>
      </c>
      <c r="C277" s="629" t="s">
        <v>318</v>
      </c>
      <c r="D277" s="618">
        <v>0.04</v>
      </c>
      <c r="E277" s="620" t="s">
        <v>243</v>
      </c>
      <c r="F277" s="647">
        <v>80.142630267941357</v>
      </c>
      <c r="G277" s="648" t="s">
        <v>288</v>
      </c>
      <c r="H277" s="627">
        <v>3</v>
      </c>
      <c r="I277" s="628">
        <v>9.6171156321529629</v>
      </c>
      <c r="J277" s="641"/>
      <c r="K277" s="641"/>
      <c r="L277" s="641"/>
      <c r="M277" s="641"/>
      <c r="N277" s="641"/>
      <c r="O277" s="633"/>
    </row>
    <row r="278" spans="1:15" s="117" customFormat="1" ht="30" x14ac:dyDescent="0.25">
      <c r="A278" s="635">
        <v>30</v>
      </c>
      <c r="B278" s="629" t="s">
        <v>50</v>
      </c>
      <c r="C278" s="629" t="s">
        <v>319</v>
      </c>
      <c r="D278" s="618">
        <v>1.3</v>
      </c>
      <c r="E278" s="620" t="s">
        <v>36</v>
      </c>
      <c r="F278" s="619">
        <v>1</v>
      </c>
      <c r="G278" s="627"/>
      <c r="H278" s="627"/>
      <c r="I278" s="628">
        <v>1.3</v>
      </c>
      <c r="J278" s="641"/>
      <c r="K278" s="641"/>
      <c r="L278" s="641"/>
      <c r="M278" s="641"/>
      <c r="N278" s="641"/>
      <c r="O278" s="633"/>
    </row>
    <row r="279" spans="1:15" s="117" customFormat="1" x14ac:dyDescent="0.25">
      <c r="A279" s="635">
        <v>40</v>
      </c>
      <c r="B279" s="629" t="s">
        <v>253</v>
      </c>
      <c r="C279" s="629" t="s">
        <v>320</v>
      </c>
      <c r="D279" s="618">
        <v>0.5</v>
      </c>
      <c r="E279" s="620" t="s">
        <v>53</v>
      </c>
      <c r="F279" s="619">
        <v>10.6</v>
      </c>
      <c r="G279" s="627"/>
      <c r="H279" s="627"/>
      <c r="I279" s="628">
        <v>5.3</v>
      </c>
      <c r="J279" s="641"/>
      <c r="K279" s="641"/>
      <c r="L279" s="641"/>
      <c r="M279" s="641"/>
      <c r="N279" s="641"/>
      <c r="O279" s="633"/>
    </row>
    <row r="280" spans="1:15" s="117" customFormat="1" x14ac:dyDescent="0.25">
      <c r="A280" s="637"/>
      <c r="B280" s="626"/>
      <c r="C280" s="626"/>
      <c r="D280" s="626"/>
      <c r="E280" s="626"/>
      <c r="F280" s="626"/>
      <c r="G280" s="626"/>
      <c r="H280" s="708" t="s">
        <v>19</v>
      </c>
      <c r="I280" s="709">
        <v>17.517115632152965</v>
      </c>
      <c r="J280" s="626"/>
      <c r="K280" s="626"/>
      <c r="L280" s="626"/>
      <c r="M280" s="626"/>
      <c r="N280" s="626"/>
      <c r="O280" s="633"/>
    </row>
    <row r="281" spans="1:15" s="117" customFormat="1" x14ac:dyDescent="0.25">
      <c r="A281" s="567"/>
      <c r="B281" s="651"/>
      <c r="C281" s="651"/>
      <c r="D281" s="651"/>
      <c r="E281" s="651"/>
      <c r="F281" s="651"/>
      <c r="G281" s="651"/>
      <c r="H281" s="651"/>
      <c r="I281" s="651"/>
      <c r="J281" s="651"/>
      <c r="K281" s="651"/>
      <c r="L281" s="651"/>
      <c r="M281" s="651"/>
      <c r="N281" s="651"/>
      <c r="O281" s="669"/>
    </row>
    <row r="282" spans="1:15" s="117" customFormat="1" x14ac:dyDescent="0.25">
      <c r="A282" s="567"/>
      <c r="B282" s="651"/>
      <c r="C282" s="651"/>
      <c r="D282" s="651"/>
      <c r="E282" s="651"/>
      <c r="F282" s="651"/>
      <c r="G282" s="651"/>
      <c r="H282" s="651"/>
      <c r="I282" s="651"/>
      <c r="J282" s="651"/>
      <c r="K282" s="651"/>
      <c r="L282" s="651"/>
      <c r="M282" s="651"/>
      <c r="N282" s="651"/>
      <c r="O282" s="669"/>
    </row>
    <row r="283" spans="1:15" s="117" customFormat="1" x14ac:dyDescent="0.25">
      <c r="A283" s="567"/>
      <c r="B283" s="651"/>
      <c r="C283" s="651"/>
      <c r="D283" s="651"/>
      <c r="E283" s="651"/>
      <c r="F283" s="651"/>
      <c r="G283" s="651"/>
      <c r="H283" s="651"/>
      <c r="I283" s="651"/>
      <c r="J283" s="651"/>
      <c r="K283" s="651"/>
      <c r="L283" s="651"/>
      <c r="M283" s="651"/>
      <c r="N283" s="651"/>
      <c r="O283" s="669"/>
    </row>
    <row r="284" spans="1:15" s="117" customFormat="1" x14ac:dyDescent="0.25">
      <c r="A284" s="567"/>
      <c r="B284" s="651"/>
      <c r="C284" s="651"/>
      <c r="D284" s="651"/>
      <c r="E284" s="651"/>
      <c r="F284" s="651"/>
      <c r="G284" s="651"/>
      <c r="H284" s="651"/>
      <c r="I284" s="651"/>
      <c r="J284" s="651"/>
      <c r="K284" s="651"/>
      <c r="L284" s="651"/>
      <c r="M284" s="651"/>
      <c r="N284" s="651"/>
      <c r="O284" s="669"/>
    </row>
    <row r="285" spans="1:15" s="117" customFormat="1" x14ac:dyDescent="0.25">
      <c r="A285" s="567"/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69"/>
    </row>
    <row r="286" spans="1:15" s="117" customFormat="1" x14ac:dyDescent="0.25">
      <c r="A286" s="567"/>
      <c r="B286" s="651"/>
      <c r="C286" s="651"/>
      <c r="D286" s="651"/>
      <c r="E286" s="651"/>
      <c r="F286" s="651"/>
      <c r="G286" s="651"/>
      <c r="H286" s="651"/>
      <c r="I286" s="651"/>
      <c r="J286" s="651"/>
      <c r="K286" s="651"/>
      <c r="L286" s="651"/>
      <c r="M286" s="651"/>
      <c r="N286" s="651"/>
      <c r="O286" s="669"/>
    </row>
    <row r="287" spans="1:15" s="117" customFormat="1" x14ac:dyDescent="0.25">
      <c r="A287" s="567"/>
      <c r="B287" s="651"/>
      <c r="C287" s="651"/>
      <c r="D287" s="651"/>
      <c r="E287" s="651"/>
      <c r="F287" s="651"/>
      <c r="G287" s="651"/>
      <c r="H287" s="651"/>
      <c r="I287" s="651"/>
      <c r="J287" s="651"/>
      <c r="K287" s="651"/>
      <c r="L287" s="651"/>
      <c r="M287" s="651"/>
      <c r="N287" s="651"/>
      <c r="O287" s="669"/>
    </row>
    <row r="288" spans="1:15" s="117" customFormat="1" x14ac:dyDescent="0.25">
      <c r="A288" s="567"/>
      <c r="B288" s="651"/>
      <c r="C288" s="651"/>
      <c r="D288" s="651"/>
      <c r="E288" s="651"/>
      <c r="F288" s="651"/>
      <c r="G288" s="651"/>
      <c r="H288" s="651"/>
      <c r="I288" s="651"/>
      <c r="J288" s="651"/>
      <c r="K288" s="651"/>
      <c r="L288" s="651"/>
      <c r="M288" s="651"/>
      <c r="N288" s="651"/>
      <c r="O288" s="669"/>
    </row>
    <row r="289" spans="1:15" s="117" customFormat="1" ht="14.25" customHeight="1" x14ac:dyDescent="0.25">
      <c r="A289" s="567"/>
      <c r="B289" s="651"/>
      <c r="C289" s="651"/>
      <c r="D289" s="651"/>
      <c r="E289" s="651"/>
      <c r="F289" s="651"/>
      <c r="G289" s="651"/>
      <c r="H289" s="651"/>
      <c r="I289" s="651"/>
      <c r="J289" s="651"/>
      <c r="K289" s="651"/>
      <c r="L289" s="651"/>
      <c r="M289" s="651"/>
      <c r="N289" s="651"/>
      <c r="O289" s="669"/>
    </row>
    <row r="290" spans="1:15" s="117" customFormat="1" x14ac:dyDescent="0.25">
      <c r="A290" s="567"/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69"/>
    </row>
    <row r="291" spans="1:15" s="117" customFormat="1" x14ac:dyDescent="0.25">
      <c r="A291" s="567"/>
      <c r="B291" s="651"/>
      <c r="C291" s="651"/>
      <c r="D291" s="651"/>
      <c r="E291" s="651"/>
      <c r="F291" s="651"/>
      <c r="G291" s="651"/>
      <c r="H291" s="651"/>
      <c r="I291" s="651"/>
      <c r="J291" s="651"/>
      <c r="K291" s="651"/>
      <c r="L291" s="651"/>
      <c r="M291" s="651"/>
      <c r="N291" s="651"/>
      <c r="O291" s="669"/>
    </row>
    <row r="292" spans="1:15" s="117" customFormat="1" x14ac:dyDescent="0.25">
      <c r="A292" s="567"/>
      <c r="B292" s="651"/>
      <c r="C292" s="651"/>
      <c r="D292" s="651"/>
      <c r="E292" s="651"/>
      <c r="F292" s="651"/>
      <c r="G292" s="651"/>
      <c r="H292" s="651"/>
      <c r="I292" s="651"/>
      <c r="J292" s="651"/>
      <c r="K292" s="651"/>
      <c r="L292" s="651"/>
      <c r="M292" s="651"/>
      <c r="N292" s="651"/>
      <c r="O292" s="669"/>
    </row>
    <row r="293" spans="1:15" s="117" customFormat="1" x14ac:dyDescent="0.25">
      <c r="A293" s="567"/>
      <c r="B293" s="651"/>
      <c r="C293" s="651"/>
      <c r="D293" s="651"/>
      <c r="E293" s="651"/>
      <c r="F293" s="651"/>
      <c r="G293" s="651"/>
      <c r="H293" s="651"/>
      <c r="I293" s="651"/>
      <c r="J293" s="651"/>
      <c r="K293" s="651"/>
      <c r="L293" s="651"/>
      <c r="M293" s="651"/>
      <c r="N293" s="651"/>
      <c r="O293" s="669"/>
    </row>
    <row r="294" spans="1:15" s="117" customFormat="1" x14ac:dyDescent="0.25">
      <c r="A294" s="567"/>
      <c r="B294" s="651"/>
      <c r="C294" s="651"/>
      <c r="D294" s="651"/>
      <c r="E294" s="651"/>
      <c r="F294" s="651"/>
      <c r="G294" s="651"/>
      <c r="H294" s="651"/>
      <c r="I294" s="651"/>
      <c r="J294" s="651"/>
      <c r="K294" s="651"/>
      <c r="L294" s="651"/>
      <c r="M294" s="651"/>
      <c r="N294" s="651"/>
      <c r="O294" s="669"/>
    </row>
    <row r="295" spans="1:15" s="117" customFormat="1" x14ac:dyDescent="0.25">
      <c r="A295" s="567"/>
      <c r="B295" s="651"/>
      <c r="C295" s="651"/>
      <c r="D295" s="651"/>
      <c r="E295" s="651"/>
      <c r="F295" s="651"/>
      <c r="G295" s="651"/>
      <c r="H295" s="651"/>
      <c r="I295" s="651"/>
      <c r="J295" s="651"/>
      <c r="K295" s="651"/>
      <c r="L295" s="651"/>
      <c r="M295" s="651"/>
      <c r="N295" s="651"/>
      <c r="O295" s="669"/>
    </row>
    <row r="296" spans="1:15" s="117" customFormat="1" x14ac:dyDescent="0.25">
      <c r="A296" s="567"/>
      <c r="B296" s="651"/>
      <c r="C296" s="651"/>
      <c r="D296" s="651"/>
      <c r="E296" s="651"/>
      <c r="F296" s="651"/>
      <c r="G296" s="651"/>
      <c r="H296" s="651"/>
      <c r="I296" s="651"/>
      <c r="J296" s="651"/>
      <c r="K296" s="651"/>
      <c r="L296" s="651"/>
      <c r="M296" s="651"/>
      <c r="N296" s="651"/>
      <c r="O296" s="669"/>
    </row>
    <row r="297" spans="1:15" s="117" customFormat="1" x14ac:dyDescent="0.25">
      <c r="A297" s="567"/>
      <c r="B297" s="651"/>
      <c r="C297" s="651"/>
      <c r="D297" s="651"/>
      <c r="E297" s="651"/>
      <c r="F297" s="651"/>
      <c r="G297" s="651"/>
      <c r="H297" s="651"/>
      <c r="I297" s="651"/>
      <c r="J297" s="651"/>
      <c r="K297" s="651"/>
      <c r="L297" s="651"/>
      <c r="M297" s="651"/>
      <c r="N297" s="651"/>
      <c r="O297" s="669"/>
    </row>
    <row r="298" spans="1:15" s="117" customFormat="1" x14ac:dyDescent="0.25">
      <c r="A298" s="567"/>
      <c r="B298" s="651"/>
      <c r="C298" s="651"/>
      <c r="D298" s="651"/>
      <c r="E298" s="651"/>
      <c r="F298" s="651"/>
      <c r="G298" s="651"/>
      <c r="H298" s="651"/>
      <c r="I298" s="651"/>
      <c r="J298" s="651"/>
      <c r="K298" s="651"/>
      <c r="L298" s="651"/>
      <c r="M298" s="651"/>
      <c r="N298" s="651"/>
      <c r="O298" s="669"/>
    </row>
    <row r="299" spans="1:15" s="117" customFormat="1" x14ac:dyDescent="0.25">
      <c r="A299" s="567"/>
      <c r="B299" s="651"/>
      <c r="C299" s="651"/>
      <c r="D299" s="651"/>
      <c r="E299" s="651"/>
      <c r="F299" s="651"/>
      <c r="G299" s="651"/>
      <c r="H299" s="651"/>
      <c r="I299" s="651"/>
      <c r="J299" s="651"/>
      <c r="K299" s="651"/>
      <c r="L299" s="651"/>
      <c r="M299" s="651"/>
      <c r="N299" s="651"/>
      <c r="O299" s="669"/>
    </row>
    <row r="300" spans="1:15" s="117" customFormat="1" ht="15.75" thickBot="1" x14ac:dyDescent="0.3">
      <c r="A300" s="649"/>
      <c r="B300" s="650"/>
      <c r="C300" s="650"/>
      <c r="D300" s="650"/>
      <c r="E300" s="650"/>
      <c r="F300" s="650"/>
      <c r="G300" s="650"/>
      <c r="H300" s="650"/>
      <c r="I300" s="650"/>
      <c r="J300" s="650"/>
      <c r="K300" s="650"/>
      <c r="L300" s="650"/>
      <c r="M300" s="650"/>
      <c r="N300" s="650"/>
      <c r="O300" s="634"/>
    </row>
    <row r="301" spans="1:15" s="117" customFormat="1" ht="15.75" thickBot="1" x14ac:dyDescent="0.3">
      <c r="A301" s="120"/>
      <c r="B301" s="120"/>
      <c r="C301" s="120"/>
      <c r="D301" s="120"/>
      <c r="E301" s="120"/>
      <c r="F301" s="120"/>
      <c r="G301" s="120"/>
      <c r="H301" s="170"/>
      <c r="I301" s="170"/>
      <c r="J301" s="120"/>
      <c r="K301" s="120"/>
      <c r="L301" s="120"/>
      <c r="M301" s="120"/>
      <c r="N301" s="120"/>
      <c r="O301" s="120"/>
    </row>
    <row r="302" spans="1:15" s="117" customFormat="1" x14ac:dyDescent="0.25">
      <c r="A302" s="666"/>
      <c r="B302" s="667"/>
      <c r="C302" s="667"/>
      <c r="D302" s="667"/>
      <c r="E302" s="667"/>
      <c r="F302" s="667"/>
      <c r="G302" s="667"/>
      <c r="H302" s="667"/>
      <c r="I302" s="667"/>
      <c r="J302" s="667"/>
      <c r="K302" s="667"/>
      <c r="L302" s="667"/>
      <c r="M302" s="667"/>
      <c r="N302" s="667"/>
      <c r="O302" s="668"/>
    </row>
    <row r="303" spans="1:15" s="117" customFormat="1" x14ac:dyDescent="0.25">
      <c r="A303" s="710" t="s">
        <v>0</v>
      </c>
      <c r="B303" s="679" t="s">
        <v>47</v>
      </c>
      <c r="C303" s="680"/>
      <c r="D303" s="680"/>
      <c r="E303" s="680"/>
      <c r="F303" s="680"/>
      <c r="G303" s="680"/>
      <c r="H303" s="680"/>
      <c r="I303" s="680"/>
      <c r="J303" s="706" t="s">
        <v>2</v>
      </c>
      <c r="K303" s="682">
        <v>81</v>
      </c>
      <c r="L303" s="680"/>
      <c r="M303" s="706" t="s">
        <v>17</v>
      </c>
      <c r="N303" s="683">
        <f>EN_03004_m+EN_03004_p</f>
        <v>20.70288272879527</v>
      </c>
      <c r="O303" s="669"/>
    </row>
    <row r="304" spans="1:15" s="117" customFormat="1" x14ac:dyDescent="0.25">
      <c r="A304" s="710" t="s">
        <v>4</v>
      </c>
      <c r="B304" s="680" t="s">
        <v>289</v>
      </c>
      <c r="C304" s="680"/>
      <c r="D304" s="705" t="s">
        <v>7</v>
      </c>
      <c r="E304" s="680"/>
      <c r="F304" s="680"/>
      <c r="G304" s="680"/>
      <c r="H304" s="680"/>
      <c r="I304" s="680"/>
      <c r="J304" s="680"/>
      <c r="K304" s="680"/>
      <c r="L304" s="680"/>
      <c r="M304" s="706" t="s">
        <v>5</v>
      </c>
      <c r="N304" s="684">
        <v>1</v>
      </c>
      <c r="O304" s="669"/>
    </row>
    <row r="305" spans="1:15" s="117" customFormat="1" x14ac:dyDescent="0.25">
      <c r="A305" s="710" t="s">
        <v>6</v>
      </c>
      <c r="B305" s="685" t="s">
        <v>174</v>
      </c>
      <c r="C305" s="680"/>
      <c r="D305" s="705" t="s">
        <v>9</v>
      </c>
      <c r="E305" s="680"/>
      <c r="F305" s="680"/>
      <c r="G305" s="680"/>
      <c r="H305" s="680"/>
      <c r="I305" s="680"/>
      <c r="J305" s="705" t="s">
        <v>7</v>
      </c>
      <c r="K305" s="680"/>
      <c r="L305" s="680"/>
      <c r="M305" s="680"/>
      <c r="N305" s="681"/>
      <c r="O305" s="669"/>
    </row>
    <row r="306" spans="1:15" s="117" customFormat="1" x14ac:dyDescent="0.25">
      <c r="A306" s="710" t="s">
        <v>16</v>
      </c>
      <c r="B306" s="680" t="s">
        <v>179</v>
      </c>
      <c r="C306" s="680"/>
      <c r="D306" s="705" t="s">
        <v>13</v>
      </c>
      <c r="E306" s="680"/>
      <c r="F306" s="680"/>
      <c r="G306" s="680"/>
      <c r="H306" s="680"/>
      <c r="I306" s="680"/>
      <c r="J306" s="705" t="s">
        <v>9</v>
      </c>
      <c r="K306" s="680"/>
      <c r="L306" s="680"/>
      <c r="M306" s="706" t="s">
        <v>10</v>
      </c>
      <c r="N306" s="683">
        <f>N303*N304</f>
        <v>20.70288272879527</v>
      </c>
      <c r="O306" s="669"/>
    </row>
    <row r="307" spans="1:15" s="117" customFormat="1" x14ac:dyDescent="0.25">
      <c r="A307" s="710" t="s">
        <v>8</v>
      </c>
      <c r="B307" s="680" t="s">
        <v>321</v>
      </c>
      <c r="C307" s="680"/>
      <c r="D307" s="680"/>
      <c r="E307" s="680"/>
      <c r="F307" s="680"/>
      <c r="G307" s="680"/>
      <c r="H307" s="680"/>
      <c r="I307" s="680"/>
      <c r="J307" s="705" t="s">
        <v>13</v>
      </c>
      <c r="K307" s="680"/>
      <c r="L307" s="680"/>
      <c r="M307" s="680"/>
      <c r="N307" s="680"/>
      <c r="O307" s="669"/>
    </row>
    <row r="308" spans="1:15" s="117" customFormat="1" x14ac:dyDescent="0.25">
      <c r="A308" s="710" t="s">
        <v>11</v>
      </c>
      <c r="B308" s="680" t="s">
        <v>12</v>
      </c>
      <c r="C308" s="680"/>
      <c r="D308" s="680"/>
      <c r="E308" s="680"/>
      <c r="F308" s="680"/>
      <c r="G308" s="680"/>
      <c r="H308" s="680"/>
      <c r="I308" s="680"/>
      <c r="J308" s="680"/>
      <c r="K308" s="680"/>
      <c r="L308" s="680"/>
      <c r="M308" s="680"/>
      <c r="N308" s="680"/>
      <c r="O308" s="669"/>
    </row>
    <row r="309" spans="1:15" s="117" customFormat="1" x14ac:dyDescent="0.25">
      <c r="A309" s="710" t="s">
        <v>14</v>
      </c>
      <c r="B309" s="679" t="s">
        <v>300</v>
      </c>
      <c r="C309" s="680"/>
      <c r="D309" s="680"/>
      <c r="E309" s="680"/>
      <c r="F309" s="680"/>
      <c r="G309" s="680"/>
      <c r="H309" s="680"/>
      <c r="I309" s="680"/>
      <c r="J309" s="680"/>
      <c r="K309" s="680"/>
      <c r="L309" s="680"/>
      <c r="M309" s="680"/>
      <c r="N309" s="680"/>
      <c r="O309" s="669"/>
    </row>
    <row r="310" spans="1:15" s="117" customFormat="1" x14ac:dyDescent="0.25">
      <c r="A310" s="686"/>
      <c r="B310" s="681"/>
      <c r="C310" s="681"/>
      <c r="D310" s="681"/>
      <c r="E310" s="681"/>
      <c r="F310" s="681"/>
      <c r="G310" s="681"/>
      <c r="H310" s="681"/>
      <c r="I310" s="681"/>
      <c r="J310" s="681"/>
      <c r="K310" s="681"/>
      <c r="L310" s="681"/>
      <c r="M310" s="681"/>
      <c r="N310" s="681"/>
      <c r="O310" s="669"/>
    </row>
    <row r="311" spans="1:15" s="117" customFormat="1" x14ac:dyDescent="0.25">
      <c r="A311" s="704" t="s">
        <v>15</v>
      </c>
      <c r="B311" s="707" t="s">
        <v>20</v>
      </c>
      <c r="C311" s="707" t="s">
        <v>21</v>
      </c>
      <c r="D311" s="707" t="s">
        <v>22</v>
      </c>
      <c r="E311" s="707" t="s">
        <v>23</v>
      </c>
      <c r="F311" s="707" t="s">
        <v>24</v>
      </c>
      <c r="G311" s="707" t="s">
        <v>25</v>
      </c>
      <c r="H311" s="707" t="s">
        <v>26</v>
      </c>
      <c r="I311" s="707" t="s">
        <v>27</v>
      </c>
      <c r="J311" s="707" t="s">
        <v>28</v>
      </c>
      <c r="K311" s="707" t="s">
        <v>29</v>
      </c>
      <c r="L311" s="707" t="s">
        <v>30</v>
      </c>
      <c r="M311" s="707" t="s">
        <v>18</v>
      </c>
      <c r="N311" s="707" t="s">
        <v>19</v>
      </c>
      <c r="O311" s="669"/>
    </row>
    <row r="312" spans="1:15" s="117" customFormat="1" ht="30" x14ac:dyDescent="0.25">
      <c r="A312" s="674">
        <v>10</v>
      </c>
      <c r="B312" s="661" t="s">
        <v>301</v>
      </c>
      <c r="C312" s="653" t="s">
        <v>315</v>
      </c>
      <c r="D312" s="654">
        <v>2.25</v>
      </c>
      <c r="E312" s="655"/>
      <c r="F312" s="656"/>
      <c r="G312" s="655"/>
      <c r="H312" s="657"/>
      <c r="I312" s="658" t="s">
        <v>316</v>
      </c>
      <c r="J312" s="678">
        <v>4.523893421169302E-4</v>
      </c>
      <c r="K312" s="659">
        <v>0.40500000000000003</v>
      </c>
      <c r="L312" s="989">
        <v>7850</v>
      </c>
      <c r="M312" s="676">
        <v>1</v>
      </c>
      <c r="N312" s="660">
        <v>3.3020407019124618</v>
      </c>
      <c r="O312" s="669"/>
    </row>
    <row r="313" spans="1:15" s="117" customFormat="1" x14ac:dyDescent="0.25">
      <c r="A313" s="677"/>
      <c r="B313" s="662"/>
      <c r="C313" s="662"/>
      <c r="D313" s="662"/>
      <c r="E313" s="662"/>
      <c r="F313" s="662"/>
      <c r="G313" s="662"/>
      <c r="H313" s="662"/>
      <c r="I313" s="662"/>
      <c r="J313" s="662"/>
      <c r="K313" s="662"/>
      <c r="L313" s="662"/>
      <c r="M313" s="708" t="s">
        <v>19</v>
      </c>
      <c r="N313" s="709">
        <v>3.3020407019124618</v>
      </c>
      <c r="O313" s="669"/>
    </row>
    <row r="314" spans="1:15" s="117" customFormat="1" x14ac:dyDescent="0.25">
      <c r="A314" s="687"/>
      <c r="B314" s="681"/>
      <c r="C314" s="681"/>
      <c r="D314" s="681"/>
      <c r="E314" s="681"/>
      <c r="F314" s="681"/>
      <c r="G314" s="681"/>
      <c r="H314" s="681"/>
      <c r="I314" s="681"/>
      <c r="J314" s="681"/>
      <c r="K314" s="681"/>
      <c r="L314" s="681"/>
      <c r="M314" s="681"/>
      <c r="N314" s="681"/>
      <c r="O314" s="669"/>
    </row>
    <row r="315" spans="1:15" s="117" customFormat="1" x14ac:dyDescent="0.25">
      <c r="A315" s="704" t="s">
        <v>15</v>
      </c>
      <c r="B315" s="707" t="s">
        <v>32</v>
      </c>
      <c r="C315" s="707" t="s">
        <v>21</v>
      </c>
      <c r="D315" s="707" t="s">
        <v>22</v>
      </c>
      <c r="E315" s="707" t="s">
        <v>33</v>
      </c>
      <c r="F315" s="707" t="s">
        <v>18</v>
      </c>
      <c r="G315" s="707" t="s">
        <v>34</v>
      </c>
      <c r="H315" s="707" t="s">
        <v>35</v>
      </c>
      <c r="I315" s="707" t="s">
        <v>19</v>
      </c>
      <c r="J315" s="662"/>
      <c r="K315" s="662"/>
      <c r="L315" s="662"/>
      <c r="M315" s="662"/>
      <c r="N315" s="662"/>
      <c r="O315" s="669"/>
    </row>
    <row r="316" spans="1:15" s="117" customFormat="1" ht="30" x14ac:dyDescent="0.25">
      <c r="A316" s="674">
        <v>10</v>
      </c>
      <c r="B316" s="665" t="s">
        <v>50</v>
      </c>
      <c r="C316" s="665" t="s">
        <v>317</v>
      </c>
      <c r="D316" s="654">
        <v>1.3</v>
      </c>
      <c r="E316" s="656" t="s">
        <v>36</v>
      </c>
      <c r="F316" s="655">
        <v>1</v>
      </c>
      <c r="G316" s="663"/>
      <c r="H316" s="663"/>
      <c r="I316" s="664">
        <v>1.3</v>
      </c>
      <c r="J316" s="681"/>
      <c r="K316" s="681"/>
      <c r="L316" s="681"/>
      <c r="M316" s="681"/>
      <c r="N316" s="681"/>
      <c r="O316" s="669"/>
    </row>
    <row r="317" spans="1:15" s="117" customFormat="1" x14ac:dyDescent="0.25">
      <c r="A317" s="674">
        <v>20</v>
      </c>
      <c r="B317" s="665" t="s">
        <v>241</v>
      </c>
      <c r="C317" s="665" t="s">
        <v>318</v>
      </c>
      <c r="D317" s="654">
        <v>0.04</v>
      </c>
      <c r="E317" s="663" t="s">
        <v>243</v>
      </c>
      <c r="F317" s="689">
        <v>79.173683557356739</v>
      </c>
      <c r="G317" s="688" t="s">
        <v>288</v>
      </c>
      <c r="H317" s="663">
        <v>3</v>
      </c>
      <c r="I317" s="664">
        <v>9.5008420268828075</v>
      </c>
      <c r="J317" s="681"/>
      <c r="K317" s="681"/>
      <c r="L317" s="681"/>
      <c r="M317" s="681"/>
      <c r="N317" s="681"/>
      <c r="O317" s="670"/>
    </row>
    <row r="318" spans="1:15" s="117" customFormat="1" ht="30" x14ac:dyDescent="0.25">
      <c r="A318" s="674">
        <v>30</v>
      </c>
      <c r="B318" s="665" t="s">
        <v>50</v>
      </c>
      <c r="C318" s="665" t="s">
        <v>319</v>
      </c>
      <c r="D318" s="654">
        <v>1.3</v>
      </c>
      <c r="E318" s="656" t="s">
        <v>36</v>
      </c>
      <c r="F318" s="655">
        <v>1</v>
      </c>
      <c r="G318" s="663"/>
      <c r="H318" s="663"/>
      <c r="I318" s="664">
        <v>1.3</v>
      </c>
      <c r="J318" s="681"/>
      <c r="K318" s="681"/>
      <c r="L318" s="681"/>
      <c r="M318" s="681"/>
      <c r="N318" s="681"/>
      <c r="O318" s="669"/>
    </row>
    <row r="319" spans="1:15" s="117" customFormat="1" x14ac:dyDescent="0.25">
      <c r="A319" s="674">
        <v>40</v>
      </c>
      <c r="B319" s="665" t="s">
        <v>253</v>
      </c>
      <c r="C319" s="665" t="s">
        <v>320</v>
      </c>
      <c r="D319" s="654">
        <v>0.5</v>
      </c>
      <c r="E319" s="656" t="s">
        <v>53</v>
      </c>
      <c r="F319" s="655">
        <v>10.6</v>
      </c>
      <c r="G319" s="663"/>
      <c r="H319" s="663"/>
      <c r="I319" s="664">
        <v>5.3</v>
      </c>
      <c r="J319" s="681"/>
      <c r="K319" s="681"/>
      <c r="L319" s="681"/>
      <c r="M319" s="681"/>
      <c r="N319" s="681"/>
      <c r="O319" s="669"/>
    </row>
    <row r="320" spans="1:15" s="117" customFormat="1" x14ac:dyDescent="0.25">
      <c r="A320" s="677"/>
      <c r="B320" s="662"/>
      <c r="C320" s="662"/>
      <c r="D320" s="662"/>
      <c r="E320" s="662"/>
      <c r="F320" s="662"/>
      <c r="G320" s="662"/>
      <c r="H320" s="708" t="s">
        <v>19</v>
      </c>
      <c r="I320" s="709">
        <v>17.40084202688281</v>
      </c>
      <c r="J320" s="662"/>
      <c r="K320" s="662"/>
      <c r="L320" s="662"/>
      <c r="M320" s="662"/>
      <c r="N320" s="662"/>
      <c r="O320" s="669"/>
    </row>
    <row r="321" spans="1:15" s="117" customFormat="1" x14ac:dyDescent="0.25">
      <c r="A321" s="567"/>
      <c r="B321" s="651"/>
      <c r="C321" s="651"/>
      <c r="D321" s="651"/>
      <c r="E321" s="651"/>
      <c r="F321" s="651"/>
      <c r="G321" s="651"/>
      <c r="H321" s="651"/>
      <c r="I321" s="651"/>
      <c r="J321" s="651"/>
      <c r="K321" s="651"/>
      <c r="L321" s="651"/>
      <c r="M321" s="651"/>
      <c r="N321" s="651"/>
      <c r="O321" s="669"/>
    </row>
    <row r="322" spans="1:15" s="117" customFormat="1" x14ac:dyDescent="0.25">
      <c r="A322" s="567"/>
      <c r="B322" s="651"/>
      <c r="C322" s="651"/>
      <c r="D322" s="651"/>
      <c r="E322" s="651"/>
      <c r="F322" s="651"/>
      <c r="G322" s="651"/>
      <c r="H322" s="651"/>
      <c r="I322" s="651"/>
      <c r="J322" s="651"/>
      <c r="K322" s="651"/>
      <c r="L322" s="651"/>
      <c r="M322" s="651"/>
      <c r="N322" s="651"/>
      <c r="O322" s="669"/>
    </row>
    <row r="323" spans="1:15" s="117" customFormat="1" x14ac:dyDescent="0.25">
      <c r="A323" s="567"/>
      <c r="B323" s="651"/>
      <c r="C323" s="651"/>
      <c r="D323" s="651"/>
      <c r="E323" s="651"/>
      <c r="F323" s="651"/>
      <c r="G323" s="651"/>
      <c r="H323" s="651"/>
      <c r="I323" s="651"/>
      <c r="J323" s="651"/>
      <c r="K323" s="651"/>
      <c r="L323" s="651"/>
      <c r="M323" s="651"/>
      <c r="N323" s="651"/>
      <c r="O323" s="669"/>
    </row>
    <row r="324" spans="1:15" s="117" customFormat="1" x14ac:dyDescent="0.25">
      <c r="A324" s="567"/>
      <c r="B324" s="651"/>
      <c r="C324" s="651"/>
      <c r="D324" s="651"/>
      <c r="E324" s="651"/>
      <c r="F324" s="651"/>
      <c r="G324" s="651"/>
      <c r="H324" s="651"/>
      <c r="I324" s="651"/>
      <c r="J324" s="651"/>
      <c r="K324" s="651"/>
      <c r="L324" s="651"/>
      <c r="M324" s="651"/>
      <c r="N324" s="651"/>
      <c r="O324" s="669"/>
    </row>
    <row r="325" spans="1:15" s="117" customFormat="1" x14ac:dyDescent="0.25">
      <c r="A325" s="567"/>
      <c r="B325" s="651"/>
      <c r="C325" s="651"/>
      <c r="D325" s="651"/>
      <c r="E325" s="651"/>
      <c r="F325" s="651"/>
      <c r="G325" s="651"/>
      <c r="H325" s="651"/>
      <c r="I325" s="651"/>
      <c r="J325" s="651"/>
      <c r="K325" s="651"/>
      <c r="L325" s="651"/>
      <c r="M325" s="651"/>
      <c r="N325" s="651"/>
      <c r="O325" s="669"/>
    </row>
    <row r="326" spans="1:15" s="117" customFormat="1" x14ac:dyDescent="0.25">
      <c r="A326" s="567"/>
      <c r="B326" s="651"/>
      <c r="C326" s="651"/>
      <c r="D326" s="651"/>
      <c r="E326" s="651"/>
      <c r="F326" s="651"/>
      <c r="G326" s="651"/>
      <c r="H326" s="651"/>
      <c r="I326" s="651"/>
      <c r="J326" s="651"/>
      <c r="K326" s="651"/>
      <c r="L326" s="651"/>
      <c r="M326" s="651"/>
      <c r="N326" s="651"/>
      <c r="O326" s="669"/>
    </row>
    <row r="327" spans="1:15" s="117" customFormat="1" ht="14.25" customHeight="1" x14ac:dyDescent="0.25">
      <c r="A327" s="567"/>
      <c r="B327" s="651"/>
      <c r="C327" s="651"/>
      <c r="D327" s="651"/>
      <c r="E327" s="651"/>
      <c r="F327" s="651"/>
      <c r="G327" s="651"/>
      <c r="H327" s="651"/>
      <c r="I327" s="651"/>
      <c r="J327" s="651"/>
      <c r="K327" s="651"/>
      <c r="L327" s="651"/>
      <c r="M327" s="651"/>
      <c r="N327" s="651"/>
      <c r="O327" s="669"/>
    </row>
    <row r="328" spans="1:15" s="117" customFormat="1" x14ac:dyDescent="0.25">
      <c r="A328" s="567"/>
      <c r="B328" s="651"/>
      <c r="C328" s="651"/>
      <c r="D328" s="651"/>
      <c r="E328" s="651"/>
      <c r="F328" s="651"/>
      <c r="G328" s="651"/>
      <c r="H328" s="651"/>
      <c r="I328" s="651"/>
      <c r="J328" s="651"/>
      <c r="K328" s="651"/>
      <c r="L328" s="651"/>
      <c r="M328" s="651"/>
      <c r="N328" s="651"/>
      <c r="O328" s="669"/>
    </row>
    <row r="329" spans="1:15" s="117" customFormat="1" x14ac:dyDescent="0.25">
      <c r="A329" s="567"/>
      <c r="B329" s="651"/>
      <c r="C329" s="651"/>
      <c r="D329" s="651"/>
      <c r="E329" s="651"/>
      <c r="F329" s="651"/>
      <c r="G329" s="651"/>
      <c r="H329" s="651"/>
      <c r="I329" s="651"/>
      <c r="J329" s="651"/>
      <c r="K329" s="651"/>
      <c r="L329" s="651"/>
      <c r="M329" s="651"/>
      <c r="N329" s="651"/>
      <c r="O329" s="669"/>
    </row>
    <row r="330" spans="1:15" s="117" customFormat="1" x14ac:dyDescent="0.25">
      <c r="A330" s="567"/>
      <c r="B330" s="651"/>
      <c r="C330" s="651"/>
      <c r="D330" s="651"/>
      <c r="E330" s="651"/>
      <c r="F330" s="651"/>
      <c r="G330" s="651"/>
      <c r="H330" s="651"/>
      <c r="I330" s="651"/>
      <c r="J330" s="651"/>
      <c r="K330" s="651"/>
      <c r="L330" s="651"/>
      <c r="M330" s="651"/>
      <c r="N330" s="651"/>
      <c r="O330" s="669"/>
    </row>
    <row r="331" spans="1:15" s="117" customFormat="1" x14ac:dyDescent="0.25">
      <c r="A331" s="567"/>
      <c r="B331" s="651"/>
      <c r="C331" s="651"/>
      <c r="D331" s="651"/>
      <c r="E331" s="651"/>
      <c r="F331" s="651"/>
      <c r="G331" s="651"/>
      <c r="H331" s="651"/>
      <c r="I331" s="651"/>
      <c r="J331" s="651"/>
      <c r="K331" s="651"/>
      <c r="L331" s="651"/>
      <c r="M331" s="651"/>
      <c r="N331" s="651"/>
      <c r="O331" s="669"/>
    </row>
    <row r="332" spans="1:15" s="117" customFormat="1" x14ac:dyDescent="0.25">
      <c r="A332" s="567"/>
      <c r="B332" s="651"/>
      <c r="C332" s="651"/>
      <c r="D332" s="651"/>
      <c r="E332" s="651"/>
      <c r="F332" s="651"/>
      <c r="G332" s="651"/>
      <c r="H332" s="651"/>
      <c r="I332" s="651"/>
      <c r="J332" s="651"/>
      <c r="K332" s="651"/>
      <c r="L332" s="651"/>
      <c r="M332" s="651"/>
      <c r="N332" s="651"/>
      <c r="O332" s="669"/>
    </row>
    <row r="333" spans="1:15" s="117" customFormat="1" x14ac:dyDescent="0.25">
      <c r="A333" s="567"/>
      <c r="B333" s="651"/>
      <c r="C333" s="651"/>
      <c r="D333" s="651"/>
      <c r="E333" s="651"/>
      <c r="F333" s="651"/>
      <c r="G333" s="651"/>
      <c r="H333" s="651"/>
      <c r="I333" s="651"/>
      <c r="J333" s="651"/>
      <c r="K333" s="651"/>
      <c r="L333" s="651"/>
      <c r="M333" s="651"/>
      <c r="N333" s="651"/>
      <c r="O333" s="669"/>
    </row>
    <row r="334" spans="1:15" s="117" customFormat="1" x14ac:dyDescent="0.25">
      <c r="A334" s="567"/>
      <c r="B334" s="651"/>
      <c r="C334" s="651"/>
      <c r="D334" s="651"/>
      <c r="E334" s="651"/>
      <c r="F334" s="651"/>
      <c r="G334" s="651"/>
      <c r="H334" s="651"/>
      <c r="I334" s="651"/>
      <c r="J334" s="651"/>
      <c r="K334" s="651"/>
      <c r="L334" s="651"/>
      <c r="M334" s="651"/>
      <c r="N334" s="651"/>
      <c r="O334" s="669"/>
    </row>
    <row r="335" spans="1:15" s="117" customFormat="1" x14ac:dyDescent="0.25">
      <c r="A335" s="567"/>
      <c r="B335" s="651"/>
      <c r="C335" s="651"/>
      <c r="D335" s="651"/>
      <c r="E335" s="651"/>
      <c r="F335" s="651"/>
      <c r="G335" s="651"/>
      <c r="H335" s="651"/>
      <c r="I335" s="651"/>
      <c r="J335" s="651"/>
      <c r="K335" s="651"/>
      <c r="L335" s="651"/>
      <c r="M335" s="651"/>
      <c r="N335" s="651"/>
      <c r="O335" s="669"/>
    </row>
    <row r="336" spans="1:15" s="117" customFormat="1" ht="15.75" thickBot="1" x14ac:dyDescent="0.3">
      <c r="A336" s="671"/>
      <c r="B336" s="672"/>
      <c r="C336" s="672"/>
      <c r="D336" s="672"/>
      <c r="E336" s="672"/>
      <c r="F336" s="672"/>
      <c r="G336" s="672"/>
      <c r="H336" s="672"/>
      <c r="I336" s="672"/>
      <c r="J336" s="672"/>
      <c r="K336" s="672"/>
      <c r="L336" s="672"/>
      <c r="M336" s="672"/>
      <c r="N336" s="672"/>
      <c r="O336" s="673"/>
    </row>
    <row r="337" spans="1:15" s="117" customFormat="1" ht="15.75" thickBot="1" x14ac:dyDescent="0.3">
      <c r="A337" s="651"/>
      <c r="B337" s="651"/>
      <c r="C337" s="651"/>
      <c r="D337" s="651"/>
      <c r="E337" s="651"/>
      <c r="F337" s="651"/>
      <c r="G337" s="651"/>
      <c r="H337" s="651"/>
      <c r="I337" s="651"/>
      <c r="J337" s="651"/>
      <c r="K337" s="651"/>
      <c r="L337" s="651"/>
      <c r="M337" s="651"/>
      <c r="N337" s="651"/>
      <c r="O337" s="651"/>
    </row>
    <row r="338" spans="1:15" s="117" customFormat="1" x14ac:dyDescent="0.25">
      <c r="A338" s="666"/>
      <c r="B338" s="667"/>
      <c r="C338" s="667"/>
      <c r="D338" s="667"/>
      <c r="E338" s="667"/>
      <c r="F338" s="667"/>
      <c r="G338" s="667"/>
      <c r="H338" s="667"/>
      <c r="I338" s="667"/>
      <c r="J338" s="667"/>
      <c r="K338" s="667"/>
      <c r="L338" s="667"/>
      <c r="M338" s="667"/>
      <c r="N338" s="667"/>
      <c r="O338" s="668"/>
    </row>
    <row r="339" spans="1:15" s="117" customFormat="1" x14ac:dyDescent="0.25">
      <c r="A339" s="809" t="s">
        <v>0</v>
      </c>
      <c r="B339" s="774" t="s">
        <v>47</v>
      </c>
      <c r="C339" s="775"/>
      <c r="D339" s="775"/>
      <c r="E339" s="775"/>
      <c r="F339" s="775"/>
      <c r="G339" s="775"/>
      <c r="H339" s="775"/>
      <c r="I339" s="775"/>
      <c r="J339" s="811" t="s">
        <v>2</v>
      </c>
      <c r="K339" s="776">
        <v>81</v>
      </c>
      <c r="L339" s="775"/>
      <c r="M339" s="811" t="s">
        <v>17</v>
      </c>
      <c r="N339" s="777">
        <f>EN_04001_m+EN_04001_p</f>
        <v>16.150255508815544</v>
      </c>
      <c r="O339" s="752"/>
    </row>
    <row r="340" spans="1:15" s="117" customFormat="1" x14ac:dyDescent="0.25">
      <c r="A340" s="809" t="s">
        <v>4</v>
      </c>
      <c r="B340" s="775" t="s">
        <v>289</v>
      </c>
      <c r="C340" s="775"/>
      <c r="D340" s="812" t="s">
        <v>7</v>
      </c>
      <c r="E340" s="775"/>
      <c r="F340" s="775"/>
      <c r="G340" s="775"/>
      <c r="H340" s="775"/>
      <c r="I340" s="775"/>
      <c r="J340" s="775"/>
      <c r="K340" s="775"/>
      <c r="L340" s="775"/>
      <c r="M340" s="811" t="s">
        <v>5</v>
      </c>
      <c r="N340" s="778">
        <v>1</v>
      </c>
      <c r="O340" s="752"/>
    </row>
    <row r="341" spans="1:15" s="117" customFormat="1" x14ac:dyDescent="0.25">
      <c r="A341" s="809" t="s">
        <v>6</v>
      </c>
      <c r="B341" s="685" t="s">
        <v>203</v>
      </c>
      <c r="C341" s="775"/>
      <c r="D341" s="812" t="s">
        <v>9</v>
      </c>
      <c r="E341" s="775"/>
      <c r="F341" s="775"/>
      <c r="G341" s="775"/>
      <c r="H341" s="775"/>
      <c r="I341" s="775"/>
      <c r="J341" s="812" t="s">
        <v>7</v>
      </c>
      <c r="K341" s="775"/>
      <c r="L341" s="775"/>
      <c r="M341" s="775"/>
      <c r="N341" s="779"/>
      <c r="O341" s="752"/>
    </row>
    <row r="342" spans="1:15" s="117" customFormat="1" x14ac:dyDescent="0.25">
      <c r="A342" s="809" t="s">
        <v>16</v>
      </c>
      <c r="B342" s="775" t="s">
        <v>204</v>
      </c>
      <c r="C342" s="775"/>
      <c r="D342" s="812" t="s">
        <v>13</v>
      </c>
      <c r="E342" s="775"/>
      <c r="F342" s="775"/>
      <c r="G342" s="775"/>
      <c r="H342" s="775"/>
      <c r="I342" s="775"/>
      <c r="J342" s="812" t="s">
        <v>9</v>
      </c>
      <c r="K342" s="775"/>
      <c r="L342" s="775"/>
      <c r="M342" s="811" t="s">
        <v>10</v>
      </c>
      <c r="N342" s="777">
        <f>N339*N340</f>
        <v>16.150255508815544</v>
      </c>
      <c r="O342" s="752"/>
    </row>
    <row r="343" spans="1:15" s="117" customFormat="1" x14ac:dyDescent="0.25">
      <c r="A343" s="809" t="s">
        <v>8</v>
      </c>
      <c r="B343" s="775" t="s">
        <v>322</v>
      </c>
      <c r="C343" s="775"/>
      <c r="D343" s="775"/>
      <c r="E343" s="775"/>
      <c r="F343" s="775"/>
      <c r="G343" s="775"/>
      <c r="H343" s="775"/>
      <c r="I343" s="775"/>
      <c r="J343" s="812" t="s">
        <v>13</v>
      </c>
      <c r="K343" s="775"/>
      <c r="L343" s="775"/>
      <c r="M343" s="775"/>
      <c r="N343" s="775"/>
      <c r="O343" s="752"/>
    </row>
    <row r="344" spans="1:15" s="117" customFormat="1" x14ac:dyDescent="0.25">
      <c r="A344" s="809" t="s">
        <v>11</v>
      </c>
      <c r="B344" s="775" t="s">
        <v>12</v>
      </c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52"/>
    </row>
    <row r="345" spans="1:15" s="117" customFormat="1" x14ac:dyDescent="0.25">
      <c r="A345" s="809" t="s">
        <v>14</v>
      </c>
      <c r="B345" s="774" t="s">
        <v>300</v>
      </c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52"/>
    </row>
    <row r="346" spans="1:15" s="117" customFormat="1" x14ac:dyDescent="0.25">
      <c r="A346" s="780"/>
      <c r="B346" s="779"/>
      <c r="C346" s="779"/>
      <c r="D346" s="779"/>
      <c r="E346" s="779"/>
      <c r="F346" s="779"/>
      <c r="G346" s="779"/>
      <c r="H346" s="779"/>
      <c r="I346" s="779"/>
      <c r="J346" s="779"/>
      <c r="K346" s="779"/>
      <c r="L346" s="779"/>
      <c r="M346" s="779"/>
      <c r="N346" s="779"/>
      <c r="O346" s="752"/>
    </row>
    <row r="347" spans="1:15" s="117" customFormat="1" x14ac:dyDescent="0.25">
      <c r="A347" s="809" t="s">
        <v>15</v>
      </c>
      <c r="B347" s="810" t="s">
        <v>20</v>
      </c>
      <c r="C347" s="810" t="s">
        <v>21</v>
      </c>
      <c r="D347" s="810" t="s">
        <v>22</v>
      </c>
      <c r="E347" s="810" t="s">
        <v>23</v>
      </c>
      <c r="F347" s="810" t="s">
        <v>24</v>
      </c>
      <c r="G347" s="810" t="s">
        <v>25</v>
      </c>
      <c r="H347" s="810" t="s">
        <v>26</v>
      </c>
      <c r="I347" s="810" t="s">
        <v>27</v>
      </c>
      <c r="J347" s="810" t="s">
        <v>28</v>
      </c>
      <c r="K347" s="810" t="s">
        <v>29</v>
      </c>
      <c r="L347" s="810" t="s">
        <v>30</v>
      </c>
      <c r="M347" s="810" t="s">
        <v>18</v>
      </c>
      <c r="N347" s="810" t="s">
        <v>19</v>
      </c>
      <c r="O347" s="752"/>
    </row>
    <row r="348" spans="1:15" s="117" customFormat="1" x14ac:dyDescent="0.25">
      <c r="A348" s="802">
        <v>10</v>
      </c>
      <c r="B348" s="781" t="s">
        <v>107</v>
      </c>
      <c r="C348" s="782" t="s">
        <v>329</v>
      </c>
      <c r="D348" s="730">
        <v>2.25</v>
      </c>
      <c r="E348" s="783"/>
      <c r="F348" s="784"/>
      <c r="G348" s="783"/>
      <c r="H348" s="733"/>
      <c r="I348" s="785" t="s">
        <v>330</v>
      </c>
      <c r="J348" s="786">
        <f>PI()*0.0475^2</f>
        <v>7.0882184246619708E-3</v>
      </c>
      <c r="K348" s="736">
        <v>1.9E-2</v>
      </c>
      <c r="L348" s="989">
        <v>7850</v>
      </c>
      <c r="M348" s="737">
        <v>1</v>
      </c>
      <c r="N348" s="738">
        <f>IF(J348="",D348*M348,D348*J348*K348*L348*M348)</f>
        <v>2.3787175005862489</v>
      </c>
      <c r="O348" s="752"/>
    </row>
    <row r="349" spans="1:15" s="117" customFormat="1" x14ac:dyDescent="0.25">
      <c r="A349" s="721"/>
      <c r="B349" s="720"/>
      <c r="C349" s="720"/>
      <c r="D349" s="720"/>
      <c r="E349" s="720"/>
      <c r="F349" s="720"/>
      <c r="G349" s="720"/>
      <c r="H349" s="720"/>
      <c r="I349" s="720"/>
      <c r="J349" s="720"/>
      <c r="K349" s="720"/>
      <c r="L349" s="720"/>
      <c r="M349" s="807" t="s">
        <v>19</v>
      </c>
      <c r="N349" s="808">
        <f>SUM(N348:N348)</f>
        <v>2.3787175005862489</v>
      </c>
      <c r="O349" s="752"/>
    </row>
    <row r="350" spans="1:15" s="117" customFormat="1" x14ac:dyDescent="0.25">
      <c r="A350" s="787"/>
      <c r="B350" s="779"/>
      <c r="C350" s="779"/>
      <c r="D350" s="779"/>
      <c r="E350" s="779"/>
      <c r="F350" s="779"/>
      <c r="G350" s="779"/>
      <c r="H350" s="779"/>
      <c r="I350" s="779"/>
      <c r="J350" s="779"/>
      <c r="K350" s="779"/>
      <c r="L350" s="779"/>
      <c r="M350" s="779"/>
      <c r="N350" s="779"/>
      <c r="O350" s="752"/>
    </row>
    <row r="351" spans="1:15" s="117" customFormat="1" x14ac:dyDescent="0.25">
      <c r="A351" s="809" t="s">
        <v>15</v>
      </c>
      <c r="B351" s="810" t="s">
        <v>32</v>
      </c>
      <c r="C351" s="810" t="s">
        <v>21</v>
      </c>
      <c r="D351" s="810" t="s">
        <v>22</v>
      </c>
      <c r="E351" s="810" t="s">
        <v>33</v>
      </c>
      <c r="F351" s="810" t="s">
        <v>18</v>
      </c>
      <c r="G351" s="810" t="s">
        <v>34</v>
      </c>
      <c r="H351" s="810" t="s">
        <v>35</v>
      </c>
      <c r="I351" s="810" t="s">
        <v>19</v>
      </c>
      <c r="J351" s="720"/>
      <c r="K351" s="720"/>
      <c r="L351" s="720"/>
      <c r="M351" s="720"/>
      <c r="N351" s="720"/>
      <c r="O351" s="752"/>
    </row>
    <row r="352" spans="1:15" s="117" customFormat="1" x14ac:dyDescent="0.25">
      <c r="A352" s="818">
        <v>10</v>
      </c>
      <c r="B352" s="788" t="s">
        <v>50</v>
      </c>
      <c r="C352" s="788" t="s">
        <v>331</v>
      </c>
      <c r="D352" s="789">
        <v>1.3</v>
      </c>
      <c r="E352" s="790" t="s">
        <v>36</v>
      </c>
      <c r="F352" s="791">
        <v>1</v>
      </c>
      <c r="G352" s="792"/>
      <c r="H352" s="792"/>
      <c r="I352" s="793">
        <f>F352*D352</f>
        <v>1.3</v>
      </c>
      <c r="J352" s="794"/>
      <c r="K352" s="794"/>
      <c r="L352" s="794"/>
      <c r="M352" s="794"/>
      <c r="N352" s="794"/>
      <c r="O352" s="795"/>
    </row>
    <row r="353" spans="1:15" s="117" customFormat="1" x14ac:dyDescent="0.25">
      <c r="A353" s="802">
        <v>20</v>
      </c>
      <c r="B353" s="796" t="s">
        <v>241</v>
      </c>
      <c r="C353" s="796" t="s">
        <v>332</v>
      </c>
      <c r="D353" s="730">
        <v>0.04</v>
      </c>
      <c r="E353" s="784" t="s">
        <v>243</v>
      </c>
      <c r="F353" s="791">
        <f>J348*K348*1000000-48.58</f>
        <v>86.096150068577444</v>
      </c>
      <c r="G353" s="797" t="s">
        <v>288</v>
      </c>
      <c r="H353" s="797">
        <v>3</v>
      </c>
      <c r="I353" s="743">
        <f>D353*F353*H353</f>
        <v>10.331538008229295</v>
      </c>
      <c r="J353" s="779"/>
      <c r="K353" s="779"/>
      <c r="L353" s="779"/>
      <c r="M353" s="779"/>
      <c r="N353" s="779"/>
      <c r="O353" s="752"/>
    </row>
    <row r="354" spans="1:15" s="117" customFormat="1" ht="30" x14ac:dyDescent="0.25">
      <c r="A354" s="802">
        <v>30</v>
      </c>
      <c r="B354" s="796" t="s">
        <v>333</v>
      </c>
      <c r="C354" s="796" t="s">
        <v>334</v>
      </c>
      <c r="D354" s="730">
        <v>1.3</v>
      </c>
      <c r="E354" s="784" t="s">
        <v>36</v>
      </c>
      <c r="F354" s="791">
        <v>1</v>
      </c>
      <c r="G354" s="797"/>
      <c r="H354" s="797"/>
      <c r="I354" s="743">
        <f>F354*D354</f>
        <v>1.3</v>
      </c>
      <c r="J354" s="779"/>
      <c r="K354" s="779"/>
      <c r="L354" s="779"/>
      <c r="M354" s="779"/>
      <c r="N354" s="779"/>
      <c r="O354" s="752"/>
    </row>
    <row r="355" spans="1:15" s="117" customFormat="1" x14ac:dyDescent="0.25">
      <c r="A355" s="802">
        <v>40</v>
      </c>
      <c r="B355" s="796" t="s">
        <v>335</v>
      </c>
      <c r="C355" s="796" t="s">
        <v>336</v>
      </c>
      <c r="D355" s="730">
        <v>0.5</v>
      </c>
      <c r="E355" s="784" t="s">
        <v>53</v>
      </c>
      <c r="F355" s="791">
        <v>1.68</v>
      </c>
      <c r="G355" s="797"/>
      <c r="H355" s="797"/>
      <c r="I355" s="743">
        <f>F355*D355</f>
        <v>0.84</v>
      </c>
      <c r="J355" s="779"/>
      <c r="K355" s="779"/>
      <c r="L355" s="779"/>
      <c r="M355" s="779"/>
      <c r="N355" s="779"/>
      <c r="O355" s="752"/>
    </row>
    <row r="356" spans="1:15" s="117" customFormat="1" x14ac:dyDescent="0.25">
      <c r="A356" s="721"/>
      <c r="B356" s="720"/>
      <c r="C356" s="720"/>
      <c r="D356" s="720"/>
      <c r="E356" s="720"/>
      <c r="F356" s="46"/>
      <c r="G356" s="720"/>
      <c r="H356" s="816" t="s">
        <v>19</v>
      </c>
      <c r="I356" s="817">
        <f>SUM(I352:I355)</f>
        <v>13.771538008229296</v>
      </c>
      <c r="J356" s="720"/>
      <c r="K356" s="720"/>
      <c r="L356" s="720"/>
      <c r="M356" s="720"/>
      <c r="N356" s="720"/>
      <c r="O356" s="752"/>
    </row>
    <row r="357" spans="1:15" s="117" customFormat="1" x14ac:dyDescent="0.25">
      <c r="A357" s="780"/>
      <c r="B357" s="798"/>
      <c r="C357" s="798"/>
      <c r="D357" s="798"/>
      <c r="E357" s="798"/>
      <c r="F357" s="46"/>
      <c r="G357" s="46"/>
      <c r="H357" s="798"/>
      <c r="I357" s="798"/>
      <c r="J357" s="798"/>
      <c r="K357" s="798"/>
      <c r="L357" s="798"/>
      <c r="M357" s="798"/>
      <c r="N357" s="798"/>
      <c r="O357" s="752"/>
    </row>
    <row r="358" spans="1:15" s="117" customFormat="1" x14ac:dyDescent="0.25">
      <c r="A358" s="780"/>
      <c r="B358" s="798"/>
      <c r="C358" s="798"/>
      <c r="D358" s="798"/>
      <c r="E358" s="798"/>
      <c r="F358" s="46"/>
      <c r="G358" s="46"/>
      <c r="H358" s="798"/>
      <c r="I358" s="798"/>
      <c r="J358" s="798"/>
      <c r="K358" s="798"/>
      <c r="L358" s="798"/>
      <c r="M358" s="798"/>
      <c r="N358" s="798"/>
      <c r="O358" s="752"/>
    </row>
    <row r="359" spans="1:15" s="117" customFormat="1" x14ac:dyDescent="0.25">
      <c r="A359" s="780"/>
      <c r="B359" s="798"/>
      <c r="C359" s="798"/>
      <c r="D359" s="798"/>
      <c r="E359" s="798"/>
      <c r="F359" s="46"/>
      <c r="G359" s="46"/>
      <c r="H359" s="798"/>
      <c r="I359" s="798"/>
      <c r="J359" s="798"/>
      <c r="K359" s="798"/>
      <c r="L359" s="798"/>
      <c r="M359" s="798"/>
      <c r="N359" s="798"/>
      <c r="O359" s="752"/>
    </row>
    <row r="360" spans="1:15" s="117" customFormat="1" x14ac:dyDescent="0.25">
      <c r="A360" s="780"/>
      <c r="B360" s="798"/>
      <c r="C360" s="798"/>
      <c r="D360" s="798"/>
      <c r="E360" s="798"/>
      <c r="F360" s="46"/>
      <c r="G360" s="46"/>
      <c r="H360" s="798"/>
      <c r="I360" s="798"/>
      <c r="J360" s="798"/>
      <c r="K360" s="798"/>
      <c r="L360" s="798"/>
      <c r="M360" s="798"/>
      <c r="N360" s="798"/>
      <c r="O360" s="752"/>
    </row>
    <row r="361" spans="1:15" s="117" customFormat="1" x14ac:dyDescent="0.25">
      <c r="A361" s="780"/>
      <c r="B361" s="798"/>
      <c r="C361" s="798"/>
      <c r="D361" s="798"/>
      <c r="E361" s="798"/>
      <c r="F361" s="46"/>
      <c r="G361" s="46"/>
      <c r="H361" s="798"/>
      <c r="I361" s="798"/>
      <c r="J361" s="798"/>
      <c r="K361" s="798"/>
      <c r="L361" s="798"/>
      <c r="M361" s="798"/>
      <c r="N361" s="798"/>
      <c r="O361" s="752"/>
    </row>
    <row r="362" spans="1:15" s="117" customFormat="1" x14ac:dyDescent="0.25">
      <c r="A362" s="780"/>
      <c r="B362" s="798"/>
      <c r="C362" s="798"/>
      <c r="D362" s="798"/>
      <c r="E362" s="798"/>
      <c r="F362" s="46"/>
      <c r="G362" s="46"/>
      <c r="H362" s="798"/>
      <c r="I362" s="798"/>
      <c r="J362" s="798"/>
      <c r="K362" s="798"/>
      <c r="L362" s="798"/>
      <c r="M362" s="798"/>
      <c r="N362" s="798"/>
      <c r="O362" s="752"/>
    </row>
    <row r="363" spans="1:15" s="117" customFormat="1" x14ac:dyDescent="0.25">
      <c r="A363" s="780"/>
      <c r="B363" s="798"/>
      <c r="C363" s="798"/>
      <c r="D363" s="798"/>
      <c r="E363" s="798"/>
      <c r="F363" s="46"/>
      <c r="G363" s="46"/>
      <c r="H363" s="798"/>
      <c r="I363" s="798"/>
      <c r="J363" s="798"/>
      <c r="K363" s="798"/>
      <c r="L363" s="798"/>
      <c r="M363" s="798"/>
      <c r="N363" s="798"/>
      <c r="O363" s="752"/>
    </row>
    <row r="364" spans="1:15" s="117" customFormat="1" x14ac:dyDescent="0.25">
      <c r="A364" s="780"/>
      <c r="B364" s="798"/>
      <c r="C364" s="798"/>
      <c r="D364" s="798"/>
      <c r="E364" s="798"/>
      <c r="F364" s="46"/>
      <c r="G364" s="46"/>
      <c r="H364" s="798"/>
      <c r="I364" s="798"/>
      <c r="J364" s="798"/>
      <c r="K364" s="798"/>
      <c r="L364" s="798"/>
      <c r="M364" s="798"/>
      <c r="N364" s="798"/>
      <c r="O364" s="752"/>
    </row>
    <row r="365" spans="1:15" s="117" customFormat="1" x14ac:dyDescent="0.25">
      <c r="A365" s="780"/>
      <c r="B365" s="798"/>
      <c r="C365" s="798"/>
      <c r="D365" s="798"/>
      <c r="E365" s="798"/>
      <c r="F365" s="46"/>
      <c r="G365" s="46"/>
      <c r="H365" s="798"/>
      <c r="I365" s="798"/>
      <c r="J365" s="798"/>
      <c r="K365" s="798"/>
      <c r="L365" s="798"/>
      <c r="M365" s="798"/>
      <c r="N365" s="798"/>
      <c r="O365" s="752"/>
    </row>
    <row r="366" spans="1:15" s="117" customFormat="1" x14ac:dyDescent="0.25">
      <c r="A366" s="780"/>
      <c r="B366" s="798"/>
      <c r="C366" s="798"/>
      <c r="D366" s="798"/>
      <c r="E366" s="798"/>
      <c r="F366" s="46"/>
      <c r="G366" s="46"/>
      <c r="H366" s="798"/>
      <c r="I366" s="798"/>
      <c r="J366" s="798"/>
      <c r="K366" s="798"/>
      <c r="L366" s="798"/>
      <c r="M366" s="798"/>
      <c r="N366" s="798"/>
      <c r="O366" s="752"/>
    </row>
    <row r="367" spans="1:15" s="117" customFormat="1" x14ac:dyDescent="0.25">
      <c r="A367" s="780"/>
      <c r="B367" s="798"/>
      <c r="C367" s="798"/>
      <c r="D367" s="798"/>
      <c r="E367" s="798"/>
      <c r="F367" s="46"/>
      <c r="G367" s="46"/>
      <c r="H367" s="798"/>
      <c r="I367" s="798"/>
      <c r="J367" s="798"/>
      <c r="K367" s="798"/>
      <c r="L367" s="798"/>
      <c r="M367" s="798"/>
      <c r="N367" s="798"/>
      <c r="O367" s="752"/>
    </row>
    <row r="368" spans="1:15" s="117" customFormat="1" x14ac:dyDescent="0.25">
      <c r="A368" s="780"/>
      <c r="B368" s="798"/>
      <c r="C368" s="798"/>
      <c r="D368" s="798"/>
      <c r="E368" s="798"/>
      <c r="F368" s="46"/>
      <c r="G368" s="46"/>
      <c r="H368" s="798"/>
      <c r="I368" s="798"/>
      <c r="J368" s="798"/>
      <c r="K368" s="798"/>
      <c r="L368" s="798"/>
      <c r="M368" s="798"/>
      <c r="N368" s="798"/>
      <c r="O368" s="752"/>
    </row>
    <row r="369" spans="1:15" s="117" customFormat="1" x14ac:dyDescent="0.25">
      <c r="A369" s="780"/>
      <c r="B369" s="798"/>
      <c r="C369" s="798"/>
      <c r="D369" s="798"/>
      <c r="E369" s="798"/>
      <c r="F369" s="46"/>
      <c r="G369" s="46"/>
      <c r="H369" s="798"/>
      <c r="I369" s="798"/>
      <c r="J369" s="798"/>
      <c r="K369" s="798"/>
      <c r="L369" s="798"/>
      <c r="M369" s="798"/>
      <c r="N369" s="798"/>
      <c r="O369" s="752"/>
    </row>
    <row r="370" spans="1:15" s="117" customFormat="1" x14ac:dyDescent="0.25">
      <c r="A370" s="780"/>
      <c r="B370" s="798"/>
      <c r="C370" s="798"/>
      <c r="D370" s="798"/>
      <c r="E370" s="798"/>
      <c r="F370" s="46"/>
      <c r="G370" s="46"/>
      <c r="H370" s="798"/>
      <c r="I370" s="798"/>
      <c r="J370" s="798"/>
      <c r="K370" s="798"/>
      <c r="L370" s="798"/>
      <c r="M370" s="798"/>
      <c r="N370" s="798"/>
      <c r="O370" s="752"/>
    </row>
    <row r="371" spans="1:15" s="117" customFormat="1" x14ac:dyDescent="0.25">
      <c r="A371" s="780"/>
      <c r="B371" s="798"/>
      <c r="C371" s="798"/>
      <c r="D371" s="798"/>
      <c r="E371" s="798"/>
      <c r="F371" s="46"/>
      <c r="G371" s="46"/>
      <c r="H371" s="798"/>
      <c r="I371" s="798"/>
      <c r="J371" s="798"/>
      <c r="K371" s="798"/>
      <c r="L371" s="798"/>
      <c r="M371" s="798"/>
      <c r="N371" s="798"/>
      <c r="O371" s="752"/>
    </row>
    <row r="372" spans="1:15" s="117" customFormat="1" x14ac:dyDescent="0.25">
      <c r="A372" s="780"/>
      <c r="B372" s="798"/>
      <c r="C372" s="798"/>
      <c r="D372" s="798"/>
      <c r="E372" s="798"/>
      <c r="F372" s="46"/>
      <c r="G372" s="46"/>
      <c r="H372" s="798"/>
      <c r="I372" s="798"/>
      <c r="J372" s="798"/>
      <c r="K372" s="798"/>
      <c r="L372" s="798"/>
      <c r="M372" s="798"/>
      <c r="N372" s="798"/>
      <c r="O372" s="752"/>
    </row>
    <row r="373" spans="1:15" s="117" customFormat="1" x14ac:dyDescent="0.25">
      <c r="A373" s="780"/>
      <c r="B373" s="798"/>
      <c r="C373" s="798"/>
      <c r="D373" s="798"/>
      <c r="E373" s="798"/>
      <c r="F373" s="46"/>
      <c r="G373" s="46"/>
      <c r="H373" s="798"/>
      <c r="I373" s="798"/>
      <c r="J373" s="798"/>
      <c r="K373" s="798"/>
      <c r="L373" s="798"/>
      <c r="M373" s="798"/>
      <c r="N373" s="798"/>
      <c r="O373" s="752"/>
    </row>
    <row r="374" spans="1:15" s="117" customFormat="1" x14ac:dyDescent="0.25">
      <c r="A374" s="780"/>
      <c r="B374" s="798"/>
      <c r="C374" s="798"/>
      <c r="D374" s="798"/>
      <c r="E374" s="798"/>
      <c r="F374" s="46"/>
      <c r="G374" s="46"/>
      <c r="H374" s="798"/>
      <c r="I374" s="798"/>
      <c r="J374" s="798"/>
      <c r="K374" s="798"/>
      <c r="L374" s="798"/>
      <c r="M374" s="798"/>
      <c r="N374" s="798"/>
      <c r="O374" s="752"/>
    </row>
    <row r="375" spans="1:15" s="117" customFormat="1" x14ac:dyDescent="0.25">
      <c r="A375" s="780"/>
      <c r="B375" s="798"/>
      <c r="C375" s="798"/>
      <c r="D375" s="798"/>
      <c r="E375" s="798"/>
      <c r="F375" s="46"/>
      <c r="G375" s="46"/>
      <c r="H375" s="798"/>
      <c r="I375" s="798"/>
      <c r="J375" s="798"/>
      <c r="K375" s="798"/>
      <c r="L375" s="798"/>
      <c r="M375" s="798"/>
      <c r="N375" s="798"/>
      <c r="O375" s="752"/>
    </row>
    <row r="376" spans="1:15" s="117" customFormat="1" x14ac:dyDescent="0.25">
      <c r="A376" s="780"/>
      <c r="B376" s="798"/>
      <c r="C376" s="798"/>
      <c r="D376" s="798"/>
      <c r="E376" s="798"/>
      <c r="F376" s="46"/>
      <c r="G376" s="46"/>
      <c r="H376" s="798"/>
      <c r="I376" s="798"/>
      <c r="J376" s="798"/>
      <c r="K376" s="798"/>
      <c r="L376" s="798"/>
      <c r="M376" s="798"/>
      <c r="N376" s="798"/>
      <c r="O376" s="752"/>
    </row>
    <row r="377" spans="1:15" s="117" customFormat="1" x14ac:dyDescent="0.25">
      <c r="A377" s="780"/>
      <c r="B377" s="798"/>
      <c r="C377" s="798"/>
      <c r="D377" s="798"/>
      <c r="E377" s="798"/>
      <c r="F377" s="46"/>
      <c r="G377" s="46"/>
      <c r="H377" s="798"/>
      <c r="I377" s="798"/>
      <c r="J377" s="798"/>
      <c r="K377" s="798"/>
      <c r="L377" s="798"/>
      <c r="M377" s="798"/>
      <c r="N377" s="798"/>
      <c r="O377" s="752"/>
    </row>
    <row r="378" spans="1:15" s="117" customFormat="1" x14ac:dyDescent="0.25">
      <c r="A378" s="780"/>
      <c r="B378" s="798"/>
      <c r="C378" s="798"/>
      <c r="D378" s="798"/>
      <c r="E378" s="798"/>
      <c r="F378" s="46"/>
      <c r="G378" s="46"/>
      <c r="H378" s="798"/>
      <c r="I378" s="798"/>
      <c r="J378" s="798"/>
      <c r="K378" s="798"/>
      <c r="L378" s="798"/>
      <c r="M378" s="798"/>
      <c r="N378" s="798"/>
      <c r="O378" s="752"/>
    </row>
    <row r="379" spans="1:15" s="117" customFormat="1" ht="15.75" thickBot="1" x14ac:dyDescent="0.3">
      <c r="A379" s="754"/>
      <c r="B379" s="755"/>
      <c r="C379" s="755"/>
      <c r="D379" s="755"/>
      <c r="E379" s="755"/>
      <c r="F379" s="755"/>
      <c r="G379" s="755"/>
      <c r="H379" s="755"/>
      <c r="I379" s="755"/>
      <c r="J379" s="755"/>
      <c r="K379" s="755"/>
      <c r="L379" s="755"/>
      <c r="M379" s="755"/>
      <c r="N379" s="755"/>
      <c r="O379" s="756"/>
    </row>
    <row r="380" spans="1:15" s="117" customFormat="1" ht="15.75" thickBot="1" x14ac:dyDescent="0.3"/>
    <row r="381" spans="1:15" s="117" customFormat="1" x14ac:dyDescent="0.25">
      <c r="A381" s="799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1"/>
    </row>
    <row r="382" spans="1:15" s="117" customFormat="1" x14ac:dyDescent="0.25">
      <c r="A382" s="814" t="s">
        <v>0</v>
      </c>
      <c r="B382" s="774" t="s">
        <v>47</v>
      </c>
      <c r="C382" s="775"/>
      <c r="D382" s="775"/>
      <c r="E382" s="775"/>
      <c r="F382" s="775"/>
      <c r="G382" s="775"/>
      <c r="H382" s="775"/>
      <c r="I382" s="775"/>
      <c r="J382" s="811" t="s">
        <v>2</v>
      </c>
      <c r="K382" s="776">
        <v>81</v>
      </c>
      <c r="L382" s="775"/>
      <c r="M382" s="811" t="s">
        <v>17</v>
      </c>
      <c r="N382" s="777">
        <f>EN_04002_m+EN_04002_p</f>
        <v>16.876312862077494</v>
      </c>
      <c r="O382" s="752"/>
    </row>
    <row r="383" spans="1:15" s="117" customFormat="1" x14ac:dyDescent="0.25">
      <c r="A383" s="814" t="s">
        <v>4</v>
      </c>
      <c r="B383" s="775" t="s">
        <v>289</v>
      </c>
      <c r="C383" s="775"/>
      <c r="D383" s="812" t="s">
        <v>7</v>
      </c>
      <c r="E383" s="775"/>
      <c r="F383" s="775"/>
      <c r="G383" s="775"/>
      <c r="H383" s="775"/>
      <c r="I383" s="775"/>
      <c r="J383" s="775"/>
      <c r="K383" s="775"/>
      <c r="L383" s="775"/>
      <c r="M383" s="811" t="s">
        <v>5</v>
      </c>
      <c r="N383" s="778">
        <v>1</v>
      </c>
      <c r="O383" s="752"/>
    </row>
    <row r="384" spans="1:15" s="117" customFormat="1" x14ac:dyDescent="0.25">
      <c r="A384" s="814" t="s">
        <v>6</v>
      </c>
      <c r="B384" s="685" t="s">
        <v>203</v>
      </c>
      <c r="C384" s="775"/>
      <c r="D384" s="812" t="s">
        <v>9</v>
      </c>
      <c r="E384" s="775"/>
      <c r="F384" s="775"/>
      <c r="G384" s="775"/>
      <c r="H384" s="775"/>
      <c r="I384" s="775"/>
      <c r="J384" s="812" t="s">
        <v>7</v>
      </c>
      <c r="K384" s="775"/>
      <c r="L384" s="775"/>
      <c r="M384" s="775"/>
      <c r="N384" s="779"/>
      <c r="O384" s="752"/>
    </row>
    <row r="385" spans="1:15" s="117" customFormat="1" x14ac:dyDescent="0.25">
      <c r="A385" s="814" t="s">
        <v>16</v>
      </c>
      <c r="B385" s="775" t="s">
        <v>205</v>
      </c>
      <c r="C385" s="775"/>
      <c r="D385" s="812" t="s">
        <v>13</v>
      </c>
      <c r="E385" s="775"/>
      <c r="F385" s="775"/>
      <c r="G385" s="775"/>
      <c r="H385" s="775"/>
      <c r="I385" s="775"/>
      <c r="J385" s="812" t="s">
        <v>9</v>
      </c>
      <c r="K385" s="775"/>
      <c r="L385" s="775"/>
      <c r="M385" s="811" t="s">
        <v>10</v>
      </c>
      <c r="N385" s="777">
        <f>N382*N383</f>
        <v>16.876312862077494</v>
      </c>
      <c r="O385" s="752"/>
    </row>
    <row r="386" spans="1:15" s="117" customFormat="1" x14ac:dyDescent="0.25">
      <c r="A386" s="814" t="s">
        <v>8</v>
      </c>
      <c r="B386" s="775" t="s">
        <v>323</v>
      </c>
      <c r="C386" s="775"/>
      <c r="D386" s="775"/>
      <c r="E386" s="775"/>
      <c r="F386" s="775"/>
      <c r="G386" s="775"/>
      <c r="H386" s="775"/>
      <c r="I386" s="775"/>
      <c r="J386" s="812" t="s">
        <v>13</v>
      </c>
      <c r="K386" s="775"/>
      <c r="L386" s="775"/>
      <c r="M386" s="775"/>
      <c r="N386" s="775"/>
      <c r="O386" s="752"/>
    </row>
    <row r="387" spans="1:15" s="117" customFormat="1" x14ac:dyDescent="0.25">
      <c r="A387" s="814" t="s">
        <v>11</v>
      </c>
      <c r="B387" s="775" t="s">
        <v>12</v>
      </c>
      <c r="C387" s="775"/>
      <c r="D387" s="775"/>
      <c r="E387" s="775"/>
      <c r="F387" s="775"/>
      <c r="G387" s="775"/>
      <c r="H387" s="775"/>
      <c r="I387" s="775"/>
      <c r="J387" s="775"/>
      <c r="K387" s="775"/>
      <c r="L387" s="775"/>
      <c r="M387" s="775"/>
      <c r="N387" s="775"/>
      <c r="O387" s="752"/>
    </row>
    <row r="388" spans="1:15" s="117" customFormat="1" x14ac:dyDescent="0.25">
      <c r="A388" s="814" t="s">
        <v>14</v>
      </c>
      <c r="B388" s="774" t="s">
        <v>300</v>
      </c>
      <c r="C388" s="775"/>
      <c r="D388" s="775"/>
      <c r="E388" s="775"/>
      <c r="F388" s="775"/>
      <c r="G388" s="775"/>
      <c r="H388" s="775"/>
      <c r="I388" s="775"/>
      <c r="J388" s="775"/>
      <c r="K388" s="775"/>
      <c r="L388" s="775"/>
      <c r="M388" s="775"/>
      <c r="N388" s="775"/>
      <c r="O388" s="752"/>
    </row>
    <row r="389" spans="1:15" s="117" customFormat="1" x14ac:dyDescent="0.25">
      <c r="A389" s="780"/>
      <c r="B389" s="779"/>
      <c r="C389" s="779"/>
      <c r="D389" s="779"/>
      <c r="E389" s="779"/>
      <c r="F389" s="779"/>
      <c r="G389" s="779"/>
      <c r="H389" s="779"/>
      <c r="I389" s="779"/>
      <c r="J389" s="779"/>
      <c r="K389" s="779"/>
      <c r="L389" s="779"/>
      <c r="M389" s="779"/>
      <c r="N389" s="779"/>
      <c r="O389" s="752"/>
    </row>
    <row r="390" spans="1:15" s="117" customFormat="1" x14ac:dyDescent="0.25">
      <c r="A390" s="809" t="s">
        <v>15</v>
      </c>
      <c r="B390" s="810" t="s">
        <v>20</v>
      </c>
      <c r="C390" s="810" t="s">
        <v>21</v>
      </c>
      <c r="D390" s="810" t="s">
        <v>22</v>
      </c>
      <c r="E390" s="810" t="s">
        <v>23</v>
      </c>
      <c r="F390" s="810" t="s">
        <v>24</v>
      </c>
      <c r="G390" s="810" t="s">
        <v>25</v>
      </c>
      <c r="H390" s="810" t="s">
        <v>26</v>
      </c>
      <c r="I390" s="810" t="s">
        <v>27</v>
      </c>
      <c r="J390" s="810" t="s">
        <v>28</v>
      </c>
      <c r="K390" s="810" t="s">
        <v>29</v>
      </c>
      <c r="L390" s="810" t="s">
        <v>30</v>
      </c>
      <c r="M390" s="810" t="s">
        <v>18</v>
      </c>
      <c r="N390" s="810" t="s">
        <v>19</v>
      </c>
      <c r="O390" s="752"/>
    </row>
    <row r="391" spans="1:15" s="117" customFormat="1" x14ac:dyDescent="0.25">
      <c r="A391" s="802">
        <v>10</v>
      </c>
      <c r="B391" s="781" t="s">
        <v>91</v>
      </c>
      <c r="C391" s="782">
        <v>4.2</v>
      </c>
      <c r="D391" s="730">
        <v>4.2</v>
      </c>
      <c r="E391" s="783"/>
      <c r="F391" s="784"/>
      <c r="G391" s="783"/>
      <c r="H391" s="733"/>
      <c r="I391" s="785" t="s">
        <v>337</v>
      </c>
      <c r="J391" s="786">
        <f>0.115^2*PI()</f>
        <v>4.1547562843725017E-2</v>
      </c>
      <c r="K391" s="736">
        <v>8.9999999999999993E-3</v>
      </c>
      <c r="L391" s="990">
        <v>2712</v>
      </c>
      <c r="M391" s="737">
        <v>1</v>
      </c>
      <c r="N391" s="738">
        <f>IF(J391="",D391*M391,D391*J391*K391*L391*M391)</f>
        <v>4.2591902383364886</v>
      </c>
      <c r="O391" s="752"/>
    </row>
    <row r="392" spans="1:15" s="117" customFormat="1" x14ac:dyDescent="0.25">
      <c r="A392" s="721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807" t="s">
        <v>19</v>
      </c>
      <c r="N392" s="808">
        <f>SUM(N391:N391)</f>
        <v>4.2591902383364886</v>
      </c>
      <c r="O392" s="752"/>
    </row>
    <row r="393" spans="1:15" s="117" customFormat="1" x14ac:dyDescent="0.25">
      <c r="A393" s="787"/>
      <c r="B393" s="779"/>
      <c r="C393" s="779"/>
      <c r="D393" s="779"/>
      <c r="E393" s="779"/>
      <c r="F393" s="779"/>
      <c r="G393" s="779"/>
      <c r="H393" s="779"/>
      <c r="I393" s="779"/>
      <c r="J393" s="779"/>
      <c r="K393" s="779"/>
      <c r="L393" s="779"/>
      <c r="M393" s="779"/>
      <c r="N393" s="779"/>
      <c r="O393" s="752"/>
    </row>
    <row r="394" spans="1:15" s="117" customFormat="1" x14ac:dyDescent="0.25">
      <c r="A394" s="809" t="s">
        <v>15</v>
      </c>
      <c r="B394" s="810" t="s">
        <v>32</v>
      </c>
      <c r="C394" s="810" t="s">
        <v>21</v>
      </c>
      <c r="D394" s="810" t="s">
        <v>22</v>
      </c>
      <c r="E394" s="810" t="s">
        <v>33</v>
      </c>
      <c r="F394" s="810" t="s">
        <v>18</v>
      </c>
      <c r="G394" s="810" t="s">
        <v>34</v>
      </c>
      <c r="H394" s="810" t="s">
        <v>35</v>
      </c>
      <c r="I394" s="810" t="s">
        <v>19</v>
      </c>
      <c r="J394" s="720"/>
      <c r="K394" s="720"/>
      <c r="L394" s="720"/>
      <c r="M394" s="720"/>
      <c r="N394" s="720"/>
      <c r="O394" s="752"/>
    </row>
    <row r="395" spans="1:15" s="117" customFormat="1" ht="30" x14ac:dyDescent="0.25">
      <c r="A395" s="802">
        <v>10</v>
      </c>
      <c r="B395" s="796" t="s">
        <v>50</v>
      </c>
      <c r="C395" s="796" t="s">
        <v>331</v>
      </c>
      <c r="D395" s="730">
        <v>1.3</v>
      </c>
      <c r="E395" s="784" t="s">
        <v>36</v>
      </c>
      <c r="F395" s="783">
        <v>1</v>
      </c>
      <c r="G395" s="797"/>
      <c r="H395" s="797"/>
      <c r="I395" s="743">
        <f>D395*F395</f>
        <v>1.3</v>
      </c>
      <c r="J395" s="779"/>
      <c r="K395" s="779"/>
      <c r="L395" s="779"/>
      <c r="M395" s="779"/>
      <c r="N395" s="779"/>
      <c r="O395" s="752"/>
    </row>
    <row r="396" spans="1:15" s="117" customFormat="1" x14ac:dyDescent="0.25">
      <c r="A396" s="802">
        <v>20</v>
      </c>
      <c r="B396" s="796" t="s">
        <v>241</v>
      </c>
      <c r="C396" s="796" t="s">
        <v>332</v>
      </c>
      <c r="D396" s="730">
        <v>0.04</v>
      </c>
      <c r="E396" s="784" t="s">
        <v>243</v>
      </c>
      <c r="F396" s="803">
        <f>J391*K391*1000000-91</f>
        <v>282.9280655935251</v>
      </c>
      <c r="G396" s="797" t="s">
        <v>244</v>
      </c>
      <c r="H396" s="797">
        <v>1</v>
      </c>
      <c r="I396" s="743">
        <f>H396*F396*D396</f>
        <v>11.317122623741005</v>
      </c>
      <c r="J396" s="779"/>
      <c r="K396" s="779"/>
      <c r="L396" s="779"/>
      <c r="M396" s="779"/>
      <c r="N396" s="779"/>
      <c r="O396" s="752"/>
    </row>
    <row r="397" spans="1:15" s="117" customFormat="1" x14ac:dyDescent="0.25">
      <c r="A397" s="721"/>
      <c r="B397" s="720"/>
      <c r="C397" s="720"/>
      <c r="D397" s="720"/>
      <c r="E397" s="720"/>
      <c r="F397" s="720"/>
      <c r="G397" s="720"/>
      <c r="H397" s="807" t="s">
        <v>19</v>
      </c>
      <c r="I397" s="808">
        <f>SUM(I395:I396)</f>
        <v>12.617122623741006</v>
      </c>
      <c r="J397" s="720"/>
      <c r="K397" s="720"/>
      <c r="L397" s="720"/>
      <c r="M397" s="720"/>
      <c r="N397" s="720"/>
      <c r="O397" s="752"/>
    </row>
    <row r="398" spans="1:15" s="117" customFormat="1" x14ac:dyDescent="0.25">
      <c r="A398" s="780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52"/>
    </row>
    <row r="399" spans="1:15" s="117" customFormat="1" x14ac:dyDescent="0.25">
      <c r="A399" s="780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52"/>
    </row>
    <row r="400" spans="1:15" s="117" customFormat="1" x14ac:dyDescent="0.25">
      <c r="A400" s="780"/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52"/>
    </row>
    <row r="401" spans="1:15" s="117" customFormat="1" x14ac:dyDescent="0.25">
      <c r="A401" s="780"/>
      <c r="B401" s="798"/>
      <c r="C401" s="798"/>
      <c r="D401" s="798"/>
      <c r="E401" s="798"/>
      <c r="F401" s="798"/>
      <c r="G401" s="798"/>
      <c r="H401" s="798"/>
      <c r="I401" s="798"/>
      <c r="J401" s="798"/>
      <c r="K401" s="798"/>
      <c r="L401" s="798"/>
      <c r="M401" s="798"/>
      <c r="N401" s="798"/>
      <c r="O401" s="752"/>
    </row>
    <row r="402" spans="1:15" s="117" customFormat="1" x14ac:dyDescent="0.25">
      <c r="A402" s="780"/>
      <c r="B402" s="798"/>
      <c r="C402" s="798"/>
      <c r="D402" s="798"/>
      <c r="E402" s="798"/>
      <c r="F402" s="798"/>
      <c r="G402" s="798"/>
      <c r="H402" s="798"/>
      <c r="I402" s="798"/>
      <c r="J402" s="798"/>
      <c r="K402" s="798"/>
      <c r="L402" s="798"/>
      <c r="M402" s="798"/>
      <c r="N402" s="798"/>
      <c r="O402" s="752"/>
    </row>
    <row r="403" spans="1:15" s="117" customFormat="1" x14ac:dyDescent="0.25">
      <c r="A403" s="780"/>
      <c r="B403" s="798"/>
      <c r="C403" s="798"/>
      <c r="D403" s="798"/>
      <c r="E403" s="798"/>
      <c r="F403" s="798"/>
      <c r="G403" s="798"/>
      <c r="H403" s="798"/>
      <c r="I403" s="798"/>
      <c r="J403" s="798"/>
      <c r="K403" s="798"/>
      <c r="L403" s="798"/>
      <c r="M403" s="798"/>
      <c r="N403" s="798"/>
      <c r="O403" s="752"/>
    </row>
    <row r="404" spans="1:15" s="117" customFormat="1" x14ac:dyDescent="0.25">
      <c r="A404" s="780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52"/>
    </row>
    <row r="405" spans="1:15" s="117" customFormat="1" x14ac:dyDescent="0.25">
      <c r="A405" s="780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52"/>
    </row>
    <row r="406" spans="1:15" s="117" customFormat="1" x14ac:dyDescent="0.25">
      <c r="A406" s="780"/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52"/>
    </row>
    <row r="407" spans="1:15" s="117" customFormat="1" x14ac:dyDescent="0.25">
      <c r="A407" s="780"/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52"/>
    </row>
    <row r="408" spans="1:15" s="117" customFormat="1" x14ac:dyDescent="0.25">
      <c r="A408" s="780"/>
      <c r="B408" s="798"/>
      <c r="C408" s="798"/>
      <c r="D408" s="798"/>
      <c r="E408" s="798"/>
      <c r="F408" s="798"/>
      <c r="G408" s="798"/>
      <c r="H408" s="798"/>
      <c r="I408" s="798"/>
      <c r="J408" s="798"/>
      <c r="K408" s="798"/>
      <c r="L408" s="798"/>
      <c r="M408" s="798"/>
      <c r="N408" s="798"/>
      <c r="O408" s="752"/>
    </row>
    <row r="409" spans="1:15" s="117" customFormat="1" x14ac:dyDescent="0.25">
      <c r="A409" s="780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52"/>
    </row>
    <row r="410" spans="1:15" s="117" customFormat="1" x14ac:dyDescent="0.25">
      <c r="A410" s="780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52"/>
    </row>
    <row r="411" spans="1:15" s="117" customFormat="1" x14ac:dyDescent="0.25">
      <c r="A411" s="780"/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52"/>
    </row>
    <row r="412" spans="1:15" s="117" customFormat="1" x14ac:dyDescent="0.25">
      <c r="A412" s="780"/>
      <c r="B412" s="798"/>
      <c r="C412" s="798"/>
      <c r="D412" s="798"/>
      <c r="E412" s="798"/>
      <c r="F412" s="798"/>
      <c r="G412" s="798"/>
      <c r="H412" s="798"/>
      <c r="I412" s="798"/>
      <c r="J412" s="798"/>
      <c r="K412" s="798"/>
      <c r="L412" s="798"/>
      <c r="M412" s="798"/>
      <c r="N412" s="798"/>
      <c r="O412" s="752"/>
    </row>
    <row r="413" spans="1:15" s="117" customFormat="1" x14ac:dyDescent="0.25">
      <c r="A413" s="780"/>
      <c r="B413" s="798"/>
      <c r="C413" s="798"/>
      <c r="D413" s="798"/>
      <c r="E413" s="798"/>
      <c r="F413" s="798"/>
      <c r="G413" s="798"/>
      <c r="H413" s="798"/>
      <c r="I413" s="798"/>
      <c r="J413" s="798"/>
      <c r="K413" s="798"/>
      <c r="L413" s="798"/>
      <c r="M413" s="798"/>
      <c r="N413" s="798"/>
      <c r="O413" s="752"/>
    </row>
    <row r="414" spans="1:15" s="117" customFormat="1" x14ac:dyDescent="0.25">
      <c r="A414" s="780"/>
      <c r="B414" s="798"/>
      <c r="C414" s="798"/>
      <c r="D414" s="798"/>
      <c r="E414" s="798"/>
      <c r="F414" s="798"/>
      <c r="G414" s="798"/>
      <c r="H414" s="798"/>
      <c r="I414" s="798"/>
      <c r="J414" s="798"/>
      <c r="K414" s="798"/>
      <c r="L414" s="798"/>
      <c r="M414" s="798"/>
      <c r="N414" s="798"/>
      <c r="O414" s="752"/>
    </row>
    <row r="415" spans="1:15" s="117" customFormat="1" x14ac:dyDescent="0.25">
      <c r="A415" s="780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52"/>
    </row>
    <row r="416" spans="1:15" s="117" customFormat="1" x14ac:dyDescent="0.25">
      <c r="A416" s="780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52"/>
    </row>
    <row r="417" spans="1:15" s="117" customFormat="1" x14ac:dyDescent="0.25">
      <c r="A417" s="780"/>
      <c r="B417" s="798"/>
      <c r="C417" s="798"/>
      <c r="D417" s="798"/>
      <c r="E417" s="798"/>
      <c r="F417" s="798"/>
      <c r="G417" s="798"/>
      <c r="H417" s="798"/>
      <c r="I417" s="798"/>
      <c r="J417" s="798"/>
      <c r="K417" s="798"/>
      <c r="L417" s="798"/>
      <c r="M417" s="798"/>
      <c r="N417" s="798"/>
      <c r="O417" s="752"/>
    </row>
    <row r="418" spans="1:15" s="117" customFormat="1" ht="16.5" customHeight="1" x14ac:dyDescent="0.25">
      <c r="A418" s="780"/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52"/>
    </row>
    <row r="419" spans="1:15" s="117" customFormat="1" ht="15.75" thickBot="1" x14ac:dyDescent="0.3">
      <c r="A419" s="754"/>
      <c r="B419" s="755"/>
      <c r="C419" s="755"/>
      <c r="D419" s="755"/>
      <c r="E419" s="755"/>
      <c r="F419" s="755"/>
      <c r="G419" s="755"/>
      <c r="H419" s="755"/>
      <c r="I419" s="755"/>
      <c r="J419" s="755"/>
      <c r="K419" s="755"/>
      <c r="L419" s="755"/>
      <c r="M419" s="755"/>
      <c r="N419" s="755"/>
      <c r="O419" s="756"/>
    </row>
    <row r="420" spans="1:15" s="117" customFormat="1" ht="15.75" thickBot="1" x14ac:dyDescent="0.3"/>
    <row r="421" spans="1:15" s="117" customFormat="1" x14ac:dyDescent="0.25">
      <c r="A421" s="799"/>
      <c r="B421" s="800"/>
      <c r="C421" s="800"/>
      <c r="D421" s="800"/>
      <c r="E421" s="800"/>
      <c r="F421" s="800"/>
      <c r="G421" s="800"/>
      <c r="H421" s="800"/>
      <c r="I421" s="800"/>
      <c r="J421" s="800"/>
      <c r="K421" s="800"/>
      <c r="L421" s="800"/>
      <c r="M421" s="800"/>
      <c r="N421" s="800"/>
      <c r="O421" s="801"/>
    </row>
    <row r="422" spans="1:15" s="117" customFormat="1" x14ac:dyDescent="0.25">
      <c r="A422" s="814" t="s">
        <v>0</v>
      </c>
      <c r="B422" s="774" t="s">
        <v>47</v>
      </c>
      <c r="C422" s="775"/>
      <c r="D422" s="775"/>
      <c r="E422" s="775"/>
      <c r="F422" s="775"/>
      <c r="G422" s="775"/>
      <c r="H422" s="775"/>
      <c r="I422" s="775"/>
      <c r="J422" s="811" t="s">
        <v>2</v>
      </c>
      <c r="K422" s="776">
        <v>81</v>
      </c>
      <c r="L422" s="775"/>
      <c r="M422" s="811" t="s">
        <v>17</v>
      </c>
      <c r="N422" s="777">
        <f>EN_04003_m+EN_04003_p</f>
        <v>45.125457566598897</v>
      </c>
      <c r="O422" s="752"/>
    </row>
    <row r="423" spans="1:15" s="117" customFormat="1" x14ac:dyDescent="0.25">
      <c r="A423" s="814" t="s">
        <v>4</v>
      </c>
      <c r="B423" s="775" t="s">
        <v>289</v>
      </c>
      <c r="C423" s="804"/>
      <c r="D423" s="815" t="s">
        <v>7</v>
      </c>
      <c r="E423" s="775"/>
      <c r="F423" s="775"/>
      <c r="G423" s="775"/>
      <c r="H423" s="775"/>
      <c r="I423" s="775"/>
      <c r="J423" s="775"/>
      <c r="K423" s="775"/>
      <c r="L423" s="775"/>
      <c r="M423" s="811" t="s">
        <v>5</v>
      </c>
      <c r="N423" s="778">
        <v>1</v>
      </c>
      <c r="O423" s="752"/>
    </row>
    <row r="424" spans="1:15" s="117" customFormat="1" x14ac:dyDescent="0.25">
      <c r="A424" s="814" t="s">
        <v>6</v>
      </c>
      <c r="B424" s="685" t="s">
        <v>203</v>
      </c>
      <c r="C424" s="775"/>
      <c r="D424" s="812" t="s">
        <v>9</v>
      </c>
      <c r="E424" s="775"/>
      <c r="F424" s="775"/>
      <c r="G424" s="775"/>
      <c r="H424" s="775"/>
      <c r="I424" s="775"/>
      <c r="J424" s="812" t="s">
        <v>7</v>
      </c>
      <c r="K424" s="775"/>
      <c r="L424" s="775"/>
      <c r="M424" s="775"/>
      <c r="N424" s="779"/>
      <c r="O424" s="752"/>
    </row>
    <row r="425" spans="1:15" s="117" customFormat="1" x14ac:dyDescent="0.25">
      <c r="A425" s="814" t="s">
        <v>16</v>
      </c>
      <c r="B425" s="775" t="s">
        <v>206</v>
      </c>
      <c r="C425" s="775"/>
      <c r="D425" s="812" t="s">
        <v>13</v>
      </c>
      <c r="E425" s="775"/>
      <c r="F425" s="775"/>
      <c r="G425" s="775"/>
      <c r="H425" s="775"/>
      <c r="I425" s="775"/>
      <c r="J425" s="812" t="s">
        <v>9</v>
      </c>
      <c r="K425" s="775"/>
      <c r="L425" s="775"/>
      <c r="M425" s="811" t="s">
        <v>10</v>
      </c>
      <c r="N425" s="777">
        <f>N422*N423</f>
        <v>45.125457566598897</v>
      </c>
      <c r="O425" s="752"/>
    </row>
    <row r="426" spans="1:15" s="117" customFormat="1" x14ac:dyDescent="0.25">
      <c r="A426" s="814" t="s">
        <v>8</v>
      </c>
      <c r="B426" s="775" t="s">
        <v>324</v>
      </c>
      <c r="C426" s="775"/>
      <c r="D426" s="775"/>
      <c r="E426" s="775"/>
      <c r="F426" s="775"/>
      <c r="G426" s="775"/>
      <c r="H426" s="775"/>
      <c r="I426" s="775"/>
      <c r="J426" s="812" t="s">
        <v>13</v>
      </c>
      <c r="K426" s="775"/>
      <c r="L426" s="775"/>
      <c r="M426" s="775"/>
      <c r="N426" s="775"/>
      <c r="O426" s="752"/>
    </row>
    <row r="427" spans="1:15" s="117" customFormat="1" x14ac:dyDescent="0.25">
      <c r="A427" s="814" t="s">
        <v>11</v>
      </c>
      <c r="B427" s="775" t="s">
        <v>12</v>
      </c>
      <c r="C427" s="775"/>
      <c r="D427" s="775"/>
      <c r="E427" s="775"/>
      <c r="F427" s="775"/>
      <c r="G427" s="775"/>
      <c r="H427" s="775"/>
      <c r="I427" s="775"/>
      <c r="J427" s="775"/>
      <c r="K427" s="775"/>
      <c r="L427" s="775"/>
      <c r="M427" s="775"/>
      <c r="N427" s="775"/>
      <c r="O427" s="752"/>
    </row>
    <row r="428" spans="1:15" s="117" customFormat="1" x14ac:dyDescent="0.25">
      <c r="A428" s="814" t="s">
        <v>14</v>
      </c>
      <c r="B428" s="774"/>
      <c r="C428" s="775"/>
      <c r="D428" s="775"/>
      <c r="E428" s="775"/>
      <c r="F428" s="775"/>
      <c r="G428" s="775"/>
      <c r="H428" s="775"/>
      <c r="I428" s="775"/>
      <c r="J428" s="775"/>
      <c r="K428" s="775"/>
      <c r="L428" s="775"/>
      <c r="M428" s="775"/>
      <c r="N428" s="775"/>
      <c r="O428" s="752"/>
    </row>
    <row r="429" spans="1:15" s="117" customFormat="1" x14ac:dyDescent="0.25">
      <c r="A429" s="780"/>
      <c r="B429" s="779"/>
      <c r="C429" s="779"/>
      <c r="D429" s="779"/>
      <c r="E429" s="779"/>
      <c r="F429" s="779"/>
      <c r="G429" s="779"/>
      <c r="H429" s="779"/>
      <c r="I429" s="779"/>
      <c r="J429" s="779"/>
      <c r="K429" s="779"/>
      <c r="L429" s="779"/>
      <c r="M429" s="779"/>
      <c r="N429" s="779"/>
      <c r="O429" s="752"/>
    </row>
    <row r="430" spans="1:15" s="117" customFormat="1" x14ac:dyDescent="0.25">
      <c r="A430" s="809" t="s">
        <v>15</v>
      </c>
      <c r="B430" s="810" t="s">
        <v>20</v>
      </c>
      <c r="C430" s="810" t="s">
        <v>21</v>
      </c>
      <c r="D430" s="810" t="s">
        <v>22</v>
      </c>
      <c r="E430" s="810" t="s">
        <v>23</v>
      </c>
      <c r="F430" s="810" t="s">
        <v>24</v>
      </c>
      <c r="G430" s="810" t="s">
        <v>25</v>
      </c>
      <c r="H430" s="810" t="s">
        <v>26</v>
      </c>
      <c r="I430" s="810" t="s">
        <v>27</v>
      </c>
      <c r="J430" s="810" t="s">
        <v>28</v>
      </c>
      <c r="K430" s="810" t="s">
        <v>29</v>
      </c>
      <c r="L430" s="810" t="s">
        <v>30</v>
      </c>
      <c r="M430" s="810" t="s">
        <v>18</v>
      </c>
      <c r="N430" s="810" t="s">
        <v>19</v>
      </c>
      <c r="O430" s="752"/>
    </row>
    <row r="431" spans="1:15" s="117" customFormat="1" x14ac:dyDescent="0.25">
      <c r="A431" s="802">
        <v>10</v>
      </c>
      <c r="B431" s="781" t="s">
        <v>234</v>
      </c>
      <c r="C431" s="782" t="s">
        <v>338</v>
      </c>
      <c r="D431" s="730">
        <v>4.2</v>
      </c>
      <c r="E431" s="783"/>
      <c r="F431" s="784"/>
      <c r="G431" s="783"/>
      <c r="H431" s="733"/>
      <c r="I431" s="785" t="s">
        <v>339</v>
      </c>
      <c r="J431" s="786">
        <f>PI()*0.183^2/4</f>
        <v>2.6302199094017143E-2</v>
      </c>
      <c r="K431" s="736">
        <v>3.3000000000000002E-2</v>
      </c>
      <c r="L431" s="990">
        <v>2712</v>
      </c>
      <c r="M431" s="737">
        <v>1</v>
      </c>
      <c r="N431" s="738">
        <f>IF(J431="",D431*M431,D431*J431*K431*L431*M431)</f>
        <v>9.8865547624962655</v>
      </c>
      <c r="O431" s="752"/>
    </row>
    <row r="432" spans="1:15" s="117" customFormat="1" x14ac:dyDescent="0.25">
      <c r="A432" s="721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807" t="s">
        <v>19</v>
      </c>
      <c r="N432" s="808">
        <f>SUM(N431:N431)</f>
        <v>9.8865547624962655</v>
      </c>
      <c r="O432" s="752"/>
    </row>
    <row r="433" spans="1:15" s="117" customFormat="1" x14ac:dyDescent="0.25">
      <c r="A433" s="787"/>
      <c r="B433" s="779"/>
      <c r="C433" s="779"/>
      <c r="D433" s="779"/>
      <c r="E433" s="779"/>
      <c r="F433" s="779"/>
      <c r="G433" s="779"/>
      <c r="H433" s="779"/>
      <c r="I433" s="779"/>
      <c r="J433" s="779"/>
      <c r="K433" s="779"/>
      <c r="L433" s="779"/>
      <c r="M433" s="779"/>
      <c r="N433" s="779"/>
      <c r="O433" s="752"/>
    </row>
    <row r="434" spans="1:15" s="117" customFormat="1" x14ac:dyDescent="0.25">
      <c r="A434" s="809" t="s">
        <v>15</v>
      </c>
      <c r="B434" s="810" t="s">
        <v>32</v>
      </c>
      <c r="C434" s="810" t="s">
        <v>21</v>
      </c>
      <c r="D434" s="810" t="s">
        <v>22</v>
      </c>
      <c r="E434" s="810" t="s">
        <v>33</v>
      </c>
      <c r="F434" s="810" t="s">
        <v>18</v>
      </c>
      <c r="G434" s="810" t="s">
        <v>34</v>
      </c>
      <c r="H434" s="810" t="s">
        <v>35</v>
      </c>
      <c r="I434" s="810" t="s">
        <v>19</v>
      </c>
      <c r="J434" s="720"/>
      <c r="K434" s="720"/>
      <c r="L434" s="720"/>
      <c r="M434" s="720"/>
      <c r="N434" s="720"/>
      <c r="O434" s="752"/>
    </row>
    <row r="435" spans="1:15" s="117" customFormat="1" ht="30" x14ac:dyDescent="0.25">
      <c r="A435" s="802">
        <v>10</v>
      </c>
      <c r="B435" s="796" t="s">
        <v>50</v>
      </c>
      <c r="C435" s="796" t="s">
        <v>340</v>
      </c>
      <c r="D435" s="730">
        <v>1.3</v>
      </c>
      <c r="E435" s="784" t="s">
        <v>36</v>
      </c>
      <c r="F435" s="783">
        <v>1</v>
      </c>
      <c r="G435" s="797"/>
      <c r="H435" s="797"/>
      <c r="I435" s="743">
        <f t="shared" ref="I435:I441" si="0">F435*D435</f>
        <v>1.3</v>
      </c>
      <c r="J435" s="779"/>
      <c r="K435" s="779"/>
      <c r="L435" s="779"/>
      <c r="M435" s="779"/>
      <c r="N435" s="779"/>
      <c r="O435" s="752"/>
    </row>
    <row r="436" spans="1:15" s="117" customFormat="1" x14ac:dyDescent="0.25">
      <c r="A436" s="802">
        <v>20</v>
      </c>
      <c r="B436" s="796" t="s">
        <v>241</v>
      </c>
      <c r="C436" s="796" t="s">
        <v>341</v>
      </c>
      <c r="D436" s="730">
        <v>0.04</v>
      </c>
      <c r="E436" s="784" t="s">
        <v>243</v>
      </c>
      <c r="F436" s="803">
        <f>J431*K431*1000000-167</f>
        <v>700.97257010256578</v>
      </c>
      <c r="G436" s="797"/>
      <c r="H436" s="797"/>
      <c r="I436" s="743">
        <f t="shared" si="0"/>
        <v>28.038902804102634</v>
      </c>
      <c r="J436" s="779"/>
      <c r="K436" s="779"/>
      <c r="L436" s="779"/>
      <c r="M436" s="779"/>
      <c r="N436" s="779"/>
      <c r="O436" s="752"/>
    </row>
    <row r="437" spans="1:15" s="117" customFormat="1" ht="30" x14ac:dyDescent="0.25">
      <c r="A437" s="802">
        <v>30</v>
      </c>
      <c r="B437" s="796" t="s">
        <v>342</v>
      </c>
      <c r="C437" s="796" t="s">
        <v>343</v>
      </c>
      <c r="D437" s="730">
        <v>0.65</v>
      </c>
      <c r="E437" s="784" t="s">
        <v>36</v>
      </c>
      <c r="F437" s="783">
        <v>1</v>
      </c>
      <c r="G437" s="797"/>
      <c r="H437" s="797"/>
      <c r="I437" s="743">
        <f t="shared" si="0"/>
        <v>0.65</v>
      </c>
      <c r="J437" s="779"/>
      <c r="K437" s="779"/>
      <c r="L437" s="779"/>
      <c r="M437" s="779"/>
      <c r="N437" s="779"/>
      <c r="O437" s="752"/>
    </row>
    <row r="438" spans="1:15" s="117" customFormat="1" ht="30" x14ac:dyDescent="0.25">
      <c r="A438" s="802">
        <v>40</v>
      </c>
      <c r="B438" s="796" t="s">
        <v>241</v>
      </c>
      <c r="C438" s="796" t="s">
        <v>344</v>
      </c>
      <c r="D438" s="730">
        <v>0.04</v>
      </c>
      <c r="E438" s="784" t="s">
        <v>243</v>
      </c>
      <c r="F438" s="783">
        <v>7.5</v>
      </c>
      <c r="G438" s="797"/>
      <c r="H438" s="797"/>
      <c r="I438" s="743">
        <f t="shared" si="0"/>
        <v>0.3</v>
      </c>
      <c r="J438" s="779"/>
      <c r="K438" s="779"/>
      <c r="L438" s="779"/>
      <c r="M438" s="779"/>
      <c r="N438" s="779"/>
      <c r="O438" s="752"/>
    </row>
    <row r="439" spans="1:15" s="117" customFormat="1" x14ac:dyDescent="0.25">
      <c r="A439" s="802">
        <v>50</v>
      </c>
      <c r="B439" s="796" t="s">
        <v>345</v>
      </c>
      <c r="C439" s="796" t="s">
        <v>346</v>
      </c>
      <c r="D439" s="730">
        <v>0.35</v>
      </c>
      <c r="E439" s="784" t="s">
        <v>247</v>
      </c>
      <c r="F439" s="783">
        <v>6</v>
      </c>
      <c r="G439" s="797"/>
      <c r="H439" s="797"/>
      <c r="I439" s="743">
        <f t="shared" si="0"/>
        <v>2.0999999999999996</v>
      </c>
      <c r="J439" s="779"/>
      <c r="K439" s="779"/>
      <c r="L439" s="779"/>
      <c r="M439" s="779"/>
      <c r="N439" s="779"/>
      <c r="O439" s="752"/>
    </row>
    <row r="440" spans="1:15" s="117" customFormat="1" ht="30" x14ac:dyDescent="0.25">
      <c r="A440" s="802">
        <v>60</v>
      </c>
      <c r="B440" s="796" t="s">
        <v>333</v>
      </c>
      <c r="C440" s="796" t="s">
        <v>347</v>
      </c>
      <c r="D440" s="730">
        <v>1.3</v>
      </c>
      <c r="E440" s="784" t="s">
        <v>36</v>
      </c>
      <c r="F440" s="783">
        <v>1</v>
      </c>
      <c r="G440" s="797"/>
      <c r="H440" s="797"/>
      <c r="I440" s="743">
        <f t="shared" si="0"/>
        <v>1.3</v>
      </c>
      <c r="J440" s="779"/>
      <c r="K440" s="779"/>
      <c r="L440" s="779"/>
      <c r="M440" s="779"/>
      <c r="N440" s="779"/>
      <c r="O440" s="752"/>
    </row>
    <row r="441" spans="1:15" s="117" customFormat="1" x14ac:dyDescent="0.25">
      <c r="A441" s="802">
        <v>70</v>
      </c>
      <c r="B441" s="796" t="s">
        <v>335</v>
      </c>
      <c r="C441" s="796" t="s">
        <v>348</v>
      </c>
      <c r="D441" s="730">
        <v>0.5</v>
      </c>
      <c r="E441" s="784" t="s">
        <v>53</v>
      </c>
      <c r="F441" s="783">
        <v>3.1</v>
      </c>
      <c r="G441" s="797"/>
      <c r="H441" s="797"/>
      <c r="I441" s="743">
        <f t="shared" si="0"/>
        <v>1.55</v>
      </c>
      <c r="J441" s="779"/>
      <c r="K441" s="779"/>
      <c r="L441" s="779"/>
      <c r="M441" s="779"/>
      <c r="N441" s="779"/>
      <c r="O441" s="752"/>
    </row>
    <row r="442" spans="1:15" s="117" customFormat="1" x14ac:dyDescent="0.25">
      <c r="A442" s="721"/>
      <c r="B442" s="720"/>
      <c r="C442" s="720"/>
      <c r="D442" s="720"/>
      <c r="E442" s="720"/>
      <c r="F442" s="720"/>
      <c r="G442" s="720"/>
      <c r="H442" s="807" t="s">
        <v>19</v>
      </c>
      <c r="I442" s="808">
        <f>SUM(I435:I441)</f>
        <v>35.238902804102629</v>
      </c>
      <c r="J442" s="720"/>
      <c r="K442" s="720"/>
      <c r="L442" s="720"/>
      <c r="M442" s="720"/>
      <c r="N442" s="720"/>
      <c r="O442" s="752"/>
    </row>
    <row r="443" spans="1:15" s="117" customFormat="1" x14ac:dyDescent="0.25">
      <c r="A443" s="780"/>
      <c r="B443" s="798"/>
      <c r="C443" s="798"/>
      <c r="D443" s="798"/>
      <c r="E443" s="798"/>
      <c r="F443" s="798"/>
      <c r="G443" s="798"/>
      <c r="H443" s="798"/>
      <c r="I443" s="798"/>
      <c r="J443" s="798"/>
      <c r="K443" s="798"/>
      <c r="L443" s="798"/>
      <c r="M443" s="798"/>
      <c r="N443" s="798"/>
      <c r="O443" s="752"/>
    </row>
    <row r="444" spans="1:15" s="117" customFormat="1" x14ac:dyDescent="0.25">
      <c r="A444" s="780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52"/>
    </row>
    <row r="445" spans="1:15" s="117" customFormat="1" x14ac:dyDescent="0.25">
      <c r="A445" s="780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52"/>
    </row>
    <row r="446" spans="1:15" s="117" customFormat="1" x14ac:dyDescent="0.25">
      <c r="A446" s="780"/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52"/>
    </row>
    <row r="447" spans="1:15" s="117" customFormat="1" x14ac:dyDescent="0.25">
      <c r="A447" s="780"/>
      <c r="B447" s="798"/>
      <c r="C447" s="798"/>
      <c r="D447" s="798"/>
      <c r="E447" s="798"/>
      <c r="F447" s="798"/>
      <c r="G447" s="798"/>
      <c r="H447" s="798"/>
      <c r="I447" s="798"/>
      <c r="J447" s="798"/>
      <c r="K447" s="798"/>
      <c r="L447" s="798"/>
      <c r="M447" s="798"/>
      <c r="N447" s="798"/>
      <c r="O447" s="752"/>
    </row>
    <row r="448" spans="1:15" s="117" customFormat="1" x14ac:dyDescent="0.25">
      <c r="A448" s="780"/>
      <c r="B448" s="798"/>
      <c r="C448" s="798"/>
      <c r="D448" s="798"/>
      <c r="E448" s="798"/>
      <c r="F448" s="798"/>
      <c r="G448" s="798"/>
      <c r="H448" s="798"/>
      <c r="I448" s="798"/>
      <c r="J448" s="798"/>
      <c r="K448" s="798"/>
      <c r="L448" s="798"/>
      <c r="M448" s="798"/>
      <c r="N448" s="798"/>
      <c r="O448" s="752"/>
    </row>
    <row r="449" spans="1:15" s="117" customFormat="1" x14ac:dyDescent="0.25">
      <c r="A449" s="780"/>
      <c r="B449" s="798"/>
      <c r="C449" s="798"/>
      <c r="D449" s="798"/>
      <c r="E449" s="798"/>
      <c r="F449" s="798"/>
      <c r="G449" s="798"/>
      <c r="H449" s="798"/>
      <c r="I449" s="798"/>
      <c r="J449" s="798"/>
      <c r="K449" s="798"/>
      <c r="L449" s="798"/>
      <c r="M449" s="798"/>
      <c r="N449" s="798"/>
      <c r="O449" s="752"/>
    </row>
    <row r="450" spans="1:15" s="117" customFormat="1" x14ac:dyDescent="0.25">
      <c r="A450" s="780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52"/>
    </row>
    <row r="451" spans="1:15" s="117" customFormat="1" x14ac:dyDescent="0.25">
      <c r="A451" s="780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52"/>
    </row>
    <row r="452" spans="1:15" s="117" customFormat="1" x14ac:dyDescent="0.25">
      <c r="A452" s="780"/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52"/>
    </row>
    <row r="453" spans="1:15" s="117" customFormat="1" x14ac:dyDescent="0.25">
      <c r="A453" s="780"/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52"/>
    </row>
    <row r="454" spans="1:15" s="117" customFormat="1" x14ac:dyDescent="0.25">
      <c r="A454" s="780"/>
      <c r="B454" s="798"/>
      <c r="C454" s="798"/>
      <c r="D454" s="798"/>
      <c r="E454" s="798"/>
      <c r="F454" s="798"/>
      <c r="G454" s="798"/>
      <c r="H454" s="798"/>
      <c r="I454" s="798"/>
      <c r="J454" s="798"/>
      <c r="K454" s="798"/>
      <c r="L454" s="798"/>
      <c r="M454" s="798"/>
      <c r="N454" s="798"/>
      <c r="O454" s="752"/>
    </row>
    <row r="455" spans="1:15" s="117" customFormat="1" x14ac:dyDescent="0.25">
      <c r="A455" s="780"/>
      <c r="B455" s="798"/>
      <c r="C455" s="798"/>
      <c r="D455" s="798"/>
      <c r="E455" s="798"/>
      <c r="F455" s="798"/>
      <c r="G455" s="798"/>
      <c r="H455" s="798"/>
      <c r="I455" s="798"/>
      <c r="J455" s="798"/>
      <c r="K455" s="798"/>
      <c r="L455" s="798"/>
      <c r="M455" s="798"/>
      <c r="N455" s="798"/>
      <c r="O455" s="752"/>
    </row>
    <row r="456" spans="1:15" s="117" customFormat="1" x14ac:dyDescent="0.25">
      <c r="A456" s="780"/>
      <c r="B456" s="798"/>
      <c r="C456" s="798"/>
      <c r="D456" s="798"/>
      <c r="E456" s="798"/>
      <c r="F456" s="798"/>
      <c r="G456" s="798"/>
      <c r="H456" s="798"/>
      <c r="I456" s="798"/>
      <c r="J456" s="798"/>
      <c r="K456" s="798"/>
      <c r="L456" s="798"/>
      <c r="M456" s="798"/>
      <c r="N456" s="798"/>
      <c r="O456" s="752"/>
    </row>
    <row r="457" spans="1:15" s="117" customFormat="1" x14ac:dyDescent="0.25">
      <c r="A457" s="780"/>
      <c r="B457" s="798"/>
      <c r="C457" s="798"/>
      <c r="D457" s="798"/>
      <c r="E457" s="798"/>
      <c r="F457" s="798"/>
      <c r="G457" s="798"/>
      <c r="H457" s="798"/>
      <c r="I457" s="798"/>
      <c r="J457" s="798"/>
      <c r="K457" s="798"/>
      <c r="L457" s="798"/>
      <c r="M457" s="798"/>
      <c r="N457" s="798"/>
      <c r="O457" s="752"/>
    </row>
    <row r="458" spans="1:15" s="117" customFormat="1" x14ac:dyDescent="0.25">
      <c r="A458" s="780"/>
      <c r="B458" s="798"/>
      <c r="C458" s="798"/>
      <c r="D458" s="798"/>
      <c r="E458" s="798"/>
      <c r="F458" s="798"/>
      <c r="G458" s="798"/>
      <c r="H458" s="798"/>
      <c r="I458" s="798"/>
      <c r="J458" s="798"/>
      <c r="K458" s="798"/>
      <c r="L458" s="798"/>
      <c r="M458" s="798"/>
      <c r="N458" s="798"/>
      <c r="O458" s="752"/>
    </row>
    <row r="459" spans="1:15" s="117" customFormat="1" x14ac:dyDescent="0.25">
      <c r="A459" s="780"/>
      <c r="B459" s="798"/>
      <c r="C459" s="798"/>
      <c r="D459" s="798"/>
      <c r="E459" s="798"/>
      <c r="F459" s="798"/>
      <c r="G459" s="798"/>
      <c r="H459" s="798"/>
      <c r="I459" s="798"/>
      <c r="J459" s="798"/>
      <c r="K459" s="798"/>
      <c r="L459" s="798"/>
      <c r="M459" s="798"/>
      <c r="N459" s="798"/>
      <c r="O459" s="752"/>
    </row>
    <row r="460" spans="1:15" s="117" customFormat="1" x14ac:dyDescent="0.25">
      <c r="A460" s="780"/>
      <c r="B460" s="798"/>
      <c r="C460" s="798"/>
      <c r="D460" s="798"/>
      <c r="E460" s="798"/>
      <c r="F460" s="798"/>
      <c r="G460" s="798"/>
      <c r="H460" s="798"/>
      <c r="I460" s="798"/>
      <c r="J460" s="798"/>
      <c r="K460" s="798"/>
      <c r="L460" s="798"/>
      <c r="M460" s="798"/>
      <c r="N460" s="798"/>
      <c r="O460" s="752"/>
    </row>
    <row r="461" spans="1:15" s="117" customFormat="1" x14ac:dyDescent="0.25">
      <c r="A461" s="780"/>
      <c r="B461" s="798"/>
      <c r="C461" s="798"/>
      <c r="D461" s="798"/>
      <c r="E461" s="798"/>
      <c r="F461" s="798"/>
      <c r="G461" s="798"/>
      <c r="H461" s="798"/>
      <c r="I461" s="798"/>
      <c r="J461" s="798"/>
      <c r="K461" s="798"/>
      <c r="L461" s="798"/>
      <c r="M461" s="798"/>
      <c r="N461" s="798"/>
      <c r="O461" s="752"/>
    </row>
    <row r="462" spans="1:15" s="117" customFormat="1" x14ac:dyDescent="0.25">
      <c r="A462" s="780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52"/>
    </row>
    <row r="463" spans="1:15" s="117" customFormat="1" x14ac:dyDescent="0.25">
      <c r="A463" s="780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52"/>
    </row>
    <row r="464" spans="1:15" s="117" customFormat="1" x14ac:dyDescent="0.25">
      <c r="A464" s="780"/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52"/>
    </row>
    <row r="465" spans="1:15" s="117" customFormat="1" x14ac:dyDescent="0.25">
      <c r="A465" s="780"/>
      <c r="B465" s="798"/>
      <c r="C465" s="798"/>
      <c r="D465" s="798"/>
      <c r="E465" s="798"/>
      <c r="F465" s="798"/>
      <c r="G465" s="798"/>
      <c r="H465" s="798"/>
      <c r="I465" s="798"/>
      <c r="J465" s="798"/>
      <c r="K465" s="798"/>
      <c r="L465" s="798"/>
      <c r="M465" s="798"/>
      <c r="N465" s="798"/>
      <c r="O465" s="752"/>
    </row>
    <row r="466" spans="1:15" s="117" customFormat="1" ht="15.75" thickBot="1" x14ac:dyDescent="0.3">
      <c r="A466" s="754"/>
      <c r="B466" s="755"/>
      <c r="C466" s="755"/>
      <c r="D466" s="755"/>
      <c r="E466" s="755"/>
      <c r="F466" s="755"/>
      <c r="G466" s="755"/>
      <c r="H466" s="755"/>
      <c r="I466" s="755"/>
      <c r="J466" s="755"/>
      <c r="K466" s="755"/>
      <c r="L466" s="755"/>
      <c r="M466" s="755"/>
      <c r="N466" s="755"/>
      <c r="O466" s="756"/>
    </row>
    <row r="467" spans="1:15" s="117" customFormat="1" ht="15.75" thickBot="1" x14ac:dyDescent="0.3"/>
    <row r="468" spans="1:15" s="117" customFormat="1" x14ac:dyDescent="0.25">
      <c r="A468" s="799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1"/>
    </row>
    <row r="469" spans="1:15" s="117" customFormat="1" x14ac:dyDescent="0.25">
      <c r="A469" s="814" t="s">
        <v>0</v>
      </c>
      <c r="B469" s="774" t="s">
        <v>47</v>
      </c>
      <c r="C469" s="775"/>
      <c r="D469" s="775"/>
      <c r="E469" s="775"/>
      <c r="F469" s="775"/>
      <c r="G469" s="775"/>
      <c r="H469" s="775"/>
      <c r="I469" s="775"/>
      <c r="J469" s="811" t="s">
        <v>2</v>
      </c>
      <c r="K469" s="776">
        <v>81</v>
      </c>
      <c r="L469" s="775"/>
      <c r="M469" s="811" t="s">
        <v>17</v>
      </c>
      <c r="N469" s="777">
        <f>EN_04004_m+EN_04004_p</f>
        <v>0.29995320045156315</v>
      </c>
      <c r="O469" s="752"/>
    </row>
    <row r="470" spans="1:15" s="117" customFormat="1" x14ac:dyDescent="0.25">
      <c r="A470" s="814" t="s">
        <v>4</v>
      </c>
      <c r="B470" s="775" t="s">
        <v>289</v>
      </c>
      <c r="C470" s="775"/>
      <c r="D470" s="812" t="s">
        <v>7</v>
      </c>
      <c r="E470" s="775"/>
      <c r="F470" s="775"/>
      <c r="G470" s="775"/>
      <c r="H470" s="775"/>
      <c r="I470" s="775"/>
      <c r="J470" s="775"/>
      <c r="K470" s="775"/>
      <c r="L470" s="775"/>
      <c r="M470" s="811" t="s">
        <v>5</v>
      </c>
      <c r="N470" s="778">
        <v>6</v>
      </c>
      <c r="O470" s="752"/>
    </row>
    <row r="471" spans="1:15" s="117" customFormat="1" x14ac:dyDescent="0.25">
      <c r="A471" s="814" t="s">
        <v>6</v>
      </c>
      <c r="B471" s="685" t="s">
        <v>203</v>
      </c>
      <c r="C471" s="775"/>
      <c r="D471" s="812" t="s">
        <v>9</v>
      </c>
      <c r="E471" s="775"/>
      <c r="F471" s="775"/>
      <c r="G471" s="775"/>
      <c r="H471" s="775"/>
      <c r="I471" s="775"/>
      <c r="J471" s="812" t="s">
        <v>7</v>
      </c>
      <c r="K471" s="775"/>
      <c r="L471" s="775"/>
      <c r="M471" s="775"/>
      <c r="N471" s="779"/>
      <c r="O471" s="752"/>
    </row>
    <row r="472" spans="1:15" s="117" customFormat="1" x14ac:dyDescent="0.25">
      <c r="A472" s="814" t="s">
        <v>16</v>
      </c>
      <c r="B472" s="775" t="s">
        <v>207</v>
      </c>
      <c r="C472" s="775"/>
      <c r="D472" s="812" t="s">
        <v>13</v>
      </c>
      <c r="E472" s="775"/>
      <c r="F472" s="775"/>
      <c r="G472" s="775"/>
      <c r="H472" s="775"/>
      <c r="I472" s="775"/>
      <c r="J472" s="812" t="s">
        <v>9</v>
      </c>
      <c r="K472" s="775"/>
      <c r="L472" s="775"/>
      <c r="M472" s="811" t="s">
        <v>10</v>
      </c>
      <c r="N472" s="777">
        <f>N469*N470</f>
        <v>1.7997192027093789</v>
      </c>
      <c r="O472" s="752"/>
    </row>
    <row r="473" spans="1:15" s="117" customFormat="1" x14ac:dyDescent="0.25">
      <c r="A473" s="814" t="s">
        <v>8</v>
      </c>
      <c r="B473" s="775" t="s">
        <v>326</v>
      </c>
      <c r="C473" s="775"/>
      <c r="D473" s="775"/>
      <c r="E473" s="775"/>
      <c r="F473" s="775"/>
      <c r="G473" s="775"/>
      <c r="H473" s="775"/>
      <c r="I473" s="775"/>
      <c r="J473" s="812" t="s">
        <v>13</v>
      </c>
      <c r="K473" s="775"/>
      <c r="L473" s="775"/>
      <c r="M473" s="775"/>
      <c r="N473" s="775"/>
      <c r="O473" s="752"/>
    </row>
    <row r="474" spans="1:15" s="117" customFormat="1" x14ac:dyDescent="0.25">
      <c r="A474" s="814" t="s">
        <v>11</v>
      </c>
      <c r="B474" s="775" t="s">
        <v>12</v>
      </c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52"/>
    </row>
    <row r="475" spans="1:15" s="117" customFormat="1" x14ac:dyDescent="0.25">
      <c r="A475" s="814" t="s">
        <v>14</v>
      </c>
      <c r="B475" s="774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52"/>
    </row>
    <row r="476" spans="1:15" s="117" customFormat="1" x14ac:dyDescent="0.25">
      <c r="A476" s="780"/>
      <c r="B476" s="779"/>
      <c r="C476" s="779"/>
      <c r="D476" s="779"/>
      <c r="E476" s="779"/>
      <c r="F476" s="779"/>
      <c r="G476" s="779"/>
      <c r="H476" s="779"/>
      <c r="I476" s="779"/>
      <c r="J476" s="779"/>
      <c r="K476" s="779"/>
      <c r="L476" s="779"/>
      <c r="M476" s="779"/>
      <c r="N476" s="779"/>
      <c r="O476" s="752"/>
    </row>
    <row r="477" spans="1:15" s="117" customFormat="1" x14ac:dyDescent="0.25">
      <c r="A477" s="809" t="s">
        <v>15</v>
      </c>
      <c r="B477" s="810" t="s">
        <v>20</v>
      </c>
      <c r="C477" s="810" t="s">
        <v>21</v>
      </c>
      <c r="D477" s="810" t="s">
        <v>22</v>
      </c>
      <c r="E477" s="810" t="s">
        <v>23</v>
      </c>
      <c r="F477" s="810" t="s">
        <v>24</v>
      </c>
      <c r="G477" s="810" t="s">
        <v>25</v>
      </c>
      <c r="H477" s="810" t="s">
        <v>26</v>
      </c>
      <c r="I477" s="810" t="s">
        <v>27</v>
      </c>
      <c r="J477" s="810" t="s">
        <v>28</v>
      </c>
      <c r="K477" s="810" t="s">
        <v>29</v>
      </c>
      <c r="L477" s="810" t="s">
        <v>30</v>
      </c>
      <c r="M477" s="810" t="s">
        <v>18</v>
      </c>
      <c r="N477" s="810" t="s">
        <v>19</v>
      </c>
      <c r="O477" s="752"/>
    </row>
    <row r="478" spans="1:15" s="117" customFormat="1" x14ac:dyDescent="0.25">
      <c r="A478" s="802">
        <v>10</v>
      </c>
      <c r="B478" s="781" t="s">
        <v>91</v>
      </c>
      <c r="C478" s="782">
        <v>4.2</v>
      </c>
      <c r="D478" s="730">
        <v>4.2</v>
      </c>
      <c r="E478" s="783">
        <v>1.7999999999999999E-2</v>
      </c>
      <c r="F478" s="784" t="s">
        <v>271</v>
      </c>
      <c r="G478" s="783"/>
      <c r="H478" s="733"/>
      <c r="I478" s="785" t="s">
        <v>349</v>
      </c>
      <c r="J478" s="786">
        <f>E478*E478*PI()/4</f>
        <v>2.5446900494077322E-4</v>
      </c>
      <c r="K478" s="805">
        <v>8.9999999999999993E-3</v>
      </c>
      <c r="L478" s="990">
        <v>2712</v>
      </c>
      <c r="M478" s="737">
        <v>1</v>
      </c>
      <c r="N478" s="738">
        <f>IF(J478="",D478*M478,D478*J478*K478*L478*M478)</f>
        <v>2.6086533784896448E-2</v>
      </c>
      <c r="O478" s="752"/>
    </row>
    <row r="479" spans="1:15" s="117" customFormat="1" x14ac:dyDescent="0.25">
      <c r="A479" s="721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807" t="s">
        <v>19</v>
      </c>
      <c r="N479" s="808">
        <f>SUM(N478:N478)</f>
        <v>2.6086533784896448E-2</v>
      </c>
      <c r="O479" s="752"/>
    </row>
    <row r="480" spans="1:15" s="117" customFormat="1" x14ac:dyDescent="0.25">
      <c r="A480" s="787"/>
      <c r="B480" s="779"/>
      <c r="C480" s="779"/>
      <c r="D480" s="779"/>
      <c r="E480" s="779"/>
      <c r="F480" s="779"/>
      <c r="G480" s="779"/>
      <c r="H480" s="779"/>
      <c r="I480" s="779"/>
      <c r="J480" s="779"/>
      <c r="K480" s="779"/>
      <c r="L480" s="779"/>
      <c r="M480" s="779"/>
      <c r="N480" s="779"/>
      <c r="O480" s="752"/>
    </row>
    <row r="481" spans="1:15" s="117" customFormat="1" x14ac:dyDescent="0.25">
      <c r="A481" s="809" t="s">
        <v>15</v>
      </c>
      <c r="B481" s="810" t="s">
        <v>32</v>
      </c>
      <c r="C481" s="810" t="s">
        <v>21</v>
      </c>
      <c r="D481" s="810" t="s">
        <v>22</v>
      </c>
      <c r="E481" s="810" t="s">
        <v>33</v>
      </c>
      <c r="F481" s="810" t="s">
        <v>18</v>
      </c>
      <c r="G481" s="810" t="s">
        <v>34</v>
      </c>
      <c r="H481" s="810" t="s">
        <v>35</v>
      </c>
      <c r="I481" s="810" t="s">
        <v>19</v>
      </c>
      <c r="J481" s="720"/>
      <c r="K481" s="720"/>
      <c r="L481" s="720"/>
      <c r="M481" s="720"/>
      <c r="N481" s="720"/>
      <c r="O481" s="752"/>
    </row>
    <row r="482" spans="1:15" s="117" customFormat="1" ht="30" x14ac:dyDescent="0.25">
      <c r="A482" s="802">
        <v>10</v>
      </c>
      <c r="B482" s="796" t="s">
        <v>50</v>
      </c>
      <c r="C482" s="46"/>
      <c r="D482" s="730">
        <v>1.3</v>
      </c>
      <c r="E482" s="784" t="s">
        <v>36</v>
      </c>
      <c r="F482" s="783">
        <v>1</v>
      </c>
      <c r="G482" s="796" t="s">
        <v>350</v>
      </c>
      <c r="H482" s="797">
        <f>1/6</f>
        <v>0.16666666666666666</v>
      </c>
      <c r="I482" s="743">
        <f>D482*F482*H482</f>
        <v>0.21666666666666667</v>
      </c>
      <c r="J482" s="779"/>
      <c r="K482" s="779"/>
      <c r="L482" s="779"/>
      <c r="M482" s="779"/>
      <c r="N482" s="779"/>
      <c r="O482" s="752"/>
    </row>
    <row r="483" spans="1:15" s="117" customFormat="1" x14ac:dyDescent="0.25">
      <c r="A483" s="802">
        <v>20</v>
      </c>
      <c r="B483" s="796" t="s">
        <v>241</v>
      </c>
      <c r="C483" s="796"/>
      <c r="D483" s="730">
        <v>0.04</v>
      </c>
      <c r="E483" s="784" t="s">
        <v>243</v>
      </c>
      <c r="F483" s="791">
        <v>1.43</v>
      </c>
      <c r="G483" s="797" t="s">
        <v>244</v>
      </c>
      <c r="H483" s="797">
        <v>1</v>
      </c>
      <c r="I483" s="743">
        <f>H483*F483*D483</f>
        <v>5.7200000000000001E-2</v>
      </c>
      <c r="J483" s="779"/>
      <c r="K483" s="779"/>
      <c r="L483" s="779"/>
      <c r="M483" s="779"/>
      <c r="N483" s="779"/>
      <c r="O483" s="752"/>
    </row>
    <row r="484" spans="1:15" s="117" customFormat="1" x14ac:dyDescent="0.25">
      <c r="A484" s="721"/>
      <c r="B484" s="720"/>
      <c r="C484" s="720"/>
      <c r="D484" s="720"/>
      <c r="E484" s="720"/>
      <c r="F484" s="720"/>
      <c r="G484" s="720"/>
      <c r="H484" s="807" t="s">
        <v>19</v>
      </c>
      <c r="I484" s="808">
        <f>SUM(I482:I483)</f>
        <v>0.2738666666666667</v>
      </c>
      <c r="J484" s="720"/>
      <c r="K484" s="720"/>
      <c r="L484" s="720"/>
      <c r="M484" s="720"/>
      <c r="N484" s="720"/>
      <c r="O484" s="752"/>
    </row>
    <row r="485" spans="1:15" s="117" customFormat="1" x14ac:dyDescent="0.25">
      <c r="A485" s="780"/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52"/>
    </row>
    <row r="486" spans="1:15" s="117" customFormat="1" ht="15.75" thickBot="1" x14ac:dyDescent="0.3">
      <c r="A486" s="754"/>
      <c r="B486" s="755"/>
      <c r="C486" s="755"/>
      <c r="D486" s="755"/>
      <c r="E486" s="755"/>
      <c r="F486" s="755"/>
      <c r="G486" s="755"/>
      <c r="H486" s="755"/>
      <c r="I486" s="755"/>
      <c r="J486" s="755"/>
      <c r="K486" s="755"/>
      <c r="L486" s="755"/>
      <c r="M486" s="755"/>
      <c r="N486" s="755"/>
      <c r="O486" s="756"/>
    </row>
    <row r="487" spans="1:15" s="117" customFormat="1" ht="15.75" thickBot="1" x14ac:dyDescent="0.3"/>
    <row r="488" spans="1:15" s="117" customFormat="1" x14ac:dyDescent="0.25">
      <c r="A488" s="799"/>
      <c r="B488" s="800"/>
      <c r="C488" s="800"/>
      <c r="D488" s="800"/>
      <c r="E488" s="800"/>
      <c r="F488" s="800"/>
      <c r="G488" s="800"/>
      <c r="H488" s="800"/>
      <c r="I488" s="800"/>
      <c r="J488" s="800"/>
      <c r="K488" s="800"/>
      <c r="L488" s="800"/>
      <c r="M488" s="800"/>
      <c r="N488" s="800"/>
      <c r="O488" s="801"/>
    </row>
    <row r="489" spans="1:15" s="117" customFormat="1" x14ac:dyDescent="0.25">
      <c r="A489" s="814" t="s">
        <v>0</v>
      </c>
      <c r="B489" s="774" t="s">
        <v>47</v>
      </c>
      <c r="C489" s="775"/>
      <c r="D489" s="775"/>
      <c r="E489" s="775"/>
      <c r="F489" s="775"/>
      <c r="G489" s="775"/>
      <c r="H489" s="775"/>
      <c r="I489" s="775"/>
      <c r="J489" s="811" t="s">
        <v>2</v>
      </c>
      <c r="K489" s="776">
        <v>81</v>
      </c>
      <c r="L489" s="775"/>
      <c r="M489" s="811" t="s">
        <v>17</v>
      </c>
      <c r="N489" s="777">
        <f>EN_04005_m+EN_04005_p</f>
        <v>9.6882263437499994</v>
      </c>
      <c r="O489" s="752"/>
    </row>
    <row r="490" spans="1:15" s="117" customFormat="1" x14ac:dyDescent="0.25">
      <c r="A490" s="814" t="s">
        <v>4</v>
      </c>
      <c r="B490" s="775" t="s">
        <v>289</v>
      </c>
      <c r="C490" s="804"/>
      <c r="D490" s="813" t="s">
        <v>7</v>
      </c>
      <c r="E490" s="775"/>
      <c r="F490" s="775"/>
      <c r="G490" s="775"/>
      <c r="H490" s="775"/>
      <c r="I490" s="775"/>
      <c r="J490" s="775"/>
      <c r="K490" s="775"/>
      <c r="L490" s="775"/>
      <c r="M490" s="811" t="s">
        <v>5</v>
      </c>
      <c r="N490" s="778">
        <v>1</v>
      </c>
      <c r="O490" s="752"/>
    </row>
    <row r="491" spans="1:15" s="117" customFormat="1" x14ac:dyDescent="0.25">
      <c r="A491" s="814" t="s">
        <v>6</v>
      </c>
      <c r="B491" s="685" t="s">
        <v>203</v>
      </c>
      <c r="C491" s="775"/>
      <c r="D491" s="812" t="s">
        <v>9</v>
      </c>
      <c r="E491" s="775"/>
      <c r="F491" s="775"/>
      <c r="G491" s="775"/>
      <c r="H491" s="775"/>
      <c r="I491" s="775"/>
      <c r="J491" s="812" t="s">
        <v>7</v>
      </c>
      <c r="K491" s="775"/>
      <c r="L491" s="775"/>
      <c r="M491" s="775"/>
      <c r="N491" s="779"/>
      <c r="O491" s="752"/>
    </row>
    <row r="492" spans="1:15" s="117" customFormat="1" x14ac:dyDescent="0.25">
      <c r="A492" s="814" t="s">
        <v>16</v>
      </c>
      <c r="B492" s="775" t="s">
        <v>357</v>
      </c>
      <c r="C492" s="775"/>
      <c r="D492" s="812" t="s">
        <v>13</v>
      </c>
      <c r="E492" s="775"/>
      <c r="F492" s="775"/>
      <c r="G492" s="775"/>
      <c r="H492" s="775"/>
      <c r="I492" s="775"/>
      <c r="J492" s="812" t="s">
        <v>9</v>
      </c>
      <c r="K492" s="775"/>
      <c r="L492" s="775"/>
      <c r="M492" s="811" t="s">
        <v>10</v>
      </c>
      <c r="N492" s="777">
        <f>N489*N490</f>
        <v>9.6882263437499994</v>
      </c>
      <c r="O492" s="752"/>
    </row>
    <row r="493" spans="1:15" s="117" customFormat="1" x14ac:dyDescent="0.25">
      <c r="A493" s="814" t="s">
        <v>8</v>
      </c>
      <c r="B493" s="775" t="s">
        <v>325</v>
      </c>
      <c r="C493" s="775"/>
      <c r="D493" s="775"/>
      <c r="E493" s="775"/>
      <c r="F493" s="775"/>
      <c r="G493" s="775"/>
      <c r="H493" s="775"/>
      <c r="I493" s="775"/>
      <c r="J493" s="812" t="s">
        <v>13</v>
      </c>
      <c r="K493" s="775"/>
      <c r="L493" s="775"/>
      <c r="M493" s="775"/>
      <c r="N493" s="775"/>
      <c r="O493" s="752"/>
    </row>
    <row r="494" spans="1:15" s="117" customFormat="1" x14ac:dyDescent="0.25">
      <c r="A494" s="814" t="s">
        <v>11</v>
      </c>
      <c r="B494" s="775" t="s">
        <v>12</v>
      </c>
      <c r="C494" s="775"/>
      <c r="D494" s="775"/>
      <c r="E494" s="775"/>
      <c r="F494" s="775"/>
      <c r="G494" s="775"/>
      <c r="H494" s="775"/>
      <c r="I494" s="775"/>
      <c r="J494" s="775"/>
      <c r="K494" s="775"/>
      <c r="L494" s="775"/>
      <c r="M494" s="775"/>
      <c r="N494" s="775"/>
      <c r="O494" s="752"/>
    </row>
    <row r="495" spans="1:15" s="117" customFormat="1" x14ac:dyDescent="0.25">
      <c r="A495" s="814" t="s">
        <v>14</v>
      </c>
      <c r="B495" s="774"/>
      <c r="C495" s="775"/>
      <c r="D495" s="775"/>
      <c r="E495" s="775"/>
      <c r="F495" s="775"/>
      <c r="G495" s="775"/>
      <c r="H495" s="775"/>
      <c r="I495" s="775"/>
      <c r="J495" s="775"/>
      <c r="K495" s="775"/>
      <c r="L495" s="775"/>
      <c r="M495" s="775"/>
      <c r="N495" s="775"/>
      <c r="O495" s="752"/>
    </row>
    <row r="496" spans="1:15" s="117" customFormat="1" x14ac:dyDescent="0.25">
      <c r="A496" s="780"/>
      <c r="B496" s="779"/>
      <c r="C496" s="779"/>
      <c r="D496" s="779"/>
      <c r="E496" s="779"/>
      <c r="F496" s="779"/>
      <c r="G496" s="779"/>
      <c r="H496" s="779"/>
      <c r="I496" s="779"/>
      <c r="J496" s="779"/>
      <c r="K496" s="779"/>
      <c r="L496" s="779"/>
      <c r="M496" s="779"/>
      <c r="N496" s="779"/>
      <c r="O496" s="752"/>
    </row>
    <row r="497" spans="1:15" s="117" customFormat="1" x14ac:dyDescent="0.25">
      <c r="A497" s="809" t="s">
        <v>15</v>
      </c>
      <c r="B497" s="810" t="s">
        <v>20</v>
      </c>
      <c r="C497" s="810" t="s">
        <v>21</v>
      </c>
      <c r="D497" s="810" t="s">
        <v>22</v>
      </c>
      <c r="E497" s="810" t="s">
        <v>23</v>
      </c>
      <c r="F497" s="810" t="s">
        <v>24</v>
      </c>
      <c r="G497" s="810" t="s">
        <v>25</v>
      </c>
      <c r="H497" s="810" t="s">
        <v>26</v>
      </c>
      <c r="I497" s="810" t="s">
        <v>27</v>
      </c>
      <c r="J497" s="810" t="s">
        <v>28</v>
      </c>
      <c r="K497" s="810" t="s">
        <v>29</v>
      </c>
      <c r="L497" s="810" t="s">
        <v>30</v>
      </c>
      <c r="M497" s="810" t="s">
        <v>18</v>
      </c>
      <c r="N497" s="810" t="s">
        <v>19</v>
      </c>
      <c r="O497" s="752"/>
    </row>
    <row r="498" spans="1:15" s="117" customFormat="1" ht="30" x14ac:dyDescent="0.25">
      <c r="A498" s="802">
        <v>10</v>
      </c>
      <c r="B498" s="781" t="s">
        <v>107</v>
      </c>
      <c r="C498" s="782" t="s">
        <v>355</v>
      </c>
      <c r="D498" s="730">
        <v>2.25</v>
      </c>
      <c r="E498" s="783"/>
      <c r="F498" s="784"/>
      <c r="G498" s="783"/>
      <c r="H498" s="733"/>
      <c r="I498" s="785" t="s">
        <v>351</v>
      </c>
      <c r="J498" s="786">
        <f>0.077*0.003</f>
        <v>2.31E-4</v>
      </c>
      <c r="K498" s="736">
        <f>0.5175+0.185</f>
        <v>0.7024999999999999</v>
      </c>
      <c r="L498" s="990">
        <v>7850</v>
      </c>
      <c r="M498" s="991">
        <v>1</v>
      </c>
      <c r="N498" s="738">
        <f>IF(J498="",D498*M498,D498*J498*K498*L498*M498)</f>
        <v>2.8662263437499997</v>
      </c>
      <c r="O498" s="752"/>
    </row>
    <row r="499" spans="1:15" s="117" customFormat="1" x14ac:dyDescent="0.25">
      <c r="A499" s="721"/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807" t="s">
        <v>19</v>
      </c>
      <c r="N499" s="808">
        <f>SUM(N498:N498)</f>
        <v>2.8662263437499997</v>
      </c>
      <c r="O499" s="752"/>
    </row>
    <row r="500" spans="1:15" s="117" customFormat="1" x14ac:dyDescent="0.25">
      <c r="A500" s="787"/>
      <c r="B500" s="779"/>
      <c r="C500" s="779"/>
      <c r="D500" s="779"/>
      <c r="E500" s="779"/>
      <c r="F500" s="779"/>
      <c r="G500" s="779"/>
      <c r="H500" s="779"/>
      <c r="I500" s="779"/>
      <c r="J500" s="779"/>
      <c r="K500" s="779"/>
      <c r="L500" s="779"/>
      <c r="M500" s="779"/>
      <c r="N500" s="779"/>
      <c r="O500" s="752"/>
    </row>
    <row r="501" spans="1:15" s="117" customFormat="1" x14ac:dyDescent="0.25">
      <c r="A501" s="814" t="s">
        <v>15</v>
      </c>
      <c r="B501" s="810" t="s">
        <v>32</v>
      </c>
      <c r="C501" s="810" t="s">
        <v>21</v>
      </c>
      <c r="D501" s="810" t="s">
        <v>22</v>
      </c>
      <c r="E501" s="810" t="s">
        <v>33</v>
      </c>
      <c r="F501" s="810" t="s">
        <v>18</v>
      </c>
      <c r="G501" s="810" t="s">
        <v>34</v>
      </c>
      <c r="H501" s="810" t="s">
        <v>35</v>
      </c>
      <c r="I501" s="810" t="s">
        <v>19</v>
      </c>
      <c r="J501" s="720"/>
      <c r="K501" s="720"/>
      <c r="L501" s="720"/>
      <c r="M501" s="720"/>
      <c r="N501" s="720"/>
      <c r="O501" s="752"/>
    </row>
    <row r="502" spans="1:15" s="117" customFormat="1" ht="30" x14ac:dyDescent="0.25">
      <c r="A502" s="802">
        <v>10</v>
      </c>
      <c r="B502" s="796" t="s">
        <v>50</v>
      </c>
      <c r="C502" s="796" t="s">
        <v>352</v>
      </c>
      <c r="D502" s="730">
        <v>1.3</v>
      </c>
      <c r="E502" s="784" t="s">
        <v>36</v>
      </c>
      <c r="F502" s="783">
        <v>1</v>
      </c>
      <c r="G502" s="797"/>
      <c r="H502" s="797"/>
      <c r="I502" s="743">
        <f>F502*D502</f>
        <v>1.3</v>
      </c>
      <c r="J502" s="779"/>
      <c r="K502" s="779"/>
      <c r="L502" s="779"/>
      <c r="M502" s="779"/>
      <c r="N502" s="779"/>
      <c r="O502" s="806"/>
    </row>
    <row r="503" spans="1:15" s="117" customFormat="1" x14ac:dyDescent="0.25">
      <c r="A503" s="802">
        <v>20</v>
      </c>
      <c r="B503" s="796" t="s">
        <v>52</v>
      </c>
      <c r="C503" s="796" t="s">
        <v>356</v>
      </c>
      <c r="D503" s="730">
        <v>0.01</v>
      </c>
      <c r="E503" s="784" t="s">
        <v>53</v>
      </c>
      <c r="F503" s="783">
        <v>132.4</v>
      </c>
      <c r="G503" s="797" t="s">
        <v>288</v>
      </c>
      <c r="H503" s="797">
        <v>3</v>
      </c>
      <c r="I503" s="743">
        <f>H503*F503*D503</f>
        <v>3.9720000000000004</v>
      </c>
      <c r="J503" s="779"/>
      <c r="K503" s="779"/>
      <c r="L503" s="779"/>
      <c r="M503" s="779"/>
      <c r="N503" s="779"/>
      <c r="O503" s="752"/>
    </row>
    <row r="504" spans="1:15" s="117" customFormat="1" x14ac:dyDescent="0.25">
      <c r="A504" s="802">
        <v>30</v>
      </c>
      <c r="B504" s="796" t="s">
        <v>109</v>
      </c>
      <c r="C504" s="796" t="s">
        <v>353</v>
      </c>
      <c r="D504" s="730">
        <v>0.25</v>
      </c>
      <c r="E504" s="784" t="s">
        <v>112</v>
      </c>
      <c r="F504" s="783">
        <v>2</v>
      </c>
      <c r="G504" s="797"/>
      <c r="H504" s="797"/>
      <c r="I504" s="743">
        <f>F504*D504</f>
        <v>0.5</v>
      </c>
      <c r="J504" s="779"/>
      <c r="K504" s="779"/>
      <c r="L504" s="779"/>
      <c r="M504" s="779"/>
      <c r="N504" s="779"/>
      <c r="O504" s="752"/>
    </row>
    <row r="505" spans="1:15" s="117" customFormat="1" ht="30" x14ac:dyDescent="0.25">
      <c r="A505" s="802">
        <v>40</v>
      </c>
      <c r="B505" s="796" t="s">
        <v>345</v>
      </c>
      <c r="C505" s="796" t="s">
        <v>354</v>
      </c>
      <c r="D505" s="730">
        <v>0.35</v>
      </c>
      <c r="E505" s="784" t="s">
        <v>247</v>
      </c>
      <c r="F505" s="783">
        <v>3</v>
      </c>
      <c r="G505" s="797"/>
      <c r="H505" s="797"/>
      <c r="I505" s="743">
        <f>F505*D505</f>
        <v>1.0499999999999998</v>
      </c>
      <c r="J505" s="779"/>
      <c r="K505" s="779"/>
      <c r="L505" s="779"/>
      <c r="M505" s="779"/>
      <c r="N505" s="779"/>
      <c r="O505" s="752"/>
    </row>
    <row r="506" spans="1:15" s="117" customFormat="1" x14ac:dyDescent="0.25">
      <c r="A506" s="721"/>
      <c r="B506" s="720"/>
      <c r="C506" s="720"/>
      <c r="D506" s="720"/>
      <c r="E506" s="720"/>
      <c r="F506" s="720"/>
      <c r="G506" s="720"/>
      <c r="H506" s="807" t="s">
        <v>19</v>
      </c>
      <c r="I506" s="808">
        <f>SUM(I502:I505)</f>
        <v>6.8220000000000001</v>
      </c>
      <c r="J506" s="720"/>
      <c r="K506" s="720"/>
      <c r="L506" s="720"/>
      <c r="M506" s="720"/>
      <c r="N506" s="720"/>
      <c r="O506" s="752"/>
    </row>
    <row r="507" spans="1:15" s="117" customFormat="1" x14ac:dyDescent="0.25">
      <c r="A507" s="780"/>
      <c r="B507" s="798"/>
      <c r="C507" s="798"/>
      <c r="D507" s="798"/>
      <c r="E507" s="798"/>
      <c r="F507" s="798"/>
      <c r="G507" s="798"/>
      <c r="H507" s="798"/>
      <c r="I507" s="798"/>
      <c r="J507" s="798"/>
      <c r="K507" s="798"/>
      <c r="L507" s="798"/>
      <c r="M507" s="798"/>
      <c r="N507" s="798"/>
      <c r="O507" s="752"/>
    </row>
    <row r="508" spans="1:15" s="117" customFormat="1" ht="15.75" thickBot="1" x14ac:dyDescent="0.3">
      <c r="A508" s="754"/>
      <c r="B508" s="755"/>
      <c r="C508" s="755"/>
      <c r="D508" s="755"/>
      <c r="E508" s="755"/>
      <c r="F508" s="755"/>
      <c r="G508" s="755"/>
      <c r="H508" s="755"/>
      <c r="I508" s="755"/>
      <c r="J508" s="755"/>
      <c r="K508" s="755"/>
      <c r="L508" s="755"/>
      <c r="M508" s="755"/>
      <c r="N508" s="755"/>
      <c r="O508" s="756"/>
    </row>
    <row r="509" spans="1:15" ht="15.75" thickBot="1" x14ac:dyDescent="0.3">
      <c r="A509" s="651"/>
      <c r="B509" s="651"/>
      <c r="C509" s="651"/>
      <c r="D509" s="651"/>
      <c r="E509" s="651"/>
      <c r="F509" s="651"/>
      <c r="G509" s="651"/>
      <c r="H509" s="651"/>
      <c r="I509" s="651"/>
      <c r="J509" s="651"/>
      <c r="K509" s="651"/>
      <c r="L509" s="651"/>
      <c r="M509" s="651"/>
      <c r="N509" s="651"/>
      <c r="O509" s="651"/>
    </row>
    <row r="510" spans="1:15" x14ac:dyDescent="0.25">
      <c r="A510" s="114"/>
      <c r="B510" s="115"/>
      <c r="C510" s="115"/>
      <c r="D510" s="115"/>
      <c r="E510" s="115"/>
      <c r="F510" s="115"/>
      <c r="G510" s="115"/>
      <c r="H510" s="115"/>
      <c r="I510" s="115"/>
      <c r="J510" s="153"/>
      <c r="K510" s="115"/>
      <c r="L510" s="115"/>
      <c r="M510" s="115"/>
      <c r="N510" s="115"/>
      <c r="O510" s="116"/>
    </row>
    <row r="511" spans="1:15" x14ac:dyDescent="0.25">
      <c r="A511" s="118" t="s">
        <v>0</v>
      </c>
      <c r="B511" s="119" t="s">
        <v>47</v>
      </c>
      <c r="C511" s="120"/>
      <c r="D511" s="120"/>
      <c r="E511" s="120"/>
      <c r="F511" s="120"/>
      <c r="G511" s="120"/>
      <c r="H511" s="120"/>
      <c r="I511" s="120"/>
      <c r="J511" s="121" t="s">
        <v>2</v>
      </c>
      <c r="K511" s="122">
        <v>81</v>
      </c>
      <c r="L511" s="120"/>
      <c r="M511" s="118" t="s">
        <v>17</v>
      </c>
      <c r="N511" s="168">
        <f>EN_05001_m+EN_05001_p</f>
        <v>4.9675120000000001</v>
      </c>
      <c r="O511" s="123"/>
    </row>
    <row r="512" spans="1:15" x14ac:dyDescent="0.25">
      <c r="A512" s="118" t="s">
        <v>4</v>
      </c>
      <c r="B512" s="119" t="s">
        <v>81</v>
      </c>
      <c r="C512" s="120"/>
      <c r="D512" s="118" t="s">
        <v>7</v>
      </c>
      <c r="E512" s="120"/>
      <c r="F512" s="120"/>
      <c r="G512" s="120"/>
      <c r="H512" s="120"/>
      <c r="I512" s="120"/>
      <c r="J512" s="120"/>
      <c r="K512" s="120"/>
      <c r="L512" s="120"/>
      <c r="M512" s="118" t="s">
        <v>5</v>
      </c>
      <c r="N512" s="820">
        <v>1</v>
      </c>
      <c r="O512" s="123"/>
    </row>
    <row r="513" spans="1:15" x14ac:dyDescent="0.25">
      <c r="A513" s="118" t="s">
        <v>6</v>
      </c>
      <c r="B513" s="125" t="str">
        <f>'EN Assemblies'!B223</f>
        <v>Air Intake System</v>
      </c>
      <c r="C513" s="120"/>
      <c r="D513" s="118" t="s">
        <v>9</v>
      </c>
      <c r="E513" s="120"/>
      <c r="F513" s="120"/>
      <c r="G513" s="120"/>
      <c r="H513" s="120"/>
      <c r="I513" s="120"/>
      <c r="J513" s="126" t="s">
        <v>7</v>
      </c>
      <c r="K513" s="120"/>
      <c r="L513" s="120"/>
      <c r="M513" s="120"/>
      <c r="N513" s="169"/>
      <c r="O513" s="123"/>
    </row>
    <row r="514" spans="1:15" x14ac:dyDescent="0.25">
      <c r="A514" s="118" t="s">
        <v>16</v>
      </c>
      <c r="B514" s="127" t="s">
        <v>84</v>
      </c>
      <c r="C514" s="120"/>
      <c r="D514" s="118" t="s">
        <v>13</v>
      </c>
      <c r="E514" s="120"/>
      <c r="F514" s="120"/>
      <c r="G514" s="120"/>
      <c r="H514" s="120"/>
      <c r="I514" s="120"/>
      <c r="J514" s="126" t="s">
        <v>9</v>
      </c>
      <c r="K514" s="120"/>
      <c r="L514" s="120"/>
      <c r="M514" s="118" t="s">
        <v>10</v>
      </c>
      <c r="N514" s="168">
        <f>N512*N511</f>
        <v>4.9675120000000001</v>
      </c>
      <c r="O514" s="123"/>
    </row>
    <row r="515" spans="1:15" x14ac:dyDescent="0.25">
      <c r="A515" s="118" t="s">
        <v>8</v>
      </c>
      <c r="B515" s="127" t="s">
        <v>90</v>
      </c>
      <c r="C515" s="120"/>
      <c r="D515" s="120"/>
      <c r="E515" s="120"/>
      <c r="F515" s="120"/>
      <c r="G515" s="120"/>
      <c r="H515" s="120"/>
      <c r="I515" s="120"/>
      <c r="J515" s="126" t="s">
        <v>13</v>
      </c>
      <c r="K515" s="120"/>
      <c r="L515" s="120"/>
      <c r="M515" s="120"/>
      <c r="N515" s="120"/>
      <c r="O515" s="123"/>
    </row>
    <row r="516" spans="1:15" x14ac:dyDescent="0.25">
      <c r="A516" s="118" t="s">
        <v>11</v>
      </c>
      <c r="B516" s="119" t="s">
        <v>12</v>
      </c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3"/>
    </row>
    <row r="517" spans="1:15" x14ac:dyDescent="0.25">
      <c r="A517" s="118" t="s">
        <v>14</v>
      </c>
      <c r="B517" s="119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3"/>
    </row>
    <row r="518" spans="1:15" x14ac:dyDescent="0.25">
      <c r="A518" s="128"/>
      <c r="B518" s="129"/>
      <c r="C518" s="129"/>
      <c r="D518" s="129"/>
      <c r="E518" s="129"/>
      <c r="F518" s="120"/>
      <c r="G518" s="120"/>
      <c r="H518" s="120"/>
      <c r="I518" s="120"/>
      <c r="J518" s="120"/>
      <c r="K518" s="120"/>
      <c r="L518" s="120"/>
      <c r="M518" s="120"/>
      <c r="N518" s="120"/>
      <c r="O518" s="123"/>
    </row>
    <row r="519" spans="1:15" x14ac:dyDescent="0.25">
      <c r="A519" s="130" t="s">
        <v>15</v>
      </c>
      <c r="B519" s="131" t="s">
        <v>20</v>
      </c>
      <c r="C519" s="131" t="s">
        <v>21</v>
      </c>
      <c r="D519" s="131" t="s">
        <v>22</v>
      </c>
      <c r="E519" s="131" t="s">
        <v>23</v>
      </c>
      <c r="F519" s="132" t="s">
        <v>24</v>
      </c>
      <c r="G519" s="132" t="s">
        <v>25</v>
      </c>
      <c r="H519" s="132" t="s">
        <v>26</v>
      </c>
      <c r="I519" s="132" t="s">
        <v>27</v>
      </c>
      <c r="J519" s="132" t="s">
        <v>28</v>
      </c>
      <c r="K519" s="132" t="s">
        <v>29</v>
      </c>
      <c r="L519" s="132" t="s">
        <v>30</v>
      </c>
      <c r="M519" s="132" t="s">
        <v>18</v>
      </c>
      <c r="N519" s="132" t="s">
        <v>19</v>
      </c>
      <c r="O519" s="123"/>
    </row>
    <row r="520" spans="1:15" x14ac:dyDescent="0.25">
      <c r="A520" s="838">
        <v>10</v>
      </c>
      <c r="B520" s="133" t="s">
        <v>91</v>
      </c>
      <c r="C520" s="134"/>
      <c r="D520" s="160">
        <v>4.2</v>
      </c>
      <c r="E520" s="840">
        <v>0.42299999999999999</v>
      </c>
      <c r="F520" s="134" t="s">
        <v>92</v>
      </c>
      <c r="G520" s="134"/>
      <c r="H520" s="19"/>
      <c r="I520" s="134" t="s">
        <v>93</v>
      </c>
      <c r="J520" s="839">
        <v>6.2E-2</v>
      </c>
      <c r="K520" s="839">
        <v>2.5000000000000001E-3</v>
      </c>
      <c r="L520" s="842">
        <v>2712</v>
      </c>
      <c r="M520" s="991">
        <v>1</v>
      </c>
      <c r="N520" s="160">
        <f>IF(J520="",D520*M520,D520*J520*K520*L520*M520)</f>
        <v>1.7655120000000002</v>
      </c>
      <c r="O520" s="136"/>
    </row>
    <row r="521" spans="1:15" x14ac:dyDescent="0.25">
      <c r="A521" s="137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9" t="s">
        <v>19</v>
      </c>
      <c r="N521" s="161">
        <f>SUM(N520:N520)</f>
        <v>1.7655120000000002</v>
      </c>
      <c r="O521" s="123"/>
    </row>
    <row r="522" spans="1:15" x14ac:dyDescent="0.25">
      <c r="A522" s="14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3"/>
    </row>
    <row r="523" spans="1:15" x14ac:dyDescent="0.25">
      <c r="A523" s="141" t="s">
        <v>15</v>
      </c>
      <c r="B523" s="132" t="s">
        <v>32</v>
      </c>
      <c r="C523" s="132" t="s">
        <v>21</v>
      </c>
      <c r="D523" s="132" t="s">
        <v>22</v>
      </c>
      <c r="E523" s="132" t="s">
        <v>33</v>
      </c>
      <c r="F523" s="132" t="s">
        <v>18</v>
      </c>
      <c r="G523" s="132" t="s">
        <v>34</v>
      </c>
      <c r="H523" s="132" t="s">
        <v>35</v>
      </c>
      <c r="I523" s="132" t="s">
        <v>19</v>
      </c>
      <c r="J523" s="138"/>
      <c r="K523" s="138"/>
      <c r="L523" s="138"/>
      <c r="M523" s="138"/>
      <c r="N523" s="138"/>
      <c r="O523" s="123"/>
    </row>
    <row r="524" spans="1:15" ht="30" x14ac:dyDescent="0.25">
      <c r="A524" s="836">
        <v>10</v>
      </c>
      <c r="B524" s="142" t="s">
        <v>50</v>
      </c>
      <c r="C524" s="143" t="s">
        <v>51</v>
      </c>
      <c r="D524" s="165">
        <v>1.3</v>
      </c>
      <c r="E524" s="142" t="s">
        <v>36</v>
      </c>
      <c r="F524" s="841">
        <v>1</v>
      </c>
      <c r="G524" s="143"/>
      <c r="H524" s="143"/>
      <c r="I524" s="165">
        <f>IF(H524="",D524*F524,D524*F524*H524)</f>
        <v>1.3</v>
      </c>
      <c r="J524" s="144"/>
      <c r="K524" s="144"/>
      <c r="L524" s="144"/>
      <c r="M524" s="144"/>
      <c r="N524" s="144"/>
      <c r="O524" s="145"/>
    </row>
    <row r="525" spans="1:15" x14ac:dyDescent="0.25">
      <c r="A525" s="837">
        <v>20</v>
      </c>
      <c r="B525" s="142" t="s">
        <v>94</v>
      </c>
      <c r="C525" s="146"/>
      <c r="D525" s="160">
        <v>0.01</v>
      </c>
      <c r="E525" s="146" t="s">
        <v>53</v>
      </c>
      <c r="F525" s="835">
        <v>190.2</v>
      </c>
      <c r="G525" s="142"/>
      <c r="H525" s="834">
        <v>1</v>
      </c>
      <c r="I525" s="165">
        <f>IF(H525="",D525*F525,D525*F525*H525)</f>
        <v>1.9019999999999999</v>
      </c>
      <c r="J525" s="120"/>
      <c r="K525" s="120"/>
      <c r="L525" s="120"/>
      <c r="M525" s="120"/>
      <c r="N525" s="120"/>
      <c r="O525" s="123"/>
    </row>
    <row r="526" spans="1:15" x14ac:dyDescent="0.25">
      <c r="A526" s="154"/>
      <c r="B526" s="155"/>
      <c r="C526" s="119"/>
      <c r="D526" s="156"/>
      <c r="E526" s="119"/>
      <c r="F526" s="119"/>
      <c r="G526" s="155"/>
      <c r="H526" s="148" t="s">
        <v>19</v>
      </c>
      <c r="I526" s="161">
        <f>SUM(I524:I525)</f>
        <v>3.202</v>
      </c>
      <c r="J526" s="120"/>
      <c r="K526" s="120"/>
      <c r="L526" s="120"/>
      <c r="M526" s="120"/>
      <c r="N526" s="120"/>
      <c r="O526" s="123"/>
    </row>
    <row r="527" spans="1:15" x14ac:dyDescent="0.25">
      <c r="A527" s="154"/>
      <c r="B527" s="155"/>
      <c r="C527" s="119"/>
      <c r="D527" s="156"/>
      <c r="E527" s="119"/>
      <c r="F527" s="119"/>
      <c r="G527" s="155"/>
      <c r="H527" s="986"/>
      <c r="I527" s="987"/>
      <c r="J527" s="120"/>
      <c r="K527" s="120"/>
      <c r="L527" s="120"/>
      <c r="M527" s="120"/>
      <c r="N527" s="120"/>
      <c r="O527" s="123"/>
    </row>
    <row r="528" spans="1:15" x14ac:dyDescent="0.25">
      <c r="A528" s="154"/>
      <c r="B528" s="155"/>
      <c r="C528" s="119"/>
      <c r="D528" s="156"/>
      <c r="E528" s="119"/>
      <c r="F528" s="119"/>
      <c r="G528" s="155"/>
      <c r="H528" s="986"/>
      <c r="I528" s="987"/>
      <c r="J528" s="120"/>
      <c r="K528" s="120"/>
      <c r="L528" s="120"/>
      <c r="M528" s="120"/>
      <c r="N528" s="120"/>
      <c r="O528" s="123"/>
    </row>
    <row r="529" spans="1:15" x14ac:dyDescent="0.25">
      <c r="A529" s="154"/>
      <c r="B529" s="155"/>
      <c r="C529" s="119"/>
      <c r="D529" s="156"/>
      <c r="E529" s="119"/>
      <c r="F529" s="119"/>
      <c r="G529" s="155"/>
      <c r="H529" s="986"/>
      <c r="I529" s="987"/>
      <c r="J529" s="120"/>
      <c r="K529" s="120"/>
      <c r="L529" s="120"/>
      <c r="M529" s="120"/>
      <c r="N529" s="120"/>
      <c r="O529" s="123"/>
    </row>
    <row r="530" spans="1:15" x14ac:dyDescent="0.25">
      <c r="A530" s="154"/>
      <c r="B530" s="155"/>
      <c r="C530" s="119"/>
      <c r="D530" s="156"/>
      <c r="E530" s="119"/>
      <c r="F530" s="119"/>
      <c r="G530" s="155"/>
      <c r="H530" s="986"/>
      <c r="I530" s="987"/>
      <c r="J530" s="120"/>
      <c r="K530" s="120"/>
      <c r="L530" s="120"/>
      <c r="M530" s="120"/>
      <c r="N530" s="120"/>
      <c r="O530" s="123"/>
    </row>
    <row r="531" spans="1:15" x14ac:dyDescent="0.25">
      <c r="A531" s="154"/>
      <c r="B531" s="155"/>
      <c r="C531" s="119"/>
      <c r="D531" s="156"/>
      <c r="E531" s="119"/>
      <c r="F531" s="119"/>
      <c r="G531" s="155"/>
      <c r="H531" s="986"/>
      <c r="I531" s="987"/>
      <c r="J531" s="120"/>
      <c r="K531" s="120"/>
      <c r="L531" s="120"/>
      <c r="M531" s="120"/>
      <c r="N531" s="120"/>
      <c r="O531" s="123"/>
    </row>
    <row r="532" spans="1:15" x14ac:dyDescent="0.25">
      <c r="A532" s="154"/>
      <c r="B532" s="155"/>
      <c r="C532" s="119"/>
      <c r="D532" s="156"/>
      <c r="E532" s="119"/>
      <c r="F532" s="119"/>
      <c r="G532" s="155"/>
      <c r="H532" s="986"/>
      <c r="I532" s="987"/>
      <c r="J532" s="120"/>
      <c r="K532" s="120"/>
      <c r="L532" s="120"/>
      <c r="M532" s="120"/>
      <c r="N532" s="120"/>
      <c r="O532" s="123"/>
    </row>
    <row r="533" spans="1:15" x14ac:dyDescent="0.25">
      <c r="A533" s="154"/>
      <c r="B533" s="155"/>
      <c r="C533" s="119"/>
      <c r="D533" s="156"/>
      <c r="E533" s="119"/>
      <c r="F533" s="119"/>
      <c r="G533" s="155"/>
      <c r="H533" s="986"/>
      <c r="I533" s="987"/>
      <c r="J533" s="120"/>
      <c r="K533" s="120"/>
      <c r="L533" s="120"/>
      <c r="M533" s="120"/>
      <c r="N533" s="120"/>
      <c r="O533" s="123"/>
    </row>
    <row r="534" spans="1:15" x14ac:dyDescent="0.25">
      <c r="A534" s="154"/>
      <c r="B534" s="155"/>
      <c r="C534" s="119"/>
      <c r="D534" s="156"/>
      <c r="E534" s="119"/>
      <c r="F534" s="119"/>
      <c r="G534" s="155"/>
      <c r="H534" s="986"/>
      <c r="I534" s="987"/>
      <c r="J534" s="120"/>
      <c r="K534" s="120"/>
      <c r="L534" s="120"/>
      <c r="M534" s="120"/>
      <c r="N534" s="120"/>
      <c r="O534" s="123"/>
    </row>
    <row r="535" spans="1:15" x14ac:dyDescent="0.25">
      <c r="A535" s="154"/>
      <c r="B535" s="155"/>
      <c r="C535" s="119"/>
      <c r="D535" s="156"/>
      <c r="E535" s="119"/>
      <c r="F535" s="119"/>
      <c r="G535" s="155"/>
      <c r="H535" s="986"/>
      <c r="I535" s="987"/>
      <c r="J535" s="120"/>
      <c r="K535" s="120"/>
      <c r="L535" s="120"/>
      <c r="M535" s="120"/>
      <c r="N535" s="120"/>
      <c r="O535" s="123"/>
    </row>
    <row r="536" spans="1:15" x14ac:dyDescent="0.25">
      <c r="A536" s="154"/>
      <c r="B536" s="155"/>
      <c r="C536" s="119"/>
      <c r="D536" s="156"/>
      <c r="E536" s="119"/>
      <c r="F536" s="119"/>
      <c r="G536" s="155"/>
      <c r="H536" s="986"/>
      <c r="I536" s="987"/>
      <c r="J536" s="120"/>
      <c r="K536" s="120"/>
      <c r="L536" s="120"/>
      <c r="M536" s="120"/>
      <c r="N536" s="120"/>
      <c r="O536" s="123"/>
    </row>
    <row r="537" spans="1:15" x14ac:dyDescent="0.25">
      <c r="A537" s="154"/>
      <c r="B537" s="155"/>
      <c r="C537" s="119"/>
      <c r="D537" s="156"/>
      <c r="E537" s="119"/>
      <c r="F537" s="119"/>
      <c r="G537" s="155"/>
      <c r="H537" s="986"/>
      <c r="I537" s="987"/>
      <c r="J537" s="120"/>
      <c r="K537" s="120"/>
      <c r="L537" s="120"/>
      <c r="M537" s="120"/>
      <c r="N537" s="120"/>
      <c r="O537" s="123"/>
    </row>
    <row r="538" spans="1:15" x14ac:dyDescent="0.25">
      <c r="A538" s="154"/>
      <c r="B538" s="155"/>
      <c r="C538" s="119"/>
      <c r="D538" s="156"/>
      <c r="E538" s="119"/>
      <c r="F538" s="119"/>
      <c r="G538" s="155"/>
      <c r="H538" s="986"/>
      <c r="I538" s="987"/>
      <c r="J538" s="120"/>
      <c r="K538" s="120"/>
      <c r="L538" s="120"/>
      <c r="M538" s="120"/>
      <c r="N538" s="120"/>
      <c r="O538" s="123"/>
    </row>
    <row r="539" spans="1:15" x14ac:dyDescent="0.25">
      <c r="A539" s="154"/>
      <c r="B539" s="155"/>
      <c r="C539" s="119"/>
      <c r="D539" s="156"/>
      <c r="E539" s="119"/>
      <c r="F539" s="119"/>
      <c r="G539" s="155"/>
      <c r="H539" s="986"/>
      <c r="I539" s="987"/>
      <c r="J539" s="120"/>
      <c r="K539" s="120"/>
      <c r="L539" s="120"/>
      <c r="M539" s="120"/>
      <c r="N539" s="120"/>
      <c r="O539" s="123"/>
    </row>
    <row r="540" spans="1:15" x14ac:dyDescent="0.25">
      <c r="A540" s="154"/>
      <c r="B540" s="155"/>
      <c r="C540" s="119"/>
      <c r="D540" s="156"/>
      <c r="E540" s="119"/>
      <c r="F540" s="119"/>
      <c r="G540" s="155"/>
      <c r="H540" s="986"/>
      <c r="I540" s="987"/>
      <c r="J540" s="120"/>
      <c r="K540" s="120"/>
      <c r="L540" s="120"/>
      <c r="M540" s="120"/>
      <c r="N540" s="120"/>
      <c r="O540" s="123"/>
    </row>
    <row r="541" spans="1:15" x14ac:dyDescent="0.25">
      <c r="A541" s="154"/>
      <c r="B541" s="155"/>
      <c r="C541" s="119"/>
      <c r="D541" s="156"/>
      <c r="E541" s="119"/>
      <c r="F541" s="119"/>
      <c r="G541" s="155"/>
      <c r="H541" s="986"/>
      <c r="I541" s="987"/>
      <c r="J541" s="120"/>
      <c r="K541" s="120"/>
      <c r="L541" s="120"/>
      <c r="M541" s="120"/>
      <c r="N541" s="120"/>
      <c r="O541" s="123"/>
    </row>
    <row r="542" spans="1:15" x14ac:dyDescent="0.25">
      <c r="A542" s="154"/>
      <c r="B542" s="155"/>
      <c r="C542" s="119"/>
      <c r="D542" s="156"/>
      <c r="E542" s="119"/>
      <c r="F542" s="119"/>
      <c r="G542" s="155"/>
      <c r="H542" s="986"/>
      <c r="I542" s="987"/>
      <c r="J542" s="120"/>
      <c r="K542" s="120"/>
      <c r="L542" s="120"/>
      <c r="M542" s="120"/>
      <c r="N542" s="120"/>
      <c r="O542" s="123"/>
    </row>
    <row r="543" spans="1:15" x14ac:dyDescent="0.25">
      <c r="A543" s="154"/>
      <c r="B543" s="155"/>
      <c r="C543" s="119"/>
      <c r="D543" s="156"/>
      <c r="E543" s="119"/>
      <c r="F543" s="119"/>
      <c r="G543" s="155"/>
      <c r="H543" s="986"/>
      <c r="I543" s="987"/>
      <c r="J543" s="120"/>
      <c r="K543" s="120"/>
      <c r="L543" s="120"/>
      <c r="M543" s="120"/>
      <c r="N543" s="120"/>
      <c r="O543" s="123"/>
    </row>
    <row r="544" spans="1:15" x14ac:dyDescent="0.25">
      <c r="A544" s="154"/>
      <c r="B544" s="155"/>
      <c r="C544" s="119"/>
      <c r="D544" s="156"/>
      <c r="E544" s="119"/>
      <c r="F544" s="119"/>
      <c r="G544" s="155"/>
      <c r="H544" s="986"/>
      <c r="I544" s="987"/>
      <c r="J544" s="120"/>
      <c r="K544" s="120"/>
      <c r="L544" s="120"/>
      <c r="M544" s="120"/>
      <c r="N544" s="120"/>
      <c r="O544" s="123"/>
    </row>
    <row r="545" spans="1:15" x14ac:dyDescent="0.25">
      <c r="A545" s="154"/>
      <c r="B545" s="155"/>
      <c r="C545" s="119"/>
      <c r="D545" s="156"/>
      <c r="E545" s="119"/>
      <c r="F545" s="119"/>
      <c r="G545" s="155"/>
      <c r="H545" s="986"/>
      <c r="I545" s="987"/>
      <c r="J545" s="120"/>
      <c r="K545" s="120"/>
      <c r="L545" s="120"/>
      <c r="M545" s="120"/>
      <c r="N545" s="120"/>
      <c r="O545" s="123"/>
    </row>
    <row r="546" spans="1:15" x14ac:dyDescent="0.25">
      <c r="A546" s="154"/>
      <c r="B546" s="155"/>
      <c r="C546" s="119"/>
      <c r="D546" s="156"/>
      <c r="E546" s="119"/>
      <c r="F546" s="119"/>
      <c r="G546" s="155"/>
      <c r="H546" s="986"/>
      <c r="I546" s="987"/>
      <c r="J546" s="120"/>
      <c r="K546" s="120"/>
      <c r="L546" s="120"/>
      <c r="M546" s="120"/>
      <c r="N546" s="120"/>
      <c r="O546" s="123"/>
    </row>
    <row r="547" spans="1:15" x14ac:dyDescent="0.25">
      <c r="A547" s="154"/>
      <c r="B547" s="155"/>
      <c r="C547" s="119"/>
      <c r="D547" s="156"/>
      <c r="E547" s="119"/>
      <c r="F547" s="119"/>
      <c r="G547" s="155"/>
      <c r="H547" s="986"/>
      <c r="I547" s="987"/>
      <c r="J547" s="120"/>
      <c r="K547" s="120"/>
      <c r="L547" s="120"/>
      <c r="M547" s="120"/>
      <c r="N547" s="120"/>
      <c r="O547" s="123"/>
    </row>
    <row r="548" spans="1:15" x14ac:dyDescent="0.25">
      <c r="A548" s="154"/>
      <c r="B548" s="155"/>
      <c r="C548" s="119"/>
      <c r="D548" s="156"/>
      <c r="E548" s="119"/>
      <c r="F548" s="119"/>
      <c r="G548" s="155"/>
      <c r="H548" s="986"/>
      <c r="I548" s="987"/>
      <c r="J548" s="120"/>
      <c r="K548" s="120"/>
      <c r="L548" s="120"/>
      <c r="M548" s="120"/>
      <c r="N548" s="120"/>
      <c r="O548" s="123"/>
    </row>
    <row r="549" spans="1:15" ht="15.75" thickBot="1" x14ac:dyDescent="0.3">
      <c r="A549" s="149"/>
      <c r="B549" s="150"/>
      <c r="C549" s="150"/>
      <c r="D549" s="150"/>
      <c r="E549" s="150"/>
      <c r="F549" s="150"/>
      <c r="G549" s="150"/>
      <c r="H549" s="988"/>
      <c r="I549" s="988"/>
      <c r="J549" s="150"/>
      <c r="K549" s="150"/>
      <c r="L549" s="150"/>
      <c r="M549" s="150"/>
      <c r="N549" s="150"/>
      <c r="O549" s="152"/>
    </row>
    <row r="550" spans="1:15" ht="15.75" thickBot="1" x14ac:dyDescent="0.3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</row>
    <row r="551" spans="1:15" x14ac:dyDescent="0.25">
      <c r="A551" s="114"/>
      <c r="B551" s="115"/>
      <c r="C551" s="115"/>
      <c r="D551" s="115"/>
      <c r="E551" s="115"/>
      <c r="F551" s="115"/>
      <c r="G551" s="115"/>
      <c r="H551" s="115"/>
      <c r="I551" s="115"/>
      <c r="J551" s="153"/>
      <c r="K551" s="115"/>
      <c r="L551" s="115"/>
      <c r="M551" s="115"/>
      <c r="N551" s="115"/>
      <c r="O551" s="116"/>
    </row>
    <row r="552" spans="1:15" x14ac:dyDescent="0.25">
      <c r="A552" s="118" t="s">
        <v>0</v>
      </c>
      <c r="B552" s="119" t="s">
        <v>47</v>
      </c>
      <c r="C552" s="120"/>
      <c r="D552" s="120"/>
      <c r="E552" s="120"/>
      <c r="F552" s="120"/>
      <c r="G552" s="120"/>
      <c r="H552" s="120"/>
      <c r="I552" s="120"/>
      <c r="J552" s="121" t="s">
        <v>2</v>
      </c>
      <c r="K552" s="122">
        <v>81</v>
      </c>
      <c r="L552" s="120"/>
      <c r="M552" s="118" t="s">
        <v>17</v>
      </c>
      <c r="N552" s="168">
        <f>EN_05002_m+EN_05002_p</f>
        <v>18.814900000000002</v>
      </c>
      <c r="O552" s="123"/>
    </row>
    <row r="553" spans="1:15" x14ac:dyDescent="0.25">
      <c r="A553" s="118" t="s">
        <v>4</v>
      </c>
      <c r="B553" s="119" t="s">
        <v>81</v>
      </c>
      <c r="C553" s="120"/>
      <c r="D553" s="118" t="s">
        <v>7</v>
      </c>
      <c r="E553" s="120"/>
      <c r="F553" s="120"/>
      <c r="G553" s="120"/>
      <c r="H553" s="120"/>
      <c r="I553" s="120"/>
      <c r="J553" s="120"/>
      <c r="K553" s="120"/>
      <c r="L553" s="120"/>
      <c r="M553" s="118" t="s">
        <v>5</v>
      </c>
      <c r="N553" s="820">
        <v>1</v>
      </c>
      <c r="O553" s="123"/>
    </row>
    <row r="554" spans="1:15" x14ac:dyDescent="0.25">
      <c r="A554" s="118" t="s">
        <v>6</v>
      </c>
      <c r="B554" s="125" t="str">
        <f>'EN Assemblies'!B223</f>
        <v>Air Intake System</v>
      </c>
      <c r="C554" s="120"/>
      <c r="D554" s="118" t="s">
        <v>9</v>
      </c>
      <c r="E554" s="120"/>
      <c r="F554" s="120"/>
      <c r="G554" s="120"/>
      <c r="H554" s="120"/>
      <c r="I554" s="120"/>
      <c r="J554" s="126" t="s">
        <v>7</v>
      </c>
      <c r="K554" s="120"/>
      <c r="L554" s="120"/>
      <c r="M554" s="120"/>
      <c r="N554" s="169"/>
      <c r="O554" s="123"/>
    </row>
    <row r="555" spans="1:15" x14ac:dyDescent="0.25">
      <c r="A555" s="118" t="s">
        <v>16</v>
      </c>
      <c r="B555" s="127" t="s">
        <v>95</v>
      </c>
      <c r="C555" s="120"/>
      <c r="D555" s="118" t="s">
        <v>13</v>
      </c>
      <c r="E555" s="120"/>
      <c r="F555" s="120"/>
      <c r="G555" s="120"/>
      <c r="H555" s="120"/>
      <c r="I555" s="120"/>
      <c r="J555" s="126" t="s">
        <v>9</v>
      </c>
      <c r="K555" s="120"/>
      <c r="L555" s="120"/>
      <c r="M555" s="118" t="s">
        <v>10</v>
      </c>
      <c r="N555" s="168">
        <f>N553*N552</f>
        <v>18.814900000000002</v>
      </c>
      <c r="O555" s="123"/>
    </row>
    <row r="556" spans="1:15" x14ac:dyDescent="0.25">
      <c r="A556" s="118" t="s">
        <v>8</v>
      </c>
      <c r="B556" s="127" t="s">
        <v>96</v>
      </c>
      <c r="C556" s="120"/>
      <c r="D556" s="120"/>
      <c r="E556" s="120"/>
      <c r="F556" s="120"/>
      <c r="G556" s="120"/>
      <c r="H556" s="120"/>
      <c r="I556" s="120"/>
      <c r="J556" s="126" t="s">
        <v>13</v>
      </c>
      <c r="K556" s="120"/>
      <c r="L556" s="120"/>
      <c r="M556" s="120"/>
      <c r="N556" s="120"/>
      <c r="O556" s="123"/>
    </row>
    <row r="557" spans="1:15" x14ac:dyDescent="0.25">
      <c r="A557" s="118" t="s">
        <v>11</v>
      </c>
      <c r="B557" s="119" t="s">
        <v>12</v>
      </c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3"/>
    </row>
    <row r="558" spans="1:15" x14ac:dyDescent="0.25">
      <c r="A558" s="118" t="s">
        <v>14</v>
      </c>
      <c r="B558" s="119" t="s">
        <v>97</v>
      </c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3"/>
    </row>
    <row r="559" spans="1:15" x14ac:dyDescent="0.25">
      <c r="A559" s="128"/>
      <c r="B559" s="129"/>
      <c r="C559" s="129"/>
      <c r="D559" s="129"/>
      <c r="E559" s="129"/>
      <c r="F559" s="120"/>
      <c r="G559" s="120"/>
      <c r="H559" s="120"/>
      <c r="I559" s="120"/>
      <c r="J559" s="120"/>
      <c r="K559" s="120"/>
      <c r="L559" s="120"/>
      <c r="M559" s="120"/>
      <c r="N559" s="120"/>
      <c r="O559" s="123"/>
    </row>
    <row r="560" spans="1:15" x14ac:dyDescent="0.25">
      <c r="A560" s="130" t="s">
        <v>15</v>
      </c>
      <c r="B560" s="131" t="s">
        <v>20</v>
      </c>
      <c r="C560" s="131" t="s">
        <v>21</v>
      </c>
      <c r="D560" s="131" t="s">
        <v>22</v>
      </c>
      <c r="E560" s="131" t="s">
        <v>23</v>
      </c>
      <c r="F560" s="132" t="s">
        <v>24</v>
      </c>
      <c r="G560" s="132" t="s">
        <v>25</v>
      </c>
      <c r="H560" s="132" t="s">
        <v>26</v>
      </c>
      <c r="I560" s="132" t="s">
        <v>27</v>
      </c>
      <c r="J560" s="132" t="s">
        <v>28</v>
      </c>
      <c r="K560" s="132" t="s">
        <v>29</v>
      </c>
      <c r="L560" s="132" t="s">
        <v>30</v>
      </c>
      <c r="M560" s="132" t="s">
        <v>18</v>
      </c>
      <c r="N560" s="132" t="s">
        <v>19</v>
      </c>
      <c r="O560" s="123"/>
    </row>
    <row r="561" spans="1:15" x14ac:dyDescent="0.25">
      <c r="A561" s="838">
        <v>10</v>
      </c>
      <c r="B561" s="133" t="s">
        <v>99</v>
      </c>
      <c r="C561" s="134"/>
      <c r="D561" s="160">
        <v>3.3</v>
      </c>
      <c r="E561" s="840">
        <v>0.53300000000000003</v>
      </c>
      <c r="F561" s="134" t="s">
        <v>92</v>
      </c>
      <c r="G561" s="134"/>
      <c r="H561" s="19"/>
      <c r="I561" s="134"/>
      <c r="J561" s="19"/>
      <c r="K561" s="19"/>
      <c r="L561" s="135"/>
      <c r="M561" s="839">
        <v>1</v>
      </c>
      <c r="N561" s="160">
        <f>D561*E561*M561</f>
        <v>1.7588999999999999</v>
      </c>
      <c r="O561" s="136"/>
    </row>
    <row r="562" spans="1:15" x14ac:dyDescent="0.25">
      <c r="A562" s="137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9" t="s">
        <v>19</v>
      </c>
      <c r="N562" s="161">
        <f>SUM(N561:N561)</f>
        <v>1.7588999999999999</v>
      </c>
      <c r="O562" s="123"/>
    </row>
    <row r="563" spans="1:15" x14ac:dyDescent="0.25">
      <c r="A563" s="14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3"/>
    </row>
    <row r="564" spans="1:15" x14ac:dyDescent="0.25">
      <c r="A564" s="141" t="s">
        <v>15</v>
      </c>
      <c r="B564" s="132" t="s">
        <v>32</v>
      </c>
      <c r="C564" s="132" t="s">
        <v>21</v>
      </c>
      <c r="D564" s="132" t="s">
        <v>22</v>
      </c>
      <c r="E564" s="132" t="s">
        <v>33</v>
      </c>
      <c r="F564" s="132" t="s">
        <v>18</v>
      </c>
      <c r="G564" s="132" t="s">
        <v>34</v>
      </c>
      <c r="H564" s="132" t="s">
        <v>35</v>
      </c>
      <c r="I564" s="132" t="s">
        <v>19</v>
      </c>
      <c r="J564" s="138"/>
      <c r="K564" s="138"/>
      <c r="L564" s="138"/>
      <c r="M564" s="138"/>
      <c r="N564" s="138"/>
      <c r="O564" s="123"/>
    </row>
    <row r="565" spans="1:15" x14ac:dyDescent="0.25">
      <c r="A565" s="836">
        <v>10</v>
      </c>
      <c r="B565" s="142" t="s">
        <v>98</v>
      </c>
      <c r="C565" s="143"/>
      <c r="D565" s="165">
        <v>32</v>
      </c>
      <c r="E565" s="142" t="s">
        <v>92</v>
      </c>
      <c r="F565" s="841">
        <v>0.53300000000000003</v>
      </c>
      <c r="G565" s="143"/>
      <c r="H565" s="143"/>
      <c r="I565" s="165">
        <f>IF(H565="",D565*F565,D565*F565*H565)</f>
        <v>17.056000000000001</v>
      </c>
      <c r="J565" s="144"/>
      <c r="K565" s="144"/>
      <c r="L565" s="144"/>
      <c r="M565" s="144"/>
      <c r="N565" s="144"/>
      <c r="O565" s="145"/>
    </row>
    <row r="566" spans="1:15" x14ac:dyDescent="0.25">
      <c r="A566" s="157"/>
      <c r="B566" s="155"/>
      <c r="C566" s="144"/>
      <c r="D566" s="158"/>
      <c r="E566" s="155"/>
      <c r="F566" s="144"/>
      <c r="G566" s="144"/>
      <c r="H566" s="148" t="s">
        <v>19</v>
      </c>
      <c r="I566" s="161">
        <f>SUM(I564:I565)</f>
        <v>17.056000000000001</v>
      </c>
      <c r="J566" s="144"/>
      <c r="K566" s="144"/>
      <c r="L566" s="144"/>
      <c r="M566" s="144"/>
      <c r="N566" s="144"/>
      <c r="O566" s="145"/>
    </row>
    <row r="567" spans="1:15" x14ac:dyDescent="0.25">
      <c r="A567" s="154"/>
      <c r="B567" s="155"/>
      <c r="C567" s="119"/>
      <c r="D567" s="156"/>
      <c r="E567" s="119"/>
      <c r="F567" s="119"/>
      <c r="G567" s="155"/>
      <c r="H567" s="986"/>
      <c r="I567" s="987"/>
      <c r="J567" s="120"/>
      <c r="K567" s="120"/>
      <c r="L567" s="120"/>
      <c r="M567" s="120"/>
      <c r="N567" s="120"/>
      <c r="O567" s="123"/>
    </row>
    <row r="568" spans="1:15" x14ac:dyDescent="0.25">
      <c r="A568" s="154"/>
      <c r="B568" s="155"/>
      <c r="C568" s="119"/>
      <c r="D568" s="156"/>
      <c r="E568" s="119"/>
      <c r="F568" s="119"/>
      <c r="G568" s="155"/>
      <c r="H568" s="986"/>
      <c r="I568" s="987"/>
      <c r="J568" s="120"/>
      <c r="K568" s="120"/>
      <c r="L568" s="120"/>
      <c r="M568" s="120"/>
      <c r="N568" s="120"/>
      <c r="O568" s="123"/>
    </row>
    <row r="569" spans="1:15" x14ac:dyDescent="0.25">
      <c r="A569" s="154"/>
      <c r="B569" s="155"/>
      <c r="C569" s="119"/>
      <c r="D569" s="156"/>
      <c r="E569" s="119"/>
      <c r="F569" s="119"/>
      <c r="G569" s="155"/>
      <c r="H569" s="986"/>
      <c r="I569" s="987"/>
      <c r="J569" s="120"/>
      <c r="K569" s="120"/>
      <c r="L569" s="120"/>
      <c r="M569" s="120"/>
      <c r="N569" s="120"/>
      <c r="O569" s="123"/>
    </row>
    <row r="570" spans="1:15" x14ac:dyDescent="0.25">
      <c r="A570" s="154"/>
      <c r="B570" s="155"/>
      <c r="C570" s="119"/>
      <c r="D570" s="156"/>
      <c r="E570" s="119"/>
      <c r="F570" s="119"/>
      <c r="G570" s="155"/>
      <c r="H570" s="986"/>
      <c r="I570" s="987"/>
      <c r="J570" s="120"/>
      <c r="K570" s="120"/>
      <c r="L570" s="120"/>
      <c r="M570" s="120"/>
      <c r="N570" s="120"/>
      <c r="O570" s="123"/>
    </row>
    <row r="571" spans="1:15" x14ac:dyDescent="0.25">
      <c r="A571" s="154"/>
      <c r="B571" s="155"/>
      <c r="C571" s="119"/>
      <c r="D571" s="156"/>
      <c r="E571" s="119"/>
      <c r="F571" s="119"/>
      <c r="G571" s="155"/>
      <c r="H571" s="986"/>
      <c r="I571" s="987"/>
      <c r="J571" s="120"/>
      <c r="K571" s="120"/>
      <c r="L571" s="120"/>
      <c r="M571" s="120"/>
      <c r="N571" s="120"/>
      <c r="O571" s="123"/>
    </row>
    <row r="572" spans="1:15" x14ac:dyDescent="0.25">
      <c r="A572" s="154"/>
      <c r="B572" s="155"/>
      <c r="C572" s="119"/>
      <c r="D572" s="156"/>
      <c r="E572" s="119"/>
      <c r="F572" s="119"/>
      <c r="G572" s="155"/>
      <c r="H572" s="986"/>
      <c r="I572" s="987"/>
      <c r="J572" s="120"/>
      <c r="K572" s="120"/>
      <c r="L572" s="120"/>
      <c r="M572" s="120"/>
      <c r="N572" s="120"/>
      <c r="O572" s="123"/>
    </row>
    <row r="573" spans="1:15" x14ac:dyDescent="0.25">
      <c r="A573" s="154"/>
      <c r="B573" s="155"/>
      <c r="C573" s="119"/>
      <c r="D573" s="156"/>
      <c r="E573" s="119"/>
      <c r="F573" s="119"/>
      <c r="G573" s="155"/>
      <c r="H573" s="986"/>
      <c r="I573" s="987"/>
      <c r="J573" s="120"/>
      <c r="K573" s="120"/>
      <c r="L573" s="120"/>
      <c r="M573" s="120"/>
      <c r="N573" s="120"/>
      <c r="O573" s="123"/>
    </row>
    <row r="574" spans="1:15" x14ac:dyDescent="0.25">
      <c r="A574" s="154"/>
      <c r="B574" s="155"/>
      <c r="C574" s="119"/>
      <c r="D574" s="156"/>
      <c r="E574" s="119"/>
      <c r="F574" s="119"/>
      <c r="G574" s="155"/>
      <c r="H574" s="986"/>
      <c r="I574" s="987"/>
      <c r="J574" s="120"/>
      <c r="K574" s="120"/>
      <c r="L574" s="120"/>
      <c r="M574" s="120"/>
      <c r="N574" s="120"/>
      <c r="O574" s="123"/>
    </row>
    <row r="575" spans="1:15" x14ac:dyDescent="0.25">
      <c r="A575" s="154"/>
      <c r="B575" s="155"/>
      <c r="C575" s="119"/>
      <c r="D575" s="156"/>
      <c r="E575" s="119"/>
      <c r="F575" s="119"/>
      <c r="G575" s="155"/>
      <c r="H575" s="986"/>
      <c r="I575" s="987"/>
      <c r="J575" s="120"/>
      <c r="K575" s="120"/>
      <c r="L575" s="120"/>
      <c r="M575" s="120"/>
      <c r="N575" s="120"/>
      <c r="O575" s="123"/>
    </row>
    <row r="576" spans="1:15" x14ac:dyDescent="0.25">
      <c r="A576" s="154"/>
      <c r="B576" s="155"/>
      <c r="C576" s="119"/>
      <c r="D576" s="156"/>
      <c r="E576" s="119"/>
      <c r="F576" s="119"/>
      <c r="G576" s="155"/>
      <c r="H576" s="986"/>
      <c r="I576" s="987"/>
      <c r="J576" s="120"/>
      <c r="K576" s="120"/>
      <c r="L576" s="120"/>
      <c r="M576" s="120"/>
      <c r="N576" s="120"/>
      <c r="O576" s="123"/>
    </row>
    <row r="577" spans="1:15" x14ac:dyDescent="0.25">
      <c r="A577" s="154"/>
      <c r="B577" s="155"/>
      <c r="C577" s="119"/>
      <c r="D577" s="156"/>
      <c r="E577" s="119"/>
      <c r="F577" s="119"/>
      <c r="G577" s="155"/>
      <c r="H577" s="986"/>
      <c r="I577" s="987"/>
      <c r="J577" s="120"/>
      <c r="K577" s="120"/>
      <c r="L577" s="120"/>
      <c r="M577" s="120"/>
      <c r="N577" s="120"/>
      <c r="O577" s="123"/>
    </row>
    <row r="578" spans="1:15" x14ac:dyDescent="0.25">
      <c r="A578" s="154"/>
      <c r="B578" s="155"/>
      <c r="C578" s="119"/>
      <c r="D578" s="156"/>
      <c r="E578" s="119"/>
      <c r="F578" s="119"/>
      <c r="G578" s="155"/>
      <c r="H578" s="986"/>
      <c r="I578" s="987"/>
      <c r="J578" s="120"/>
      <c r="K578" s="120"/>
      <c r="L578" s="120"/>
      <c r="M578" s="120"/>
      <c r="N578" s="120"/>
      <c r="O578" s="123"/>
    </row>
    <row r="579" spans="1:15" x14ac:dyDescent="0.25">
      <c r="A579" s="154"/>
      <c r="B579" s="155"/>
      <c r="C579" s="119"/>
      <c r="D579" s="156"/>
      <c r="E579" s="119"/>
      <c r="F579" s="119"/>
      <c r="G579" s="155"/>
      <c r="H579" s="986"/>
      <c r="I579" s="987"/>
      <c r="J579" s="120"/>
      <c r="K579" s="120"/>
      <c r="L579" s="120"/>
      <c r="M579" s="120"/>
      <c r="N579" s="120"/>
      <c r="O579" s="123"/>
    </row>
    <row r="580" spans="1:15" x14ac:dyDescent="0.25">
      <c r="A580" s="154"/>
      <c r="B580" s="155"/>
      <c r="C580" s="119"/>
      <c r="D580" s="156"/>
      <c r="E580" s="119"/>
      <c r="F580" s="119"/>
      <c r="G580" s="155"/>
      <c r="H580" s="986"/>
      <c r="I580" s="987"/>
      <c r="J580" s="120"/>
      <c r="K580" s="120"/>
      <c r="L580" s="120"/>
      <c r="M580" s="120"/>
      <c r="N580" s="120"/>
      <c r="O580" s="123"/>
    </row>
    <row r="581" spans="1:15" x14ac:dyDescent="0.25">
      <c r="A581" s="154"/>
      <c r="B581" s="155"/>
      <c r="C581" s="119"/>
      <c r="D581" s="156"/>
      <c r="E581" s="119"/>
      <c r="F581" s="119"/>
      <c r="G581" s="155"/>
      <c r="H581" s="986"/>
      <c r="I581" s="987"/>
      <c r="J581" s="120"/>
      <c r="K581" s="120"/>
      <c r="L581" s="120"/>
      <c r="M581" s="120"/>
      <c r="N581" s="120"/>
      <c r="O581" s="123"/>
    </row>
    <row r="582" spans="1:15" x14ac:dyDescent="0.25">
      <c r="A582" s="154"/>
      <c r="B582" s="155"/>
      <c r="C582" s="119"/>
      <c r="D582" s="156"/>
      <c r="E582" s="119"/>
      <c r="F582" s="119"/>
      <c r="G582" s="155"/>
      <c r="H582" s="986"/>
      <c r="I582" s="987"/>
      <c r="J582" s="120"/>
      <c r="K582" s="120"/>
      <c r="L582" s="120"/>
      <c r="M582" s="120"/>
      <c r="N582" s="120"/>
      <c r="O582" s="123"/>
    </row>
    <row r="583" spans="1:15" x14ac:dyDescent="0.25">
      <c r="A583" s="154"/>
      <c r="B583" s="155"/>
      <c r="C583" s="119"/>
      <c r="D583" s="156"/>
      <c r="E583" s="119"/>
      <c r="F583" s="119"/>
      <c r="G583" s="155"/>
      <c r="H583" s="986"/>
      <c r="I583" s="987"/>
      <c r="J583" s="120"/>
      <c r="K583" s="120"/>
      <c r="L583" s="120"/>
      <c r="M583" s="120"/>
      <c r="N583" s="120"/>
      <c r="O583" s="123"/>
    </row>
    <row r="584" spans="1:15" x14ac:dyDescent="0.25">
      <c r="A584" s="154"/>
      <c r="B584" s="155"/>
      <c r="C584" s="119"/>
      <c r="D584" s="156"/>
      <c r="E584" s="119"/>
      <c r="F584" s="119"/>
      <c r="G584" s="155"/>
      <c r="H584" s="986"/>
      <c r="I584" s="987"/>
      <c r="J584" s="120"/>
      <c r="K584" s="120"/>
      <c r="L584" s="120"/>
      <c r="M584" s="120"/>
      <c r="N584" s="120"/>
      <c r="O584" s="123"/>
    </row>
    <row r="585" spans="1:15" x14ac:dyDescent="0.25">
      <c r="A585" s="154"/>
      <c r="B585" s="155"/>
      <c r="C585" s="119"/>
      <c r="D585" s="156"/>
      <c r="E585" s="119"/>
      <c r="F585" s="119"/>
      <c r="G585" s="155"/>
      <c r="H585" s="986"/>
      <c r="I585" s="987"/>
      <c r="J585" s="120"/>
      <c r="K585" s="120"/>
      <c r="L585" s="120"/>
      <c r="M585" s="120"/>
      <c r="N585" s="120"/>
      <c r="O585" s="123"/>
    </row>
    <row r="586" spans="1:15" ht="15.75" thickBot="1" x14ac:dyDescent="0.3">
      <c r="A586" s="149"/>
      <c r="B586" s="150"/>
      <c r="C586" s="150"/>
      <c r="D586" s="150"/>
      <c r="E586" s="150"/>
      <c r="F586" s="150"/>
      <c r="G586" s="150"/>
      <c r="H586" s="988"/>
      <c r="I586" s="988"/>
      <c r="J586" s="150"/>
      <c r="K586" s="150"/>
      <c r="L586" s="150"/>
      <c r="M586" s="150"/>
      <c r="N586" s="150"/>
      <c r="O586" s="152"/>
    </row>
    <row r="587" spans="1:15" ht="15.75" thickBot="1" x14ac:dyDescent="0.3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</row>
    <row r="588" spans="1:15" x14ac:dyDescent="0.25">
      <c r="A588" s="114"/>
      <c r="B588" s="115"/>
      <c r="C588" s="115"/>
      <c r="D588" s="115"/>
      <c r="E588" s="115"/>
      <c r="F588" s="115"/>
      <c r="G588" s="115"/>
      <c r="H588" s="115"/>
      <c r="I588" s="115"/>
      <c r="J588" s="153"/>
      <c r="K588" s="115"/>
      <c r="L588" s="115"/>
      <c r="M588" s="115"/>
      <c r="N588" s="115"/>
      <c r="O588" s="116"/>
    </row>
    <row r="589" spans="1:15" x14ac:dyDescent="0.25">
      <c r="A589" s="118" t="s">
        <v>0</v>
      </c>
      <c r="B589" s="119" t="s">
        <v>47</v>
      </c>
      <c r="C589" s="120"/>
      <c r="D589" s="120"/>
      <c r="E589" s="120"/>
      <c r="F589" s="120"/>
      <c r="G589" s="120"/>
      <c r="H589" s="120"/>
      <c r="I589" s="120"/>
      <c r="J589" s="121" t="s">
        <v>2</v>
      </c>
      <c r="K589" s="122">
        <v>81</v>
      </c>
      <c r="L589" s="120"/>
      <c r="M589" s="118" t="s">
        <v>17</v>
      </c>
      <c r="N589" s="168">
        <f>EN_05003_m+EN_05003_p</f>
        <v>16.308600000000002</v>
      </c>
      <c r="O589" s="123"/>
    </row>
    <row r="590" spans="1:15" x14ac:dyDescent="0.25">
      <c r="A590" s="118" t="s">
        <v>4</v>
      </c>
      <c r="B590" s="119" t="s">
        <v>81</v>
      </c>
      <c r="C590" s="120"/>
      <c r="D590" s="118" t="s">
        <v>7</v>
      </c>
      <c r="E590" s="120"/>
      <c r="F590" s="120"/>
      <c r="G590" s="120"/>
      <c r="H590" s="120"/>
      <c r="I590" s="120"/>
      <c r="J590" s="120"/>
      <c r="K590" s="120"/>
      <c r="L590" s="120"/>
      <c r="M590" s="118" t="s">
        <v>5</v>
      </c>
      <c r="N590" s="820">
        <v>1</v>
      </c>
      <c r="O590" s="123"/>
    </row>
    <row r="591" spans="1:15" x14ac:dyDescent="0.25">
      <c r="A591" s="118" t="s">
        <v>6</v>
      </c>
      <c r="B591" s="125" t="str">
        <f>'EN Assemblies'!B223</f>
        <v>Air Intake System</v>
      </c>
      <c r="C591" s="120"/>
      <c r="D591" s="118" t="s">
        <v>9</v>
      </c>
      <c r="E591" s="120"/>
      <c r="F591" s="120"/>
      <c r="G591" s="120"/>
      <c r="H591" s="120"/>
      <c r="I591" s="120"/>
      <c r="J591" s="126" t="s">
        <v>7</v>
      </c>
      <c r="K591" s="120"/>
      <c r="L591" s="120"/>
      <c r="M591" s="120"/>
      <c r="N591" s="169"/>
      <c r="O591" s="123"/>
    </row>
    <row r="592" spans="1:15" x14ac:dyDescent="0.25">
      <c r="A592" s="118" t="s">
        <v>16</v>
      </c>
      <c r="B592" s="127" t="s">
        <v>87</v>
      </c>
      <c r="C592" s="120"/>
      <c r="D592" s="118" t="s">
        <v>13</v>
      </c>
      <c r="E592" s="120"/>
      <c r="F592" s="120"/>
      <c r="G592" s="120"/>
      <c r="H592" s="120"/>
      <c r="I592" s="120"/>
      <c r="J592" s="126" t="s">
        <v>9</v>
      </c>
      <c r="K592" s="120"/>
      <c r="L592" s="120"/>
      <c r="M592" s="118" t="s">
        <v>10</v>
      </c>
      <c r="N592" s="168">
        <f>N590*N589</f>
        <v>16.308600000000002</v>
      </c>
      <c r="O592" s="123"/>
    </row>
    <row r="593" spans="1:15" x14ac:dyDescent="0.25">
      <c r="A593" s="118" t="s">
        <v>8</v>
      </c>
      <c r="B593" s="127" t="s">
        <v>115</v>
      </c>
      <c r="C593" s="120"/>
      <c r="D593" s="120"/>
      <c r="E593" s="120"/>
      <c r="F593" s="120"/>
      <c r="G593" s="120"/>
      <c r="H593" s="120"/>
      <c r="I593" s="120"/>
      <c r="J593" s="126" t="s">
        <v>13</v>
      </c>
      <c r="K593" s="120"/>
      <c r="L593" s="120"/>
      <c r="M593" s="120"/>
      <c r="N593" s="120"/>
      <c r="O593" s="123"/>
    </row>
    <row r="594" spans="1:15" x14ac:dyDescent="0.25">
      <c r="A594" s="118" t="s">
        <v>11</v>
      </c>
      <c r="B594" s="119" t="s">
        <v>12</v>
      </c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3"/>
    </row>
    <row r="595" spans="1:15" x14ac:dyDescent="0.25">
      <c r="A595" s="118" t="s">
        <v>14</v>
      </c>
      <c r="B595" s="119" t="s">
        <v>48</v>
      </c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3"/>
    </row>
    <row r="596" spans="1:15" x14ac:dyDescent="0.25">
      <c r="A596" s="128"/>
      <c r="B596" s="129"/>
      <c r="C596" s="129"/>
      <c r="D596" s="129"/>
      <c r="E596" s="129"/>
      <c r="F596" s="120"/>
      <c r="G596" s="120"/>
      <c r="H596" s="120"/>
      <c r="I596" s="120"/>
      <c r="J596" s="120"/>
      <c r="K596" s="120"/>
      <c r="L596" s="120"/>
      <c r="M596" s="120"/>
      <c r="N596" s="120"/>
      <c r="O596" s="123"/>
    </row>
    <row r="597" spans="1:15" x14ac:dyDescent="0.25">
      <c r="A597" s="130" t="s">
        <v>15</v>
      </c>
      <c r="B597" s="131" t="s">
        <v>20</v>
      </c>
      <c r="C597" s="131" t="s">
        <v>21</v>
      </c>
      <c r="D597" s="131" t="s">
        <v>22</v>
      </c>
      <c r="E597" s="131" t="s">
        <v>23</v>
      </c>
      <c r="F597" s="132" t="s">
        <v>24</v>
      </c>
      <c r="G597" s="132" t="s">
        <v>25</v>
      </c>
      <c r="H597" s="132" t="s">
        <v>26</v>
      </c>
      <c r="I597" s="132" t="s">
        <v>27</v>
      </c>
      <c r="J597" s="132" t="s">
        <v>28</v>
      </c>
      <c r="K597" s="132" t="s">
        <v>29</v>
      </c>
      <c r="L597" s="132" t="s">
        <v>30</v>
      </c>
      <c r="M597" s="132" t="s">
        <v>18</v>
      </c>
      <c r="N597" s="132" t="s">
        <v>19</v>
      </c>
      <c r="O597" s="123"/>
    </row>
    <row r="598" spans="1:15" x14ac:dyDescent="0.25">
      <c r="A598" s="838">
        <v>10</v>
      </c>
      <c r="B598" s="133" t="s">
        <v>99</v>
      </c>
      <c r="C598" s="134"/>
      <c r="D598" s="160">
        <v>3.3</v>
      </c>
      <c r="E598" s="840">
        <v>0.46200000000000002</v>
      </c>
      <c r="F598" s="134" t="s">
        <v>92</v>
      </c>
      <c r="G598" s="134"/>
      <c r="H598" s="19"/>
      <c r="I598" s="134"/>
      <c r="J598" s="19"/>
      <c r="K598" s="19"/>
      <c r="L598" s="135"/>
      <c r="M598" s="839">
        <v>1</v>
      </c>
      <c r="N598" s="160">
        <f>D598*E598*M598</f>
        <v>1.5246</v>
      </c>
      <c r="O598" s="136"/>
    </row>
    <row r="599" spans="1:15" x14ac:dyDescent="0.25">
      <c r="A599" s="137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9" t="s">
        <v>19</v>
      </c>
      <c r="N599" s="161">
        <f>SUM(N598:N598)</f>
        <v>1.5246</v>
      </c>
      <c r="O599" s="123"/>
    </row>
    <row r="600" spans="1:15" x14ac:dyDescent="0.25">
      <c r="A600" s="14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3"/>
    </row>
    <row r="601" spans="1:15" x14ac:dyDescent="0.25">
      <c r="A601" s="141" t="s">
        <v>15</v>
      </c>
      <c r="B601" s="132" t="s">
        <v>32</v>
      </c>
      <c r="C601" s="132" t="s">
        <v>21</v>
      </c>
      <c r="D601" s="132" t="s">
        <v>22</v>
      </c>
      <c r="E601" s="132" t="s">
        <v>33</v>
      </c>
      <c r="F601" s="132" t="s">
        <v>18</v>
      </c>
      <c r="G601" s="132" t="s">
        <v>34</v>
      </c>
      <c r="H601" s="132" t="s">
        <v>35</v>
      </c>
      <c r="I601" s="132" t="s">
        <v>19</v>
      </c>
      <c r="J601" s="138"/>
      <c r="K601" s="138"/>
      <c r="L601" s="138"/>
      <c r="M601" s="138"/>
      <c r="N601" s="138"/>
      <c r="O601" s="123"/>
    </row>
    <row r="602" spans="1:15" x14ac:dyDescent="0.25">
      <c r="A602" s="836">
        <v>10</v>
      </c>
      <c r="B602" s="142" t="s">
        <v>98</v>
      </c>
      <c r="C602" s="143"/>
      <c r="D602" s="165">
        <v>32</v>
      </c>
      <c r="E602" s="142" t="s">
        <v>92</v>
      </c>
      <c r="F602" s="143">
        <v>0.46200000000000002</v>
      </c>
      <c r="G602" s="143"/>
      <c r="H602" s="143"/>
      <c r="I602" s="165">
        <f>IF(H602="",D602*F602,D602*F602*H602)</f>
        <v>14.784000000000001</v>
      </c>
      <c r="J602" s="144"/>
      <c r="K602" s="144"/>
      <c r="L602" s="144"/>
      <c r="M602" s="144"/>
      <c r="N602" s="144"/>
      <c r="O602" s="145"/>
    </row>
    <row r="603" spans="1:15" x14ac:dyDescent="0.25">
      <c r="A603" s="137"/>
      <c r="B603" s="138"/>
      <c r="C603" s="138"/>
      <c r="D603" s="138"/>
      <c r="E603" s="138"/>
      <c r="F603" s="138"/>
      <c r="G603" s="138"/>
      <c r="H603" s="148" t="s">
        <v>19</v>
      </c>
      <c r="I603" s="161">
        <f>SUM(I602:I602)</f>
        <v>14.784000000000001</v>
      </c>
      <c r="J603" s="138"/>
      <c r="K603" s="138"/>
      <c r="L603" s="138"/>
      <c r="M603" s="138"/>
      <c r="N603" s="138"/>
      <c r="O603" s="123"/>
    </row>
    <row r="604" spans="1:15" x14ac:dyDescent="0.25">
      <c r="A604" s="154"/>
      <c r="B604" s="155"/>
      <c r="C604" s="119"/>
      <c r="D604" s="156"/>
      <c r="E604" s="119"/>
      <c r="F604" s="119"/>
      <c r="G604" s="155"/>
      <c r="H604" s="965"/>
      <c r="I604" s="966"/>
      <c r="J604" s="120"/>
      <c r="K604" s="120"/>
      <c r="L604" s="120"/>
      <c r="M604" s="120"/>
      <c r="N604" s="120"/>
      <c r="O604" s="123"/>
    </row>
    <row r="605" spans="1:15" x14ac:dyDescent="0.25">
      <c r="A605" s="154"/>
      <c r="B605" s="155"/>
      <c r="C605" s="119"/>
      <c r="D605" s="156"/>
      <c r="E605" s="119"/>
      <c r="F605" s="119"/>
      <c r="G605" s="155"/>
      <c r="H605" s="986"/>
      <c r="I605" s="987"/>
      <c r="J605" s="120"/>
      <c r="K605" s="120"/>
      <c r="L605" s="120"/>
      <c r="M605" s="120"/>
      <c r="N605" s="120"/>
      <c r="O605" s="123"/>
    </row>
    <row r="606" spans="1:15" x14ac:dyDescent="0.25">
      <c r="A606" s="154"/>
      <c r="B606" s="155"/>
      <c r="C606" s="119"/>
      <c r="D606" s="156"/>
      <c r="E606" s="119"/>
      <c r="F606" s="119"/>
      <c r="G606" s="155"/>
      <c r="H606" s="986"/>
      <c r="I606" s="987"/>
      <c r="J606" s="120"/>
      <c r="K606" s="120"/>
      <c r="L606" s="120"/>
      <c r="M606" s="120"/>
      <c r="N606" s="120"/>
      <c r="O606" s="123"/>
    </row>
    <row r="607" spans="1:15" x14ac:dyDescent="0.25">
      <c r="A607" s="154"/>
      <c r="B607" s="155"/>
      <c r="C607" s="119"/>
      <c r="D607" s="156"/>
      <c r="E607" s="119"/>
      <c r="F607" s="119"/>
      <c r="G607" s="155"/>
      <c r="H607" s="986"/>
      <c r="I607" s="987"/>
      <c r="J607" s="120"/>
      <c r="K607" s="120"/>
      <c r="L607" s="120"/>
      <c r="M607" s="120"/>
      <c r="N607" s="120"/>
      <c r="O607" s="123"/>
    </row>
    <row r="608" spans="1:15" x14ac:dyDescent="0.25">
      <c r="A608" s="154"/>
      <c r="B608" s="155"/>
      <c r="C608" s="119"/>
      <c r="D608" s="156"/>
      <c r="E608" s="119"/>
      <c r="F608" s="119"/>
      <c r="G608" s="155"/>
      <c r="H608" s="986"/>
      <c r="I608" s="987"/>
      <c r="J608" s="120"/>
      <c r="K608" s="120"/>
      <c r="L608" s="120"/>
      <c r="M608" s="120"/>
      <c r="N608" s="120"/>
      <c r="O608" s="123"/>
    </row>
    <row r="609" spans="1:15" x14ac:dyDescent="0.25">
      <c r="A609" s="154"/>
      <c r="B609" s="155"/>
      <c r="C609" s="119"/>
      <c r="D609" s="156"/>
      <c r="E609" s="119"/>
      <c r="F609" s="119"/>
      <c r="G609" s="155"/>
      <c r="H609" s="986"/>
      <c r="I609" s="987"/>
      <c r="J609" s="120"/>
      <c r="K609" s="120"/>
      <c r="L609" s="120"/>
      <c r="M609" s="120"/>
      <c r="N609" s="120"/>
      <c r="O609" s="123"/>
    </row>
    <row r="610" spans="1:15" x14ac:dyDescent="0.25">
      <c r="A610" s="154"/>
      <c r="B610" s="155"/>
      <c r="C610" s="119"/>
      <c r="D610" s="156"/>
      <c r="E610" s="119"/>
      <c r="F610" s="119"/>
      <c r="G610" s="155"/>
      <c r="H610" s="986"/>
      <c r="I610" s="987"/>
      <c r="J610" s="120"/>
      <c r="K610" s="120"/>
      <c r="L610" s="120"/>
      <c r="M610" s="120"/>
      <c r="N610" s="120"/>
      <c r="O610" s="123"/>
    </row>
    <row r="611" spans="1:15" x14ac:dyDescent="0.25">
      <c r="A611" s="154"/>
      <c r="B611" s="155"/>
      <c r="C611" s="119"/>
      <c r="D611" s="156"/>
      <c r="E611" s="119"/>
      <c r="F611" s="119"/>
      <c r="G611" s="155"/>
      <c r="H611" s="986"/>
      <c r="I611" s="987"/>
      <c r="J611" s="120"/>
      <c r="K611" s="120"/>
      <c r="L611" s="120"/>
      <c r="M611" s="120"/>
      <c r="N611" s="120"/>
      <c r="O611" s="123"/>
    </row>
    <row r="612" spans="1:15" x14ac:dyDescent="0.25">
      <c r="A612" s="154"/>
      <c r="B612" s="155"/>
      <c r="C612" s="119"/>
      <c r="D612" s="156"/>
      <c r="E612" s="119"/>
      <c r="F612" s="119"/>
      <c r="G612" s="155"/>
      <c r="H612" s="986"/>
      <c r="I612" s="987"/>
      <c r="J612" s="120"/>
      <c r="K612" s="120"/>
      <c r="L612" s="120"/>
      <c r="M612" s="120"/>
      <c r="N612" s="120"/>
      <c r="O612" s="123"/>
    </row>
    <row r="613" spans="1:15" x14ac:dyDescent="0.25">
      <c r="A613" s="154"/>
      <c r="B613" s="155"/>
      <c r="C613" s="119"/>
      <c r="D613" s="156"/>
      <c r="E613" s="119"/>
      <c r="F613" s="119"/>
      <c r="G613" s="155"/>
      <c r="H613" s="986"/>
      <c r="I613" s="987"/>
      <c r="J613" s="120"/>
      <c r="K613" s="120"/>
      <c r="L613" s="120"/>
      <c r="M613" s="120"/>
      <c r="N613" s="120"/>
      <c r="O613" s="123"/>
    </row>
    <row r="614" spans="1:15" x14ac:dyDescent="0.25">
      <c r="A614" s="154"/>
      <c r="B614" s="155"/>
      <c r="C614" s="119"/>
      <c r="D614" s="156"/>
      <c r="E614" s="119"/>
      <c r="F614" s="119"/>
      <c r="G614" s="155"/>
      <c r="H614" s="986"/>
      <c r="I614" s="987"/>
      <c r="J614" s="120"/>
      <c r="K614" s="120"/>
      <c r="L614" s="120"/>
      <c r="M614" s="120"/>
      <c r="N614" s="120"/>
      <c r="O614" s="123"/>
    </row>
    <row r="615" spans="1:15" x14ac:dyDescent="0.25">
      <c r="A615" s="154"/>
      <c r="B615" s="155"/>
      <c r="C615" s="119"/>
      <c r="D615" s="156"/>
      <c r="E615" s="119"/>
      <c r="F615" s="119"/>
      <c r="G615" s="155"/>
      <c r="H615" s="986"/>
      <c r="I615" s="987"/>
      <c r="J615" s="120"/>
      <c r="K615" s="120"/>
      <c r="L615" s="120"/>
      <c r="M615" s="120"/>
      <c r="N615" s="120"/>
      <c r="O615" s="123"/>
    </row>
    <row r="616" spans="1:15" x14ac:dyDescent="0.25">
      <c r="A616" s="154"/>
      <c r="B616" s="155"/>
      <c r="C616" s="119"/>
      <c r="D616" s="156"/>
      <c r="E616" s="119"/>
      <c r="F616" s="119"/>
      <c r="G616" s="155"/>
      <c r="H616" s="986"/>
      <c r="I616" s="987"/>
      <c r="J616" s="120"/>
      <c r="K616" s="120"/>
      <c r="L616" s="120"/>
      <c r="M616" s="120"/>
      <c r="N616" s="120"/>
      <c r="O616" s="123"/>
    </row>
    <row r="617" spans="1:15" x14ac:dyDescent="0.25">
      <c r="A617" s="154"/>
      <c r="B617" s="155"/>
      <c r="C617" s="119"/>
      <c r="D617" s="156"/>
      <c r="E617" s="119"/>
      <c r="F617" s="119"/>
      <c r="G617" s="155"/>
      <c r="H617" s="986"/>
      <c r="I617" s="987"/>
      <c r="J617" s="120"/>
      <c r="K617" s="120"/>
      <c r="L617" s="120"/>
      <c r="M617" s="120"/>
      <c r="N617" s="120"/>
      <c r="O617" s="123"/>
    </row>
    <row r="618" spans="1:15" x14ac:dyDescent="0.25">
      <c r="A618" s="154"/>
      <c r="B618" s="155"/>
      <c r="C618" s="119"/>
      <c r="D618" s="156"/>
      <c r="E618" s="119"/>
      <c r="F618" s="119"/>
      <c r="G618" s="155"/>
      <c r="H618" s="986"/>
      <c r="I618" s="987"/>
      <c r="J618" s="120"/>
      <c r="K618" s="120"/>
      <c r="L618" s="120"/>
      <c r="M618" s="120"/>
      <c r="N618" s="120"/>
      <c r="O618" s="123"/>
    </row>
    <row r="619" spans="1:15" x14ac:dyDescent="0.25">
      <c r="A619" s="154"/>
      <c r="B619" s="155"/>
      <c r="C619" s="119"/>
      <c r="D619" s="156"/>
      <c r="E619" s="119"/>
      <c r="F619" s="119"/>
      <c r="G619" s="155"/>
      <c r="H619" s="986"/>
      <c r="I619" s="987"/>
      <c r="J619" s="120"/>
      <c r="K619" s="120"/>
      <c r="L619" s="120"/>
      <c r="M619" s="120"/>
      <c r="N619" s="120"/>
      <c r="O619" s="123"/>
    </row>
    <row r="620" spans="1:15" x14ac:dyDescent="0.25">
      <c r="A620" s="154"/>
      <c r="B620" s="155"/>
      <c r="C620" s="119"/>
      <c r="D620" s="156"/>
      <c r="E620" s="119"/>
      <c r="F620" s="119"/>
      <c r="G620" s="155"/>
      <c r="H620" s="986"/>
      <c r="I620" s="987"/>
      <c r="J620" s="120"/>
      <c r="K620" s="120"/>
      <c r="L620" s="120"/>
      <c r="M620" s="120"/>
      <c r="N620" s="120"/>
      <c r="O620" s="123"/>
    </row>
    <row r="621" spans="1:15" x14ac:dyDescent="0.25">
      <c r="A621" s="154"/>
      <c r="B621" s="155"/>
      <c r="C621" s="119"/>
      <c r="D621" s="156"/>
      <c r="E621" s="119"/>
      <c r="F621" s="119"/>
      <c r="G621" s="155"/>
      <c r="H621" s="986"/>
      <c r="I621" s="987"/>
      <c r="J621" s="120"/>
      <c r="K621" s="120"/>
      <c r="L621" s="120"/>
      <c r="M621" s="120"/>
      <c r="N621" s="120"/>
      <c r="O621" s="123"/>
    </row>
    <row r="622" spans="1:15" x14ac:dyDescent="0.25">
      <c r="A622" s="154"/>
      <c r="B622" s="155"/>
      <c r="C622" s="119"/>
      <c r="D622" s="156"/>
      <c r="E622" s="119"/>
      <c r="F622" s="119"/>
      <c r="G622" s="155"/>
      <c r="H622" s="986"/>
      <c r="I622" s="987"/>
      <c r="J622" s="120"/>
      <c r="K622" s="120"/>
      <c r="L622" s="120"/>
      <c r="M622" s="120"/>
      <c r="N622" s="120"/>
      <c r="O622" s="123"/>
    </row>
    <row r="623" spans="1:15" x14ac:dyDescent="0.25">
      <c r="A623" s="154"/>
      <c r="B623" s="155"/>
      <c r="C623" s="119"/>
      <c r="D623" s="156"/>
      <c r="E623" s="119"/>
      <c r="F623" s="119"/>
      <c r="G623" s="155"/>
      <c r="H623" s="986"/>
      <c r="I623" s="987"/>
      <c r="J623" s="120"/>
      <c r="K623" s="120"/>
      <c r="L623" s="120"/>
      <c r="M623" s="120"/>
      <c r="N623" s="120"/>
      <c r="O623" s="123"/>
    </row>
    <row r="624" spans="1:15" ht="13.5" customHeight="1" x14ac:dyDescent="0.25">
      <c r="A624" s="154"/>
      <c r="B624" s="155"/>
      <c r="C624" s="119"/>
      <c r="D624" s="156"/>
      <c r="E624" s="119"/>
      <c r="F624" s="119"/>
      <c r="G624" s="155"/>
      <c r="H624" s="986"/>
      <c r="I624" s="987"/>
      <c r="J624" s="120"/>
      <c r="K624" s="120"/>
      <c r="L624" s="120"/>
      <c r="M624" s="120"/>
      <c r="N624" s="120"/>
      <c r="O624" s="123"/>
    </row>
    <row r="625" spans="1:15" ht="13.5" customHeight="1" thickBot="1" x14ac:dyDescent="0.3">
      <c r="A625" s="149"/>
      <c r="B625" s="150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2"/>
    </row>
    <row r="626" spans="1:15" ht="15.75" thickBot="1" x14ac:dyDescent="0.3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</row>
    <row r="627" spans="1:15" x14ac:dyDescent="0.25">
      <c r="A627" s="114"/>
      <c r="B627" s="115"/>
      <c r="C627" s="115"/>
      <c r="D627" s="115"/>
      <c r="E627" s="115"/>
      <c r="F627" s="115"/>
      <c r="G627" s="115"/>
      <c r="H627" s="115"/>
      <c r="I627" s="115"/>
      <c r="J627" s="153"/>
      <c r="K627" s="115"/>
      <c r="L627" s="115"/>
      <c r="M627" s="115"/>
      <c r="N627" s="115"/>
      <c r="O627" s="116"/>
    </row>
    <row r="628" spans="1:15" x14ac:dyDescent="0.25">
      <c r="A628" s="118" t="s">
        <v>0</v>
      </c>
      <c r="B628" s="119" t="s">
        <v>47</v>
      </c>
      <c r="C628" s="120"/>
      <c r="D628" s="120"/>
      <c r="E628" s="120"/>
      <c r="F628" s="120"/>
      <c r="G628" s="120"/>
      <c r="H628" s="120"/>
      <c r="I628" s="120"/>
      <c r="J628" s="121" t="s">
        <v>2</v>
      </c>
      <c r="K628" s="122">
        <v>81</v>
      </c>
      <c r="L628" s="120"/>
      <c r="M628" s="118" t="s">
        <v>17</v>
      </c>
      <c r="N628" s="166">
        <f>EN_05004_m+EN_05004_p</f>
        <v>0.98840000000000006</v>
      </c>
      <c r="O628" s="123"/>
    </row>
    <row r="629" spans="1:15" x14ac:dyDescent="0.25">
      <c r="A629" s="118" t="s">
        <v>4</v>
      </c>
      <c r="B629" s="119" t="s">
        <v>81</v>
      </c>
      <c r="C629" s="120"/>
      <c r="D629" s="118" t="s">
        <v>7</v>
      </c>
      <c r="E629" s="120"/>
      <c r="F629" s="120"/>
      <c r="G629" s="120"/>
      <c r="H629" s="120"/>
      <c r="I629" s="120"/>
      <c r="J629" s="120"/>
      <c r="K629" s="120"/>
      <c r="L629" s="120"/>
      <c r="M629" s="118" t="s">
        <v>5</v>
      </c>
      <c r="N629" s="820">
        <v>1</v>
      </c>
      <c r="O629" s="123"/>
    </row>
    <row r="630" spans="1:15" x14ac:dyDescent="0.25">
      <c r="A630" s="118" t="s">
        <v>6</v>
      </c>
      <c r="B630" s="125" t="s">
        <v>83</v>
      </c>
      <c r="C630" s="120"/>
      <c r="D630" s="118" t="s">
        <v>9</v>
      </c>
      <c r="E630" s="120"/>
      <c r="F630" s="120"/>
      <c r="G630" s="120"/>
      <c r="H630" s="120"/>
      <c r="I630" s="120"/>
      <c r="J630" s="126" t="s">
        <v>7</v>
      </c>
      <c r="K630" s="120"/>
      <c r="L630" s="120"/>
      <c r="M630" s="120"/>
      <c r="N630" s="167"/>
      <c r="O630" s="123"/>
    </row>
    <row r="631" spans="1:15" x14ac:dyDescent="0.25">
      <c r="A631" s="118" t="s">
        <v>16</v>
      </c>
      <c r="B631" s="127" t="s">
        <v>101</v>
      </c>
      <c r="C631" s="120"/>
      <c r="D631" s="118" t="s">
        <v>13</v>
      </c>
      <c r="E631" s="120"/>
      <c r="F631" s="120"/>
      <c r="G631" s="120"/>
      <c r="H631" s="120"/>
      <c r="I631" s="120"/>
      <c r="J631" s="126" t="s">
        <v>9</v>
      </c>
      <c r="K631" s="120"/>
      <c r="L631" s="120"/>
      <c r="M631" s="118" t="s">
        <v>10</v>
      </c>
      <c r="N631" s="166">
        <f>N629*N628</f>
        <v>0.98840000000000006</v>
      </c>
      <c r="O631" s="123"/>
    </row>
    <row r="632" spans="1:15" x14ac:dyDescent="0.25">
      <c r="A632" s="118" t="s">
        <v>8</v>
      </c>
      <c r="B632" s="127" t="s">
        <v>116</v>
      </c>
      <c r="C632" s="120"/>
      <c r="D632" s="120"/>
      <c r="E632" s="120"/>
      <c r="F632" s="120"/>
      <c r="G632" s="120"/>
      <c r="H632" s="120"/>
      <c r="I632" s="120"/>
      <c r="J632" s="126" t="s">
        <v>13</v>
      </c>
      <c r="K632" s="120"/>
      <c r="L632" s="120"/>
      <c r="M632" s="120"/>
      <c r="N632" s="120"/>
      <c r="O632" s="123"/>
    </row>
    <row r="633" spans="1:15" x14ac:dyDescent="0.25">
      <c r="A633" s="118" t="s">
        <v>11</v>
      </c>
      <c r="B633" s="119" t="s">
        <v>12</v>
      </c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3"/>
    </row>
    <row r="634" spans="1:15" x14ac:dyDescent="0.25">
      <c r="A634" s="118" t="s">
        <v>14</v>
      </c>
      <c r="B634" s="119" t="s">
        <v>48</v>
      </c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3"/>
    </row>
    <row r="635" spans="1:15" x14ac:dyDescent="0.25">
      <c r="A635" s="128"/>
      <c r="B635" s="129"/>
      <c r="C635" s="129"/>
      <c r="D635" s="129"/>
      <c r="E635" s="129"/>
      <c r="F635" s="120"/>
      <c r="G635" s="120"/>
      <c r="H635" s="120"/>
      <c r="I635" s="120"/>
      <c r="J635" s="120"/>
      <c r="K635" s="120"/>
      <c r="L635" s="120"/>
      <c r="M635" s="120"/>
      <c r="N635" s="120"/>
      <c r="O635" s="123"/>
    </row>
    <row r="636" spans="1:15" x14ac:dyDescent="0.25">
      <c r="A636" s="130" t="s">
        <v>15</v>
      </c>
      <c r="B636" s="131" t="s">
        <v>20</v>
      </c>
      <c r="C636" s="131" t="s">
        <v>21</v>
      </c>
      <c r="D636" s="131" t="s">
        <v>22</v>
      </c>
      <c r="E636" s="131" t="s">
        <v>23</v>
      </c>
      <c r="F636" s="132" t="s">
        <v>24</v>
      </c>
      <c r="G636" s="132" t="s">
        <v>25</v>
      </c>
      <c r="H636" s="132" t="s">
        <v>26</v>
      </c>
      <c r="I636" s="132" t="s">
        <v>27</v>
      </c>
      <c r="J636" s="132" t="s">
        <v>28</v>
      </c>
      <c r="K636" s="132" t="s">
        <v>29</v>
      </c>
      <c r="L636" s="132" t="s">
        <v>30</v>
      </c>
      <c r="M636" s="132" t="s">
        <v>18</v>
      </c>
      <c r="N636" s="132" t="s">
        <v>19</v>
      </c>
      <c r="O636" s="123"/>
    </row>
    <row r="637" spans="1:15" x14ac:dyDescent="0.25">
      <c r="A637" s="838">
        <v>10</v>
      </c>
      <c r="B637" s="133" t="s">
        <v>99</v>
      </c>
      <c r="C637" s="134"/>
      <c r="D637" s="160">
        <v>3.3</v>
      </c>
      <c r="E637" s="840">
        <v>7.0000000000000001E-3</v>
      </c>
      <c r="F637" s="134" t="s">
        <v>92</v>
      </c>
      <c r="G637" s="134"/>
      <c r="H637" s="19"/>
      <c r="I637" s="134"/>
      <c r="J637" s="19"/>
      <c r="K637" s="19"/>
      <c r="L637" s="135"/>
      <c r="M637" s="839">
        <v>4</v>
      </c>
      <c r="N637" s="160">
        <f>D637*E637*M637</f>
        <v>9.2399999999999996E-2</v>
      </c>
      <c r="O637" s="136"/>
    </row>
    <row r="638" spans="1:15" x14ac:dyDescent="0.25">
      <c r="A638" s="137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9" t="s">
        <v>19</v>
      </c>
      <c r="N638" s="161">
        <f>SUM(N637:N637)</f>
        <v>9.2399999999999996E-2</v>
      </c>
      <c r="O638" s="123"/>
    </row>
    <row r="639" spans="1:15" x14ac:dyDescent="0.25">
      <c r="A639" s="14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3"/>
    </row>
    <row r="640" spans="1:15" x14ac:dyDescent="0.25">
      <c r="A640" s="141" t="s">
        <v>15</v>
      </c>
      <c r="B640" s="132" t="s">
        <v>32</v>
      </c>
      <c r="C640" s="132" t="s">
        <v>21</v>
      </c>
      <c r="D640" s="132" t="s">
        <v>22</v>
      </c>
      <c r="E640" s="132" t="s">
        <v>33</v>
      </c>
      <c r="F640" s="132" t="s">
        <v>18</v>
      </c>
      <c r="G640" s="132" t="s">
        <v>34</v>
      </c>
      <c r="H640" s="132" t="s">
        <v>35</v>
      </c>
      <c r="I640" s="132" t="s">
        <v>19</v>
      </c>
      <c r="J640" s="138"/>
      <c r="K640" s="138"/>
      <c r="L640" s="138"/>
      <c r="M640" s="138"/>
      <c r="N640" s="138"/>
      <c r="O640" s="123"/>
    </row>
    <row r="641" spans="1:15" x14ac:dyDescent="0.25">
      <c r="A641" s="836">
        <v>10</v>
      </c>
      <c r="B641" s="142" t="s">
        <v>98</v>
      </c>
      <c r="C641" s="143"/>
      <c r="D641" s="165">
        <v>32</v>
      </c>
      <c r="E641" s="142" t="s">
        <v>92</v>
      </c>
      <c r="F641" s="841">
        <v>7.0000000000000001E-3</v>
      </c>
      <c r="G641" s="143"/>
      <c r="H641" s="143">
        <v>4</v>
      </c>
      <c r="I641" s="165">
        <f>IF(H641="",D641*F641,D641*F641*H641)</f>
        <v>0.89600000000000002</v>
      </c>
      <c r="J641" s="144"/>
      <c r="K641" s="144"/>
      <c r="L641" s="144"/>
      <c r="M641" s="144"/>
      <c r="N641" s="144"/>
      <c r="O641" s="145"/>
    </row>
    <row r="642" spans="1:15" x14ac:dyDescent="0.25">
      <c r="A642" s="157"/>
      <c r="B642" s="155"/>
      <c r="C642" s="144"/>
      <c r="D642" s="158"/>
      <c r="E642" s="155"/>
      <c r="F642" s="144"/>
      <c r="G642" s="144"/>
      <c r="H642" s="148" t="s">
        <v>19</v>
      </c>
      <c r="I642" s="161">
        <f>SUM(I641:I641)</f>
        <v>0.89600000000000002</v>
      </c>
      <c r="J642" s="144"/>
      <c r="K642" s="144"/>
      <c r="L642" s="144"/>
      <c r="M642" s="144"/>
      <c r="N642" s="144"/>
      <c r="O642" s="145"/>
    </row>
    <row r="643" spans="1:15" x14ac:dyDescent="0.25">
      <c r="A643" s="154"/>
      <c r="B643" s="155"/>
      <c r="C643" s="119"/>
      <c r="D643" s="156"/>
      <c r="E643" s="119"/>
      <c r="F643" s="119"/>
      <c r="G643" s="155"/>
      <c r="H643" s="986"/>
      <c r="I643" s="987"/>
      <c r="J643" s="120"/>
      <c r="K643" s="120"/>
      <c r="L643" s="120"/>
      <c r="M643" s="120"/>
      <c r="N643" s="120"/>
      <c r="O643" s="123"/>
    </row>
    <row r="644" spans="1:15" x14ac:dyDescent="0.25">
      <c r="A644" s="154"/>
      <c r="B644" s="155"/>
      <c r="C644" s="119"/>
      <c r="D644" s="156"/>
      <c r="E644" s="119"/>
      <c r="F644" s="119"/>
      <c r="G644" s="155"/>
      <c r="H644" s="986"/>
      <c r="I644" s="987"/>
      <c r="J644" s="120"/>
      <c r="K644" s="120"/>
      <c r="L644" s="120"/>
      <c r="M644" s="120"/>
      <c r="N644" s="120"/>
      <c r="O644" s="123"/>
    </row>
    <row r="645" spans="1:15" x14ac:dyDescent="0.25">
      <c r="A645" s="154"/>
      <c r="B645" s="155"/>
      <c r="C645" s="119"/>
      <c r="D645" s="156"/>
      <c r="E645" s="119"/>
      <c r="F645" s="119"/>
      <c r="G645" s="155"/>
      <c r="H645" s="986"/>
      <c r="I645" s="987"/>
      <c r="J645" s="120"/>
      <c r="K645" s="120"/>
      <c r="L645" s="120"/>
      <c r="M645" s="120"/>
      <c r="N645" s="120"/>
      <c r="O645" s="123"/>
    </row>
    <row r="646" spans="1:15" x14ac:dyDescent="0.25">
      <c r="A646" s="154"/>
      <c r="B646" s="155"/>
      <c r="C646" s="119"/>
      <c r="D646" s="156"/>
      <c r="E646" s="119"/>
      <c r="F646" s="119"/>
      <c r="G646" s="155"/>
      <c r="H646" s="986"/>
      <c r="I646" s="987"/>
      <c r="J646" s="120"/>
      <c r="K646" s="120"/>
      <c r="L646" s="120"/>
      <c r="M646" s="120"/>
      <c r="N646" s="120"/>
      <c r="O646" s="123"/>
    </row>
    <row r="647" spans="1:15" x14ac:dyDescent="0.25">
      <c r="A647" s="154"/>
      <c r="B647" s="155"/>
      <c r="C647" s="119"/>
      <c r="D647" s="156"/>
      <c r="E647" s="119"/>
      <c r="F647" s="119"/>
      <c r="G647" s="155"/>
      <c r="H647" s="986"/>
      <c r="I647" s="987"/>
      <c r="J647" s="120"/>
      <c r="K647" s="120"/>
      <c r="L647" s="120"/>
      <c r="M647" s="120"/>
      <c r="N647" s="120"/>
      <c r="O647" s="123"/>
    </row>
    <row r="648" spans="1:15" x14ac:dyDescent="0.25">
      <c r="A648" s="154"/>
      <c r="B648" s="155"/>
      <c r="C648" s="119"/>
      <c r="D648" s="156"/>
      <c r="E648" s="119"/>
      <c r="F648" s="119"/>
      <c r="G648" s="155"/>
      <c r="H648" s="986"/>
      <c r="I648" s="987"/>
      <c r="J648" s="120"/>
      <c r="K648" s="120"/>
      <c r="L648" s="120"/>
      <c r="M648" s="120"/>
      <c r="N648" s="120"/>
      <c r="O648" s="123"/>
    </row>
    <row r="649" spans="1:15" x14ac:dyDescent="0.25">
      <c r="A649" s="154"/>
      <c r="B649" s="155"/>
      <c r="C649" s="119"/>
      <c r="D649" s="156"/>
      <c r="E649" s="119"/>
      <c r="F649" s="119"/>
      <c r="G649" s="155"/>
      <c r="H649" s="986"/>
      <c r="I649" s="987"/>
      <c r="J649" s="120"/>
      <c r="K649" s="120"/>
      <c r="L649" s="120"/>
      <c r="M649" s="120"/>
      <c r="N649" s="120"/>
      <c r="O649" s="123"/>
    </row>
    <row r="650" spans="1:15" x14ac:dyDescent="0.25">
      <c r="A650" s="154"/>
      <c r="B650" s="155"/>
      <c r="C650" s="119"/>
      <c r="D650" s="156"/>
      <c r="E650" s="119"/>
      <c r="F650" s="119"/>
      <c r="G650" s="155"/>
      <c r="H650" s="986"/>
      <c r="I650" s="987"/>
      <c r="J650" s="120"/>
      <c r="K650" s="120"/>
      <c r="L650" s="120"/>
      <c r="M650" s="120"/>
      <c r="N650" s="120"/>
      <c r="O650" s="123"/>
    </row>
    <row r="651" spans="1:15" x14ac:dyDescent="0.25">
      <c r="A651" s="154"/>
      <c r="B651" s="155"/>
      <c r="C651" s="119"/>
      <c r="D651" s="156"/>
      <c r="E651" s="119"/>
      <c r="F651" s="119"/>
      <c r="G651" s="155"/>
      <c r="H651" s="986"/>
      <c r="I651" s="987"/>
      <c r="J651" s="120"/>
      <c r="K651" s="120"/>
      <c r="L651" s="120"/>
      <c r="M651" s="120"/>
      <c r="N651" s="120"/>
      <c r="O651" s="123"/>
    </row>
    <row r="652" spans="1:15" x14ac:dyDescent="0.25">
      <c r="A652" s="154"/>
      <c r="B652" s="155"/>
      <c r="C652" s="119"/>
      <c r="D652" s="156"/>
      <c r="E652" s="119"/>
      <c r="F652" s="119"/>
      <c r="G652" s="155"/>
      <c r="H652" s="986"/>
      <c r="I652" s="987"/>
      <c r="J652" s="120"/>
      <c r="K652" s="120"/>
      <c r="L652" s="120"/>
      <c r="M652" s="120"/>
      <c r="N652" s="120"/>
      <c r="O652" s="123"/>
    </row>
    <row r="653" spans="1:15" x14ac:dyDescent="0.25">
      <c r="A653" s="154"/>
      <c r="B653" s="155"/>
      <c r="C653" s="119"/>
      <c r="D653" s="156"/>
      <c r="E653" s="119"/>
      <c r="F653" s="119"/>
      <c r="G653" s="155"/>
      <c r="H653" s="986"/>
      <c r="I653" s="987"/>
      <c r="J653" s="120"/>
      <c r="K653" s="120"/>
      <c r="L653" s="120"/>
      <c r="M653" s="120"/>
      <c r="N653" s="120"/>
      <c r="O653" s="123"/>
    </row>
    <row r="654" spans="1:15" x14ac:dyDescent="0.25">
      <c r="A654" s="154"/>
      <c r="B654" s="155"/>
      <c r="C654" s="119"/>
      <c r="D654" s="156"/>
      <c r="E654" s="119"/>
      <c r="F654" s="119"/>
      <c r="G654" s="155"/>
      <c r="H654" s="986"/>
      <c r="I654" s="987"/>
      <c r="J654" s="120"/>
      <c r="K654" s="120"/>
      <c r="L654" s="120"/>
      <c r="M654" s="120"/>
      <c r="N654" s="120"/>
      <c r="O654" s="123"/>
    </row>
    <row r="655" spans="1:15" x14ac:dyDescent="0.25">
      <c r="A655" s="154"/>
      <c r="B655" s="155"/>
      <c r="C655" s="119"/>
      <c r="D655" s="156"/>
      <c r="E655" s="119"/>
      <c r="F655" s="119"/>
      <c r="G655" s="155"/>
      <c r="H655" s="986"/>
      <c r="I655" s="987"/>
      <c r="J655" s="120"/>
      <c r="K655" s="120"/>
      <c r="L655" s="120"/>
      <c r="M655" s="120"/>
      <c r="N655" s="120"/>
      <c r="O655" s="123"/>
    </row>
    <row r="656" spans="1:15" x14ac:dyDescent="0.25">
      <c r="A656" s="154"/>
      <c r="B656" s="155"/>
      <c r="C656" s="119"/>
      <c r="D656" s="156"/>
      <c r="E656" s="119"/>
      <c r="F656" s="119"/>
      <c r="G656" s="155"/>
      <c r="H656" s="986"/>
      <c r="I656" s="987"/>
      <c r="J656" s="120"/>
      <c r="K656" s="120"/>
      <c r="L656" s="120"/>
      <c r="M656" s="120"/>
      <c r="N656" s="120"/>
      <c r="O656" s="123"/>
    </row>
    <row r="657" spans="1:15" x14ac:dyDescent="0.25">
      <c r="A657" s="154"/>
      <c r="B657" s="155"/>
      <c r="C657" s="119"/>
      <c r="D657" s="156"/>
      <c r="E657" s="119"/>
      <c r="F657" s="119"/>
      <c r="G657" s="155"/>
      <c r="H657" s="986"/>
      <c r="I657" s="987"/>
      <c r="J657" s="120"/>
      <c r="K657" s="120"/>
      <c r="L657" s="120"/>
      <c r="M657" s="120"/>
      <c r="N657" s="120"/>
      <c r="O657" s="123"/>
    </row>
    <row r="658" spans="1:15" ht="13.5" customHeight="1" x14ac:dyDescent="0.25">
      <c r="A658" s="154"/>
      <c r="B658" s="155"/>
      <c r="C658" s="119"/>
      <c r="D658" s="156"/>
      <c r="E658" s="119"/>
      <c r="F658" s="119"/>
      <c r="G658" s="155"/>
      <c r="H658" s="986"/>
      <c r="I658" s="987"/>
      <c r="J658" s="120"/>
      <c r="K658" s="120"/>
      <c r="L658" s="120"/>
      <c r="M658" s="120"/>
      <c r="N658" s="120"/>
      <c r="O658" s="123"/>
    </row>
    <row r="659" spans="1:15" ht="15.75" thickBot="1" x14ac:dyDescent="0.3">
      <c r="A659" s="149"/>
      <c r="B659" s="150"/>
      <c r="C659" s="150"/>
      <c r="D659" s="150"/>
      <c r="E659" s="150"/>
      <c r="F659" s="150"/>
      <c r="G659" s="150"/>
      <c r="H659" s="988"/>
      <c r="I659" s="988"/>
      <c r="J659" s="150"/>
      <c r="K659" s="150"/>
      <c r="L659" s="150"/>
      <c r="M659" s="150"/>
      <c r="N659" s="150"/>
      <c r="O659" s="152"/>
    </row>
    <row r="660" spans="1:15" ht="15.75" thickBot="1" x14ac:dyDescent="0.3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</row>
    <row r="661" spans="1:15" x14ac:dyDescent="0.25">
      <c r="A661" s="114"/>
      <c r="B661" s="115"/>
      <c r="C661" s="115"/>
      <c r="D661" s="115"/>
      <c r="E661" s="115"/>
      <c r="F661" s="115"/>
      <c r="G661" s="115"/>
      <c r="H661" s="115"/>
      <c r="I661" s="115"/>
      <c r="J661" s="153"/>
      <c r="K661" s="115"/>
      <c r="L661" s="115"/>
      <c r="M661" s="115"/>
      <c r="N661" s="115"/>
      <c r="O661" s="116"/>
    </row>
    <row r="662" spans="1:15" x14ac:dyDescent="0.25">
      <c r="A662" s="118" t="s">
        <v>0</v>
      </c>
      <c r="B662" s="119" t="s">
        <v>47</v>
      </c>
      <c r="C662" s="120"/>
      <c r="D662" s="120"/>
      <c r="E662" s="120"/>
      <c r="F662" s="120"/>
      <c r="G662" s="120"/>
      <c r="H662" s="120"/>
      <c r="I662" s="120"/>
      <c r="J662" s="121" t="s">
        <v>2</v>
      </c>
      <c r="K662" s="122">
        <v>81</v>
      </c>
      <c r="L662" s="120"/>
      <c r="M662" s="118" t="s">
        <v>17</v>
      </c>
      <c r="N662" s="73">
        <f>EN_05005_m+EN_05005_p</f>
        <v>0.84759059199999998</v>
      </c>
      <c r="O662" s="123"/>
    </row>
    <row r="663" spans="1:15" x14ac:dyDescent="0.25">
      <c r="A663" s="118" t="s">
        <v>4</v>
      </c>
      <c r="B663" s="119" t="s">
        <v>81</v>
      </c>
      <c r="C663" s="120"/>
      <c r="D663" s="118" t="s">
        <v>7</v>
      </c>
      <c r="E663" s="120"/>
      <c r="F663" s="120"/>
      <c r="G663" s="120"/>
      <c r="H663" s="120"/>
      <c r="I663" s="120"/>
      <c r="J663" s="120"/>
      <c r="K663" s="120"/>
      <c r="L663" s="120"/>
      <c r="M663" s="118" t="s">
        <v>5</v>
      </c>
      <c r="N663" s="73">
        <v>1</v>
      </c>
      <c r="O663" s="123"/>
    </row>
    <row r="664" spans="1:15" x14ac:dyDescent="0.25">
      <c r="A664" s="118" t="s">
        <v>6</v>
      </c>
      <c r="B664" s="125" t="s">
        <v>83</v>
      </c>
      <c r="C664" s="120"/>
      <c r="D664" s="118" t="s">
        <v>9</v>
      </c>
      <c r="E664" s="120"/>
      <c r="F664" s="120"/>
      <c r="G664" s="120"/>
      <c r="H664" s="120"/>
      <c r="I664" s="120"/>
      <c r="J664" s="126" t="s">
        <v>7</v>
      </c>
      <c r="K664" s="120"/>
      <c r="L664" s="120"/>
      <c r="M664" s="120"/>
      <c r="N664" s="120"/>
      <c r="O664" s="123"/>
    </row>
    <row r="665" spans="1:15" x14ac:dyDescent="0.25">
      <c r="A665" s="118" t="s">
        <v>16</v>
      </c>
      <c r="B665" s="127" t="s">
        <v>102</v>
      </c>
      <c r="C665" s="120"/>
      <c r="D665" s="118" t="s">
        <v>13</v>
      </c>
      <c r="E665" s="120"/>
      <c r="F665" s="120"/>
      <c r="G665" s="120"/>
      <c r="H665" s="120"/>
      <c r="I665" s="120"/>
      <c r="J665" s="126" t="s">
        <v>9</v>
      </c>
      <c r="K665" s="120"/>
      <c r="L665" s="120"/>
      <c r="M665" s="118" t="s">
        <v>10</v>
      </c>
      <c r="N665" s="73">
        <f>N663*N662</f>
        <v>0.84759059199999998</v>
      </c>
      <c r="O665" s="123"/>
    </row>
    <row r="666" spans="1:15" x14ac:dyDescent="0.25">
      <c r="A666" s="118" t="s">
        <v>8</v>
      </c>
      <c r="B666" s="127" t="s">
        <v>106</v>
      </c>
      <c r="C666" s="120"/>
      <c r="D666" s="120"/>
      <c r="E666" s="120"/>
      <c r="F666" s="120"/>
      <c r="G666" s="120"/>
      <c r="H666" s="120"/>
      <c r="I666" s="120"/>
      <c r="J666" s="126" t="s">
        <v>13</v>
      </c>
      <c r="K666" s="120"/>
      <c r="L666" s="120"/>
      <c r="M666" s="120"/>
      <c r="N666" s="120"/>
      <c r="O666" s="123"/>
    </row>
    <row r="667" spans="1:15" x14ac:dyDescent="0.25">
      <c r="A667" s="118" t="s">
        <v>11</v>
      </c>
      <c r="B667" s="119" t="s">
        <v>12</v>
      </c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3"/>
    </row>
    <row r="668" spans="1:15" x14ac:dyDescent="0.25">
      <c r="A668" s="118" t="s">
        <v>14</v>
      </c>
      <c r="B668" s="119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3"/>
    </row>
    <row r="669" spans="1:15" x14ac:dyDescent="0.25">
      <c r="A669" s="128"/>
      <c r="B669" s="129"/>
      <c r="C669" s="129"/>
      <c r="D669" s="129"/>
      <c r="E669" s="129"/>
      <c r="F669" s="120"/>
      <c r="G669" s="120"/>
      <c r="H669" s="120"/>
      <c r="I669" s="120"/>
      <c r="J669" s="120"/>
      <c r="K669" s="120"/>
      <c r="L669" s="120"/>
      <c r="M669" s="120"/>
      <c r="N669" s="120"/>
      <c r="O669" s="123"/>
    </row>
    <row r="670" spans="1:15" x14ac:dyDescent="0.25">
      <c r="A670" s="130" t="s">
        <v>15</v>
      </c>
      <c r="B670" s="131" t="s">
        <v>20</v>
      </c>
      <c r="C670" s="131" t="s">
        <v>21</v>
      </c>
      <c r="D670" s="131" t="s">
        <v>22</v>
      </c>
      <c r="E670" s="131" t="s">
        <v>23</v>
      </c>
      <c r="F670" s="132" t="s">
        <v>24</v>
      </c>
      <c r="G670" s="132" t="s">
        <v>25</v>
      </c>
      <c r="H670" s="132" t="s">
        <v>26</v>
      </c>
      <c r="I670" s="132" t="s">
        <v>27</v>
      </c>
      <c r="J670" s="132" t="s">
        <v>28</v>
      </c>
      <c r="K670" s="132" t="s">
        <v>29</v>
      </c>
      <c r="L670" s="132" t="s">
        <v>30</v>
      </c>
      <c r="M670" s="132" t="s">
        <v>18</v>
      </c>
      <c r="N670" s="132" t="s">
        <v>19</v>
      </c>
      <c r="O670" s="123"/>
    </row>
    <row r="671" spans="1:15" x14ac:dyDescent="0.25">
      <c r="A671" s="838">
        <v>10</v>
      </c>
      <c r="B671" s="133" t="s">
        <v>103</v>
      </c>
      <c r="C671" s="134"/>
      <c r="D671" s="160">
        <v>4.2</v>
      </c>
      <c r="E671" s="840">
        <v>2.3E-2</v>
      </c>
      <c r="F671" s="134" t="s">
        <v>92</v>
      </c>
      <c r="G671" s="134"/>
      <c r="H671" s="19"/>
      <c r="I671" s="134" t="s">
        <v>104</v>
      </c>
      <c r="J671" s="828">
        <v>4.2399999999999998E-3</v>
      </c>
      <c r="K671" s="828">
        <v>2E-3</v>
      </c>
      <c r="L671" s="842">
        <v>2712</v>
      </c>
      <c r="M671" s="19">
        <v>1</v>
      </c>
      <c r="N671" s="160">
        <f>IF(J671="",D671*M671,D671*J671*K671*L671*M671)</f>
        <v>9.6590592000000017E-2</v>
      </c>
      <c r="O671" s="136"/>
    </row>
    <row r="672" spans="1:15" x14ac:dyDescent="0.25">
      <c r="A672" s="137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9" t="s">
        <v>19</v>
      </c>
      <c r="N672" s="161">
        <f>SUM(N671:N671)</f>
        <v>9.6590592000000017E-2</v>
      </c>
      <c r="O672" s="123"/>
    </row>
    <row r="673" spans="1:15" x14ac:dyDescent="0.25">
      <c r="A673" s="14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3"/>
    </row>
    <row r="674" spans="1:15" x14ac:dyDescent="0.25">
      <c r="A674" s="141" t="s">
        <v>15</v>
      </c>
      <c r="B674" s="132" t="s">
        <v>32</v>
      </c>
      <c r="C674" s="132" t="s">
        <v>21</v>
      </c>
      <c r="D674" s="132" t="s">
        <v>22</v>
      </c>
      <c r="E674" s="132" t="s">
        <v>33</v>
      </c>
      <c r="F674" s="132" t="s">
        <v>18</v>
      </c>
      <c r="G674" s="132" t="s">
        <v>34</v>
      </c>
      <c r="H674" s="132" t="s">
        <v>35</v>
      </c>
      <c r="I674" s="132" t="s">
        <v>19</v>
      </c>
      <c r="J674" s="138"/>
      <c r="K674" s="138"/>
      <c r="L674" s="138"/>
      <c r="M674" s="138"/>
      <c r="N674" s="138"/>
      <c r="O674" s="123"/>
    </row>
    <row r="675" spans="1:15" ht="30" x14ac:dyDescent="0.25">
      <c r="A675" s="836">
        <v>10</v>
      </c>
      <c r="B675" s="142" t="s">
        <v>50</v>
      </c>
      <c r="C675" s="143" t="s">
        <v>51</v>
      </c>
      <c r="D675" s="165">
        <v>1.3</v>
      </c>
      <c r="E675" s="142" t="s">
        <v>36</v>
      </c>
      <c r="F675" s="841">
        <v>1</v>
      </c>
      <c r="G675" s="143"/>
      <c r="H675" s="841">
        <v>0.5</v>
      </c>
      <c r="I675" s="159">
        <f>IF(H675="",D675*F675,D675*F675*H675)</f>
        <v>0.65</v>
      </c>
      <c r="J675" s="144"/>
      <c r="K675" s="144"/>
      <c r="L675" s="144"/>
      <c r="M675" s="144"/>
      <c r="N675" s="144"/>
      <c r="O675" s="145"/>
    </row>
    <row r="676" spans="1:15" x14ac:dyDescent="0.25">
      <c r="A676" s="837">
        <v>20</v>
      </c>
      <c r="B676" s="142" t="s">
        <v>94</v>
      </c>
      <c r="C676" s="146"/>
      <c r="D676" s="160">
        <v>0.01</v>
      </c>
      <c r="E676" s="146" t="s">
        <v>53</v>
      </c>
      <c r="F676" s="835">
        <v>10.1</v>
      </c>
      <c r="G676" s="142"/>
      <c r="H676" s="834">
        <v>1</v>
      </c>
      <c r="I676" s="159">
        <f>IF(H676="",D676*F676,D676*F676*H676)</f>
        <v>0.10099999999999999</v>
      </c>
      <c r="J676" s="120"/>
      <c r="K676" s="120"/>
      <c r="L676" s="120"/>
      <c r="M676" s="120"/>
      <c r="N676" s="120"/>
      <c r="O676" s="123"/>
    </row>
    <row r="677" spans="1:15" x14ac:dyDescent="0.25">
      <c r="A677" s="154"/>
      <c r="B677" s="155"/>
      <c r="C677" s="119"/>
      <c r="D677" s="156"/>
      <c r="E677" s="119"/>
      <c r="F677" s="119"/>
      <c r="G677" s="155"/>
      <c r="H677" s="148" t="s">
        <v>19</v>
      </c>
      <c r="I677" s="164">
        <f>SUM(I675:I676)</f>
        <v>0.751</v>
      </c>
      <c r="J677" s="120"/>
      <c r="K677" s="120"/>
      <c r="L677" s="120"/>
      <c r="M677" s="120"/>
      <c r="N677" s="120"/>
      <c r="O677" s="123"/>
    </row>
    <row r="678" spans="1:15" x14ac:dyDescent="0.25">
      <c r="A678" s="154"/>
      <c r="B678" s="155"/>
      <c r="C678" s="119"/>
      <c r="D678" s="156"/>
      <c r="E678" s="119"/>
      <c r="F678" s="119"/>
      <c r="G678" s="155"/>
      <c r="H678" s="986"/>
      <c r="I678" s="987"/>
      <c r="J678" s="120"/>
      <c r="K678" s="120"/>
      <c r="L678" s="120"/>
      <c r="M678" s="120"/>
      <c r="N678" s="120"/>
      <c r="O678" s="123"/>
    </row>
    <row r="679" spans="1:15" x14ac:dyDescent="0.25">
      <c r="A679" s="154"/>
      <c r="B679" s="155"/>
      <c r="C679" s="119"/>
      <c r="D679" s="156"/>
      <c r="E679" s="119"/>
      <c r="F679" s="119"/>
      <c r="G679" s="155"/>
      <c r="H679" s="986"/>
      <c r="I679" s="987"/>
      <c r="J679" s="120"/>
      <c r="K679" s="120"/>
      <c r="L679" s="120"/>
      <c r="M679" s="120"/>
      <c r="N679" s="120"/>
      <c r="O679" s="123"/>
    </row>
    <row r="680" spans="1:15" x14ac:dyDescent="0.25">
      <c r="A680" s="154"/>
      <c r="B680" s="155"/>
      <c r="C680" s="119"/>
      <c r="D680" s="156"/>
      <c r="E680" s="119"/>
      <c r="F680" s="119"/>
      <c r="G680" s="155"/>
      <c r="H680" s="986"/>
      <c r="I680" s="987"/>
      <c r="J680" s="120"/>
      <c r="K680" s="120"/>
      <c r="L680" s="120"/>
      <c r="M680" s="120"/>
      <c r="N680" s="120"/>
      <c r="O680" s="123"/>
    </row>
    <row r="681" spans="1:15" x14ac:dyDescent="0.25">
      <c r="A681" s="154"/>
      <c r="B681" s="155"/>
      <c r="C681" s="119"/>
      <c r="D681" s="156"/>
      <c r="E681" s="119"/>
      <c r="F681" s="119"/>
      <c r="G681" s="155"/>
      <c r="H681" s="986"/>
      <c r="I681" s="987"/>
      <c r="J681" s="120"/>
      <c r="K681" s="120"/>
      <c r="L681" s="120"/>
      <c r="M681" s="120"/>
      <c r="N681" s="120"/>
      <c r="O681" s="123"/>
    </row>
    <row r="682" spans="1:15" x14ac:dyDescent="0.25">
      <c r="A682" s="154"/>
      <c r="B682" s="155"/>
      <c r="C682" s="119"/>
      <c r="D682" s="156"/>
      <c r="E682" s="119"/>
      <c r="F682" s="119"/>
      <c r="G682" s="155"/>
      <c r="H682" s="986"/>
      <c r="I682" s="987"/>
      <c r="J682" s="120"/>
      <c r="K682" s="120"/>
      <c r="L682" s="120"/>
      <c r="M682" s="120"/>
      <c r="N682" s="120"/>
      <c r="O682" s="123"/>
    </row>
    <row r="683" spans="1:15" x14ac:dyDescent="0.25">
      <c r="A683" s="154"/>
      <c r="B683" s="155"/>
      <c r="C683" s="119"/>
      <c r="D683" s="156"/>
      <c r="E683" s="119"/>
      <c r="F683" s="119"/>
      <c r="G683" s="155"/>
      <c r="H683" s="986"/>
      <c r="I683" s="987"/>
      <c r="J683" s="120"/>
      <c r="K683" s="120"/>
      <c r="L683" s="120"/>
      <c r="M683" s="120"/>
      <c r="N683" s="120"/>
      <c r="O683" s="123"/>
    </row>
    <row r="684" spans="1:15" x14ac:dyDescent="0.25">
      <c r="A684" s="154"/>
      <c r="B684" s="155"/>
      <c r="C684" s="119"/>
      <c r="D684" s="156"/>
      <c r="E684" s="119"/>
      <c r="F684" s="119"/>
      <c r="G684" s="155"/>
      <c r="H684" s="986"/>
      <c r="I684" s="987"/>
      <c r="J684" s="120"/>
      <c r="K684" s="120"/>
      <c r="L684" s="120"/>
      <c r="M684" s="120"/>
      <c r="N684" s="120"/>
      <c r="O684" s="123"/>
    </row>
    <row r="685" spans="1:15" x14ac:dyDescent="0.25">
      <c r="A685" s="154"/>
      <c r="B685" s="155"/>
      <c r="C685" s="119"/>
      <c r="D685" s="156"/>
      <c r="E685" s="119"/>
      <c r="F685" s="119"/>
      <c r="G685" s="155"/>
      <c r="H685" s="986"/>
      <c r="I685" s="987"/>
      <c r="J685" s="120"/>
      <c r="K685" s="120"/>
      <c r="L685" s="120"/>
      <c r="M685" s="120"/>
      <c r="N685" s="120"/>
      <c r="O685" s="123"/>
    </row>
    <row r="686" spans="1:15" x14ac:dyDescent="0.25">
      <c r="A686" s="154"/>
      <c r="B686" s="155"/>
      <c r="C686" s="119"/>
      <c r="D686" s="156"/>
      <c r="E686" s="119"/>
      <c r="F686" s="119"/>
      <c r="G686" s="155"/>
      <c r="H686" s="986"/>
      <c r="I686" s="987"/>
      <c r="J686" s="120"/>
      <c r="K686" s="120"/>
      <c r="L686" s="120"/>
      <c r="M686" s="120"/>
      <c r="N686" s="120"/>
      <c r="O686" s="123"/>
    </row>
    <row r="687" spans="1:15" x14ac:dyDescent="0.25">
      <c r="A687" s="154"/>
      <c r="B687" s="155"/>
      <c r="C687" s="119"/>
      <c r="D687" s="156"/>
      <c r="E687" s="119"/>
      <c r="F687" s="119"/>
      <c r="G687" s="155"/>
      <c r="H687" s="986"/>
      <c r="I687" s="987"/>
      <c r="J687" s="120"/>
      <c r="K687" s="120"/>
      <c r="L687" s="120"/>
      <c r="M687" s="120"/>
      <c r="N687" s="120"/>
      <c r="O687" s="123"/>
    </row>
    <row r="688" spans="1:15" x14ac:dyDescent="0.25">
      <c r="A688" s="154"/>
      <c r="B688" s="155"/>
      <c r="C688" s="119"/>
      <c r="D688" s="156"/>
      <c r="E688" s="119"/>
      <c r="F688" s="119"/>
      <c r="G688" s="155"/>
      <c r="H688" s="986"/>
      <c r="I688" s="987"/>
      <c r="J688" s="120"/>
      <c r="K688" s="120"/>
      <c r="L688" s="120"/>
      <c r="M688" s="120"/>
      <c r="N688" s="120"/>
      <c r="O688" s="123"/>
    </row>
    <row r="689" spans="1:15" x14ac:dyDescent="0.25">
      <c r="A689" s="154"/>
      <c r="B689" s="155"/>
      <c r="C689" s="119"/>
      <c r="D689" s="156"/>
      <c r="E689" s="119"/>
      <c r="F689" s="119"/>
      <c r="G689" s="155"/>
      <c r="H689" s="986"/>
      <c r="I689" s="987"/>
      <c r="J689" s="120"/>
      <c r="K689" s="120"/>
      <c r="L689" s="120"/>
      <c r="M689" s="120"/>
      <c r="N689" s="120"/>
      <c r="O689" s="123"/>
    </row>
    <row r="690" spans="1:15" x14ac:dyDescent="0.25">
      <c r="A690" s="154"/>
      <c r="B690" s="155"/>
      <c r="C690" s="119"/>
      <c r="D690" s="156"/>
      <c r="E690" s="119"/>
      <c r="F690" s="119"/>
      <c r="G690" s="155"/>
      <c r="H690" s="986"/>
      <c r="I690" s="987"/>
      <c r="J690" s="120"/>
      <c r="K690" s="120"/>
      <c r="L690" s="120"/>
      <c r="M690" s="120"/>
      <c r="N690" s="120"/>
      <c r="O690" s="123"/>
    </row>
    <row r="691" spans="1:15" x14ac:dyDescent="0.25">
      <c r="A691" s="154"/>
      <c r="B691" s="155"/>
      <c r="C691" s="119"/>
      <c r="D691" s="156"/>
      <c r="E691" s="119"/>
      <c r="F691" s="119"/>
      <c r="G691" s="155"/>
      <c r="H691" s="986"/>
      <c r="I691" s="987"/>
      <c r="J691" s="120"/>
      <c r="K691" s="120"/>
      <c r="L691" s="120"/>
      <c r="M691" s="120"/>
      <c r="N691" s="120"/>
      <c r="O691" s="123"/>
    </row>
    <row r="692" spans="1:15" x14ac:dyDescent="0.25">
      <c r="A692" s="154"/>
      <c r="B692" s="155"/>
      <c r="C692" s="119"/>
      <c r="D692" s="156"/>
      <c r="E692" s="119"/>
      <c r="F692" s="119"/>
      <c r="G692" s="155"/>
      <c r="H692" s="986"/>
      <c r="I692" s="987"/>
      <c r="J692" s="120"/>
      <c r="K692" s="120"/>
      <c r="L692" s="120"/>
      <c r="M692" s="120"/>
      <c r="N692" s="120"/>
      <c r="O692" s="123"/>
    </row>
    <row r="693" spans="1:15" x14ac:dyDescent="0.25">
      <c r="A693" s="154"/>
      <c r="B693" s="155"/>
      <c r="C693" s="119"/>
      <c r="D693" s="156"/>
      <c r="E693" s="119"/>
      <c r="F693" s="119"/>
      <c r="G693" s="155"/>
      <c r="H693" s="986"/>
      <c r="I693" s="987"/>
      <c r="J693" s="120"/>
      <c r="K693" s="120"/>
      <c r="L693" s="120"/>
      <c r="M693" s="120"/>
      <c r="N693" s="120"/>
      <c r="O693" s="123"/>
    </row>
    <row r="694" spans="1:15" x14ac:dyDescent="0.25">
      <c r="A694" s="154"/>
      <c r="B694" s="155"/>
      <c r="C694" s="119"/>
      <c r="D694" s="156"/>
      <c r="E694" s="119"/>
      <c r="F694" s="119"/>
      <c r="G694" s="155"/>
      <c r="H694" s="986"/>
      <c r="I694" s="987"/>
      <c r="J694" s="120"/>
      <c r="K694" s="120"/>
      <c r="L694" s="120"/>
      <c r="M694" s="120"/>
      <c r="N694" s="120"/>
      <c r="O694" s="123"/>
    </row>
    <row r="695" spans="1:15" x14ac:dyDescent="0.25">
      <c r="A695" s="154"/>
      <c r="B695" s="155"/>
      <c r="C695" s="119"/>
      <c r="D695" s="156"/>
      <c r="E695" s="119"/>
      <c r="F695" s="119"/>
      <c r="G695" s="155"/>
      <c r="H695" s="986"/>
      <c r="I695" s="987"/>
      <c r="J695" s="120"/>
      <c r="K695" s="120"/>
      <c r="L695" s="120"/>
      <c r="M695" s="120"/>
      <c r="N695" s="120"/>
      <c r="O695" s="123"/>
    </row>
    <row r="696" spans="1:15" x14ac:dyDescent="0.25">
      <c r="A696" s="154"/>
      <c r="B696" s="155"/>
      <c r="C696" s="119"/>
      <c r="D696" s="156"/>
      <c r="E696" s="119"/>
      <c r="F696" s="119"/>
      <c r="G696" s="155"/>
      <c r="H696" s="986"/>
      <c r="I696" s="987"/>
      <c r="J696" s="120"/>
      <c r="K696" s="120"/>
      <c r="L696" s="120"/>
      <c r="M696" s="120"/>
      <c r="N696" s="120"/>
      <c r="O696" s="123"/>
    </row>
    <row r="697" spans="1:15" x14ac:dyDescent="0.25">
      <c r="A697" s="154"/>
      <c r="B697" s="155"/>
      <c r="C697" s="119"/>
      <c r="D697" s="156"/>
      <c r="E697" s="119"/>
      <c r="F697" s="119"/>
      <c r="G697" s="155"/>
      <c r="H697" s="986"/>
      <c r="I697" s="987"/>
      <c r="J697" s="120"/>
      <c r="K697" s="120"/>
      <c r="L697" s="120"/>
      <c r="M697" s="120"/>
      <c r="N697" s="120"/>
      <c r="O697" s="123"/>
    </row>
    <row r="698" spans="1:15" ht="13.5" customHeight="1" x14ac:dyDescent="0.25">
      <c r="A698" s="154"/>
      <c r="B698" s="155"/>
      <c r="C698" s="119"/>
      <c r="D698" s="156"/>
      <c r="E698" s="119"/>
      <c r="F698" s="119"/>
      <c r="G698" s="155"/>
      <c r="H698" s="986"/>
      <c r="I698" s="987"/>
      <c r="J698" s="120"/>
      <c r="K698" s="120"/>
      <c r="L698" s="120"/>
      <c r="M698" s="120"/>
      <c r="N698" s="120"/>
      <c r="O698" s="123"/>
    </row>
    <row r="699" spans="1:15" ht="15.75" thickBot="1" x14ac:dyDescent="0.3">
      <c r="A699" s="149"/>
      <c r="B699" s="150"/>
      <c r="C699" s="150"/>
      <c r="D699" s="150"/>
      <c r="E699" s="150"/>
      <c r="F699" s="150"/>
      <c r="G699" s="150"/>
      <c r="H699" s="988"/>
      <c r="I699" s="988"/>
      <c r="J699" s="150"/>
      <c r="K699" s="150"/>
      <c r="L699" s="150"/>
      <c r="M699" s="150"/>
      <c r="N699" s="150"/>
      <c r="O699" s="152"/>
    </row>
    <row r="700" spans="1:15" ht="15.75" thickBot="1" x14ac:dyDescent="0.3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</row>
    <row r="701" spans="1:15" x14ac:dyDescent="0.25">
      <c r="A701" s="114"/>
      <c r="B701" s="115"/>
      <c r="C701" s="115"/>
      <c r="D701" s="115"/>
      <c r="E701" s="115"/>
      <c r="F701" s="115"/>
      <c r="G701" s="115"/>
      <c r="H701" s="115"/>
      <c r="I701" s="115"/>
      <c r="J701" s="153"/>
      <c r="K701" s="115"/>
      <c r="L701" s="115"/>
      <c r="M701" s="115"/>
      <c r="N701" s="115"/>
      <c r="O701" s="116"/>
    </row>
    <row r="702" spans="1:15" x14ac:dyDescent="0.25">
      <c r="A702" s="118" t="s">
        <v>0</v>
      </c>
      <c r="B702" s="119" t="s">
        <v>47</v>
      </c>
      <c r="C702" s="120"/>
      <c r="D702" s="120"/>
      <c r="E702" s="120"/>
      <c r="F702" s="120"/>
      <c r="G702" s="120"/>
      <c r="H702" s="120"/>
      <c r="I702" s="120"/>
      <c r="J702" s="121" t="s">
        <v>2</v>
      </c>
      <c r="K702" s="122">
        <v>81</v>
      </c>
      <c r="L702" s="120"/>
      <c r="M702" s="118" t="s">
        <v>17</v>
      </c>
      <c r="N702" s="73">
        <f>EN_05006_m+EN_05006_p</f>
        <v>1.2469356249999999</v>
      </c>
      <c r="O702" s="123"/>
    </row>
    <row r="703" spans="1:15" x14ac:dyDescent="0.25">
      <c r="A703" s="118" t="s">
        <v>4</v>
      </c>
      <c r="B703" s="119" t="s">
        <v>81</v>
      </c>
      <c r="C703" s="120"/>
      <c r="D703" s="118" t="s">
        <v>7</v>
      </c>
      <c r="E703" s="120"/>
      <c r="F703" s="120"/>
      <c r="G703" s="120"/>
      <c r="H703" s="120"/>
      <c r="I703" s="120"/>
      <c r="J703" s="120"/>
      <c r="K703" s="120"/>
      <c r="L703" s="120"/>
      <c r="M703" s="118" t="s">
        <v>5</v>
      </c>
      <c r="N703" s="73">
        <v>2</v>
      </c>
      <c r="O703" s="123"/>
    </row>
    <row r="704" spans="1:15" x14ac:dyDescent="0.25">
      <c r="A704" s="118" t="s">
        <v>6</v>
      </c>
      <c r="B704" s="125" t="s">
        <v>83</v>
      </c>
      <c r="C704" s="120"/>
      <c r="D704" s="118" t="s">
        <v>9</v>
      </c>
      <c r="E704" s="120"/>
      <c r="F704" s="120"/>
      <c r="G704" s="120"/>
      <c r="H704" s="120"/>
      <c r="I704" s="120"/>
      <c r="J704" s="126" t="s">
        <v>7</v>
      </c>
      <c r="K704" s="120"/>
      <c r="L704" s="120"/>
      <c r="M704" s="120"/>
      <c r="N704" s="120"/>
      <c r="O704" s="123"/>
    </row>
    <row r="705" spans="1:15" x14ac:dyDescent="0.25">
      <c r="A705" s="118" t="s">
        <v>16</v>
      </c>
      <c r="B705" s="127" t="s">
        <v>89</v>
      </c>
      <c r="C705" s="120"/>
      <c r="D705" s="118" t="s">
        <v>13</v>
      </c>
      <c r="E705" s="120"/>
      <c r="F705" s="120"/>
      <c r="G705" s="120"/>
      <c r="H705" s="120"/>
      <c r="I705" s="120"/>
      <c r="J705" s="126" t="s">
        <v>9</v>
      </c>
      <c r="K705" s="120"/>
      <c r="L705" s="120"/>
      <c r="M705" s="118" t="s">
        <v>10</v>
      </c>
      <c r="N705" s="73">
        <f>N703*N702</f>
        <v>2.4938712499999998</v>
      </c>
      <c r="O705" s="123"/>
    </row>
    <row r="706" spans="1:15" x14ac:dyDescent="0.25">
      <c r="A706" s="118" t="s">
        <v>8</v>
      </c>
      <c r="B706" s="127" t="s">
        <v>105</v>
      </c>
      <c r="C706" s="120"/>
      <c r="D706" s="120"/>
      <c r="E706" s="120"/>
      <c r="F706" s="120"/>
      <c r="G706" s="120"/>
      <c r="H706" s="120"/>
      <c r="I706" s="120"/>
      <c r="J706" s="126" t="s">
        <v>13</v>
      </c>
      <c r="K706" s="120"/>
      <c r="L706" s="120"/>
      <c r="M706" s="120"/>
      <c r="N706" s="120"/>
      <c r="O706" s="123"/>
    </row>
    <row r="707" spans="1:15" x14ac:dyDescent="0.25">
      <c r="A707" s="118" t="s">
        <v>11</v>
      </c>
      <c r="B707" s="119" t="s">
        <v>12</v>
      </c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3"/>
    </row>
    <row r="708" spans="1:15" x14ac:dyDescent="0.25">
      <c r="A708" s="118" t="s">
        <v>14</v>
      </c>
      <c r="B708" s="119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3"/>
    </row>
    <row r="709" spans="1:15" x14ac:dyDescent="0.25">
      <c r="A709" s="128"/>
      <c r="B709" s="129"/>
      <c r="C709" s="129"/>
      <c r="D709" s="129"/>
      <c r="E709" s="129"/>
      <c r="F709" s="120"/>
      <c r="G709" s="120"/>
      <c r="H709" s="120"/>
      <c r="I709" s="120"/>
      <c r="J709" s="120"/>
      <c r="K709" s="120"/>
      <c r="L709" s="120"/>
      <c r="M709" s="120"/>
      <c r="N709" s="120"/>
      <c r="O709" s="123"/>
    </row>
    <row r="710" spans="1:15" x14ac:dyDescent="0.25">
      <c r="A710" s="130" t="s">
        <v>15</v>
      </c>
      <c r="B710" s="131" t="s">
        <v>20</v>
      </c>
      <c r="C710" s="131" t="s">
        <v>21</v>
      </c>
      <c r="D710" s="131" t="s">
        <v>22</v>
      </c>
      <c r="E710" s="131" t="s">
        <v>23</v>
      </c>
      <c r="F710" s="132" t="s">
        <v>24</v>
      </c>
      <c r="G710" s="132" t="s">
        <v>25</v>
      </c>
      <c r="H710" s="132" t="s">
        <v>26</v>
      </c>
      <c r="I710" s="132" t="s">
        <v>27</v>
      </c>
      <c r="J710" s="132" t="s">
        <v>28</v>
      </c>
      <c r="K710" s="132" t="s">
        <v>29</v>
      </c>
      <c r="L710" s="132" t="s">
        <v>30</v>
      </c>
      <c r="M710" s="132" t="s">
        <v>18</v>
      </c>
      <c r="N710" s="132" t="s">
        <v>19</v>
      </c>
      <c r="O710" s="123"/>
    </row>
    <row r="711" spans="1:15" x14ac:dyDescent="0.25">
      <c r="A711" s="838">
        <v>10</v>
      </c>
      <c r="B711" s="133" t="s">
        <v>107</v>
      </c>
      <c r="C711" s="134"/>
      <c r="D711" s="839">
        <v>2.25</v>
      </c>
      <c r="E711" s="840">
        <v>2.7E-2</v>
      </c>
      <c r="F711" s="134" t="s">
        <v>92</v>
      </c>
      <c r="G711" s="134"/>
      <c r="H711" s="19"/>
      <c r="I711" s="134" t="s">
        <v>108</v>
      </c>
      <c r="J711" s="828">
        <v>1.15E-3</v>
      </c>
      <c r="K711" s="828">
        <v>3.0000000000000001E-3</v>
      </c>
      <c r="L711" s="842">
        <v>7850</v>
      </c>
      <c r="M711" s="839">
        <v>1</v>
      </c>
      <c r="N711" s="160">
        <f>IF(J711="",D711*M711,D711*J711*K711*L711*M711)</f>
        <v>6.0935625000000007E-2</v>
      </c>
      <c r="O711" s="136"/>
    </row>
    <row r="712" spans="1:15" x14ac:dyDescent="0.25">
      <c r="A712" s="137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9" t="s">
        <v>19</v>
      </c>
      <c r="N712" s="161">
        <f>SUM(N711:N711)</f>
        <v>6.0935625000000007E-2</v>
      </c>
      <c r="O712" s="123"/>
    </row>
    <row r="713" spans="1:15" x14ac:dyDescent="0.25">
      <c r="A713" s="14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3"/>
    </row>
    <row r="714" spans="1:15" x14ac:dyDescent="0.25">
      <c r="A714" s="141" t="s">
        <v>15</v>
      </c>
      <c r="B714" s="132" t="s">
        <v>32</v>
      </c>
      <c r="C714" s="132" t="s">
        <v>21</v>
      </c>
      <c r="D714" s="132" t="s">
        <v>22</v>
      </c>
      <c r="E714" s="132" t="s">
        <v>33</v>
      </c>
      <c r="F714" s="132" t="s">
        <v>18</v>
      </c>
      <c r="G714" s="132" t="s">
        <v>34</v>
      </c>
      <c r="H714" s="132" t="s">
        <v>35</v>
      </c>
      <c r="I714" s="132" t="s">
        <v>19</v>
      </c>
      <c r="J714" s="138"/>
      <c r="K714" s="138"/>
      <c r="L714" s="138"/>
      <c r="M714" s="138"/>
      <c r="N714" s="138"/>
      <c r="O714" s="123"/>
    </row>
    <row r="715" spans="1:15" ht="30" x14ac:dyDescent="0.25">
      <c r="A715" s="836">
        <v>10</v>
      </c>
      <c r="B715" s="142" t="s">
        <v>50</v>
      </c>
      <c r="C715" s="143" t="s">
        <v>51</v>
      </c>
      <c r="D715" s="159">
        <v>1.3</v>
      </c>
      <c r="E715" s="142" t="s">
        <v>36</v>
      </c>
      <c r="F715" s="841">
        <v>1</v>
      </c>
      <c r="G715" s="143" t="s">
        <v>110</v>
      </c>
      <c r="H715" s="143">
        <v>0.5</v>
      </c>
      <c r="I715" s="159">
        <f>IF(H715="",D715*F715,D715*F715*H715)</f>
        <v>0.65</v>
      </c>
      <c r="J715" s="144"/>
      <c r="K715" s="144"/>
      <c r="L715" s="144"/>
      <c r="M715" s="144"/>
      <c r="N715" s="144"/>
      <c r="O715" s="145"/>
    </row>
    <row r="716" spans="1:15" x14ac:dyDescent="0.25">
      <c r="A716" s="837">
        <v>20</v>
      </c>
      <c r="B716" s="142" t="s">
        <v>94</v>
      </c>
      <c r="C716" s="146"/>
      <c r="D716" s="162">
        <v>0.01</v>
      </c>
      <c r="E716" s="146" t="s">
        <v>53</v>
      </c>
      <c r="F716" s="835">
        <v>1.2</v>
      </c>
      <c r="G716" s="142" t="s">
        <v>111</v>
      </c>
      <c r="H716" s="147">
        <v>3</v>
      </c>
      <c r="I716" s="159">
        <f>IF(H716="",D716*F716,D716*F716*H716)</f>
        <v>3.6000000000000004E-2</v>
      </c>
      <c r="J716" s="120"/>
      <c r="K716" s="120"/>
      <c r="L716" s="120"/>
      <c r="M716" s="120"/>
      <c r="N716" s="120"/>
      <c r="O716" s="123"/>
    </row>
    <row r="717" spans="1:15" x14ac:dyDescent="0.25">
      <c r="A717" s="835">
        <v>30</v>
      </c>
      <c r="B717" s="142" t="s">
        <v>109</v>
      </c>
      <c r="C717" s="146"/>
      <c r="D717" s="162">
        <v>0.25</v>
      </c>
      <c r="E717" s="146" t="s">
        <v>112</v>
      </c>
      <c r="F717" s="835">
        <v>2</v>
      </c>
      <c r="G717" s="142"/>
      <c r="H717" s="147"/>
      <c r="I717" s="159">
        <f>F717*D717</f>
        <v>0.5</v>
      </c>
      <c r="J717" s="120"/>
      <c r="K717" s="120"/>
      <c r="L717" s="120"/>
      <c r="M717" s="120"/>
      <c r="N717" s="120"/>
      <c r="O717" s="123"/>
    </row>
    <row r="718" spans="1:15" x14ac:dyDescent="0.25">
      <c r="A718" s="119"/>
      <c r="B718" s="155"/>
      <c r="C718" s="119"/>
      <c r="D718" s="163"/>
      <c r="E718" s="119"/>
      <c r="F718" s="849"/>
      <c r="G718" s="155"/>
      <c r="H718" s="148" t="s">
        <v>19</v>
      </c>
      <c r="I718" s="161">
        <f>SUM(I715:I717)</f>
        <v>1.1859999999999999</v>
      </c>
      <c r="J718" s="120"/>
      <c r="K718" s="120"/>
      <c r="L718" s="120"/>
      <c r="M718" s="120"/>
      <c r="N718" s="120"/>
      <c r="O718" s="123"/>
    </row>
    <row r="719" spans="1:15" x14ac:dyDescent="0.25">
      <c r="A719" s="154"/>
      <c r="B719" s="155"/>
      <c r="C719" s="119"/>
      <c r="D719" s="156"/>
      <c r="E719" s="119"/>
      <c r="F719" s="119"/>
      <c r="G719" s="155"/>
      <c r="H719" s="986"/>
      <c r="I719" s="987"/>
      <c r="J719" s="120"/>
      <c r="K719" s="120"/>
      <c r="L719" s="120"/>
      <c r="M719" s="120"/>
      <c r="N719" s="120"/>
      <c r="O719" s="123"/>
    </row>
    <row r="720" spans="1:15" x14ac:dyDescent="0.25">
      <c r="A720" s="154"/>
      <c r="B720" s="155"/>
      <c r="C720" s="119"/>
      <c r="D720" s="156"/>
      <c r="E720" s="119"/>
      <c r="F720" s="119"/>
      <c r="G720" s="155"/>
      <c r="H720" s="986"/>
      <c r="I720" s="987"/>
      <c r="J720" s="120"/>
      <c r="K720" s="120"/>
      <c r="L720" s="120"/>
      <c r="M720" s="120"/>
      <c r="N720" s="120"/>
      <c r="O720" s="123"/>
    </row>
    <row r="721" spans="1:15" x14ac:dyDescent="0.25">
      <c r="A721" s="154"/>
      <c r="B721" s="155"/>
      <c r="C721" s="119"/>
      <c r="D721" s="156"/>
      <c r="E721" s="119"/>
      <c r="F721" s="119"/>
      <c r="G721" s="155"/>
      <c r="H721" s="986"/>
      <c r="I721" s="987"/>
      <c r="J721" s="120"/>
      <c r="K721" s="120"/>
      <c r="L721" s="120"/>
      <c r="M721" s="120"/>
      <c r="N721" s="120"/>
      <c r="O721" s="123"/>
    </row>
    <row r="722" spans="1:15" x14ac:dyDescent="0.25">
      <c r="A722" s="154"/>
      <c r="B722" s="155"/>
      <c r="C722" s="119"/>
      <c r="D722" s="156"/>
      <c r="E722" s="119"/>
      <c r="F722" s="119"/>
      <c r="G722" s="155"/>
      <c r="H722" s="986"/>
      <c r="I722" s="987"/>
      <c r="J722" s="120"/>
      <c r="K722" s="120"/>
      <c r="L722" s="120"/>
      <c r="M722" s="120"/>
      <c r="N722" s="120"/>
      <c r="O722" s="123"/>
    </row>
    <row r="723" spans="1:15" x14ac:dyDescent="0.25">
      <c r="A723" s="154"/>
      <c r="B723" s="155"/>
      <c r="C723" s="119"/>
      <c r="D723" s="156"/>
      <c r="E723" s="119"/>
      <c r="F723" s="119"/>
      <c r="G723" s="155"/>
      <c r="H723" s="986"/>
      <c r="I723" s="987"/>
      <c r="J723" s="120"/>
      <c r="K723" s="120"/>
      <c r="L723" s="120"/>
      <c r="M723" s="120"/>
      <c r="N723" s="120"/>
      <c r="O723" s="123"/>
    </row>
    <row r="724" spans="1:15" x14ac:dyDescent="0.25">
      <c r="A724" s="154"/>
      <c r="B724" s="155"/>
      <c r="C724" s="119"/>
      <c r="D724" s="156"/>
      <c r="E724" s="119"/>
      <c r="F724" s="119"/>
      <c r="G724" s="155"/>
      <c r="H724" s="986"/>
      <c r="I724" s="987"/>
      <c r="J724" s="120"/>
      <c r="K724" s="120"/>
      <c r="L724" s="120"/>
      <c r="M724" s="120"/>
      <c r="N724" s="120"/>
      <c r="O724" s="123"/>
    </row>
    <row r="725" spans="1:15" x14ac:dyDescent="0.25">
      <c r="A725" s="154"/>
      <c r="B725" s="155"/>
      <c r="C725" s="119"/>
      <c r="D725" s="156"/>
      <c r="E725" s="119"/>
      <c r="F725" s="119"/>
      <c r="G725" s="155"/>
      <c r="H725" s="986"/>
      <c r="I725" s="987"/>
      <c r="J725" s="120"/>
      <c r="K725" s="120"/>
      <c r="L725" s="120"/>
      <c r="M725" s="120"/>
      <c r="N725" s="120"/>
      <c r="O725" s="123"/>
    </row>
    <row r="726" spans="1:15" x14ac:dyDescent="0.25">
      <c r="A726" s="154"/>
      <c r="B726" s="155"/>
      <c r="C726" s="119"/>
      <c r="D726" s="156"/>
      <c r="E726" s="119"/>
      <c r="F726" s="119"/>
      <c r="G726" s="155"/>
      <c r="H726" s="986"/>
      <c r="I726" s="987"/>
      <c r="J726" s="120"/>
      <c r="K726" s="120"/>
      <c r="L726" s="120"/>
      <c r="M726" s="120"/>
      <c r="N726" s="120"/>
      <c r="O726" s="123"/>
    </row>
    <row r="727" spans="1:15" x14ac:dyDescent="0.25">
      <c r="A727" s="154"/>
      <c r="B727" s="155"/>
      <c r="C727" s="119"/>
      <c r="D727" s="156"/>
      <c r="E727" s="119"/>
      <c r="F727" s="119"/>
      <c r="G727" s="155"/>
      <c r="H727" s="986"/>
      <c r="I727" s="987"/>
      <c r="J727" s="120"/>
      <c r="K727" s="120"/>
      <c r="L727" s="120"/>
      <c r="M727" s="120"/>
      <c r="N727" s="120"/>
      <c r="O727" s="123"/>
    </row>
    <row r="728" spans="1:15" x14ac:dyDescent="0.25">
      <c r="A728" s="154"/>
      <c r="B728" s="155"/>
      <c r="C728" s="119"/>
      <c r="D728" s="156"/>
      <c r="E728" s="119"/>
      <c r="F728" s="119"/>
      <c r="G728" s="155"/>
      <c r="H728" s="986"/>
      <c r="I728" s="987"/>
      <c r="J728" s="120"/>
      <c r="K728" s="120"/>
      <c r="L728" s="120"/>
      <c r="M728" s="120"/>
      <c r="N728" s="120"/>
      <c r="O728" s="123"/>
    </row>
    <row r="729" spans="1:15" x14ac:dyDescent="0.25">
      <c r="A729" s="154"/>
      <c r="B729" s="155"/>
      <c r="C729" s="119"/>
      <c r="D729" s="156"/>
      <c r="E729" s="119"/>
      <c r="F729" s="119"/>
      <c r="G729" s="155"/>
      <c r="H729" s="986"/>
      <c r="I729" s="987"/>
      <c r="J729" s="120"/>
      <c r="K729" s="120"/>
      <c r="L729" s="120"/>
      <c r="M729" s="120"/>
      <c r="N729" s="120"/>
      <c r="O729" s="123"/>
    </row>
    <row r="730" spans="1:15" x14ac:dyDescent="0.25">
      <c r="A730" s="154"/>
      <c r="B730" s="155"/>
      <c r="C730" s="119"/>
      <c r="D730" s="156"/>
      <c r="E730" s="119"/>
      <c r="F730" s="119"/>
      <c r="G730" s="155"/>
      <c r="H730" s="986"/>
      <c r="I730" s="987"/>
      <c r="J730" s="120"/>
      <c r="K730" s="120"/>
      <c r="L730" s="120"/>
      <c r="M730" s="120"/>
      <c r="N730" s="120"/>
      <c r="O730" s="123"/>
    </row>
    <row r="731" spans="1:15" x14ac:dyDescent="0.25">
      <c r="A731" s="154"/>
      <c r="B731" s="155"/>
      <c r="C731" s="119"/>
      <c r="D731" s="156"/>
      <c r="E731" s="119"/>
      <c r="F731" s="119"/>
      <c r="G731" s="155"/>
      <c r="H731" s="986"/>
      <c r="I731" s="987"/>
      <c r="J731" s="120"/>
      <c r="K731" s="120"/>
      <c r="L731" s="120"/>
      <c r="M731" s="120"/>
      <c r="N731" s="120"/>
      <c r="O731" s="123"/>
    </row>
    <row r="732" spans="1:15" x14ac:dyDescent="0.25">
      <c r="A732" s="154"/>
      <c r="B732" s="155"/>
      <c r="C732" s="119"/>
      <c r="D732" s="156"/>
      <c r="E732" s="119"/>
      <c r="F732" s="119"/>
      <c r="G732" s="155"/>
      <c r="H732" s="986"/>
      <c r="I732" s="987"/>
      <c r="J732" s="120"/>
      <c r="K732" s="120"/>
      <c r="L732" s="120"/>
      <c r="M732" s="120"/>
      <c r="N732" s="120"/>
      <c r="O732" s="123"/>
    </row>
    <row r="733" spans="1:15" x14ac:dyDescent="0.25">
      <c r="A733" s="154"/>
      <c r="B733" s="155"/>
      <c r="C733" s="119"/>
      <c r="D733" s="156"/>
      <c r="E733" s="119"/>
      <c r="F733" s="119"/>
      <c r="G733" s="155"/>
      <c r="H733" s="986"/>
      <c r="I733" s="987"/>
      <c r="J733" s="120"/>
      <c r="K733" s="120"/>
      <c r="L733" s="120"/>
      <c r="M733" s="120"/>
      <c r="N733" s="120"/>
      <c r="O733" s="123"/>
    </row>
    <row r="734" spans="1:15" x14ac:dyDescent="0.25">
      <c r="A734" s="154"/>
      <c r="B734" s="155"/>
      <c r="C734" s="119"/>
      <c r="D734" s="156"/>
      <c r="E734" s="119"/>
      <c r="F734" s="119"/>
      <c r="G734" s="155"/>
      <c r="H734" s="986"/>
      <c r="I734" s="987"/>
      <c r="J734" s="120"/>
      <c r="K734" s="120"/>
      <c r="L734" s="120"/>
      <c r="M734" s="120"/>
      <c r="N734" s="120"/>
      <c r="O734" s="123"/>
    </row>
    <row r="735" spans="1:15" x14ac:dyDescent="0.25">
      <c r="A735" s="154"/>
      <c r="B735" s="155"/>
      <c r="C735" s="119"/>
      <c r="D735" s="156"/>
      <c r="E735" s="119"/>
      <c r="F735" s="119"/>
      <c r="G735" s="155"/>
      <c r="H735" s="986"/>
      <c r="I735" s="987"/>
      <c r="J735" s="120"/>
      <c r="K735" s="120"/>
      <c r="L735" s="120"/>
      <c r="M735" s="120"/>
      <c r="N735" s="120"/>
      <c r="O735" s="123"/>
    </row>
    <row r="736" spans="1:15" x14ac:dyDescent="0.25">
      <c r="A736" s="154"/>
      <c r="B736" s="155"/>
      <c r="C736" s="119"/>
      <c r="D736" s="156"/>
      <c r="E736" s="119"/>
      <c r="F736" s="119"/>
      <c r="G736" s="155"/>
      <c r="H736" s="986"/>
      <c r="I736" s="987"/>
      <c r="J736" s="120"/>
      <c r="K736" s="120"/>
      <c r="L736" s="120"/>
      <c r="M736" s="120"/>
      <c r="N736" s="120"/>
      <c r="O736" s="123"/>
    </row>
    <row r="737" spans="1:15" x14ac:dyDescent="0.25">
      <c r="A737" s="154"/>
      <c r="B737" s="155"/>
      <c r="C737" s="119"/>
      <c r="D737" s="156"/>
      <c r="E737" s="119"/>
      <c r="F737" s="119"/>
      <c r="G737" s="155"/>
      <c r="H737" s="986"/>
      <c r="I737" s="987"/>
      <c r="J737" s="120"/>
      <c r="K737" s="120"/>
      <c r="L737" s="120"/>
      <c r="M737" s="120"/>
      <c r="N737" s="120"/>
      <c r="O737" s="123"/>
    </row>
    <row r="738" spans="1:15" ht="13.5" customHeight="1" x14ac:dyDescent="0.25">
      <c r="A738" s="154"/>
      <c r="B738" s="155"/>
      <c r="C738" s="119"/>
      <c r="D738" s="156"/>
      <c r="E738" s="119"/>
      <c r="F738" s="119"/>
      <c r="G738" s="155"/>
      <c r="H738" s="986"/>
      <c r="I738" s="987"/>
      <c r="J738" s="120"/>
      <c r="K738" s="120"/>
      <c r="L738" s="120"/>
      <c r="M738" s="120"/>
      <c r="N738" s="120"/>
      <c r="O738" s="123"/>
    </row>
    <row r="739" spans="1:15" ht="15.75" thickBot="1" x14ac:dyDescent="0.3">
      <c r="A739" s="149"/>
      <c r="B739" s="150"/>
      <c r="C739" s="150"/>
      <c r="D739" s="150"/>
      <c r="E739" s="150"/>
      <c r="F739" s="150"/>
      <c r="G739" s="150"/>
      <c r="H739" s="988"/>
      <c r="I739" s="988"/>
      <c r="J739" s="150"/>
      <c r="K739" s="150"/>
      <c r="L739" s="150"/>
      <c r="M739" s="150"/>
      <c r="N739" s="150"/>
      <c r="O739" s="152"/>
    </row>
    <row r="740" spans="1:15" ht="15.75" thickBot="1" x14ac:dyDescent="0.3"/>
    <row r="741" spans="1:15" x14ac:dyDescent="0.25">
      <c r="A741" s="114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6"/>
    </row>
    <row r="742" spans="1:15" x14ac:dyDescent="0.25">
      <c r="A742" s="118" t="s">
        <v>0</v>
      </c>
      <c r="B742" s="119" t="s">
        <v>47</v>
      </c>
      <c r="C742" s="120"/>
      <c r="D742" s="120"/>
      <c r="E742" s="120"/>
      <c r="F742" s="120"/>
      <c r="G742" s="120"/>
      <c r="H742" s="120"/>
      <c r="I742" s="120"/>
      <c r="J742" s="121" t="s">
        <v>2</v>
      </c>
      <c r="K742" s="122">
        <v>81</v>
      </c>
      <c r="L742" s="120"/>
      <c r="M742" s="118" t="s">
        <v>17</v>
      </c>
      <c r="N742" s="73">
        <f>EN_06001_m+EN_06001_p</f>
        <v>5.1789856000000007</v>
      </c>
      <c r="O742" s="123"/>
    </row>
    <row r="743" spans="1:15" x14ac:dyDescent="0.25">
      <c r="A743" s="118" t="s">
        <v>4</v>
      </c>
      <c r="B743" s="119" t="s">
        <v>81</v>
      </c>
      <c r="C743" s="120"/>
      <c r="D743" s="118" t="s">
        <v>7</v>
      </c>
      <c r="E743" s="124"/>
      <c r="F743" s="120"/>
      <c r="G743" s="120"/>
      <c r="H743" s="120"/>
      <c r="I743" s="120"/>
      <c r="J743" s="120"/>
      <c r="K743" s="120"/>
      <c r="L743" s="120"/>
      <c r="M743" s="118" t="s">
        <v>5</v>
      </c>
      <c r="N743" s="73">
        <v>1</v>
      </c>
      <c r="O743" s="123"/>
    </row>
    <row r="744" spans="1:15" x14ac:dyDescent="0.25">
      <c r="A744" s="118" t="s">
        <v>6</v>
      </c>
      <c r="B744" s="125" t="s">
        <v>405</v>
      </c>
      <c r="C744" s="120"/>
      <c r="D744" s="118" t="s">
        <v>9</v>
      </c>
      <c r="E744" s="120"/>
      <c r="F744" s="120"/>
      <c r="G744" s="120"/>
      <c r="H744" s="120"/>
      <c r="I744" s="120"/>
      <c r="J744" s="126" t="s">
        <v>7</v>
      </c>
      <c r="K744" s="120"/>
      <c r="L744" s="120"/>
      <c r="M744" s="120"/>
      <c r="N744" s="120"/>
      <c r="O744" s="123"/>
    </row>
    <row r="745" spans="1:15" x14ac:dyDescent="0.25">
      <c r="A745" s="118" t="s">
        <v>16</v>
      </c>
      <c r="B745" s="127" t="s">
        <v>393</v>
      </c>
      <c r="C745" s="120"/>
      <c r="D745" s="118" t="s">
        <v>13</v>
      </c>
      <c r="E745" s="120"/>
      <c r="F745" s="120"/>
      <c r="G745" s="120"/>
      <c r="H745" s="120"/>
      <c r="I745" s="120"/>
      <c r="J745" s="126" t="s">
        <v>9</v>
      </c>
      <c r="K745" s="120"/>
      <c r="L745" s="120"/>
      <c r="M745" s="118" t="s">
        <v>10</v>
      </c>
      <c r="N745" s="73">
        <f>N743*N742</f>
        <v>5.1789856000000007</v>
      </c>
      <c r="O745" s="123"/>
    </row>
    <row r="746" spans="1:15" x14ac:dyDescent="0.25">
      <c r="A746" s="118" t="s">
        <v>8</v>
      </c>
      <c r="B746" s="127" t="s">
        <v>406</v>
      </c>
      <c r="C746" s="120"/>
      <c r="D746" s="120"/>
      <c r="E746" s="120"/>
      <c r="F746" s="120"/>
      <c r="G746" s="120"/>
      <c r="H746" s="120"/>
      <c r="I746" s="120"/>
      <c r="J746" s="126" t="s">
        <v>13</v>
      </c>
      <c r="K746" s="120"/>
      <c r="L746" s="120"/>
      <c r="M746" s="120"/>
      <c r="N746" s="120"/>
      <c r="O746" s="123"/>
    </row>
    <row r="747" spans="1:15" x14ac:dyDescent="0.25">
      <c r="A747" s="118" t="s">
        <v>11</v>
      </c>
      <c r="B747" s="119" t="s">
        <v>12</v>
      </c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3"/>
    </row>
    <row r="748" spans="1:15" x14ac:dyDescent="0.25">
      <c r="A748" s="118" t="s">
        <v>14</v>
      </c>
      <c r="B748" s="119" t="s">
        <v>407</v>
      </c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3"/>
    </row>
    <row r="749" spans="1:15" x14ac:dyDescent="0.25">
      <c r="A749" s="128"/>
      <c r="B749" s="129"/>
      <c r="C749" s="129"/>
      <c r="D749" s="129"/>
      <c r="E749" s="129"/>
      <c r="F749" s="120"/>
      <c r="G749" s="120"/>
      <c r="H749" s="120"/>
      <c r="I749" s="120"/>
      <c r="J749" s="120"/>
      <c r="K749" s="120"/>
      <c r="L749" s="120"/>
      <c r="M749" s="120"/>
      <c r="N749" s="120"/>
      <c r="O749" s="123"/>
    </row>
    <row r="750" spans="1:15" x14ac:dyDescent="0.25">
      <c r="A750" s="130" t="s">
        <v>15</v>
      </c>
      <c r="B750" s="131" t="s">
        <v>20</v>
      </c>
      <c r="C750" s="131" t="s">
        <v>21</v>
      </c>
      <c r="D750" s="131" t="s">
        <v>22</v>
      </c>
      <c r="E750" s="131" t="s">
        <v>23</v>
      </c>
      <c r="F750" s="132" t="s">
        <v>24</v>
      </c>
      <c r="G750" s="132" t="s">
        <v>25</v>
      </c>
      <c r="H750" s="132" t="s">
        <v>26</v>
      </c>
      <c r="I750" s="132" t="s">
        <v>27</v>
      </c>
      <c r="J750" s="132" t="s">
        <v>28</v>
      </c>
      <c r="K750" s="132" t="s">
        <v>29</v>
      </c>
      <c r="L750" s="132" t="s">
        <v>30</v>
      </c>
      <c r="M750" s="132" t="s">
        <v>18</v>
      </c>
      <c r="N750" s="132" t="s">
        <v>19</v>
      </c>
      <c r="O750" s="123"/>
    </row>
    <row r="751" spans="1:15" x14ac:dyDescent="0.25">
      <c r="A751" s="838">
        <v>10</v>
      </c>
      <c r="B751" s="133" t="s">
        <v>408</v>
      </c>
      <c r="C751" s="134" t="s">
        <v>49</v>
      </c>
      <c r="D751" s="162">
        <v>4.2</v>
      </c>
      <c r="E751" s="840">
        <v>0.17399999999999999</v>
      </c>
      <c r="F751" s="134" t="s">
        <v>92</v>
      </c>
      <c r="G751" s="134"/>
      <c r="H751" s="19"/>
      <c r="I751" s="134" t="s">
        <v>409</v>
      </c>
      <c r="J751" s="828">
        <v>8.0000000000000004E-4</v>
      </c>
      <c r="K751" s="19">
        <v>0.08</v>
      </c>
      <c r="L751" s="842">
        <v>2712</v>
      </c>
      <c r="M751" s="839">
        <v>1</v>
      </c>
      <c r="N751" s="160">
        <f>IF(J751="",D751*M751,D751*J751*K751*L751*M751)</f>
        <v>0.72898560000000012</v>
      </c>
      <c r="O751" s="136"/>
    </row>
    <row r="752" spans="1:15" x14ac:dyDescent="0.25">
      <c r="A752" s="137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9" t="s">
        <v>19</v>
      </c>
      <c r="N752" s="161">
        <f>SUM(N751:N751)</f>
        <v>0.72898560000000012</v>
      </c>
      <c r="O752" s="123"/>
    </row>
    <row r="753" spans="1:15" x14ac:dyDescent="0.25">
      <c r="A753" s="14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3"/>
    </row>
    <row r="754" spans="1:15" x14ac:dyDescent="0.25">
      <c r="A754" s="141" t="s">
        <v>15</v>
      </c>
      <c r="B754" s="132" t="s">
        <v>32</v>
      </c>
      <c r="C754" s="132" t="s">
        <v>21</v>
      </c>
      <c r="D754" s="132" t="s">
        <v>22</v>
      </c>
      <c r="E754" s="132" t="s">
        <v>33</v>
      </c>
      <c r="F754" s="132" t="s">
        <v>18</v>
      </c>
      <c r="G754" s="132" t="s">
        <v>34</v>
      </c>
      <c r="H754" s="132" t="s">
        <v>35</v>
      </c>
      <c r="I754" s="132" t="s">
        <v>19</v>
      </c>
      <c r="J754" s="138"/>
      <c r="K754" s="138"/>
      <c r="L754" s="138"/>
      <c r="M754" s="138"/>
      <c r="N754" s="138"/>
      <c r="O754" s="123"/>
    </row>
    <row r="755" spans="1:15" ht="30" x14ac:dyDescent="0.25">
      <c r="A755" s="836">
        <v>10</v>
      </c>
      <c r="B755" s="142" t="s">
        <v>50</v>
      </c>
      <c r="C755" s="143"/>
      <c r="D755" s="165">
        <v>1.3</v>
      </c>
      <c r="E755" s="142" t="s">
        <v>36</v>
      </c>
      <c r="F755" s="841">
        <v>1</v>
      </c>
      <c r="G755" s="143"/>
      <c r="H755" s="143"/>
      <c r="I755" s="165">
        <f>IF(H755="",D755*F755,D755*F755*H755)</f>
        <v>1.3</v>
      </c>
      <c r="J755" s="144"/>
      <c r="K755" s="829"/>
      <c r="L755" s="144"/>
      <c r="M755" s="144"/>
      <c r="N755" s="144"/>
      <c r="O755" s="145"/>
    </row>
    <row r="756" spans="1:15" x14ac:dyDescent="0.25">
      <c r="A756" s="837">
        <v>20</v>
      </c>
      <c r="B756" s="142" t="s">
        <v>410</v>
      </c>
      <c r="C756" s="146"/>
      <c r="D756" s="160">
        <v>0.35</v>
      </c>
      <c r="E756" s="146" t="s">
        <v>247</v>
      </c>
      <c r="F756" s="835">
        <v>5</v>
      </c>
      <c r="G756" s="142"/>
      <c r="H756" s="147"/>
      <c r="I756" s="160">
        <f>IF(H756="",D756*F756,D756*F756*H756)</f>
        <v>1.75</v>
      </c>
      <c r="J756" s="120"/>
      <c r="K756" s="120"/>
      <c r="L756" s="120"/>
      <c r="M756" s="120"/>
      <c r="N756" s="120"/>
      <c r="O756" s="123"/>
    </row>
    <row r="757" spans="1:15" x14ac:dyDescent="0.25">
      <c r="A757" s="837">
        <v>30</v>
      </c>
      <c r="B757" s="142" t="s">
        <v>411</v>
      </c>
      <c r="C757" s="146"/>
      <c r="D757" s="160">
        <v>0.04</v>
      </c>
      <c r="E757" s="146" t="s">
        <v>243</v>
      </c>
      <c r="F757" s="835">
        <v>35</v>
      </c>
      <c r="G757" s="142" t="s">
        <v>412</v>
      </c>
      <c r="H757" s="834">
        <v>1</v>
      </c>
      <c r="I757" s="160">
        <f>IF(H757="",D757*F757,D757*F757*H757)</f>
        <v>1.4000000000000001</v>
      </c>
      <c r="J757" s="120"/>
      <c r="K757" s="120"/>
      <c r="L757" s="120"/>
      <c r="M757" s="120"/>
      <c r="N757" s="120"/>
      <c r="O757" s="123"/>
    </row>
    <row r="758" spans="1:15" x14ac:dyDescent="0.25">
      <c r="A758" s="137"/>
      <c r="B758" s="138"/>
      <c r="C758" s="138"/>
      <c r="D758" s="138"/>
      <c r="E758" s="138"/>
      <c r="F758" s="138"/>
      <c r="G758" s="138"/>
      <c r="H758" s="148" t="s">
        <v>19</v>
      </c>
      <c r="I758" s="161">
        <f>SUM(I755:I757)</f>
        <v>4.45</v>
      </c>
      <c r="J758" s="138"/>
      <c r="K758" s="138"/>
      <c r="L758" s="138"/>
      <c r="M758" s="138"/>
      <c r="N758" s="138"/>
      <c r="O758" s="123"/>
    </row>
    <row r="759" spans="1:15" x14ac:dyDescent="0.25">
      <c r="A759" s="154"/>
      <c r="B759" s="155"/>
      <c r="C759" s="119"/>
      <c r="D759" s="156"/>
      <c r="E759" s="119"/>
      <c r="F759" s="119"/>
      <c r="G759" s="155"/>
      <c r="H759" s="965"/>
      <c r="I759" s="966"/>
      <c r="J759" s="120"/>
      <c r="K759" s="120"/>
      <c r="L759" s="120"/>
      <c r="M759" s="120"/>
      <c r="N759" s="120"/>
      <c r="O759" s="123"/>
    </row>
    <row r="760" spans="1:15" x14ac:dyDescent="0.25">
      <c r="A760" s="154"/>
      <c r="B760" s="155"/>
      <c r="C760" s="119"/>
      <c r="D760" s="156"/>
      <c r="E760" s="119"/>
      <c r="F760" s="119"/>
      <c r="G760" s="155"/>
      <c r="H760" s="965"/>
      <c r="I760" s="966"/>
      <c r="J760" s="120"/>
      <c r="K760" s="120"/>
      <c r="L760" s="120"/>
      <c r="M760" s="120"/>
      <c r="N760" s="120"/>
      <c r="O760" s="123"/>
    </row>
    <row r="761" spans="1:15" x14ac:dyDescent="0.25">
      <c r="A761" s="154"/>
      <c r="B761" s="155"/>
      <c r="C761" s="119"/>
      <c r="D761" s="156"/>
      <c r="E761" s="119"/>
      <c r="F761" s="119"/>
      <c r="G761" s="155"/>
      <c r="H761" s="965"/>
      <c r="I761" s="966"/>
      <c r="J761" s="120"/>
      <c r="K761" s="120"/>
      <c r="L761" s="120"/>
      <c r="M761" s="120"/>
      <c r="N761" s="120"/>
      <c r="O761" s="123"/>
    </row>
    <row r="762" spans="1:15" x14ac:dyDescent="0.25">
      <c r="A762" s="154"/>
      <c r="B762" s="155"/>
      <c r="C762" s="119"/>
      <c r="D762" s="156"/>
      <c r="E762" s="119"/>
      <c r="F762" s="119"/>
      <c r="G762" s="155"/>
      <c r="H762" s="965"/>
      <c r="I762" s="966"/>
      <c r="J762" s="120"/>
      <c r="K762" s="120"/>
      <c r="L762" s="120"/>
      <c r="M762" s="120"/>
      <c r="N762" s="120"/>
      <c r="O762" s="123"/>
    </row>
    <row r="763" spans="1:15" ht="13.5" customHeight="1" x14ac:dyDescent="0.25">
      <c r="A763" s="154"/>
      <c r="B763" s="155"/>
      <c r="C763" s="119"/>
      <c r="D763" s="156"/>
      <c r="E763" s="119"/>
      <c r="F763" s="119"/>
      <c r="G763" s="155"/>
      <c r="H763" s="965"/>
      <c r="I763" s="966"/>
      <c r="J763" s="120"/>
      <c r="K763" s="120"/>
      <c r="L763" s="120"/>
      <c r="M763" s="120"/>
      <c r="N763" s="120"/>
      <c r="O763" s="123"/>
    </row>
    <row r="764" spans="1:15" ht="15.75" thickBot="1" x14ac:dyDescent="0.3">
      <c r="A764" s="149"/>
      <c r="B764" s="150"/>
      <c r="C764" s="150"/>
      <c r="D764" s="150"/>
      <c r="E764" s="150"/>
      <c r="F764" s="150"/>
      <c r="G764" s="150"/>
      <c r="H764" s="151"/>
      <c r="I764" s="151"/>
      <c r="J764" s="150"/>
      <c r="K764" s="150"/>
      <c r="L764" s="150"/>
      <c r="M764" s="150"/>
      <c r="N764" s="150"/>
      <c r="O764" s="152"/>
    </row>
    <row r="765" spans="1:15" ht="15.75" thickBot="1" x14ac:dyDescent="0.3"/>
    <row r="766" spans="1:15" x14ac:dyDescent="0.25">
      <c r="A766" s="114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6"/>
    </row>
    <row r="767" spans="1:15" x14ac:dyDescent="0.25">
      <c r="A767" s="118" t="s">
        <v>0</v>
      </c>
      <c r="B767" s="119" t="s">
        <v>47</v>
      </c>
      <c r="C767" s="120"/>
      <c r="D767" s="120"/>
      <c r="E767" s="120"/>
      <c r="F767" s="120"/>
      <c r="G767" s="120"/>
      <c r="H767" s="120"/>
      <c r="I767" s="120"/>
      <c r="J767" s="121" t="s">
        <v>2</v>
      </c>
      <c r="K767" s="122">
        <v>81</v>
      </c>
      <c r="L767" s="120"/>
      <c r="M767" s="118" t="s">
        <v>17</v>
      </c>
      <c r="N767" s="73">
        <f>EN_06002_m+EN_06002_p</f>
        <v>5.8790627200000003</v>
      </c>
      <c r="O767" s="123"/>
    </row>
    <row r="768" spans="1:15" x14ac:dyDescent="0.25">
      <c r="A768" s="118" t="s">
        <v>4</v>
      </c>
      <c r="B768" s="119" t="s">
        <v>81</v>
      </c>
      <c r="C768" s="120"/>
      <c r="D768" s="118" t="s">
        <v>7</v>
      </c>
      <c r="E768" s="124"/>
      <c r="F768" s="120"/>
      <c r="G768" s="120"/>
      <c r="H768" s="120"/>
      <c r="I768" s="120"/>
      <c r="J768" s="120"/>
      <c r="K768" s="120"/>
      <c r="L768" s="120"/>
      <c r="M768" s="118" t="s">
        <v>5</v>
      </c>
      <c r="N768" s="73">
        <v>1</v>
      </c>
      <c r="O768" s="123"/>
    </row>
    <row r="769" spans="1:15" x14ac:dyDescent="0.25">
      <c r="A769" s="118" t="s">
        <v>6</v>
      </c>
      <c r="B769" s="125" t="s">
        <v>405</v>
      </c>
      <c r="C769" s="120"/>
      <c r="D769" s="118" t="s">
        <v>9</v>
      </c>
      <c r="E769" s="120"/>
      <c r="F769" s="120"/>
      <c r="G769" s="120"/>
      <c r="H769" s="120"/>
      <c r="I769" s="120"/>
      <c r="J769" s="126" t="s">
        <v>7</v>
      </c>
      <c r="K769" s="120"/>
      <c r="L769" s="120"/>
      <c r="M769" s="120"/>
      <c r="N769" s="120"/>
      <c r="O769" s="123"/>
    </row>
    <row r="770" spans="1:15" x14ac:dyDescent="0.25">
      <c r="A770" s="118" t="s">
        <v>16</v>
      </c>
      <c r="B770" s="127" t="s">
        <v>394</v>
      </c>
      <c r="C770" s="120"/>
      <c r="D770" s="118" t="s">
        <v>13</v>
      </c>
      <c r="E770" s="120"/>
      <c r="F770" s="120"/>
      <c r="G770" s="120"/>
      <c r="H770" s="120"/>
      <c r="I770" s="120"/>
      <c r="J770" s="126" t="s">
        <v>9</v>
      </c>
      <c r="K770" s="120"/>
      <c r="L770" s="120"/>
      <c r="M770" s="118" t="s">
        <v>10</v>
      </c>
      <c r="N770" s="73">
        <f>N768*N767</f>
        <v>5.8790627200000003</v>
      </c>
      <c r="O770" s="123"/>
    </row>
    <row r="771" spans="1:15" x14ac:dyDescent="0.25">
      <c r="A771" s="118" t="s">
        <v>8</v>
      </c>
      <c r="B771" s="127" t="s">
        <v>413</v>
      </c>
      <c r="C771" s="120"/>
      <c r="D771" s="120"/>
      <c r="E771" s="120"/>
      <c r="F771" s="120"/>
      <c r="G771" s="120"/>
      <c r="H771" s="120"/>
      <c r="I771" s="120"/>
      <c r="J771" s="126" t="s">
        <v>13</v>
      </c>
      <c r="K771" s="120"/>
      <c r="L771" s="120"/>
      <c r="M771" s="120"/>
      <c r="N771" s="120"/>
      <c r="O771" s="123"/>
    </row>
    <row r="772" spans="1:15" x14ac:dyDescent="0.25">
      <c r="A772" s="118" t="s">
        <v>11</v>
      </c>
      <c r="B772" s="119" t="s">
        <v>12</v>
      </c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3"/>
    </row>
    <row r="773" spans="1:15" x14ac:dyDescent="0.25">
      <c r="A773" s="118" t="s">
        <v>14</v>
      </c>
      <c r="B773" s="119" t="s">
        <v>407</v>
      </c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3"/>
    </row>
    <row r="774" spans="1:15" x14ac:dyDescent="0.25">
      <c r="A774" s="128"/>
      <c r="B774" s="129"/>
      <c r="C774" s="129"/>
      <c r="D774" s="129"/>
      <c r="E774" s="129"/>
      <c r="F774" s="120"/>
      <c r="G774" s="120"/>
      <c r="H774" s="120"/>
      <c r="I774" s="120"/>
      <c r="J774" s="120"/>
      <c r="K774" s="120"/>
      <c r="L774" s="120"/>
      <c r="M774" s="120"/>
      <c r="N774" s="120"/>
      <c r="O774" s="123"/>
    </row>
    <row r="775" spans="1:15" x14ac:dyDescent="0.25">
      <c r="A775" s="130" t="s">
        <v>15</v>
      </c>
      <c r="B775" s="131" t="s">
        <v>20</v>
      </c>
      <c r="C775" s="131" t="s">
        <v>21</v>
      </c>
      <c r="D775" s="131" t="s">
        <v>22</v>
      </c>
      <c r="E775" s="131" t="s">
        <v>23</v>
      </c>
      <c r="F775" s="132" t="s">
        <v>24</v>
      </c>
      <c r="G775" s="132" t="s">
        <v>25</v>
      </c>
      <c r="H775" s="132" t="s">
        <v>26</v>
      </c>
      <c r="I775" s="132" t="s">
        <v>27</v>
      </c>
      <c r="J775" s="132" t="s">
        <v>28</v>
      </c>
      <c r="K775" s="132" t="s">
        <v>29</v>
      </c>
      <c r="L775" s="132" t="s">
        <v>30</v>
      </c>
      <c r="M775" s="132" t="s">
        <v>18</v>
      </c>
      <c r="N775" s="132" t="s">
        <v>19</v>
      </c>
      <c r="O775" s="123"/>
    </row>
    <row r="776" spans="1:15" x14ac:dyDescent="0.25">
      <c r="A776" s="838">
        <v>10</v>
      </c>
      <c r="B776" s="133" t="s">
        <v>408</v>
      </c>
      <c r="C776" s="134" t="s">
        <v>49</v>
      </c>
      <c r="D776" s="162">
        <v>4.2</v>
      </c>
      <c r="E776" s="134">
        <v>0.376</v>
      </c>
      <c r="F776" s="134" t="s">
        <v>92</v>
      </c>
      <c r="G776" s="134"/>
      <c r="H776" s="19"/>
      <c r="I776" s="134" t="s">
        <v>414</v>
      </c>
      <c r="J776" s="828">
        <v>1.3799999999999999E-3</v>
      </c>
      <c r="K776" s="19">
        <v>0.11</v>
      </c>
      <c r="L776" s="842">
        <v>2712</v>
      </c>
      <c r="M776" s="19">
        <v>1</v>
      </c>
      <c r="N776" s="160">
        <f>IF(J776="",D776*M776,D776*J776*K776*L776*M776)</f>
        <v>1.7290627199999999</v>
      </c>
      <c r="O776" s="136"/>
    </row>
    <row r="777" spans="1:15" x14ac:dyDescent="0.25">
      <c r="A777" s="137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9" t="s">
        <v>19</v>
      </c>
      <c r="N777" s="161">
        <f>SUM(N776:N776)</f>
        <v>1.7290627199999999</v>
      </c>
      <c r="O777" s="123"/>
    </row>
    <row r="778" spans="1:15" x14ac:dyDescent="0.25">
      <c r="A778" s="14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3"/>
    </row>
    <row r="779" spans="1:15" x14ac:dyDescent="0.25">
      <c r="A779" s="141" t="s">
        <v>15</v>
      </c>
      <c r="B779" s="132" t="s">
        <v>32</v>
      </c>
      <c r="C779" s="132" t="s">
        <v>21</v>
      </c>
      <c r="D779" s="132" t="s">
        <v>22</v>
      </c>
      <c r="E779" s="132" t="s">
        <v>33</v>
      </c>
      <c r="F779" s="132" t="s">
        <v>18</v>
      </c>
      <c r="G779" s="132" t="s">
        <v>34</v>
      </c>
      <c r="H779" s="132" t="s">
        <v>35</v>
      </c>
      <c r="I779" s="132" t="s">
        <v>19</v>
      </c>
      <c r="J779" s="138"/>
      <c r="K779" s="138"/>
      <c r="L779" s="138"/>
      <c r="M779" s="138"/>
      <c r="N779" s="138"/>
      <c r="O779" s="123"/>
    </row>
    <row r="780" spans="1:15" ht="30" x14ac:dyDescent="0.25">
      <c r="A780" s="836">
        <v>10</v>
      </c>
      <c r="B780" s="142" t="s">
        <v>50</v>
      </c>
      <c r="C780" s="143"/>
      <c r="D780" s="165">
        <v>1.3</v>
      </c>
      <c r="E780" s="142" t="s">
        <v>36</v>
      </c>
      <c r="F780" s="841">
        <v>1</v>
      </c>
      <c r="G780" s="143"/>
      <c r="H780" s="143"/>
      <c r="I780" s="165">
        <f>IF(H780="",D780*F780,D780*F780*H780)</f>
        <v>1.3</v>
      </c>
      <c r="J780" s="144"/>
      <c r="K780" s="829"/>
      <c r="L780" s="144"/>
      <c r="M780" s="144"/>
      <c r="N780" s="144"/>
      <c r="O780" s="145"/>
    </row>
    <row r="781" spans="1:15" x14ac:dyDescent="0.25">
      <c r="A781" s="837">
        <v>20</v>
      </c>
      <c r="B781" s="142" t="s">
        <v>411</v>
      </c>
      <c r="C781" s="146" t="s">
        <v>415</v>
      </c>
      <c r="D781" s="160">
        <v>0.04</v>
      </c>
      <c r="E781" s="146" t="s">
        <v>243</v>
      </c>
      <c r="F781" s="835">
        <v>35</v>
      </c>
      <c r="G781" s="142" t="s">
        <v>416</v>
      </c>
      <c r="H781" s="834">
        <v>1</v>
      </c>
      <c r="I781" s="160">
        <f>IF(H781="",D781*F781,D781*F781*H781)</f>
        <v>1.4000000000000001</v>
      </c>
      <c r="J781" s="120"/>
      <c r="K781" s="120"/>
      <c r="L781" s="120"/>
      <c r="M781" s="120"/>
      <c r="N781" s="120"/>
      <c r="O781" s="123"/>
    </row>
    <row r="782" spans="1:15" x14ac:dyDescent="0.25">
      <c r="A782" s="837">
        <v>30</v>
      </c>
      <c r="B782" s="142" t="s">
        <v>417</v>
      </c>
      <c r="C782" s="146"/>
      <c r="D782" s="160">
        <v>0.65</v>
      </c>
      <c r="E782" s="146" t="s">
        <v>36</v>
      </c>
      <c r="F782" s="835">
        <v>1</v>
      </c>
      <c r="G782" s="142"/>
      <c r="H782" s="147"/>
      <c r="I782" s="160">
        <f>IF(H782="",D782*F782,D782*F782*H782)</f>
        <v>0.65</v>
      </c>
      <c r="J782" s="120"/>
      <c r="K782" s="120"/>
      <c r="L782" s="120"/>
      <c r="M782" s="120"/>
      <c r="N782" s="120"/>
      <c r="O782" s="123"/>
    </row>
    <row r="783" spans="1:15" x14ac:dyDescent="0.25">
      <c r="A783" s="837">
        <v>40</v>
      </c>
      <c r="B783" s="142" t="s">
        <v>241</v>
      </c>
      <c r="C783" s="146"/>
      <c r="D783" s="160">
        <v>0.04</v>
      </c>
      <c r="E783" s="146" t="s">
        <v>243</v>
      </c>
      <c r="F783" s="835">
        <v>20</v>
      </c>
      <c r="G783" s="142" t="s">
        <v>416</v>
      </c>
      <c r="H783" s="834">
        <v>1</v>
      </c>
      <c r="I783" s="160">
        <f>IF(H783="",D783*F783,D783*F783*H783)</f>
        <v>0.8</v>
      </c>
      <c r="J783" s="120"/>
      <c r="K783" s="120"/>
      <c r="L783" s="120"/>
      <c r="M783" s="120"/>
      <c r="N783" s="120"/>
      <c r="O783" s="123"/>
    </row>
    <row r="784" spans="1:15" x14ac:dyDescent="0.25">
      <c r="A784" s="137"/>
      <c r="B784" s="138"/>
      <c r="C784" s="138"/>
      <c r="D784" s="138"/>
      <c r="E784" s="138"/>
      <c r="F784" s="138"/>
      <c r="G784" s="138"/>
      <c r="H784" s="148" t="s">
        <v>19</v>
      </c>
      <c r="I784" s="161">
        <f>SUM(I780:I783)</f>
        <v>4.1500000000000004</v>
      </c>
      <c r="J784" s="138"/>
      <c r="K784" s="138"/>
      <c r="L784" s="138"/>
      <c r="M784" s="138"/>
      <c r="N784" s="138"/>
      <c r="O784" s="123"/>
    </row>
    <row r="785" spans="1:15" ht="15.75" thickBot="1" x14ac:dyDescent="0.3">
      <c r="A785" s="149"/>
      <c r="B785" s="150"/>
      <c r="C785" s="150"/>
      <c r="D785" s="150"/>
      <c r="E785" s="150"/>
      <c r="F785" s="150"/>
      <c r="G785" s="150"/>
      <c r="H785" s="151"/>
      <c r="I785" s="151"/>
      <c r="J785" s="150"/>
      <c r="K785" s="150"/>
      <c r="L785" s="150"/>
      <c r="M785" s="150"/>
      <c r="N785" s="150"/>
      <c r="O785" s="152"/>
    </row>
    <row r="786" spans="1:15" ht="15.75" thickBot="1" x14ac:dyDescent="0.3"/>
    <row r="787" spans="1:15" x14ac:dyDescent="0.25">
      <c r="A787" s="114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6"/>
    </row>
    <row r="788" spans="1:15" x14ac:dyDescent="0.25">
      <c r="A788" s="118" t="s">
        <v>0</v>
      </c>
      <c r="B788" s="119" t="s">
        <v>47</v>
      </c>
      <c r="C788" s="120"/>
      <c r="D788" s="120"/>
      <c r="E788" s="120"/>
      <c r="F788" s="120"/>
      <c r="G788" s="120"/>
      <c r="H788" s="120"/>
      <c r="I788" s="120"/>
      <c r="J788" s="121" t="s">
        <v>2</v>
      </c>
      <c r="K788" s="122">
        <v>81</v>
      </c>
      <c r="L788" s="120"/>
      <c r="M788" s="118" t="s">
        <v>17</v>
      </c>
      <c r="N788" s="73">
        <f>EN_06003_m+EN_06003_p</f>
        <v>4.3526223999999996</v>
      </c>
      <c r="O788" s="123"/>
    </row>
    <row r="789" spans="1:15" x14ac:dyDescent="0.25">
      <c r="A789" s="118" t="s">
        <v>4</v>
      </c>
      <c r="B789" s="119" t="s">
        <v>81</v>
      </c>
      <c r="C789" s="120"/>
      <c r="D789" s="118" t="s">
        <v>7</v>
      </c>
      <c r="E789" s="124"/>
      <c r="F789" s="120"/>
      <c r="G789" s="120"/>
      <c r="H789" s="120"/>
      <c r="I789" s="120"/>
      <c r="J789" s="120"/>
      <c r="K789" s="120"/>
      <c r="L789" s="120"/>
      <c r="M789" s="118" t="s">
        <v>5</v>
      </c>
      <c r="N789" s="73">
        <v>1</v>
      </c>
      <c r="O789" s="123"/>
    </row>
    <row r="790" spans="1:15" x14ac:dyDescent="0.25">
      <c r="A790" s="118" t="s">
        <v>6</v>
      </c>
      <c r="B790" s="125" t="s">
        <v>405</v>
      </c>
      <c r="C790" s="120"/>
      <c r="D790" s="118" t="s">
        <v>9</v>
      </c>
      <c r="E790" s="120"/>
      <c r="F790" s="120"/>
      <c r="G790" s="120"/>
      <c r="H790" s="120"/>
      <c r="I790" s="120"/>
      <c r="J790" s="126" t="s">
        <v>7</v>
      </c>
      <c r="K790" s="120"/>
      <c r="L790" s="120"/>
      <c r="M790" s="120"/>
      <c r="N790" s="120"/>
      <c r="O790" s="123"/>
    </row>
    <row r="791" spans="1:15" x14ac:dyDescent="0.25">
      <c r="A791" s="118" t="s">
        <v>16</v>
      </c>
      <c r="B791" s="127" t="s">
        <v>395</v>
      </c>
      <c r="C791" s="120"/>
      <c r="D791" s="118" t="s">
        <v>13</v>
      </c>
      <c r="E791" s="120"/>
      <c r="F791" s="120"/>
      <c r="G791" s="120"/>
      <c r="H791" s="120"/>
      <c r="I791" s="120"/>
      <c r="J791" s="126" t="s">
        <v>9</v>
      </c>
      <c r="K791" s="120"/>
      <c r="L791" s="120"/>
      <c r="M791" s="118" t="s">
        <v>10</v>
      </c>
      <c r="N791" s="73">
        <f>N789*N788</f>
        <v>4.3526223999999996</v>
      </c>
      <c r="O791" s="123"/>
    </row>
    <row r="792" spans="1:15" x14ac:dyDescent="0.25">
      <c r="A792" s="118" t="s">
        <v>8</v>
      </c>
      <c r="B792" s="127" t="s">
        <v>418</v>
      </c>
      <c r="C792" s="120"/>
      <c r="D792" s="120"/>
      <c r="E792" s="120"/>
      <c r="F792" s="120"/>
      <c r="G792" s="120"/>
      <c r="H792" s="120"/>
      <c r="I792" s="120"/>
      <c r="J792" s="126" t="s">
        <v>13</v>
      </c>
      <c r="K792" s="120"/>
      <c r="L792" s="120"/>
      <c r="M792" s="120"/>
      <c r="N792" s="120"/>
      <c r="O792" s="123"/>
    </row>
    <row r="793" spans="1:15" x14ac:dyDescent="0.25">
      <c r="A793" s="118" t="s">
        <v>11</v>
      </c>
      <c r="B793" s="119" t="s">
        <v>12</v>
      </c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3"/>
    </row>
    <row r="794" spans="1:15" x14ac:dyDescent="0.25">
      <c r="A794" s="118" t="s">
        <v>14</v>
      </c>
      <c r="B794" s="119" t="s">
        <v>407</v>
      </c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3"/>
    </row>
    <row r="795" spans="1:15" x14ac:dyDescent="0.25">
      <c r="A795" s="128"/>
      <c r="B795" s="129"/>
      <c r="C795" s="129"/>
      <c r="D795" s="129"/>
      <c r="E795" s="129"/>
      <c r="F795" s="120"/>
      <c r="G795" s="120"/>
      <c r="H795" s="120"/>
      <c r="I795" s="120"/>
      <c r="J795" s="120"/>
      <c r="K795" s="120"/>
      <c r="L795" s="120"/>
      <c r="M795" s="120"/>
      <c r="N795" s="120"/>
      <c r="O795" s="123"/>
    </row>
    <row r="796" spans="1:15" x14ac:dyDescent="0.25">
      <c r="A796" s="130" t="s">
        <v>15</v>
      </c>
      <c r="B796" s="131" t="s">
        <v>20</v>
      </c>
      <c r="C796" s="131" t="s">
        <v>21</v>
      </c>
      <c r="D796" s="131" t="s">
        <v>22</v>
      </c>
      <c r="E796" s="131" t="s">
        <v>23</v>
      </c>
      <c r="F796" s="132" t="s">
        <v>24</v>
      </c>
      <c r="G796" s="132" t="s">
        <v>25</v>
      </c>
      <c r="H796" s="132" t="s">
        <v>26</v>
      </c>
      <c r="I796" s="132" t="s">
        <v>27</v>
      </c>
      <c r="J796" s="132" t="s">
        <v>28</v>
      </c>
      <c r="K796" s="132" t="s">
        <v>29</v>
      </c>
      <c r="L796" s="132" t="s">
        <v>30</v>
      </c>
      <c r="M796" s="132" t="s">
        <v>18</v>
      </c>
      <c r="N796" s="132" t="s">
        <v>19</v>
      </c>
      <c r="O796" s="123"/>
    </row>
    <row r="797" spans="1:15" x14ac:dyDescent="0.25">
      <c r="A797" s="838">
        <v>10</v>
      </c>
      <c r="B797" s="133" t="s">
        <v>408</v>
      </c>
      <c r="C797" s="134" t="s">
        <v>49</v>
      </c>
      <c r="D797" s="162">
        <v>4.2</v>
      </c>
      <c r="E797" s="840">
        <v>0.20100000000000001</v>
      </c>
      <c r="F797" s="134" t="s">
        <v>92</v>
      </c>
      <c r="G797" s="134"/>
      <c r="H797" s="19"/>
      <c r="I797" s="134" t="s">
        <v>419</v>
      </c>
      <c r="J797" s="828">
        <v>1.3500000000000001E-3</v>
      </c>
      <c r="K797" s="19">
        <v>0.06</v>
      </c>
      <c r="L797" s="842">
        <v>2712</v>
      </c>
      <c r="M797" s="19">
        <v>1</v>
      </c>
      <c r="N797" s="160">
        <f>IF(J797="",D797*M797,D797*J797*K797*L797*M797)</f>
        <v>0.92262240000000006</v>
      </c>
      <c r="O797" s="136"/>
    </row>
    <row r="798" spans="1:15" x14ac:dyDescent="0.25">
      <c r="A798" s="137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9" t="s">
        <v>19</v>
      </c>
      <c r="N798" s="161">
        <f>SUM(N797:N797)</f>
        <v>0.92262240000000006</v>
      </c>
      <c r="O798" s="123"/>
    </row>
    <row r="799" spans="1:15" x14ac:dyDescent="0.25">
      <c r="A799" s="14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3"/>
    </row>
    <row r="800" spans="1:15" x14ac:dyDescent="0.25">
      <c r="A800" s="141" t="s">
        <v>15</v>
      </c>
      <c r="B800" s="132" t="s">
        <v>32</v>
      </c>
      <c r="C800" s="132" t="s">
        <v>21</v>
      </c>
      <c r="D800" s="132" t="s">
        <v>22</v>
      </c>
      <c r="E800" s="132" t="s">
        <v>33</v>
      </c>
      <c r="F800" s="132" t="s">
        <v>18</v>
      </c>
      <c r="G800" s="132" t="s">
        <v>34</v>
      </c>
      <c r="H800" s="132" t="s">
        <v>35</v>
      </c>
      <c r="I800" s="132" t="s">
        <v>19</v>
      </c>
      <c r="J800" s="138"/>
      <c r="K800" s="138"/>
      <c r="L800" s="138"/>
      <c r="M800" s="138"/>
      <c r="N800" s="138"/>
      <c r="O800" s="123"/>
    </row>
    <row r="801" spans="1:15" ht="30" x14ac:dyDescent="0.25">
      <c r="A801" s="836">
        <v>10</v>
      </c>
      <c r="B801" s="142" t="s">
        <v>50</v>
      </c>
      <c r="C801" s="143"/>
      <c r="D801" s="165">
        <v>1.3</v>
      </c>
      <c r="E801" s="142" t="s">
        <v>36</v>
      </c>
      <c r="F801" s="841">
        <v>1</v>
      </c>
      <c r="G801" s="143"/>
      <c r="H801" s="143"/>
      <c r="I801" s="165">
        <f>IF(H801="",D801*F801,D801*F801*H801)</f>
        <v>1.3</v>
      </c>
      <c r="J801" s="144"/>
      <c r="K801" s="829"/>
      <c r="L801" s="144"/>
      <c r="M801" s="144"/>
      <c r="N801" s="144"/>
      <c r="O801" s="145"/>
    </row>
    <row r="802" spans="1:15" x14ac:dyDescent="0.25">
      <c r="A802" s="837">
        <v>20</v>
      </c>
      <c r="B802" s="142" t="s">
        <v>411</v>
      </c>
      <c r="C802" s="146"/>
      <c r="D802" s="160">
        <v>0.04</v>
      </c>
      <c r="E802" s="146" t="s">
        <v>243</v>
      </c>
      <c r="F802" s="835">
        <v>28</v>
      </c>
      <c r="G802" s="142" t="s">
        <v>416</v>
      </c>
      <c r="H802" s="834">
        <v>1</v>
      </c>
      <c r="I802" s="160">
        <f>IF(H802="",D802*F802,D802*F802*H802)</f>
        <v>1.1200000000000001</v>
      </c>
      <c r="J802" s="120"/>
      <c r="K802" s="120"/>
      <c r="L802" s="120"/>
      <c r="M802" s="120"/>
      <c r="N802" s="120"/>
      <c r="O802" s="123"/>
    </row>
    <row r="803" spans="1:15" x14ac:dyDescent="0.25">
      <c r="A803" s="837">
        <v>30</v>
      </c>
      <c r="B803" s="142" t="s">
        <v>417</v>
      </c>
      <c r="C803" s="146"/>
      <c r="D803" s="160">
        <v>0.65</v>
      </c>
      <c r="E803" s="146" t="s">
        <v>36</v>
      </c>
      <c r="F803" s="835">
        <v>1</v>
      </c>
      <c r="G803" s="142"/>
      <c r="H803" s="147"/>
      <c r="I803" s="160">
        <f>IF(H803="",D803*F803,D803*F803*H803)</f>
        <v>0.65</v>
      </c>
      <c r="J803" s="120"/>
      <c r="K803" s="120"/>
      <c r="L803" s="120"/>
      <c r="M803" s="120"/>
      <c r="N803" s="120"/>
      <c r="O803" s="123"/>
    </row>
    <row r="804" spans="1:15" x14ac:dyDescent="0.25">
      <c r="A804" s="837">
        <v>40</v>
      </c>
      <c r="B804" s="142" t="s">
        <v>241</v>
      </c>
      <c r="C804" s="146"/>
      <c r="D804" s="160">
        <v>0.04</v>
      </c>
      <c r="E804" s="146" t="s">
        <v>243</v>
      </c>
      <c r="F804" s="835">
        <v>9</v>
      </c>
      <c r="G804" s="142" t="s">
        <v>416</v>
      </c>
      <c r="H804" s="834">
        <v>1</v>
      </c>
      <c r="I804" s="160">
        <f>IF(H804="",D804*F804,D804*F804*H804)</f>
        <v>0.36</v>
      </c>
      <c r="J804" s="120"/>
      <c r="K804" s="120"/>
      <c r="L804" s="120"/>
      <c r="M804" s="120"/>
      <c r="N804" s="120"/>
      <c r="O804" s="123"/>
    </row>
    <row r="805" spans="1:15" x14ac:dyDescent="0.25">
      <c r="A805" s="137"/>
      <c r="B805" s="138"/>
      <c r="C805" s="138"/>
      <c r="D805" s="138"/>
      <c r="E805" s="138"/>
      <c r="F805" s="138"/>
      <c r="G805" s="138"/>
      <c r="H805" s="148" t="s">
        <v>19</v>
      </c>
      <c r="I805" s="161">
        <f>SUM(I801:I804)</f>
        <v>3.4299999999999997</v>
      </c>
      <c r="J805" s="138"/>
      <c r="K805" s="138"/>
      <c r="L805" s="138"/>
      <c r="M805" s="138"/>
      <c r="N805" s="138"/>
      <c r="O805" s="123"/>
    </row>
    <row r="806" spans="1:15" ht="15.75" thickBot="1" x14ac:dyDescent="0.3">
      <c r="A806" s="149"/>
      <c r="B806" s="150"/>
      <c r="C806" s="150"/>
      <c r="D806" s="150"/>
      <c r="E806" s="150"/>
      <c r="F806" s="150"/>
      <c r="G806" s="150"/>
      <c r="H806" s="151"/>
      <c r="I806" s="151"/>
      <c r="J806" s="150"/>
      <c r="K806" s="150"/>
      <c r="L806" s="150"/>
      <c r="M806" s="150"/>
      <c r="N806" s="150"/>
      <c r="O806" s="152"/>
    </row>
    <row r="807" spans="1:15" ht="15.75" thickBot="1" x14ac:dyDescent="0.3"/>
    <row r="808" spans="1:15" x14ac:dyDescent="0.25">
      <c r="A808" s="114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6"/>
    </row>
    <row r="809" spans="1:15" x14ac:dyDescent="0.25">
      <c r="A809" s="118" t="s">
        <v>0</v>
      </c>
      <c r="B809" s="119" t="s">
        <v>47</v>
      </c>
      <c r="C809" s="120"/>
      <c r="D809" s="120"/>
      <c r="E809" s="120"/>
      <c r="F809" s="120"/>
      <c r="G809" s="120"/>
      <c r="H809" s="120"/>
      <c r="I809" s="120"/>
      <c r="J809" s="121" t="s">
        <v>2</v>
      </c>
      <c r="K809" s="122">
        <v>81</v>
      </c>
      <c r="L809" s="120"/>
      <c r="M809" s="118" t="s">
        <v>17</v>
      </c>
      <c r="N809" s="73">
        <f>EN_06004_m+EN_06004_p</f>
        <v>2.7254602499999998</v>
      </c>
      <c r="O809" s="123"/>
    </row>
    <row r="810" spans="1:15" x14ac:dyDescent="0.25">
      <c r="A810" s="118" t="s">
        <v>4</v>
      </c>
      <c r="B810" s="119" t="s">
        <v>81</v>
      </c>
      <c r="C810" s="120"/>
      <c r="D810" s="118" t="s">
        <v>7</v>
      </c>
      <c r="E810" s="124"/>
      <c r="F810" s="120"/>
      <c r="G810" s="120"/>
      <c r="H810" s="120"/>
      <c r="I810" s="120"/>
      <c r="J810" s="120"/>
      <c r="K810" s="120"/>
      <c r="L810" s="120"/>
      <c r="M810" s="118" t="s">
        <v>5</v>
      </c>
      <c r="N810" s="73">
        <v>1</v>
      </c>
      <c r="O810" s="123"/>
    </row>
    <row r="811" spans="1:15" x14ac:dyDescent="0.25">
      <c r="A811" s="118" t="s">
        <v>6</v>
      </c>
      <c r="B811" s="125" t="s">
        <v>405</v>
      </c>
      <c r="C811" s="120"/>
      <c r="D811" s="118" t="s">
        <v>9</v>
      </c>
      <c r="E811" s="120"/>
      <c r="F811" s="120"/>
      <c r="G811" s="120"/>
      <c r="H811" s="120"/>
      <c r="I811" s="120"/>
      <c r="J811" s="126" t="s">
        <v>7</v>
      </c>
      <c r="K811" s="120"/>
      <c r="L811" s="120"/>
      <c r="M811" s="120"/>
      <c r="N811" s="120"/>
      <c r="O811" s="123"/>
    </row>
    <row r="812" spans="1:15" x14ac:dyDescent="0.25">
      <c r="A812" s="118" t="s">
        <v>16</v>
      </c>
      <c r="B812" s="127" t="s">
        <v>421</v>
      </c>
      <c r="C812" s="120"/>
      <c r="D812" s="118" t="s">
        <v>13</v>
      </c>
      <c r="E812" s="120"/>
      <c r="F812" s="120"/>
      <c r="G812" s="120"/>
      <c r="H812" s="120"/>
      <c r="I812" s="120"/>
      <c r="J812" s="126" t="s">
        <v>9</v>
      </c>
      <c r="K812" s="120"/>
      <c r="L812" s="120"/>
      <c r="M812" s="118" t="s">
        <v>10</v>
      </c>
      <c r="N812" s="73">
        <f>N810*N809</f>
        <v>2.7254602499999998</v>
      </c>
      <c r="O812" s="123"/>
    </row>
    <row r="813" spans="1:15" x14ac:dyDescent="0.25">
      <c r="A813" s="118" t="s">
        <v>8</v>
      </c>
      <c r="B813" s="127" t="s">
        <v>420</v>
      </c>
      <c r="C813" s="120"/>
      <c r="D813" s="120"/>
      <c r="E813" s="120"/>
      <c r="F813" s="120"/>
      <c r="G813" s="120"/>
      <c r="H813" s="120"/>
      <c r="I813" s="120"/>
      <c r="J813" s="126" t="s">
        <v>13</v>
      </c>
      <c r="K813" s="120"/>
      <c r="L813" s="120"/>
      <c r="M813" s="120"/>
      <c r="N813" s="120"/>
      <c r="O813" s="123"/>
    </row>
    <row r="814" spans="1:15" x14ac:dyDescent="0.25">
      <c r="A814" s="118" t="s">
        <v>11</v>
      </c>
      <c r="B814" s="119" t="s">
        <v>12</v>
      </c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3"/>
    </row>
    <row r="815" spans="1:15" x14ac:dyDescent="0.25">
      <c r="A815" s="118" t="s">
        <v>14</v>
      </c>
      <c r="B815" s="119" t="s">
        <v>407</v>
      </c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3"/>
    </row>
    <row r="816" spans="1:15" x14ac:dyDescent="0.25">
      <c r="A816" s="128"/>
      <c r="B816" s="129"/>
      <c r="C816" s="129"/>
      <c r="D816" s="129"/>
      <c r="E816" s="129"/>
      <c r="F816" s="120"/>
      <c r="G816" s="120"/>
      <c r="H816" s="120"/>
      <c r="I816" s="120"/>
      <c r="J816" s="120"/>
      <c r="K816" s="120"/>
      <c r="L816" s="120"/>
      <c r="M816" s="120"/>
      <c r="N816" s="120"/>
      <c r="O816" s="123"/>
    </row>
    <row r="817" spans="1:15" x14ac:dyDescent="0.25">
      <c r="A817" s="130" t="s">
        <v>15</v>
      </c>
      <c r="B817" s="131" t="s">
        <v>20</v>
      </c>
      <c r="C817" s="131" t="s">
        <v>21</v>
      </c>
      <c r="D817" s="131" t="s">
        <v>22</v>
      </c>
      <c r="E817" s="131" t="s">
        <v>23</v>
      </c>
      <c r="F817" s="132" t="s">
        <v>24</v>
      </c>
      <c r="G817" s="132" t="s">
        <v>25</v>
      </c>
      <c r="H817" s="132" t="s">
        <v>26</v>
      </c>
      <c r="I817" s="132" t="s">
        <v>27</v>
      </c>
      <c r="J817" s="132" t="s">
        <v>28</v>
      </c>
      <c r="K817" s="132" t="s">
        <v>29</v>
      </c>
      <c r="L817" s="132" t="s">
        <v>30</v>
      </c>
      <c r="M817" s="132" t="s">
        <v>18</v>
      </c>
      <c r="N817" s="132" t="s">
        <v>19</v>
      </c>
      <c r="O817" s="123"/>
    </row>
    <row r="818" spans="1:15" x14ac:dyDescent="0.25">
      <c r="A818" s="838">
        <v>10</v>
      </c>
      <c r="B818" s="133" t="s">
        <v>422</v>
      </c>
      <c r="C818" s="134" t="s">
        <v>423</v>
      </c>
      <c r="D818" s="162">
        <v>2.25</v>
      </c>
      <c r="E818" s="840">
        <v>2.5000000000000001E-2</v>
      </c>
      <c r="F818" s="134" t="s">
        <v>92</v>
      </c>
      <c r="G818" s="134"/>
      <c r="H818" s="19"/>
      <c r="I818" s="134" t="s">
        <v>424</v>
      </c>
      <c r="J818" s="828">
        <v>7.8499999999999997E-5</v>
      </c>
      <c r="K818" s="19">
        <v>0.04</v>
      </c>
      <c r="L818" s="842">
        <v>7850</v>
      </c>
      <c r="M818" s="839">
        <v>1</v>
      </c>
      <c r="N818" s="160">
        <f>IF(J818="",D818*M818,D818*J818*K818*L818*M818)</f>
        <v>5.5460250000000003E-2</v>
      </c>
      <c r="O818" s="136"/>
    </row>
    <row r="819" spans="1:15" x14ac:dyDescent="0.25">
      <c r="A819" s="137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9" t="s">
        <v>19</v>
      </c>
      <c r="N819" s="161">
        <f>SUM(N818:N818)</f>
        <v>5.5460250000000003E-2</v>
      </c>
      <c r="O819" s="123"/>
    </row>
    <row r="820" spans="1:15" x14ac:dyDescent="0.25">
      <c r="A820" s="14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3"/>
    </row>
    <row r="821" spans="1:15" x14ac:dyDescent="0.25">
      <c r="A821" s="141" t="s">
        <v>15</v>
      </c>
      <c r="B821" s="132" t="s">
        <v>32</v>
      </c>
      <c r="C821" s="132" t="s">
        <v>21</v>
      </c>
      <c r="D821" s="132" t="s">
        <v>22</v>
      </c>
      <c r="E821" s="132" t="s">
        <v>33</v>
      </c>
      <c r="F821" s="132" t="s">
        <v>18</v>
      </c>
      <c r="G821" s="132" t="s">
        <v>34</v>
      </c>
      <c r="H821" s="132" t="s">
        <v>35</v>
      </c>
      <c r="I821" s="132" t="s">
        <v>19</v>
      </c>
      <c r="J821" s="138"/>
      <c r="K821" s="138"/>
      <c r="L821" s="138"/>
      <c r="M821" s="138"/>
      <c r="N821" s="138"/>
      <c r="O821" s="123"/>
    </row>
    <row r="822" spans="1:15" ht="30" x14ac:dyDescent="0.25">
      <c r="A822" s="836">
        <v>10</v>
      </c>
      <c r="B822" s="142" t="s">
        <v>50</v>
      </c>
      <c r="C822" s="143"/>
      <c r="D822" s="165">
        <v>1.3</v>
      </c>
      <c r="E822" s="142" t="s">
        <v>36</v>
      </c>
      <c r="F822" s="841">
        <v>1</v>
      </c>
      <c r="G822" s="143"/>
      <c r="H822" s="143"/>
      <c r="I822" s="165">
        <f>IF(H822="",D822*F822,D822*F822*H822)</f>
        <v>1.3</v>
      </c>
      <c r="J822" s="144"/>
      <c r="K822" s="829"/>
      <c r="L822" s="144"/>
      <c r="M822" s="144"/>
      <c r="N822" s="144"/>
      <c r="O822" s="145"/>
    </row>
    <row r="823" spans="1:15" x14ac:dyDescent="0.25">
      <c r="A823" s="837">
        <v>20</v>
      </c>
      <c r="B823" s="142" t="s">
        <v>411</v>
      </c>
      <c r="C823" s="146"/>
      <c r="D823" s="160">
        <v>0.04</v>
      </c>
      <c r="E823" s="146" t="s">
        <v>243</v>
      </c>
      <c r="F823" s="835">
        <v>4</v>
      </c>
      <c r="G823" s="142" t="s">
        <v>425</v>
      </c>
      <c r="H823" s="834">
        <v>3</v>
      </c>
      <c r="I823" s="160">
        <f>IF(H823="",D823*F823,D823*F823*H823)</f>
        <v>0.48</v>
      </c>
      <c r="J823" s="120"/>
      <c r="K823" s="120"/>
      <c r="L823" s="120"/>
      <c r="M823" s="120"/>
      <c r="N823" s="120"/>
      <c r="O823" s="123"/>
    </row>
    <row r="824" spans="1:15" ht="29.25" customHeight="1" x14ac:dyDescent="0.25">
      <c r="A824" s="837">
        <v>30</v>
      </c>
      <c r="B824" s="142" t="s">
        <v>417</v>
      </c>
      <c r="C824" s="830" t="s">
        <v>426</v>
      </c>
      <c r="D824" s="160">
        <v>0.65</v>
      </c>
      <c r="E824" s="146" t="s">
        <v>36</v>
      </c>
      <c r="F824" s="835">
        <v>1</v>
      </c>
      <c r="G824" s="142"/>
      <c r="H824" s="147"/>
      <c r="I824" s="160">
        <f>IF(H824="",D824*F824,D824*F824*H824)</f>
        <v>0.65</v>
      </c>
      <c r="J824" s="120"/>
      <c r="K824" s="120"/>
      <c r="L824" s="120"/>
      <c r="M824" s="120"/>
      <c r="N824" s="120"/>
      <c r="O824" s="123"/>
    </row>
    <row r="825" spans="1:15" x14ac:dyDescent="0.25">
      <c r="A825" s="837">
        <v>40</v>
      </c>
      <c r="B825" s="142" t="s">
        <v>241</v>
      </c>
      <c r="C825" s="146" t="s">
        <v>427</v>
      </c>
      <c r="D825" s="160">
        <v>0.04</v>
      </c>
      <c r="E825" s="146" t="s">
        <v>243</v>
      </c>
      <c r="F825" s="835">
        <v>2</v>
      </c>
      <c r="G825" s="142" t="s">
        <v>425</v>
      </c>
      <c r="H825" s="834">
        <v>3</v>
      </c>
      <c r="I825" s="160">
        <f>IF(H825="",D825*F825,D825*F825*H825)</f>
        <v>0.24</v>
      </c>
      <c r="J825" s="120"/>
      <c r="K825" s="120"/>
      <c r="L825" s="120"/>
      <c r="M825" s="120"/>
      <c r="N825" s="120"/>
      <c r="O825" s="123"/>
    </row>
    <row r="826" spans="1:15" x14ac:dyDescent="0.25">
      <c r="A826" s="137"/>
      <c r="B826" s="138"/>
      <c r="C826" s="138"/>
      <c r="D826" s="138"/>
      <c r="E826" s="138"/>
      <c r="F826" s="138"/>
      <c r="G826" s="138"/>
      <c r="H826" s="148" t="s">
        <v>19</v>
      </c>
      <c r="I826" s="161">
        <f>SUM(I822:I825)</f>
        <v>2.67</v>
      </c>
      <c r="J826" s="138"/>
      <c r="K826" s="138"/>
      <c r="L826" s="138"/>
      <c r="M826" s="138"/>
      <c r="N826" s="138"/>
      <c r="O826" s="123"/>
    </row>
    <row r="827" spans="1:15" ht="15.75" thickBot="1" x14ac:dyDescent="0.3">
      <c r="A827" s="149"/>
      <c r="B827" s="150"/>
      <c r="C827" s="150"/>
      <c r="D827" s="150"/>
      <c r="E827" s="150"/>
      <c r="F827" s="150"/>
      <c r="G827" s="150"/>
      <c r="H827" s="151"/>
      <c r="I827" s="151"/>
      <c r="J827" s="150"/>
      <c r="K827" s="150"/>
      <c r="L827" s="150"/>
      <c r="M827" s="150"/>
      <c r="N827" s="150"/>
      <c r="O827" s="152"/>
    </row>
    <row r="828" spans="1:15" ht="15.75" thickBot="1" x14ac:dyDescent="0.3"/>
    <row r="829" spans="1:15" x14ac:dyDescent="0.25">
      <c r="A829" s="114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6"/>
    </row>
    <row r="830" spans="1:15" x14ac:dyDescent="0.25">
      <c r="A830" s="118" t="s">
        <v>0</v>
      </c>
      <c r="B830" s="119" t="s">
        <v>47</v>
      </c>
      <c r="C830" s="120"/>
      <c r="D830" s="120"/>
      <c r="E830" s="120"/>
      <c r="F830" s="120"/>
      <c r="G830" s="120"/>
      <c r="H830" s="120"/>
      <c r="I830" s="120"/>
      <c r="J830" s="121" t="s">
        <v>2</v>
      </c>
      <c r="K830" s="122">
        <v>81</v>
      </c>
      <c r="L830" s="120"/>
      <c r="M830" s="118" t="s">
        <v>17</v>
      </c>
      <c r="N830" s="73">
        <f>EN_06005_m+EN_06005_p</f>
        <v>2.7115951874999999</v>
      </c>
      <c r="O830" s="123"/>
    </row>
    <row r="831" spans="1:15" x14ac:dyDescent="0.25">
      <c r="A831" s="118" t="s">
        <v>4</v>
      </c>
      <c r="B831" s="119" t="s">
        <v>81</v>
      </c>
      <c r="C831" s="120"/>
      <c r="D831" s="118" t="s">
        <v>7</v>
      </c>
      <c r="E831" s="124"/>
      <c r="F831" s="120"/>
      <c r="G831" s="120"/>
      <c r="H831" s="120"/>
      <c r="I831" s="120"/>
      <c r="J831" s="120"/>
      <c r="K831" s="120"/>
      <c r="L831" s="120"/>
      <c r="M831" s="118" t="s">
        <v>5</v>
      </c>
      <c r="N831" s="73">
        <v>1</v>
      </c>
      <c r="O831" s="123"/>
    </row>
    <row r="832" spans="1:15" x14ac:dyDescent="0.25">
      <c r="A832" s="118" t="s">
        <v>6</v>
      </c>
      <c r="B832" s="125" t="s">
        <v>405</v>
      </c>
      <c r="C832" s="120"/>
      <c r="D832" s="118" t="s">
        <v>9</v>
      </c>
      <c r="E832" s="120"/>
      <c r="F832" s="120"/>
      <c r="G832" s="120"/>
      <c r="H832" s="120"/>
      <c r="I832" s="120"/>
      <c r="J832" s="126" t="s">
        <v>7</v>
      </c>
      <c r="K832" s="120"/>
      <c r="L832" s="120"/>
      <c r="M832" s="120"/>
      <c r="N832" s="120"/>
      <c r="O832" s="123"/>
    </row>
    <row r="833" spans="1:15" x14ac:dyDescent="0.25">
      <c r="A833" s="118" t="s">
        <v>16</v>
      </c>
      <c r="B833" s="127" t="s">
        <v>429</v>
      </c>
      <c r="C833" s="120"/>
      <c r="D833" s="118" t="s">
        <v>13</v>
      </c>
      <c r="E833" s="120"/>
      <c r="F833" s="120"/>
      <c r="G833" s="120"/>
      <c r="H833" s="120"/>
      <c r="I833" s="120"/>
      <c r="J833" s="126" t="s">
        <v>9</v>
      </c>
      <c r="K833" s="120"/>
      <c r="L833" s="120"/>
      <c r="M833" s="118" t="s">
        <v>10</v>
      </c>
      <c r="N833" s="73">
        <f>N831*N830</f>
        <v>2.7115951874999999</v>
      </c>
      <c r="O833" s="123"/>
    </row>
    <row r="834" spans="1:15" x14ac:dyDescent="0.25">
      <c r="A834" s="118" t="s">
        <v>8</v>
      </c>
      <c r="B834" s="127" t="s">
        <v>428</v>
      </c>
      <c r="C834" s="120"/>
      <c r="D834" s="120"/>
      <c r="E834" s="120"/>
      <c r="F834" s="120"/>
      <c r="G834" s="120"/>
      <c r="H834" s="120"/>
      <c r="I834" s="120"/>
      <c r="J834" s="126" t="s">
        <v>13</v>
      </c>
      <c r="K834" s="120"/>
      <c r="L834" s="120"/>
      <c r="M834" s="120"/>
      <c r="N834" s="120"/>
      <c r="O834" s="123"/>
    </row>
    <row r="835" spans="1:15" x14ac:dyDescent="0.25">
      <c r="A835" s="118" t="s">
        <v>11</v>
      </c>
      <c r="B835" s="119" t="s">
        <v>12</v>
      </c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3"/>
    </row>
    <row r="836" spans="1:15" x14ac:dyDescent="0.25">
      <c r="A836" s="118" t="s">
        <v>14</v>
      </c>
      <c r="B836" s="119" t="s">
        <v>407</v>
      </c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3"/>
    </row>
    <row r="837" spans="1:15" x14ac:dyDescent="0.25">
      <c r="A837" s="128"/>
      <c r="B837" s="129"/>
      <c r="C837" s="129"/>
      <c r="D837" s="129"/>
      <c r="E837" s="129"/>
      <c r="F837" s="120"/>
      <c r="G837" s="120"/>
      <c r="H837" s="120"/>
      <c r="I837" s="120"/>
      <c r="J837" s="120"/>
      <c r="K837" s="120"/>
      <c r="L837" s="120"/>
      <c r="M837" s="120"/>
      <c r="N837" s="120"/>
      <c r="O837" s="123"/>
    </row>
    <row r="838" spans="1:15" x14ac:dyDescent="0.25">
      <c r="A838" s="130" t="s">
        <v>15</v>
      </c>
      <c r="B838" s="131" t="s">
        <v>20</v>
      </c>
      <c r="C838" s="131" t="s">
        <v>21</v>
      </c>
      <c r="D838" s="131" t="s">
        <v>22</v>
      </c>
      <c r="E838" s="131" t="s">
        <v>23</v>
      </c>
      <c r="F838" s="132" t="s">
        <v>24</v>
      </c>
      <c r="G838" s="132" t="s">
        <v>25</v>
      </c>
      <c r="H838" s="132" t="s">
        <v>26</v>
      </c>
      <c r="I838" s="132" t="s">
        <v>27</v>
      </c>
      <c r="J838" s="132" t="s">
        <v>28</v>
      </c>
      <c r="K838" s="132" t="s">
        <v>29</v>
      </c>
      <c r="L838" s="132" t="s">
        <v>30</v>
      </c>
      <c r="M838" s="132" t="s">
        <v>18</v>
      </c>
      <c r="N838" s="132" t="s">
        <v>19</v>
      </c>
      <c r="O838" s="123"/>
    </row>
    <row r="839" spans="1:15" x14ac:dyDescent="0.25">
      <c r="A839" s="838">
        <v>10</v>
      </c>
      <c r="B839" s="133" t="s">
        <v>422</v>
      </c>
      <c r="C839" s="134" t="s">
        <v>423</v>
      </c>
      <c r="D839" s="162">
        <v>2.25</v>
      </c>
      <c r="E839" s="840">
        <v>2.5000000000000001E-2</v>
      </c>
      <c r="F839" s="134" t="s">
        <v>92</v>
      </c>
      <c r="G839" s="134"/>
      <c r="H839" s="19"/>
      <c r="I839" s="134" t="s">
        <v>424</v>
      </c>
      <c r="J839" s="828">
        <v>7.8499999999999997E-5</v>
      </c>
      <c r="K839" s="19">
        <v>0.03</v>
      </c>
      <c r="L839" s="842">
        <v>7850</v>
      </c>
      <c r="M839" s="839">
        <v>1</v>
      </c>
      <c r="N839" s="160">
        <f>IF(J839="",D839*M839,D839*J839*K839*L839*M839)</f>
        <v>4.1595187499999998E-2</v>
      </c>
      <c r="O839" s="136"/>
    </row>
    <row r="840" spans="1:15" x14ac:dyDescent="0.25">
      <c r="A840" s="137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9" t="s">
        <v>19</v>
      </c>
      <c r="N840" s="161">
        <f>SUM(N839:N839)</f>
        <v>4.1595187499999998E-2</v>
      </c>
      <c r="O840" s="123"/>
    </row>
    <row r="841" spans="1:15" x14ac:dyDescent="0.25">
      <c r="A841" s="14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3"/>
    </row>
    <row r="842" spans="1:15" x14ac:dyDescent="0.25">
      <c r="A842" s="141" t="s">
        <v>15</v>
      </c>
      <c r="B842" s="132" t="s">
        <v>32</v>
      </c>
      <c r="C842" s="132" t="s">
        <v>21</v>
      </c>
      <c r="D842" s="132" t="s">
        <v>22</v>
      </c>
      <c r="E842" s="132" t="s">
        <v>33</v>
      </c>
      <c r="F842" s="132" t="s">
        <v>18</v>
      </c>
      <c r="G842" s="132" t="s">
        <v>34</v>
      </c>
      <c r="H842" s="132" t="s">
        <v>35</v>
      </c>
      <c r="I842" s="132" t="s">
        <v>19</v>
      </c>
      <c r="J842" s="138"/>
      <c r="K842" s="138"/>
      <c r="L842" s="138"/>
      <c r="M842" s="138"/>
      <c r="N842" s="138"/>
      <c r="O842" s="123"/>
    </row>
    <row r="843" spans="1:15" ht="30" x14ac:dyDescent="0.25">
      <c r="A843" s="836">
        <v>10</v>
      </c>
      <c r="B843" s="142" t="s">
        <v>50</v>
      </c>
      <c r="C843" s="143"/>
      <c r="D843" s="165">
        <v>1.3</v>
      </c>
      <c r="E843" s="142" t="s">
        <v>36</v>
      </c>
      <c r="F843" s="841">
        <v>1</v>
      </c>
      <c r="G843" s="143"/>
      <c r="H843" s="143"/>
      <c r="I843" s="165">
        <f>IF(H843="",D843*F843,D843*F843*H843)</f>
        <v>1.3</v>
      </c>
      <c r="J843" s="144"/>
      <c r="K843" s="829"/>
      <c r="L843" s="144"/>
      <c r="M843" s="144"/>
      <c r="N843" s="144"/>
      <c r="O843" s="145"/>
    </row>
    <row r="844" spans="1:15" x14ac:dyDescent="0.25">
      <c r="A844" s="837">
        <v>20</v>
      </c>
      <c r="B844" s="142" t="s">
        <v>411</v>
      </c>
      <c r="C844" s="146"/>
      <c r="D844" s="160">
        <v>0.04</v>
      </c>
      <c r="E844" s="146" t="s">
        <v>243</v>
      </c>
      <c r="F844" s="835">
        <v>4</v>
      </c>
      <c r="G844" s="142" t="s">
        <v>425</v>
      </c>
      <c r="H844" s="834">
        <v>3</v>
      </c>
      <c r="I844" s="160">
        <f>IF(H844="",D844*F844,D844*F844*H844)</f>
        <v>0.48</v>
      </c>
      <c r="J844" s="120"/>
      <c r="K844" s="120"/>
      <c r="L844" s="120"/>
      <c r="M844" s="120"/>
      <c r="N844" s="120"/>
      <c r="O844" s="123"/>
    </row>
    <row r="845" spans="1:15" ht="30" x14ac:dyDescent="0.25">
      <c r="A845" s="837">
        <v>30</v>
      </c>
      <c r="B845" s="142" t="s">
        <v>417</v>
      </c>
      <c r="C845" s="830" t="s">
        <v>426</v>
      </c>
      <c r="D845" s="160">
        <v>0.65</v>
      </c>
      <c r="E845" s="146" t="s">
        <v>36</v>
      </c>
      <c r="F845" s="835">
        <v>1</v>
      </c>
      <c r="G845" s="142"/>
      <c r="H845" s="147"/>
      <c r="I845" s="160">
        <f>IF(H845="",D845*F845,D845*F845*H845)</f>
        <v>0.65</v>
      </c>
      <c r="J845" s="120"/>
      <c r="K845" s="120"/>
      <c r="L845" s="120"/>
      <c r="M845" s="120"/>
      <c r="N845" s="120"/>
      <c r="O845" s="123"/>
    </row>
    <row r="846" spans="1:15" x14ac:dyDescent="0.25">
      <c r="A846" s="837">
        <v>40</v>
      </c>
      <c r="B846" s="142" t="s">
        <v>241</v>
      </c>
      <c r="C846" s="146" t="s">
        <v>427</v>
      </c>
      <c r="D846" s="160">
        <v>0.04</v>
      </c>
      <c r="E846" s="146" t="s">
        <v>243</v>
      </c>
      <c r="F846" s="835">
        <v>2</v>
      </c>
      <c r="G846" s="142" t="s">
        <v>425</v>
      </c>
      <c r="H846" s="834">
        <v>3</v>
      </c>
      <c r="I846" s="160">
        <f>IF(H846="",D846*F846,D846*F846*H846)</f>
        <v>0.24</v>
      </c>
      <c r="J846" s="120"/>
      <c r="K846" s="120"/>
      <c r="L846" s="120"/>
      <c r="M846" s="120"/>
      <c r="N846" s="120"/>
      <c r="O846" s="123"/>
    </row>
    <row r="847" spans="1:15" x14ac:dyDescent="0.25">
      <c r="A847" s="137"/>
      <c r="B847" s="138"/>
      <c r="C847" s="138"/>
      <c r="D847" s="138"/>
      <c r="E847" s="138"/>
      <c r="F847" s="850"/>
      <c r="G847" s="138"/>
      <c r="H847" s="148" t="s">
        <v>19</v>
      </c>
      <c r="I847" s="161">
        <f>SUM(I843:I846)</f>
        <v>2.67</v>
      </c>
      <c r="J847" s="138"/>
      <c r="K847" s="138"/>
      <c r="L847" s="138"/>
      <c r="M847" s="138"/>
      <c r="N847" s="138"/>
      <c r="O847" s="123"/>
    </row>
    <row r="848" spans="1:15" ht="15.75" thickBot="1" x14ac:dyDescent="0.3">
      <c r="A848" s="149"/>
      <c r="B848" s="150"/>
      <c r="C848" s="150"/>
      <c r="D848" s="150"/>
      <c r="E848" s="150"/>
      <c r="F848" s="150"/>
      <c r="G848" s="150"/>
      <c r="H848" s="151"/>
      <c r="I848" s="151"/>
      <c r="J848" s="150"/>
      <c r="K848" s="150"/>
      <c r="L848" s="150"/>
      <c r="M848" s="150"/>
      <c r="N848" s="150"/>
      <c r="O848" s="152"/>
    </row>
    <row r="849" spans="1:15" ht="15.75" thickBot="1" x14ac:dyDescent="0.3"/>
    <row r="850" spans="1:15" x14ac:dyDescent="0.25">
      <c r="A850" s="114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6"/>
    </row>
    <row r="851" spans="1:15" x14ac:dyDescent="0.25">
      <c r="A851" s="118" t="s">
        <v>0</v>
      </c>
      <c r="B851" s="119" t="s">
        <v>47</v>
      </c>
      <c r="C851" s="120"/>
      <c r="D851" s="120"/>
      <c r="E851" s="120"/>
      <c r="F851" s="120"/>
      <c r="G851" s="120"/>
      <c r="H851" s="120"/>
      <c r="I851" s="120"/>
      <c r="J851" s="121" t="s">
        <v>2</v>
      </c>
      <c r="K851" s="122">
        <v>81</v>
      </c>
      <c r="L851" s="120"/>
      <c r="M851" s="118" t="s">
        <v>17</v>
      </c>
      <c r="N851" s="73">
        <f>EN_06006_m+EN_06006_p</f>
        <v>3.5695600000000001</v>
      </c>
      <c r="O851" s="123"/>
    </row>
    <row r="852" spans="1:15" x14ac:dyDescent="0.25">
      <c r="A852" s="118" t="s">
        <v>4</v>
      </c>
      <c r="B852" s="119" t="s">
        <v>81</v>
      </c>
      <c r="C852" s="120"/>
      <c r="D852" s="118" t="s">
        <v>7</v>
      </c>
      <c r="E852" s="124"/>
      <c r="F852" s="120"/>
      <c r="G852" s="120"/>
      <c r="H852" s="120"/>
      <c r="I852" s="120"/>
      <c r="J852" s="120"/>
      <c r="K852" s="120"/>
      <c r="L852" s="120"/>
      <c r="M852" s="118" t="s">
        <v>5</v>
      </c>
      <c r="N852" s="73">
        <v>1</v>
      </c>
      <c r="O852" s="123"/>
    </row>
    <row r="853" spans="1:15" x14ac:dyDescent="0.25">
      <c r="A853" s="118" t="s">
        <v>6</v>
      </c>
      <c r="B853" s="125" t="s">
        <v>405</v>
      </c>
      <c r="C853" s="120"/>
      <c r="D853" s="118" t="s">
        <v>9</v>
      </c>
      <c r="E853" s="120"/>
      <c r="F853" s="120"/>
      <c r="G853" s="120"/>
      <c r="H853" s="120"/>
      <c r="I853" s="120"/>
      <c r="J853" s="126" t="s">
        <v>7</v>
      </c>
      <c r="K853" s="120"/>
      <c r="L853" s="120"/>
      <c r="M853" s="120"/>
      <c r="N853" s="120"/>
      <c r="O853" s="123"/>
    </row>
    <row r="854" spans="1:15" x14ac:dyDescent="0.25">
      <c r="A854" s="118" t="s">
        <v>16</v>
      </c>
      <c r="B854" s="127" t="s">
        <v>431</v>
      </c>
      <c r="C854" s="120"/>
      <c r="D854" s="118" t="s">
        <v>13</v>
      </c>
      <c r="E854" s="120"/>
      <c r="F854" s="120"/>
      <c r="G854" s="120"/>
      <c r="H854" s="120"/>
      <c r="I854" s="120"/>
      <c r="J854" s="126" t="s">
        <v>9</v>
      </c>
      <c r="K854" s="120"/>
      <c r="L854" s="120"/>
      <c r="M854" s="118" t="s">
        <v>10</v>
      </c>
      <c r="N854" s="73">
        <f>N852*N851</f>
        <v>3.5695600000000001</v>
      </c>
      <c r="O854" s="123"/>
    </row>
    <row r="855" spans="1:15" x14ac:dyDescent="0.25">
      <c r="A855" s="118" t="s">
        <v>8</v>
      </c>
      <c r="B855" s="127" t="s">
        <v>430</v>
      </c>
      <c r="C855" s="120"/>
      <c r="D855" s="120"/>
      <c r="E855" s="120"/>
      <c r="F855" s="120"/>
      <c r="G855" s="120"/>
      <c r="H855" s="120"/>
      <c r="I855" s="120"/>
      <c r="J855" s="126" t="s">
        <v>13</v>
      </c>
      <c r="K855" s="120"/>
      <c r="L855" s="120"/>
      <c r="M855" s="120"/>
      <c r="N855" s="120"/>
      <c r="O855" s="123"/>
    </row>
    <row r="856" spans="1:15" x14ac:dyDescent="0.25">
      <c r="A856" s="118" t="s">
        <v>11</v>
      </c>
      <c r="B856" s="119" t="s">
        <v>12</v>
      </c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3"/>
    </row>
    <row r="857" spans="1:15" x14ac:dyDescent="0.25">
      <c r="A857" s="118" t="s">
        <v>14</v>
      </c>
      <c r="B857" s="119" t="s">
        <v>407</v>
      </c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3"/>
    </row>
    <row r="858" spans="1:15" x14ac:dyDescent="0.25">
      <c r="A858" s="128"/>
      <c r="B858" s="129"/>
      <c r="C858" s="129"/>
      <c r="D858" s="129"/>
      <c r="E858" s="129"/>
      <c r="F858" s="120"/>
      <c r="G858" s="120"/>
      <c r="H858" s="120"/>
      <c r="I858" s="120"/>
      <c r="J858" s="120"/>
      <c r="K858" s="120"/>
      <c r="L858" s="120"/>
      <c r="M858" s="120"/>
      <c r="N858" s="120"/>
      <c r="O858" s="123"/>
    </row>
    <row r="859" spans="1:15" x14ac:dyDescent="0.25">
      <c r="A859" s="130" t="s">
        <v>15</v>
      </c>
      <c r="B859" s="131" t="s">
        <v>20</v>
      </c>
      <c r="C859" s="131" t="s">
        <v>21</v>
      </c>
      <c r="D859" s="131" t="s">
        <v>22</v>
      </c>
      <c r="E859" s="131" t="s">
        <v>23</v>
      </c>
      <c r="F859" s="132" t="s">
        <v>24</v>
      </c>
      <c r="G859" s="132" t="s">
        <v>25</v>
      </c>
      <c r="H859" s="132" t="s">
        <v>26</v>
      </c>
      <c r="I859" s="132" t="s">
        <v>27</v>
      </c>
      <c r="J859" s="132" t="s">
        <v>28</v>
      </c>
      <c r="K859" s="132" t="s">
        <v>29</v>
      </c>
      <c r="L859" s="132" t="s">
        <v>30</v>
      </c>
      <c r="M859" s="132" t="s">
        <v>18</v>
      </c>
      <c r="N859" s="132" t="s">
        <v>19</v>
      </c>
      <c r="O859" s="123"/>
    </row>
    <row r="860" spans="1:15" x14ac:dyDescent="0.25">
      <c r="A860" s="838">
        <v>10</v>
      </c>
      <c r="B860" s="133" t="s">
        <v>422</v>
      </c>
      <c r="C860" s="134"/>
      <c r="D860" s="162">
        <v>2.25</v>
      </c>
      <c r="E860" s="840">
        <v>7.4999999999999997E-2</v>
      </c>
      <c r="F860" s="134" t="s">
        <v>92</v>
      </c>
      <c r="G860" s="134"/>
      <c r="H860" s="19"/>
      <c r="I860" s="134" t="s">
        <v>432</v>
      </c>
      <c r="J860" s="828">
        <v>1.2E-4</v>
      </c>
      <c r="K860" s="839">
        <v>0.08</v>
      </c>
      <c r="L860" s="842">
        <v>7850</v>
      </c>
      <c r="M860" s="839">
        <v>1</v>
      </c>
      <c r="N860" s="160">
        <f>IF(J860="",D860*M860,D860*J860*K860*L860*M860)</f>
        <v>0.16955999999999999</v>
      </c>
      <c r="O860" s="136"/>
    </row>
    <row r="861" spans="1:15" x14ac:dyDescent="0.25">
      <c r="A861" s="137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9" t="s">
        <v>19</v>
      </c>
      <c r="N861" s="161">
        <f>SUM(N860:N860)</f>
        <v>0.16955999999999999</v>
      </c>
      <c r="O861" s="123"/>
    </row>
    <row r="862" spans="1:15" x14ac:dyDescent="0.25">
      <c r="A862" s="14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3"/>
    </row>
    <row r="863" spans="1:15" x14ac:dyDescent="0.25">
      <c r="A863" s="141" t="s">
        <v>15</v>
      </c>
      <c r="B863" s="132" t="s">
        <v>32</v>
      </c>
      <c r="C863" s="132" t="s">
        <v>21</v>
      </c>
      <c r="D863" s="132" t="s">
        <v>22</v>
      </c>
      <c r="E863" s="132" t="s">
        <v>33</v>
      </c>
      <c r="F863" s="132" t="s">
        <v>18</v>
      </c>
      <c r="G863" s="132" t="s">
        <v>34</v>
      </c>
      <c r="H863" s="132" t="s">
        <v>35</v>
      </c>
      <c r="I863" s="132" t="s">
        <v>19</v>
      </c>
      <c r="J863" s="138"/>
      <c r="K863" s="138"/>
      <c r="L863" s="138"/>
      <c r="M863" s="138"/>
      <c r="N863" s="138"/>
      <c r="O863" s="123"/>
    </row>
    <row r="864" spans="1:15" ht="30" x14ac:dyDescent="0.25">
      <c r="A864" s="836">
        <v>10</v>
      </c>
      <c r="B864" s="142" t="s">
        <v>50</v>
      </c>
      <c r="C864" s="143"/>
      <c r="D864" s="165">
        <v>1.3</v>
      </c>
      <c r="E864" s="142" t="s">
        <v>36</v>
      </c>
      <c r="F864" s="841">
        <v>1</v>
      </c>
      <c r="G864" s="143"/>
      <c r="H864" s="143"/>
      <c r="I864" s="165">
        <f>IF(H864="",D864*F864,D864*F864*H864)</f>
        <v>1.3</v>
      </c>
      <c r="J864" s="144"/>
      <c r="K864" s="829"/>
      <c r="L864" s="144"/>
      <c r="M864" s="144"/>
      <c r="N864" s="144"/>
      <c r="O864" s="145"/>
    </row>
    <row r="865" spans="1:15" x14ac:dyDescent="0.25">
      <c r="A865" s="837">
        <v>20</v>
      </c>
      <c r="B865" s="142" t="s">
        <v>94</v>
      </c>
      <c r="C865" s="146"/>
      <c r="D865" s="160">
        <v>0.01</v>
      </c>
      <c r="E865" s="146" t="s">
        <v>53</v>
      </c>
      <c r="F865" s="835">
        <v>35</v>
      </c>
      <c r="G865" s="142" t="s">
        <v>433</v>
      </c>
      <c r="H865" s="834">
        <v>3</v>
      </c>
      <c r="I865" s="160">
        <f>IF(H865="",D865*F865,D865*F865*H865)</f>
        <v>1.05</v>
      </c>
      <c r="J865" s="120"/>
      <c r="K865" s="120"/>
      <c r="L865" s="120"/>
      <c r="M865" s="120"/>
      <c r="N865" s="120"/>
      <c r="O865" s="123"/>
    </row>
    <row r="866" spans="1:15" x14ac:dyDescent="0.25">
      <c r="A866" s="837">
        <v>30</v>
      </c>
      <c r="B866" s="142" t="s">
        <v>109</v>
      </c>
      <c r="C866" s="146"/>
      <c r="D866" s="160">
        <v>0.25</v>
      </c>
      <c r="E866" s="146" t="s">
        <v>112</v>
      </c>
      <c r="F866" s="835">
        <v>3</v>
      </c>
      <c r="G866" s="142"/>
      <c r="H866" s="147"/>
      <c r="I866" s="160">
        <f>IF(H866="",D866*F866,D866*F866*H866)</f>
        <v>0.75</v>
      </c>
      <c r="J866" s="120"/>
      <c r="K866" s="120"/>
      <c r="L866" s="120"/>
      <c r="M866" s="120"/>
      <c r="N866" s="120"/>
      <c r="O866" s="123"/>
    </row>
    <row r="867" spans="1:15" x14ac:dyDescent="0.25">
      <c r="A867" s="837">
        <v>40</v>
      </c>
      <c r="B867" s="142" t="s">
        <v>132</v>
      </c>
      <c r="C867" s="146"/>
      <c r="D867" s="160">
        <v>0.15</v>
      </c>
      <c r="E867" s="146" t="s">
        <v>53</v>
      </c>
      <c r="F867" s="835">
        <v>2</v>
      </c>
      <c r="G867" s="142"/>
      <c r="H867" s="147"/>
      <c r="I867" s="160">
        <f>IF(H867="",D867*F867,D867*F867*H867)</f>
        <v>0.3</v>
      </c>
      <c r="J867" s="120"/>
      <c r="K867" s="120"/>
      <c r="L867" s="120"/>
      <c r="M867" s="120"/>
      <c r="N867" s="120"/>
      <c r="O867" s="123"/>
    </row>
    <row r="868" spans="1:15" x14ac:dyDescent="0.25">
      <c r="A868" s="137"/>
      <c r="B868" s="138"/>
      <c r="C868" s="138"/>
      <c r="D868" s="138"/>
      <c r="E868" s="138"/>
      <c r="F868" s="138"/>
      <c r="G868" s="138"/>
      <c r="H868" s="148" t="s">
        <v>19</v>
      </c>
      <c r="I868" s="161">
        <f>SUM(I864:I867)</f>
        <v>3.4</v>
      </c>
      <c r="J868" s="138"/>
      <c r="K868" s="138"/>
      <c r="L868" s="138"/>
      <c r="M868" s="138"/>
      <c r="N868" s="138"/>
      <c r="O868" s="123"/>
    </row>
    <row r="869" spans="1:15" ht="15.75" thickBot="1" x14ac:dyDescent="0.3">
      <c r="A869" s="149"/>
      <c r="B869" s="150"/>
      <c r="C869" s="150"/>
      <c r="D869" s="150"/>
      <c r="E869" s="150"/>
      <c r="F869" s="150"/>
      <c r="G869" s="150"/>
      <c r="H869" s="151"/>
      <c r="I869" s="151"/>
      <c r="J869" s="150"/>
      <c r="K869" s="150"/>
      <c r="L869" s="150"/>
      <c r="M869" s="150"/>
      <c r="N869" s="150"/>
      <c r="O869" s="152"/>
    </row>
    <row r="870" spans="1:15" ht="15.75" thickBot="1" x14ac:dyDescent="0.3"/>
    <row r="871" spans="1:15" x14ac:dyDescent="0.25">
      <c r="A871" s="114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6"/>
    </row>
    <row r="872" spans="1:15" x14ac:dyDescent="0.25">
      <c r="A872" s="118" t="s">
        <v>0</v>
      </c>
      <c r="B872" s="119" t="s">
        <v>47</v>
      </c>
      <c r="C872" s="120"/>
      <c r="D872" s="120"/>
      <c r="E872" s="120"/>
      <c r="F872" s="120"/>
      <c r="G872" s="120"/>
      <c r="H872" s="120"/>
      <c r="I872" s="120"/>
      <c r="J872" s="121" t="s">
        <v>2</v>
      </c>
      <c r="K872" s="122">
        <v>81</v>
      </c>
      <c r="L872" s="120"/>
      <c r="M872" s="118" t="s">
        <v>17</v>
      </c>
      <c r="N872" s="73">
        <f>EN_06007_m+EN_06007_p</f>
        <v>2.0401686250000002</v>
      </c>
      <c r="O872" s="123"/>
    </row>
    <row r="873" spans="1:15" x14ac:dyDescent="0.25">
      <c r="A873" s="118" t="s">
        <v>4</v>
      </c>
      <c r="B873" s="119" t="s">
        <v>81</v>
      </c>
      <c r="C873" s="120"/>
      <c r="D873" s="118" t="s">
        <v>7</v>
      </c>
      <c r="E873" s="124"/>
      <c r="F873" s="120"/>
      <c r="G873" s="120"/>
      <c r="H873" s="120"/>
      <c r="I873" s="120"/>
      <c r="J873" s="120"/>
      <c r="K873" s="120"/>
      <c r="L873" s="120"/>
      <c r="M873" s="118" t="s">
        <v>5</v>
      </c>
      <c r="N873" s="73">
        <v>1</v>
      </c>
      <c r="O873" s="123"/>
    </row>
    <row r="874" spans="1:15" x14ac:dyDescent="0.25">
      <c r="A874" s="118" t="s">
        <v>6</v>
      </c>
      <c r="B874" s="125" t="s">
        <v>405</v>
      </c>
      <c r="C874" s="120"/>
      <c r="D874" s="118" t="s">
        <v>9</v>
      </c>
      <c r="E874" s="120"/>
      <c r="F874" s="120"/>
      <c r="G874" s="120"/>
      <c r="H874" s="120"/>
      <c r="I874" s="120"/>
      <c r="J874" s="126" t="s">
        <v>7</v>
      </c>
      <c r="K874" s="120"/>
      <c r="L874" s="120"/>
      <c r="M874" s="120"/>
      <c r="N874" s="120"/>
      <c r="O874" s="123"/>
    </row>
    <row r="875" spans="1:15" x14ac:dyDescent="0.25">
      <c r="A875" s="118" t="s">
        <v>16</v>
      </c>
      <c r="B875" s="127" t="s">
        <v>434</v>
      </c>
      <c r="C875" s="120"/>
      <c r="D875" s="118" t="s">
        <v>13</v>
      </c>
      <c r="E875" s="120"/>
      <c r="F875" s="120"/>
      <c r="G875" s="120"/>
      <c r="H875" s="120"/>
      <c r="I875" s="120"/>
      <c r="J875" s="126" t="s">
        <v>9</v>
      </c>
      <c r="K875" s="120"/>
      <c r="L875" s="120"/>
      <c r="M875" s="118" t="s">
        <v>10</v>
      </c>
      <c r="N875" s="73">
        <f>N873*N872</f>
        <v>2.0401686250000002</v>
      </c>
      <c r="O875" s="123"/>
    </row>
    <row r="876" spans="1:15" x14ac:dyDescent="0.25">
      <c r="A876" s="118" t="s">
        <v>8</v>
      </c>
      <c r="B876" s="127" t="s">
        <v>435</v>
      </c>
      <c r="C876" s="120"/>
      <c r="D876" s="120"/>
      <c r="E876" s="120"/>
      <c r="F876" s="120"/>
      <c r="G876" s="120"/>
      <c r="H876" s="120"/>
      <c r="I876" s="120"/>
      <c r="J876" s="126" t="s">
        <v>13</v>
      </c>
      <c r="K876" s="120"/>
      <c r="L876" s="120"/>
      <c r="M876" s="120"/>
      <c r="N876" s="120"/>
      <c r="O876" s="123"/>
    </row>
    <row r="877" spans="1:15" x14ac:dyDescent="0.25">
      <c r="A877" s="118" t="s">
        <v>11</v>
      </c>
      <c r="B877" s="119" t="s">
        <v>12</v>
      </c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3"/>
    </row>
    <row r="878" spans="1:15" x14ac:dyDescent="0.25">
      <c r="A878" s="118" t="s">
        <v>14</v>
      </c>
      <c r="B878" s="119" t="s">
        <v>407</v>
      </c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3"/>
    </row>
    <row r="879" spans="1:15" x14ac:dyDescent="0.25">
      <c r="A879" s="128"/>
      <c r="B879" s="129"/>
      <c r="C879" s="129"/>
      <c r="D879" s="129"/>
      <c r="E879" s="129"/>
      <c r="F879" s="120"/>
      <c r="G879" s="120"/>
      <c r="H879" s="120"/>
      <c r="I879" s="120"/>
      <c r="J879" s="120"/>
      <c r="K879" s="120"/>
      <c r="L879" s="120"/>
      <c r="M879" s="120"/>
      <c r="N879" s="120"/>
      <c r="O879" s="123"/>
    </row>
    <row r="880" spans="1:15" x14ac:dyDescent="0.25">
      <c r="A880" s="130" t="s">
        <v>15</v>
      </c>
      <c r="B880" s="131" t="s">
        <v>20</v>
      </c>
      <c r="C880" s="131" t="s">
        <v>21</v>
      </c>
      <c r="D880" s="131" t="s">
        <v>22</v>
      </c>
      <c r="E880" s="131" t="s">
        <v>23</v>
      </c>
      <c r="F880" s="132" t="s">
        <v>24</v>
      </c>
      <c r="G880" s="132" t="s">
        <v>25</v>
      </c>
      <c r="H880" s="132" t="s">
        <v>26</v>
      </c>
      <c r="I880" s="132" t="s">
        <v>27</v>
      </c>
      <c r="J880" s="132" t="s">
        <v>28</v>
      </c>
      <c r="K880" s="132" t="s">
        <v>29</v>
      </c>
      <c r="L880" s="132" t="s">
        <v>30</v>
      </c>
      <c r="M880" s="132" t="s">
        <v>18</v>
      </c>
      <c r="N880" s="132" t="s">
        <v>19</v>
      </c>
      <c r="O880" s="123"/>
    </row>
    <row r="881" spans="1:15" x14ac:dyDescent="0.25">
      <c r="A881" s="838">
        <v>10</v>
      </c>
      <c r="B881" s="133" t="s">
        <v>422</v>
      </c>
      <c r="C881" s="134" t="s">
        <v>423</v>
      </c>
      <c r="D881" s="162">
        <v>2.25</v>
      </c>
      <c r="E881" s="832">
        <v>1.1599999999999999E-2</v>
      </c>
      <c r="F881" s="134" t="s">
        <v>92</v>
      </c>
      <c r="G881" s="134"/>
      <c r="H881" s="19"/>
      <c r="I881" s="134" t="s">
        <v>436</v>
      </c>
      <c r="J881" s="828">
        <v>4.9100000000000001E-4</v>
      </c>
      <c r="K881" s="839">
        <v>0.03</v>
      </c>
      <c r="L881" s="842">
        <v>7850</v>
      </c>
      <c r="M881" s="839">
        <v>1</v>
      </c>
      <c r="N881" s="160">
        <f>IF(J881="",D881*M881,D881*J881*K881*L881*M881)</f>
        <v>0.26016862500000004</v>
      </c>
      <c r="O881" s="136"/>
    </row>
    <row r="882" spans="1:15" x14ac:dyDescent="0.25">
      <c r="A882" s="137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9" t="s">
        <v>19</v>
      </c>
      <c r="N882" s="161">
        <f>SUM(N881:N881)</f>
        <v>0.26016862500000004</v>
      </c>
      <c r="O882" s="123"/>
    </row>
    <row r="883" spans="1:15" x14ac:dyDescent="0.25">
      <c r="A883" s="14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3"/>
    </row>
    <row r="884" spans="1:15" x14ac:dyDescent="0.25">
      <c r="A884" s="141" t="s">
        <v>15</v>
      </c>
      <c r="B884" s="132" t="s">
        <v>32</v>
      </c>
      <c r="C884" s="132" t="s">
        <v>21</v>
      </c>
      <c r="D884" s="132" t="s">
        <v>22</v>
      </c>
      <c r="E884" s="132" t="s">
        <v>33</v>
      </c>
      <c r="F884" s="132" t="s">
        <v>18</v>
      </c>
      <c r="G884" s="132" t="s">
        <v>34</v>
      </c>
      <c r="H884" s="132" t="s">
        <v>35</v>
      </c>
      <c r="I884" s="132" t="s">
        <v>19</v>
      </c>
      <c r="J884" s="138"/>
      <c r="K884" s="138"/>
      <c r="L884" s="138"/>
      <c r="M884" s="138"/>
      <c r="N884" s="138"/>
      <c r="O884" s="123"/>
    </row>
    <row r="885" spans="1:15" ht="30" x14ac:dyDescent="0.25">
      <c r="A885" s="836">
        <v>10</v>
      </c>
      <c r="B885" s="142" t="s">
        <v>50</v>
      </c>
      <c r="C885" s="143"/>
      <c r="D885" s="165">
        <v>1.3</v>
      </c>
      <c r="E885" s="142" t="s">
        <v>36</v>
      </c>
      <c r="F885" s="841">
        <v>1</v>
      </c>
      <c r="G885" s="143"/>
      <c r="H885" s="143"/>
      <c r="I885" s="165">
        <f>IF(H885="",D885*F885,D885*F885*H885)</f>
        <v>1.3</v>
      </c>
      <c r="J885" s="144"/>
      <c r="K885" s="829"/>
      <c r="L885" s="144"/>
      <c r="M885" s="144"/>
      <c r="N885" s="144"/>
      <c r="O885" s="145"/>
    </row>
    <row r="886" spans="1:15" x14ac:dyDescent="0.25">
      <c r="A886" s="837">
        <v>20</v>
      </c>
      <c r="B886" s="142" t="s">
        <v>411</v>
      </c>
      <c r="C886" s="146"/>
      <c r="D886" s="160">
        <v>0.04</v>
      </c>
      <c r="E886" s="146" t="s">
        <v>243</v>
      </c>
      <c r="F886" s="835">
        <v>4</v>
      </c>
      <c r="G886" s="142" t="s">
        <v>425</v>
      </c>
      <c r="H886" s="834">
        <v>3</v>
      </c>
      <c r="I886" s="160">
        <f>IF(H886="",D886*F886,D886*F886*H886)</f>
        <v>0.48</v>
      </c>
      <c r="J886" s="120"/>
      <c r="K886" s="120"/>
      <c r="L886" s="120"/>
      <c r="M886" s="120"/>
      <c r="N886" s="120"/>
      <c r="O886" s="123"/>
    </row>
    <row r="887" spans="1:15" x14ac:dyDescent="0.25">
      <c r="A887" s="137"/>
      <c r="B887" s="138"/>
      <c r="C887" s="138"/>
      <c r="D887" s="138"/>
      <c r="E887" s="138"/>
      <c r="F887" s="138"/>
      <c r="G887" s="138"/>
      <c r="H887" s="148" t="s">
        <v>19</v>
      </c>
      <c r="I887" s="161">
        <f>SUM(I885:I886)</f>
        <v>1.78</v>
      </c>
      <c r="J887" s="138"/>
      <c r="K887" s="138"/>
      <c r="L887" s="138"/>
      <c r="M887" s="138"/>
      <c r="N887" s="138"/>
      <c r="O887" s="123"/>
    </row>
    <row r="888" spans="1:15" ht="15.75" thickBot="1" x14ac:dyDescent="0.3">
      <c r="A888" s="149"/>
      <c r="B888" s="150"/>
      <c r="C888" s="150"/>
      <c r="D888" s="150"/>
      <c r="E888" s="150"/>
      <c r="F888" s="150"/>
      <c r="G888" s="150"/>
      <c r="H888" s="151"/>
      <c r="I888" s="151"/>
      <c r="J888" s="150"/>
      <c r="K888" s="150"/>
      <c r="L888" s="150"/>
      <c r="M888" s="150"/>
      <c r="N888" s="150"/>
      <c r="O888" s="152"/>
    </row>
    <row r="889" spans="1:15" ht="15.75" thickBot="1" x14ac:dyDescent="0.3"/>
    <row r="890" spans="1:15" x14ac:dyDescent="0.25">
      <c r="A890" s="114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6"/>
    </row>
    <row r="891" spans="1:15" x14ac:dyDescent="0.25">
      <c r="A891" s="118" t="s">
        <v>0</v>
      </c>
      <c r="B891" s="119" t="s">
        <v>47</v>
      </c>
      <c r="C891" s="120"/>
      <c r="D891" s="120"/>
      <c r="E891" s="120"/>
      <c r="F891" s="120"/>
      <c r="G891" s="120"/>
      <c r="H891" s="120"/>
      <c r="I891" s="120"/>
      <c r="J891" s="121" t="s">
        <v>2</v>
      </c>
      <c r="K891" s="122">
        <v>81</v>
      </c>
      <c r="L891" s="120"/>
      <c r="M891" s="118" t="s">
        <v>17</v>
      </c>
      <c r="N891" s="73">
        <f>EN_06008_m+EN_06008_p</f>
        <v>12.510559839999999</v>
      </c>
      <c r="O891" s="123"/>
    </row>
    <row r="892" spans="1:15" x14ac:dyDescent="0.25">
      <c r="A892" s="118" t="s">
        <v>4</v>
      </c>
      <c r="B892" s="119" t="s">
        <v>81</v>
      </c>
      <c r="C892" s="120"/>
      <c r="D892" s="118" t="s">
        <v>7</v>
      </c>
      <c r="E892" s="124"/>
      <c r="F892" s="120"/>
      <c r="G892" s="120"/>
      <c r="H892" s="120"/>
      <c r="I892" s="120"/>
      <c r="J892" s="120"/>
      <c r="K892" s="120"/>
      <c r="L892" s="120"/>
      <c r="M892" s="118" t="s">
        <v>5</v>
      </c>
      <c r="N892" s="73">
        <v>1</v>
      </c>
      <c r="O892" s="123"/>
    </row>
    <row r="893" spans="1:15" x14ac:dyDescent="0.25">
      <c r="A893" s="118" t="s">
        <v>6</v>
      </c>
      <c r="B893" s="125" t="s">
        <v>405</v>
      </c>
      <c r="C893" s="120"/>
      <c r="D893" s="118" t="s">
        <v>9</v>
      </c>
      <c r="E893" s="120"/>
      <c r="F893" s="120"/>
      <c r="G893" s="120"/>
      <c r="H893" s="120"/>
      <c r="I893" s="120"/>
      <c r="J893" s="126" t="s">
        <v>7</v>
      </c>
      <c r="K893" s="120"/>
      <c r="L893" s="120"/>
      <c r="M893" s="120"/>
      <c r="N893" s="120"/>
      <c r="O893" s="123"/>
    </row>
    <row r="894" spans="1:15" x14ac:dyDescent="0.25">
      <c r="A894" s="118" t="s">
        <v>16</v>
      </c>
      <c r="B894" s="127" t="s">
        <v>400</v>
      </c>
      <c r="C894" s="120"/>
      <c r="D894" s="118" t="s">
        <v>13</v>
      </c>
      <c r="E894" s="120"/>
      <c r="F894" s="120"/>
      <c r="G894" s="120"/>
      <c r="H894" s="120"/>
      <c r="I894" s="120"/>
      <c r="J894" s="126" t="s">
        <v>9</v>
      </c>
      <c r="K894" s="120"/>
      <c r="L894" s="120"/>
      <c r="M894" s="118" t="s">
        <v>10</v>
      </c>
      <c r="N894" s="73">
        <f>N892*N891</f>
        <v>12.510559839999999</v>
      </c>
      <c r="O894" s="123"/>
    </row>
    <row r="895" spans="1:15" x14ac:dyDescent="0.25">
      <c r="A895" s="118" t="s">
        <v>8</v>
      </c>
      <c r="B895" s="127" t="s">
        <v>437</v>
      </c>
      <c r="C895" s="120"/>
      <c r="D895" s="120"/>
      <c r="E895" s="120"/>
      <c r="F895" s="120"/>
      <c r="G895" s="120"/>
      <c r="H895" s="120"/>
      <c r="I895" s="120"/>
      <c r="J895" s="126" t="s">
        <v>13</v>
      </c>
      <c r="K895" s="120"/>
      <c r="L895" s="120"/>
      <c r="M895" s="120"/>
      <c r="N895" s="120"/>
      <c r="O895" s="123"/>
    </row>
    <row r="896" spans="1:15" x14ac:dyDescent="0.25">
      <c r="A896" s="118" t="s">
        <v>11</v>
      </c>
      <c r="B896" s="119" t="s">
        <v>12</v>
      </c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3"/>
    </row>
    <row r="897" spans="1:15" x14ac:dyDescent="0.25">
      <c r="A897" s="118" t="s">
        <v>14</v>
      </c>
      <c r="B897" s="119" t="s">
        <v>407</v>
      </c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3"/>
    </row>
    <row r="898" spans="1:15" x14ac:dyDescent="0.25">
      <c r="A898" s="128"/>
      <c r="B898" s="129"/>
      <c r="C898" s="129"/>
      <c r="D898" s="129"/>
      <c r="E898" s="129"/>
      <c r="F898" s="120"/>
      <c r="G898" s="120"/>
      <c r="H898" s="120"/>
      <c r="I898" s="120"/>
      <c r="J898" s="120"/>
      <c r="K898" s="120"/>
      <c r="L898" s="120"/>
      <c r="M898" s="120"/>
      <c r="N898" s="120"/>
      <c r="O898" s="123"/>
    </row>
    <row r="899" spans="1:15" x14ac:dyDescent="0.25">
      <c r="A899" s="130" t="s">
        <v>15</v>
      </c>
      <c r="B899" s="131" t="s">
        <v>20</v>
      </c>
      <c r="C899" s="131" t="s">
        <v>21</v>
      </c>
      <c r="D899" s="131" t="s">
        <v>22</v>
      </c>
      <c r="E899" s="131" t="s">
        <v>23</v>
      </c>
      <c r="F899" s="132" t="s">
        <v>24</v>
      </c>
      <c r="G899" s="132" t="s">
        <v>25</v>
      </c>
      <c r="H899" s="132" t="s">
        <v>26</v>
      </c>
      <c r="I899" s="132" t="s">
        <v>27</v>
      </c>
      <c r="J899" s="132" t="s">
        <v>28</v>
      </c>
      <c r="K899" s="132" t="s">
        <v>29</v>
      </c>
      <c r="L899" s="132" t="s">
        <v>30</v>
      </c>
      <c r="M899" s="132" t="s">
        <v>18</v>
      </c>
      <c r="N899" s="132" t="s">
        <v>19</v>
      </c>
      <c r="O899" s="123"/>
    </row>
    <row r="900" spans="1:15" x14ac:dyDescent="0.25">
      <c r="A900" s="838">
        <v>10</v>
      </c>
      <c r="B900" s="133" t="s">
        <v>408</v>
      </c>
      <c r="C900" s="134" t="s">
        <v>49</v>
      </c>
      <c r="D900" s="162">
        <v>4.2</v>
      </c>
      <c r="E900" s="831">
        <v>0.95399999999999996</v>
      </c>
      <c r="F900" s="134" t="s">
        <v>92</v>
      </c>
      <c r="G900" s="134"/>
      <c r="H900" s="19"/>
      <c r="I900" s="134" t="s">
        <v>438</v>
      </c>
      <c r="J900" s="828">
        <v>5.0299999999999997E-3</v>
      </c>
      <c r="K900" s="19">
        <v>7.0000000000000007E-2</v>
      </c>
      <c r="L900" s="842">
        <v>2712</v>
      </c>
      <c r="M900" s="19">
        <v>1</v>
      </c>
      <c r="N900" s="160">
        <f>IF(J900="",D900*M900,D900*J900*K900*L900*M900)</f>
        <v>4.01055984</v>
      </c>
      <c r="O900" s="136"/>
    </row>
    <row r="901" spans="1:15" x14ac:dyDescent="0.25">
      <c r="A901" s="137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9" t="s">
        <v>19</v>
      </c>
      <c r="N901" s="161">
        <f>SUM(N900:N900)</f>
        <v>4.01055984</v>
      </c>
      <c r="O901" s="123"/>
    </row>
    <row r="902" spans="1:15" x14ac:dyDescent="0.25">
      <c r="A902" s="14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3"/>
    </row>
    <row r="903" spans="1:15" x14ac:dyDescent="0.25">
      <c r="A903" s="141" t="s">
        <v>15</v>
      </c>
      <c r="B903" s="132" t="s">
        <v>32</v>
      </c>
      <c r="C903" s="132" t="s">
        <v>21</v>
      </c>
      <c r="D903" s="132" t="s">
        <v>22</v>
      </c>
      <c r="E903" s="132" t="s">
        <v>33</v>
      </c>
      <c r="F903" s="132" t="s">
        <v>18</v>
      </c>
      <c r="G903" s="132" t="s">
        <v>34</v>
      </c>
      <c r="H903" s="132" t="s">
        <v>35</v>
      </c>
      <c r="I903" s="132" t="s">
        <v>19</v>
      </c>
      <c r="J903" s="138"/>
      <c r="K903" s="138"/>
      <c r="L903" s="138"/>
      <c r="M903" s="138"/>
      <c r="N903" s="138"/>
      <c r="O903" s="123"/>
    </row>
    <row r="904" spans="1:15" ht="30" x14ac:dyDescent="0.25">
      <c r="A904" s="836">
        <v>10</v>
      </c>
      <c r="B904" s="142" t="s">
        <v>50</v>
      </c>
      <c r="C904" s="143"/>
      <c r="D904" s="165">
        <v>1.3</v>
      </c>
      <c r="E904" s="142" t="s">
        <v>36</v>
      </c>
      <c r="F904" s="841">
        <v>1</v>
      </c>
      <c r="G904" s="143"/>
      <c r="H904" s="143"/>
      <c r="I904" s="165">
        <f>IF(H904="",D904*F904,D904*F904*H904)</f>
        <v>1.3</v>
      </c>
      <c r="J904" s="144"/>
      <c r="K904" s="829"/>
      <c r="L904" s="144"/>
      <c r="M904" s="144"/>
      <c r="N904" s="144"/>
      <c r="O904" s="145"/>
    </row>
    <row r="905" spans="1:15" x14ac:dyDescent="0.25">
      <c r="A905" s="837">
        <v>20</v>
      </c>
      <c r="B905" s="142" t="s">
        <v>411</v>
      </c>
      <c r="C905" s="146"/>
      <c r="D905" s="160">
        <v>0.04</v>
      </c>
      <c r="E905" s="146" t="s">
        <v>243</v>
      </c>
      <c r="F905" s="835">
        <v>180</v>
      </c>
      <c r="G905" s="833" t="s">
        <v>412</v>
      </c>
      <c r="H905" s="834">
        <v>1</v>
      </c>
      <c r="I905" s="160">
        <f>IF(H905="",D905*F905,D905*F905*H905)</f>
        <v>7.2</v>
      </c>
      <c r="J905" s="120"/>
      <c r="K905" s="120"/>
      <c r="L905" s="120"/>
      <c r="M905" s="120"/>
      <c r="N905" s="120"/>
      <c r="O905" s="123"/>
    </row>
    <row r="906" spans="1:15" x14ac:dyDescent="0.25">
      <c r="A906" s="137"/>
      <c r="B906" s="138"/>
      <c r="C906" s="138"/>
      <c r="D906" s="138"/>
      <c r="E906" s="138"/>
      <c r="F906" s="138"/>
      <c r="G906" s="138"/>
      <c r="H906" s="148" t="s">
        <v>19</v>
      </c>
      <c r="I906" s="161">
        <f>SUM(I904:I905)</f>
        <v>8.5</v>
      </c>
      <c r="J906" s="138"/>
      <c r="K906" s="138"/>
      <c r="L906" s="138"/>
      <c r="M906" s="138"/>
      <c r="N906" s="138"/>
      <c r="O906" s="123"/>
    </row>
    <row r="907" spans="1:15" ht="15.75" thickBot="1" x14ac:dyDescent="0.3">
      <c r="A907" s="149"/>
      <c r="B907" s="150"/>
      <c r="C907" s="150"/>
      <c r="D907" s="150"/>
      <c r="E907" s="150"/>
      <c r="F907" s="150"/>
      <c r="G907" s="150"/>
      <c r="H907" s="151"/>
      <c r="I907" s="151"/>
      <c r="J907" s="150"/>
      <c r="K907" s="150"/>
      <c r="L907" s="150"/>
      <c r="M907" s="150"/>
      <c r="N907" s="150"/>
      <c r="O907" s="152"/>
    </row>
    <row r="908" spans="1:15" ht="15.75" thickBot="1" x14ac:dyDescent="0.3"/>
    <row r="909" spans="1:15" x14ac:dyDescent="0.25">
      <c r="A909" s="114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6"/>
    </row>
    <row r="910" spans="1:15" x14ac:dyDescent="0.25">
      <c r="A910" s="118" t="s">
        <v>0</v>
      </c>
      <c r="B910" s="119" t="s">
        <v>47</v>
      </c>
      <c r="C910" s="120"/>
      <c r="D910" s="120"/>
      <c r="E910" s="120"/>
      <c r="F910" s="120"/>
      <c r="G910" s="120"/>
      <c r="H910" s="120"/>
      <c r="I910" s="120"/>
      <c r="J910" s="121" t="s">
        <v>2</v>
      </c>
      <c r="K910" s="122">
        <v>81</v>
      </c>
      <c r="L910" s="120"/>
      <c r="M910" s="118" t="s">
        <v>17</v>
      </c>
      <c r="N910" s="73">
        <f>EN_06009_m+EN_06009_p</f>
        <v>1.4910032499999999</v>
      </c>
      <c r="O910" s="123"/>
    </row>
    <row r="911" spans="1:15" x14ac:dyDescent="0.25">
      <c r="A911" s="118" t="s">
        <v>4</v>
      </c>
      <c r="B911" s="119" t="s">
        <v>81</v>
      </c>
      <c r="C911" s="120"/>
      <c r="D911" s="118" t="s">
        <v>7</v>
      </c>
      <c r="E911" s="124"/>
      <c r="F911" s="120"/>
      <c r="G911" s="120"/>
      <c r="H911" s="120"/>
      <c r="I911" s="120"/>
      <c r="J911" s="120"/>
      <c r="K911" s="120"/>
      <c r="L911" s="120"/>
      <c r="M911" s="118" t="s">
        <v>5</v>
      </c>
      <c r="N911" s="73">
        <v>1</v>
      </c>
      <c r="O911" s="123"/>
    </row>
    <row r="912" spans="1:15" x14ac:dyDescent="0.25">
      <c r="A912" s="118" t="s">
        <v>6</v>
      </c>
      <c r="B912" s="125" t="s">
        <v>405</v>
      </c>
      <c r="C912" s="120"/>
      <c r="D912" s="118" t="s">
        <v>9</v>
      </c>
      <c r="E912" s="120"/>
      <c r="F912" s="120"/>
      <c r="G912" s="120"/>
      <c r="H912" s="120"/>
      <c r="I912" s="120"/>
      <c r="J912" s="126" t="s">
        <v>7</v>
      </c>
      <c r="K912" s="120"/>
      <c r="L912" s="120"/>
      <c r="M912" s="120"/>
      <c r="N912" s="120"/>
      <c r="O912" s="123"/>
    </row>
    <row r="913" spans="1:15" x14ac:dyDescent="0.25">
      <c r="A913" s="118" t="s">
        <v>16</v>
      </c>
      <c r="B913" s="127" t="s">
        <v>401</v>
      </c>
      <c r="C913" s="120"/>
      <c r="D913" s="118" t="s">
        <v>13</v>
      </c>
      <c r="E913" s="120"/>
      <c r="F913" s="120"/>
      <c r="G913" s="120"/>
      <c r="H913" s="120"/>
      <c r="I913" s="120"/>
      <c r="J913" s="126" t="s">
        <v>9</v>
      </c>
      <c r="K913" s="120"/>
      <c r="L913" s="120"/>
      <c r="M913" s="118" t="s">
        <v>10</v>
      </c>
      <c r="N913" s="73">
        <f>N911*N910</f>
        <v>1.4910032499999999</v>
      </c>
      <c r="O913" s="123"/>
    </row>
    <row r="914" spans="1:15" x14ac:dyDescent="0.25">
      <c r="A914" s="118" t="s">
        <v>8</v>
      </c>
      <c r="B914" s="127" t="s">
        <v>439</v>
      </c>
      <c r="C914" s="120"/>
      <c r="D914" s="120"/>
      <c r="E914" s="120"/>
      <c r="F914" s="120"/>
      <c r="G914" s="120"/>
      <c r="H914" s="120"/>
      <c r="I914" s="120"/>
      <c r="J914" s="126" t="s">
        <v>13</v>
      </c>
      <c r="K914" s="120"/>
      <c r="L914" s="120"/>
      <c r="M914" s="120"/>
      <c r="N914" s="120"/>
      <c r="O914" s="123"/>
    </row>
    <row r="915" spans="1:15" x14ac:dyDescent="0.25">
      <c r="A915" s="118" t="s">
        <v>11</v>
      </c>
      <c r="B915" s="119" t="s">
        <v>12</v>
      </c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3"/>
    </row>
    <row r="916" spans="1:15" x14ac:dyDescent="0.25">
      <c r="A916" s="118" t="s">
        <v>14</v>
      </c>
      <c r="B916" s="119" t="s">
        <v>407</v>
      </c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3"/>
    </row>
    <row r="917" spans="1:15" x14ac:dyDescent="0.25">
      <c r="A917" s="128"/>
      <c r="B917" s="129"/>
      <c r="C917" s="129"/>
      <c r="D917" s="129"/>
      <c r="E917" s="129"/>
      <c r="F917" s="120"/>
      <c r="G917" s="120"/>
      <c r="H917" s="120"/>
      <c r="I917" s="120"/>
      <c r="J917" s="120"/>
      <c r="K917" s="120"/>
      <c r="L917" s="120"/>
      <c r="M917" s="120"/>
      <c r="N917" s="120"/>
      <c r="O917" s="123"/>
    </row>
    <row r="918" spans="1:15" x14ac:dyDescent="0.25">
      <c r="A918" s="130" t="s">
        <v>15</v>
      </c>
      <c r="B918" s="131" t="s">
        <v>20</v>
      </c>
      <c r="C918" s="131" t="s">
        <v>21</v>
      </c>
      <c r="D918" s="131" t="s">
        <v>22</v>
      </c>
      <c r="E918" s="131" t="s">
        <v>23</v>
      </c>
      <c r="F918" s="132" t="s">
        <v>24</v>
      </c>
      <c r="G918" s="132" t="s">
        <v>25</v>
      </c>
      <c r="H918" s="132" t="s">
        <v>26</v>
      </c>
      <c r="I918" s="132" t="s">
        <v>27</v>
      </c>
      <c r="J918" s="132" t="s">
        <v>28</v>
      </c>
      <c r="K918" s="132" t="s">
        <v>29</v>
      </c>
      <c r="L918" s="132" t="s">
        <v>30</v>
      </c>
      <c r="M918" s="132" t="s">
        <v>18</v>
      </c>
      <c r="N918" s="132" t="s">
        <v>19</v>
      </c>
      <c r="O918" s="123"/>
    </row>
    <row r="919" spans="1:15" x14ac:dyDescent="0.25">
      <c r="A919" s="838">
        <v>10</v>
      </c>
      <c r="B919" s="133" t="s">
        <v>422</v>
      </c>
      <c r="C919" s="134"/>
      <c r="D919" s="162">
        <v>2.25</v>
      </c>
      <c r="E919" s="840">
        <v>3.2000000000000001E-2</v>
      </c>
      <c r="F919" s="134" t="s">
        <v>92</v>
      </c>
      <c r="G919" s="134"/>
      <c r="H919" s="19"/>
      <c r="I919" s="134" t="s">
        <v>440</v>
      </c>
      <c r="J919" s="828">
        <v>8.0400000000000003E-4</v>
      </c>
      <c r="K919" s="839">
        <v>5.0000000000000001E-3</v>
      </c>
      <c r="L919" s="842">
        <v>7850</v>
      </c>
      <c r="M919" s="839">
        <v>1</v>
      </c>
      <c r="N919" s="160">
        <f>IF(J919="",D919*M919,D919*J919*K919*L919*M919)</f>
        <v>7.1003250000000004E-2</v>
      </c>
      <c r="O919" s="136"/>
    </row>
    <row r="920" spans="1:15" x14ac:dyDescent="0.25">
      <c r="A920" s="137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9" t="s">
        <v>19</v>
      </c>
      <c r="N920" s="161">
        <f>SUM(N919:N919)</f>
        <v>7.1003250000000004E-2</v>
      </c>
      <c r="O920" s="123"/>
    </row>
    <row r="921" spans="1:15" x14ac:dyDescent="0.25">
      <c r="A921" s="14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3"/>
    </row>
    <row r="922" spans="1:15" x14ac:dyDescent="0.25">
      <c r="A922" s="141" t="s">
        <v>15</v>
      </c>
      <c r="B922" s="132" t="s">
        <v>32</v>
      </c>
      <c r="C922" s="132" t="s">
        <v>21</v>
      </c>
      <c r="D922" s="132" t="s">
        <v>22</v>
      </c>
      <c r="E922" s="132" t="s">
        <v>33</v>
      </c>
      <c r="F922" s="132" t="s">
        <v>18</v>
      </c>
      <c r="G922" s="132" t="s">
        <v>34</v>
      </c>
      <c r="H922" s="132" t="s">
        <v>35</v>
      </c>
      <c r="I922" s="132" t="s">
        <v>19</v>
      </c>
      <c r="J922" s="138"/>
      <c r="K922" s="138"/>
      <c r="L922" s="138"/>
      <c r="M922" s="138"/>
      <c r="N922" s="138"/>
      <c r="O922" s="123"/>
    </row>
    <row r="923" spans="1:15" ht="30" x14ac:dyDescent="0.25">
      <c r="A923" s="836">
        <v>10</v>
      </c>
      <c r="B923" s="142" t="s">
        <v>50</v>
      </c>
      <c r="C923" s="143"/>
      <c r="D923" s="165">
        <v>1.3</v>
      </c>
      <c r="E923" s="142" t="s">
        <v>36</v>
      </c>
      <c r="F923" s="841">
        <v>1</v>
      </c>
      <c r="G923" s="143"/>
      <c r="H923" s="143"/>
      <c r="I923" s="165">
        <f>IF(H923="",D923*F923,D923*F923*H923)</f>
        <v>1.3</v>
      </c>
      <c r="J923" s="144"/>
      <c r="K923" s="829"/>
      <c r="L923" s="144"/>
      <c r="M923" s="144"/>
      <c r="N923" s="144"/>
      <c r="O923" s="145"/>
    </row>
    <row r="924" spans="1:15" x14ac:dyDescent="0.25">
      <c r="A924" s="837">
        <v>20</v>
      </c>
      <c r="B924" s="142" t="s">
        <v>411</v>
      </c>
      <c r="C924" s="146"/>
      <c r="D924" s="160">
        <v>0.04</v>
      </c>
      <c r="E924" s="146" t="s">
        <v>243</v>
      </c>
      <c r="F924" s="835">
        <v>1</v>
      </c>
      <c r="G924" s="833" t="s">
        <v>433</v>
      </c>
      <c r="H924" s="834">
        <v>3</v>
      </c>
      <c r="I924" s="160">
        <f>IF(H924="",D924*F924,D924*F924*H924)</f>
        <v>0.12</v>
      </c>
      <c r="J924" s="120"/>
      <c r="K924" s="120"/>
      <c r="L924" s="120"/>
      <c r="M924" s="120"/>
      <c r="N924" s="120"/>
      <c r="O924" s="123"/>
    </row>
    <row r="925" spans="1:15" x14ac:dyDescent="0.25">
      <c r="A925" s="137"/>
      <c r="B925" s="138"/>
      <c r="C925" s="138"/>
      <c r="D925" s="138"/>
      <c r="E925" s="138"/>
      <c r="F925" s="138"/>
      <c r="G925" s="138"/>
      <c r="H925" s="148" t="s">
        <v>19</v>
      </c>
      <c r="I925" s="161">
        <f>SUM(I923:I924)</f>
        <v>1.42</v>
      </c>
      <c r="J925" s="138"/>
      <c r="K925" s="138"/>
      <c r="L925" s="138"/>
      <c r="M925" s="138"/>
      <c r="N925" s="138"/>
      <c r="O925" s="123"/>
    </row>
    <row r="926" spans="1:15" ht="15.75" thickBot="1" x14ac:dyDescent="0.3">
      <c r="A926" s="149"/>
      <c r="B926" s="150"/>
      <c r="C926" s="150"/>
      <c r="D926" s="150"/>
      <c r="E926" s="150"/>
      <c r="F926" s="150"/>
      <c r="G926" s="150"/>
      <c r="H926" s="151"/>
      <c r="I926" s="151"/>
      <c r="J926" s="150"/>
      <c r="K926" s="150"/>
      <c r="L926" s="150"/>
      <c r="M926" s="150"/>
      <c r="N926" s="150"/>
      <c r="O926" s="152"/>
    </row>
    <row r="927" spans="1:15" ht="15.75" thickBot="1" x14ac:dyDescent="0.3"/>
    <row r="928" spans="1:15" x14ac:dyDescent="0.25">
      <c r="A928" s="114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6"/>
    </row>
    <row r="929" spans="1:15" x14ac:dyDescent="0.25">
      <c r="A929" s="118" t="s">
        <v>0</v>
      </c>
      <c r="B929" s="119" t="s">
        <v>47</v>
      </c>
      <c r="C929" s="120"/>
      <c r="D929" s="120"/>
      <c r="E929" s="120"/>
      <c r="F929" s="120"/>
      <c r="G929" s="120"/>
      <c r="H929" s="120"/>
      <c r="I929" s="120"/>
      <c r="J929" s="121" t="s">
        <v>2</v>
      </c>
      <c r="K929" s="122">
        <v>81</v>
      </c>
      <c r="L929" s="120"/>
      <c r="M929" s="118" t="s">
        <v>17</v>
      </c>
      <c r="N929" s="73">
        <f>EN_06010_m+EN_06010_p</f>
        <v>0.81920945000000001</v>
      </c>
      <c r="O929" s="123"/>
    </row>
    <row r="930" spans="1:15" x14ac:dyDescent="0.25">
      <c r="A930" s="118" t="s">
        <v>4</v>
      </c>
      <c r="B930" s="119" t="s">
        <v>81</v>
      </c>
      <c r="C930" s="120"/>
      <c r="D930" s="118" t="s">
        <v>7</v>
      </c>
      <c r="E930" s="124"/>
      <c r="F930" s="120"/>
      <c r="G930" s="120"/>
      <c r="H930" s="120"/>
      <c r="I930" s="120"/>
      <c r="J930" s="120"/>
      <c r="K930" s="120"/>
      <c r="L930" s="120"/>
      <c r="M930" s="118" t="s">
        <v>5</v>
      </c>
      <c r="N930" s="73">
        <v>2</v>
      </c>
      <c r="O930" s="123"/>
    </row>
    <row r="931" spans="1:15" x14ac:dyDescent="0.25">
      <c r="A931" s="118" t="s">
        <v>6</v>
      </c>
      <c r="B931" s="125" t="s">
        <v>405</v>
      </c>
      <c r="C931" s="120"/>
      <c r="D931" s="118" t="s">
        <v>9</v>
      </c>
      <c r="E931" s="120"/>
      <c r="F931" s="120"/>
      <c r="G931" s="120"/>
      <c r="H931" s="120"/>
      <c r="I931" s="120"/>
      <c r="J931" s="126" t="s">
        <v>7</v>
      </c>
      <c r="K931" s="120"/>
      <c r="L931" s="120"/>
      <c r="M931" s="120"/>
      <c r="N931" s="120"/>
      <c r="O931" s="123"/>
    </row>
    <row r="932" spans="1:15" x14ac:dyDescent="0.25">
      <c r="A932" s="118" t="s">
        <v>16</v>
      </c>
      <c r="B932" s="127" t="s">
        <v>327</v>
      </c>
      <c r="C932" s="120"/>
      <c r="D932" s="118" t="s">
        <v>13</v>
      </c>
      <c r="E932" s="120"/>
      <c r="F932" s="120"/>
      <c r="G932" s="120"/>
      <c r="H932" s="120"/>
      <c r="I932" s="120"/>
      <c r="J932" s="126" t="s">
        <v>9</v>
      </c>
      <c r="K932" s="120"/>
      <c r="L932" s="120"/>
      <c r="M932" s="118" t="s">
        <v>10</v>
      </c>
      <c r="N932" s="73">
        <f>N930*N929</f>
        <v>1.6384189</v>
      </c>
      <c r="O932" s="123"/>
    </row>
    <row r="933" spans="1:15" x14ac:dyDescent="0.25">
      <c r="A933" s="118" t="s">
        <v>8</v>
      </c>
      <c r="B933" s="127" t="s">
        <v>441</v>
      </c>
      <c r="C933" s="120"/>
      <c r="D933" s="120"/>
      <c r="E933" s="120"/>
      <c r="F933" s="120"/>
      <c r="G933" s="120"/>
      <c r="H933" s="120"/>
      <c r="I933" s="120"/>
      <c r="J933" s="126" t="s">
        <v>13</v>
      </c>
      <c r="K933" s="120"/>
      <c r="L933" s="120"/>
      <c r="M933" s="120"/>
      <c r="N933" s="120"/>
      <c r="O933" s="123"/>
    </row>
    <row r="934" spans="1:15" x14ac:dyDescent="0.25">
      <c r="A934" s="118" t="s">
        <v>11</v>
      </c>
      <c r="B934" s="119" t="s">
        <v>12</v>
      </c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3"/>
    </row>
    <row r="935" spans="1:15" x14ac:dyDescent="0.25">
      <c r="A935" s="118" t="s">
        <v>14</v>
      </c>
      <c r="B935" s="119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3"/>
    </row>
    <row r="936" spans="1:15" x14ac:dyDescent="0.25">
      <c r="A936" s="128"/>
      <c r="B936" s="129"/>
      <c r="C936" s="129"/>
      <c r="D936" s="129"/>
      <c r="E936" s="129"/>
      <c r="F936" s="120"/>
      <c r="G936" s="120"/>
      <c r="H936" s="120"/>
      <c r="I936" s="120"/>
      <c r="J936" s="120"/>
      <c r="K936" s="120"/>
      <c r="L936" s="120"/>
      <c r="M936" s="120"/>
      <c r="N936" s="120"/>
      <c r="O936" s="123"/>
    </row>
    <row r="937" spans="1:15" x14ac:dyDescent="0.25">
      <c r="A937" s="130" t="s">
        <v>15</v>
      </c>
      <c r="B937" s="131" t="s">
        <v>20</v>
      </c>
      <c r="C937" s="131" t="s">
        <v>21</v>
      </c>
      <c r="D937" s="131" t="s">
        <v>22</v>
      </c>
      <c r="E937" s="131" t="s">
        <v>23</v>
      </c>
      <c r="F937" s="132" t="s">
        <v>24</v>
      </c>
      <c r="G937" s="132" t="s">
        <v>25</v>
      </c>
      <c r="H937" s="132" t="s">
        <v>26</v>
      </c>
      <c r="I937" s="132" t="s">
        <v>27</v>
      </c>
      <c r="J937" s="132" t="s">
        <v>28</v>
      </c>
      <c r="K937" s="132" t="s">
        <v>29</v>
      </c>
      <c r="L937" s="132" t="s">
        <v>30</v>
      </c>
      <c r="M937" s="132" t="s">
        <v>18</v>
      </c>
      <c r="N937" s="132" t="s">
        <v>19</v>
      </c>
      <c r="O937" s="123"/>
    </row>
    <row r="938" spans="1:15" x14ac:dyDescent="0.25">
      <c r="A938" s="838">
        <v>10</v>
      </c>
      <c r="B938" s="133" t="s">
        <v>422</v>
      </c>
      <c r="C938" s="134"/>
      <c r="D938" s="162">
        <v>2.25</v>
      </c>
      <c r="E938" s="840">
        <v>5.0000000000000001E-3</v>
      </c>
      <c r="F938" s="134" t="s">
        <v>92</v>
      </c>
      <c r="G938" s="134"/>
      <c r="H938" s="19"/>
      <c r="I938" s="134" t="s">
        <v>442</v>
      </c>
      <c r="J938" s="828">
        <v>2.04E-4</v>
      </c>
      <c r="K938" s="839">
        <v>3.0000000000000001E-3</v>
      </c>
      <c r="L938" s="842">
        <v>7850</v>
      </c>
      <c r="M938" s="839">
        <v>1</v>
      </c>
      <c r="N938" s="160">
        <f>IF(J938="",D938*M938,D938*J938*K938*L938*M938)</f>
        <v>1.080945E-2</v>
      </c>
      <c r="O938" s="136"/>
    </row>
    <row r="939" spans="1:15" x14ac:dyDescent="0.25">
      <c r="A939" s="137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9" t="s">
        <v>19</v>
      </c>
      <c r="N939" s="161">
        <f>SUM(N938:N938)</f>
        <v>1.080945E-2</v>
      </c>
      <c r="O939" s="123"/>
    </row>
    <row r="940" spans="1:15" x14ac:dyDescent="0.25">
      <c r="A940" s="14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3"/>
    </row>
    <row r="941" spans="1:15" x14ac:dyDescent="0.25">
      <c r="A941" s="141" t="s">
        <v>15</v>
      </c>
      <c r="B941" s="132" t="s">
        <v>32</v>
      </c>
      <c r="C941" s="132" t="s">
        <v>21</v>
      </c>
      <c r="D941" s="132" t="s">
        <v>22</v>
      </c>
      <c r="E941" s="132" t="s">
        <v>33</v>
      </c>
      <c r="F941" s="132" t="s">
        <v>18</v>
      </c>
      <c r="G941" s="132" t="s">
        <v>34</v>
      </c>
      <c r="H941" s="132" t="s">
        <v>35</v>
      </c>
      <c r="I941" s="132" t="s">
        <v>19</v>
      </c>
      <c r="J941" s="138"/>
      <c r="K941" s="138"/>
      <c r="L941" s="138"/>
      <c r="M941" s="138"/>
      <c r="N941" s="138"/>
      <c r="O941" s="123"/>
    </row>
    <row r="942" spans="1:15" ht="30" x14ac:dyDescent="0.25">
      <c r="A942" s="836">
        <v>10</v>
      </c>
      <c r="B942" s="142" t="s">
        <v>50</v>
      </c>
      <c r="C942" s="143"/>
      <c r="D942" s="165">
        <v>1.3</v>
      </c>
      <c r="E942" s="142" t="s">
        <v>36</v>
      </c>
      <c r="F942" s="841">
        <v>1</v>
      </c>
      <c r="G942" s="143" t="s">
        <v>444</v>
      </c>
      <c r="H942" s="143">
        <v>0.5</v>
      </c>
      <c r="I942" s="165">
        <f>IF(H942="",D942*F942,D942*F942*H942)</f>
        <v>0.65</v>
      </c>
      <c r="J942" s="144"/>
      <c r="K942" s="829"/>
      <c r="L942" s="144"/>
      <c r="M942" s="144"/>
      <c r="N942" s="144"/>
      <c r="O942" s="145"/>
    </row>
    <row r="943" spans="1:15" x14ac:dyDescent="0.25">
      <c r="A943" s="837">
        <v>20</v>
      </c>
      <c r="B943" s="142" t="s">
        <v>94</v>
      </c>
      <c r="C943" s="146" t="s">
        <v>443</v>
      </c>
      <c r="D943" s="160">
        <v>0.01</v>
      </c>
      <c r="E943" s="146" t="s">
        <v>53</v>
      </c>
      <c r="F943" s="835">
        <v>5.28</v>
      </c>
      <c r="G943" s="142" t="s">
        <v>433</v>
      </c>
      <c r="H943" s="834">
        <v>3</v>
      </c>
      <c r="I943" s="160">
        <f>IF(H943="",D943*F943,D943*F943*H943)</f>
        <v>0.15840000000000001</v>
      </c>
      <c r="J943" s="120"/>
      <c r="K943" s="120"/>
      <c r="L943" s="120"/>
      <c r="M943" s="120"/>
      <c r="N943" s="120"/>
      <c r="O943" s="123"/>
    </row>
    <row r="944" spans="1:15" x14ac:dyDescent="0.25">
      <c r="A944" s="137"/>
      <c r="B944" s="138"/>
      <c r="C944" s="138"/>
      <c r="D944" s="138"/>
      <c r="E944" s="138"/>
      <c r="F944" s="138"/>
      <c r="G944" s="138"/>
      <c r="H944" s="148" t="s">
        <v>19</v>
      </c>
      <c r="I944" s="161">
        <f>SUM(I942:I943)</f>
        <v>0.80840000000000001</v>
      </c>
      <c r="J944" s="138"/>
      <c r="K944" s="138"/>
      <c r="L944" s="138"/>
      <c r="M944" s="138"/>
      <c r="N944" s="138"/>
      <c r="O944" s="123"/>
    </row>
    <row r="945" spans="1:15" x14ac:dyDescent="0.25">
      <c r="A945" s="154"/>
      <c r="B945" s="155"/>
      <c r="C945" s="119"/>
      <c r="D945" s="156"/>
      <c r="E945" s="119"/>
      <c r="F945" s="119"/>
      <c r="G945" s="155"/>
      <c r="H945" s="986"/>
      <c r="I945" s="987"/>
      <c r="J945" s="120"/>
      <c r="K945" s="120"/>
      <c r="L945" s="120"/>
      <c r="M945" s="120"/>
      <c r="N945" s="120"/>
      <c r="O945" s="123"/>
    </row>
    <row r="946" spans="1:15" x14ac:dyDescent="0.25">
      <c r="A946" s="154"/>
      <c r="B946" s="155"/>
      <c r="C946" s="119"/>
      <c r="D946" s="156"/>
      <c r="E946" s="119"/>
      <c r="F946" s="119"/>
      <c r="G946" s="155"/>
      <c r="H946" s="986"/>
      <c r="I946" s="987"/>
      <c r="J946" s="120"/>
      <c r="K946" s="120"/>
      <c r="L946" s="120"/>
      <c r="M946" s="120"/>
      <c r="N946" s="120"/>
      <c r="O946" s="123"/>
    </row>
    <row r="947" spans="1:15" x14ac:dyDescent="0.25">
      <c r="A947" s="154"/>
      <c r="B947" s="155"/>
      <c r="C947" s="119"/>
      <c r="D947" s="156"/>
      <c r="E947" s="119"/>
      <c r="F947" s="119"/>
      <c r="G947" s="155"/>
      <c r="H947" s="986"/>
      <c r="I947" s="987"/>
      <c r="J947" s="120"/>
      <c r="K947" s="120"/>
      <c r="L947" s="120"/>
      <c r="M947" s="120"/>
      <c r="N947" s="120"/>
      <c r="O947" s="123"/>
    </row>
    <row r="948" spans="1:15" x14ac:dyDescent="0.25">
      <c r="A948" s="154"/>
      <c r="B948" s="155"/>
      <c r="C948" s="119"/>
      <c r="D948" s="156"/>
      <c r="E948" s="119"/>
      <c r="F948" s="119"/>
      <c r="G948" s="155"/>
      <c r="H948" s="986"/>
      <c r="I948" s="987"/>
      <c r="J948" s="120"/>
      <c r="K948" s="120"/>
      <c r="L948" s="120"/>
      <c r="M948" s="120"/>
      <c r="N948" s="120"/>
      <c r="O948" s="123"/>
    </row>
    <row r="949" spans="1:15" x14ac:dyDescent="0.25">
      <c r="A949" s="154"/>
      <c r="B949" s="155"/>
      <c r="C949" s="119"/>
      <c r="D949" s="156"/>
      <c r="E949" s="119"/>
      <c r="F949" s="119"/>
      <c r="G949" s="155"/>
      <c r="H949" s="986"/>
      <c r="I949" s="987"/>
      <c r="J949" s="120"/>
      <c r="K949" s="120"/>
      <c r="L949" s="120"/>
      <c r="M949" s="120"/>
      <c r="N949" s="120"/>
      <c r="O949" s="123"/>
    </row>
    <row r="950" spans="1:15" x14ac:dyDescent="0.25">
      <c r="A950" s="154"/>
      <c r="B950" s="155"/>
      <c r="C950" s="119"/>
      <c r="D950" s="156"/>
      <c r="E950" s="119"/>
      <c r="F950" s="119"/>
      <c r="G950" s="155"/>
      <c r="H950" s="986"/>
      <c r="I950" s="987"/>
      <c r="J950" s="120"/>
      <c r="K950" s="120"/>
      <c r="L950" s="120"/>
      <c r="M950" s="120"/>
      <c r="N950" s="120"/>
      <c r="O950" s="123"/>
    </row>
    <row r="951" spans="1:15" x14ac:dyDescent="0.25">
      <c r="A951" s="154"/>
      <c r="B951" s="155"/>
      <c r="C951" s="119"/>
      <c r="D951" s="156"/>
      <c r="E951" s="119"/>
      <c r="F951" s="119"/>
      <c r="G951" s="155"/>
      <c r="H951" s="986"/>
      <c r="I951" s="987"/>
      <c r="J951" s="120"/>
      <c r="K951" s="120"/>
      <c r="L951" s="120"/>
      <c r="M951" s="120"/>
      <c r="N951" s="120"/>
      <c r="O951" s="123"/>
    </row>
    <row r="952" spans="1:15" x14ac:dyDescent="0.25">
      <c r="A952" s="154"/>
      <c r="B952" s="155"/>
      <c r="C952" s="119"/>
      <c r="D952" s="156"/>
      <c r="E952" s="119"/>
      <c r="F952" s="119"/>
      <c r="G952" s="155"/>
      <c r="H952" s="986"/>
      <c r="I952" s="987"/>
      <c r="J952" s="120"/>
      <c r="K952" s="120"/>
      <c r="L952" s="120"/>
      <c r="M952" s="120"/>
      <c r="N952" s="120"/>
      <c r="O952" s="123"/>
    </row>
    <row r="953" spans="1:15" x14ac:dyDescent="0.25">
      <c r="A953" s="154"/>
      <c r="B953" s="155"/>
      <c r="C953" s="119"/>
      <c r="D953" s="156"/>
      <c r="E953" s="119"/>
      <c r="F953" s="119"/>
      <c r="G953" s="155"/>
      <c r="H953" s="986"/>
      <c r="I953" s="987"/>
      <c r="J953" s="120"/>
      <c r="K953" s="120"/>
      <c r="L953" s="120"/>
      <c r="M953" s="120"/>
      <c r="N953" s="120"/>
      <c r="O953" s="123"/>
    </row>
    <row r="954" spans="1:15" x14ac:dyDescent="0.25">
      <c r="A954" s="154"/>
      <c r="B954" s="155"/>
      <c r="C954" s="119"/>
      <c r="D954" s="156"/>
      <c r="E954" s="119"/>
      <c r="F954" s="119"/>
      <c r="G954" s="155"/>
      <c r="H954" s="986"/>
      <c r="I954" s="987"/>
      <c r="J954" s="120"/>
      <c r="K954" s="120"/>
      <c r="L954" s="120"/>
      <c r="M954" s="120"/>
      <c r="N954" s="120"/>
      <c r="O954" s="123"/>
    </row>
    <row r="955" spans="1:15" x14ac:dyDescent="0.25">
      <c r="A955" s="154"/>
      <c r="B955" s="155"/>
      <c r="C955" s="119"/>
      <c r="D955" s="156"/>
      <c r="E955" s="119"/>
      <c r="F955" s="119"/>
      <c r="G955" s="155"/>
      <c r="H955" s="986"/>
      <c r="I955" s="987"/>
      <c r="J955" s="120"/>
      <c r="K955" s="120"/>
      <c r="L955" s="120"/>
      <c r="M955" s="120"/>
      <c r="N955" s="120"/>
      <c r="O955" s="123"/>
    </row>
    <row r="956" spans="1:15" ht="13.5" customHeight="1" x14ac:dyDescent="0.25">
      <c r="A956" s="154"/>
      <c r="B956" s="155"/>
      <c r="C956" s="119"/>
      <c r="D956" s="156"/>
      <c r="E956" s="119"/>
      <c r="F956" s="119"/>
      <c r="G956" s="155"/>
      <c r="H956" s="986"/>
      <c r="I956" s="987"/>
      <c r="J956" s="120"/>
      <c r="K956" s="120"/>
      <c r="L956" s="120"/>
      <c r="M956" s="120"/>
      <c r="N956" s="120"/>
      <c r="O956" s="123"/>
    </row>
    <row r="957" spans="1:15" ht="15.75" thickBot="1" x14ac:dyDescent="0.3">
      <c r="A957" s="149"/>
      <c r="B957" s="150"/>
      <c r="C957" s="150"/>
      <c r="D957" s="150"/>
      <c r="E957" s="150"/>
      <c r="F957" s="150"/>
      <c r="G957" s="150"/>
      <c r="H957" s="988"/>
      <c r="I957" s="988"/>
      <c r="J957" s="150"/>
      <c r="K957" s="150"/>
      <c r="L957" s="150"/>
      <c r="M957" s="150"/>
      <c r="N957" s="150"/>
      <c r="O957" s="152"/>
    </row>
    <row r="958" spans="1:15" ht="15.75" thickBot="1" x14ac:dyDescent="0.3"/>
    <row r="959" spans="1:15" x14ac:dyDescent="0.25">
      <c r="A959" s="114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6"/>
    </row>
    <row r="960" spans="1:15" x14ac:dyDescent="0.25">
      <c r="A960" s="118" t="s">
        <v>0</v>
      </c>
      <c r="B960" s="119" t="s">
        <v>47</v>
      </c>
      <c r="C960" s="120"/>
      <c r="D960" s="120"/>
      <c r="E960" s="120"/>
      <c r="F960" s="120"/>
      <c r="G960" s="120"/>
      <c r="H960" s="120"/>
      <c r="I960" s="120"/>
      <c r="J960" s="121" t="s">
        <v>2</v>
      </c>
      <c r="K960" s="122">
        <v>81</v>
      </c>
      <c r="L960" s="120"/>
      <c r="M960" s="118" t="s">
        <v>17</v>
      </c>
      <c r="N960" s="73">
        <f>EN_06011_m+EN_06011_p</f>
        <v>0.73918297599999994</v>
      </c>
      <c r="O960" s="123"/>
    </row>
    <row r="961" spans="1:15" x14ac:dyDescent="0.25">
      <c r="A961" s="118" t="s">
        <v>4</v>
      </c>
      <c r="B961" s="119" t="s">
        <v>81</v>
      </c>
      <c r="C961" s="120"/>
      <c r="D961" s="118" t="s">
        <v>7</v>
      </c>
      <c r="E961" s="124"/>
      <c r="F961" s="120"/>
      <c r="G961" s="120"/>
      <c r="H961" s="120"/>
      <c r="I961" s="120"/>
      <c r="J961" s="120"/>
      <c r="K961" s="120"/>
      <c r="L961" s="120"/>
      <c r="M961" s="118" t="s">
        <v>5</v>
      </c>
      <c r="N961" s="73">
        <v>1</v>
      </c>
      <c r="O961" s="123"/>
    </row>
    <row r="962" spans="1:15" x14ac:dyDescent="0.25">
      <c r="A962" s="118" t="s">
        <v>6</v>
      </c>
      <c r="B962" s="125" t="s">
        <v>405</v>
      </c>
      <c r="C962" s="120"/>
      <c r="D962" s="118" t="s">
        <v>9</v>
      </c>
      <c r="E962" s="120"/>
      <c r="F962" s="120"/>
      <c r="G962" s="120"/>
      <c r="H962" s="120"/>
      <c r="I962" s="120"/>
      <c r="J962" s="126" t="s">
        <v>7</v>
      </c>
      <c r="K962" s="120"/>
      <c r="L962" s="120"/>
      <c r="M962" s="120"/>
      <c r="N962" s="120"/>
      <c r="O962" s="123"/>
    </row>
    <row r="963" spans="1:15" x14ac:dyDescent="0.25">
      <c r="A963" s="118" t="s">
        <v>16</v>
      </c>
      <c r="B963" s="127" t="s">
        <v>402</v>
      </c>
      <c r="C963" s="120"/>
      <c r="D963" s="118" t="s">
        <v>13</v>
      </c>
      <c r="E963" s="120"/>
      <c r="F963" s="120"/>
      <c r="G963" s="120"/>
      <c r="H963" s="120"/>
      <c r="I963" s="120"/>
      <c r="J963" s="126" t="s">
        <v>9</v>
      </c>
      <c r="K963" s="120"/>
      <c r="L963" s="120"/>
      <c r="M963" s="118" t="s">
        <v>10</v>
      </c>
      <c r="N963" s="73">
        <f>N961*N960</f>
        <v>0.73918297599999994</v>
      </c>
      <c r="O963" s="123"/>
    </row>
    <row r="964" spans="1:15" x14ac:dyDescent="0.25">
      <c r="A964" s="118" t="s">
        <v>8</v>
      </c>
      <c r="B964" s="127" t="s">
        <v>445</v>
      </c>
      <c r="C964" s="120"/>
      <c r="D964" s="120"/>
      <c r="E964" s="120"/>
      <c r="F964" s="120"/>
      <c r="G964" s="120"/>
      <c r="H964" s="120"/>
      <c r="I964" s="120"/>
      <c r="J964" s="126" t="s">
        <v>13</v>
      </c>
      <c r="K964" s="120"/>
      <c r="L964" s="120"/>
      <c r="M964" s="120"/>
      <c r="N964" s="120"/>
      <c r="O964" s="123"/>
    </row>
    <row r="965" spans="1:15" x14ac:dyDescent="0.25">
      <c r="A965" s="118" t="s">
        <v>11</v>
      </c>
      <c r="B965" s="119" t="s">
        <v>12</v>
      </c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3"/>
    </row>
    <row r="966" spans="1:15" x14ac:dyDescent="0.25">
      <c r="A966" s="118" t="s">
        <v>14</v>
      </c>
      <c r="B966" s="119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3"/>
    </row>
    <row r="967" spans="1:15" x14ac:dyDescent="0.25">
      <c r="A967" s="128"/>
      <c r="B967" s="129"/>
      <c r="C967" s="129"/>
      <c r="D967" s="129"/>
      <c r="E967" s="129"/>
      <c r="F967" s="120"/>
      <c r="G967" s="120"/>
      <c r="H967" s="120"/>
      <c r="I967" s="120"/>
      <c r="J967" s="120"/>
      <c r="K967" s="120"/>
      <c r="L967" s="120"/>
      <c r="M967" s="120"/>
      <c r="N967" s="120"/>
      <c r="O967" s="123"/>
    </row>
    <row r="968" spans="1:15" x14ac:dyDescent="0.25">
      <c r="A968" s="130" t="s">
        <v>15</v>
      </c>
      <c r="B968" s="131" t="s">
        <v>20</v>
      </c>
      <c r="C968" s="131" t="s">
        <v>21</v>
      </c>
      <c r="D968" s="131" t="s">
        <v>22</v>
      </c>
      <c r="E968" s="131" t="s">
        <v>23</v>
      </c>
      <c r="F968" s="132" t="s">
        <v>24</v>
      </c>
      <c r="G968" s="132" t="s">
        <v>25</v>
      </c>
      <c r="H968" s="132" t="s">
        <v>26</v>
      </c>
      <c r="I968" s="132" t="s">
        <v>27</v>
      </c>
      <c r="J968" s="132" t="s">
        <v>28</v>
      </c>
      <c r="K968" s="132" t="s">
        <v>29</v>
      </c>
      <c r="L968" s="132" t="s">
        <v>30</v>
      </c>
      <c r="M968" s="132" t="s">
        <v>18</v>
      </c>
      <c r="N968" s="132" t="s">
        <v>19</v>
      </c>
      <c r="O968" s="123"/>
    </row>
    <row r="969" spans="1:15" x14ac:dyDescent="0.25">
      <c r="A969" s="838">
        <v>10</v>
      </c>
      <c r="B969" s="133" t="s">
        <v>408</v>
      </c>
      <c r="C969" s="134" t="s">
        <v>49</v>
      </c>
      <c r="D969" s="162">
        <v>4.2</v>
      </c>
      <c r="E969" s="840">
        <v>8.9999999999999993E-3</v>
      </c>
      <c r="F969" s="134" t="s">
        <v>92</v>
      </c>
      <c r="G969" s="840"/>
      <c r="H969" s="839"/>
      <c r="I969" s="840" t="s">
        <v>446</v>
      </c>
      <c r="J969" s="828">
        <v>8.5999999999999998E-4</v>
      </c>
      <c r="K969" s="839">
        <v>4.0000000000000001E-3</v>
      </c>
      <c r="L969" s="842">
        <v>2712</v>
      </c>
      <c r="M969" s="839">
        <v>1</v>
      </c>
      <c r="N969" s="160">
        <f>IF(J969="",D969*M969,D969*J969*K969*L969*M969)</f>
        <v>3.9182976000000001E-2</v>
      </c>
      <c r="O969" s="136"/>
    </row>
    <row r="970" spans="1:15" x14ac:dyDescent="0.25">
      <c r="A970" s="137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9" t="s">
        <v>19</v>
      </c>
      <c r="N970" s="161">
        <f>SUM(N969:N969)</f>
        <v>3.9182976000000001E-2</v>
      </c>
      <c r="O970" s="123"/>
    </row>
    <row r="971" spans="1:15" x14ac:dyDescent="0.25">
      <c r="A971" s="14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3"/>
    </row>
    <row r="972" spans="1:15" x14ac:dyDescent="0.25">
      <c r="A972" s="141" t="s">
        <v>15</v>
      </c>
      <c r="B972" s="132" t="s">
        <v>32</v>
      </c>
      <c r="C972" s="132" t="s">
        <v>21</v>
      </c>
      <c r="D972" s="132" t="s">
        <v>22</v>
      </c>
      <c r="E972" s="132" t="s">
        <v>33</v>
      </c>
      <c r="F972" s="132" t="s">
        <v>18</v>
      </c>
      <c r="G972" s="132" t="s">
        <v>34</v>
      </c>
      <c r="H972" s="132" t="s">
        <v>35</v>
      </c>
      <c r="I972" s="132" t="s">
        <v>19</v>
      </c>
      <c r="J972" s="138"/>
      <c r="K972" s="138"/>
      <c r="L972" s="138"/>
      <c r="M972" s="138"/>
      <c r="N972" s="138"/>
      <c r="O972" s="123"/>
    </row>
    <row r="973" spans="1:15" x14ac:dyDescent="0.25">
      <c r="A973" s="836">
        <v>10</v>
      </c>
      <c r="B973" s="142" t="s">
        <v>447</v>
      </c>
      <c r="C973" s="143" t="s">
        <v>448</v>
      </c>
      <c r="D973" s="165">
        <v>0.35</v>
      </c>
      <c r="E973" s="142" t="s">
        <v>247</v>
      </c>
      <c r="F973" s="841">
        <v>2</v>
      </c>
      <c r="G973" s="143"/>
      <c r="H973" s="143"/>
      <c r="I973" s="165">
        <f>IF(H973="",D973*F973,D973*F973*H973)</f>
        <v>0.7</v>
      </c>
      <c r="J973" s="144"/>
      <c r="K973" s="829"/>
      <c r="L973" s="144"/>
      <c r="M973" s="144"/>
      <c r="N973" s="144"/>
      <c r="O973" s="145"/>
    </row>
    <row r="974" spans="1:15" x14ac:dyDescent="0.25">
      <c r="A974" s="137"/>
      <c r="B974" s="138"/>
      <c r="C974" s="138"/>
      <c r="D974" s="138"/>
      <c r="E974" s="138"/>
      <c r="F974" s="138"/>
      <c r="G974" s="138"/>
      <c r="H974" s="148" t="s">
        <v>19</v>
      </c>
      <c r="I974" s="161">
        <f>SUM(I973:I973)</f>
        <v>0.7</v>
      </c>
      <c r="J974" s="138"/>
      <c r="K974" s="138"/>
      <c r="L974" s="138"/>
      <c r="M974" s="138"/>
      <c r="N974" s="138"/>
      <c r="O974" s="123"/>
    </row>
    <row r="975" spans="1:15" x14ac:dyDescent="0.25">
      <c r="A975" s="154"/>
      <c r="B975" s="155"/>
      <c r="C975" s="119"/>
      <c r="D975" s="156"/>
      <c r="E975" s="119"/>
      <c r="F975" s="119"/>
      <c r="G975" s="155"/>
      <c r="H975" s="965"/>
      <c r="I975" s="966"/>
      <c r="J975" s="120"/>
      <c r="K975" s="120"/>
      <c r="L975" s="120"/>
      <c r="M975" s="120"/>
      <c r="N975" s="120"/>
      <c r="O975" s="123"/>
    </row>
    <row r="976" spans="1:15" x14ac:dyDescent="0.25">
      <c r="A976" s="154"/>
      <c r="B976" s="155"/>
      <c r="C976" s="119"/>
      <c r="D976" s="156"/>
      <c r="E976" s="119"/>
      <c r="F976" s="119"/>
      <c r="G976" s="155"/>
      <c r="H976" s="965"/>
      <c r="I976" s="966"/>
      <c r="J976" s="120"/>
      <c r="K976" s="120"/>
      <c r="L976" s="120"/>
      <c r="M976" s="120"/>
      <c r="N976" s="120"/>
      <c r="O976" s="123"/>
    </row>
    <row r="977" spans="1:15" x14ac:dyDescent="0.25">
      <c r="A977" s="154"/>
      <c r="B977" s="155"/>
      <c r="C977" s="119"/>
      <c r="D977" s="156"/>
      <c r="E977" s="119"/>
      <c r="F977" s="119"/>
      <c r="G977" s="155"/>
      <c r="H977" s="965"/>
      <c r="I977" s="966"/>
      <c r="J977" s="120"/>
      <c r="K977" s="120"/>
      <c r="L977" s="120"/>
      <c r="M977" s="120"/>
      <c r="N977" s="120"/>
      <c r="O977" s="123"/>
    </row>
    <row r="978" spans="1:15" x14ac:dyDescent="0.25">
      <c r="A978" s="154"/>
      <c r="B978" s="155"/>
      <c r="C978" s="119"/>
      <c r="D978" s="156"/>
      <c r="E978" s="119"/>
      <c r="F978" s="119"/>
      <c r="G978" s="155"/>
      <c r="H978" s="965"/>
      <c r="I978" s="966"/>
      <c r="J978" s="120"/>
      <c r="K978" s="120"/>
      <c r="L978" s="120"/>
      <c r="M978" s="120"/>
      <c r="N978" s="120"/>
      <c r="O978" s="123"/>
    </row>
    <row r="979" spans="1:15" x14ac:dyDescent="0.25">
      <c r="A979" s="154"/>
      <c r="B979" s="155"/>
      <c r="C979" s="119"/>
      <c r="D979" s="156"/>
      <c r="E979" s="119"/>
      <c r="F979" s="119"/>
      <c r="G979" s="155"/>
      <c r="H979" s="965"/>
      <c r="I979" s="966"/>
      <c r="J979" s="120"/>
      <c r="K979" s="120"/>
      <c r="L979" s="120"/>
      <c r="M979" s="120"/>
      <c r="N979" s="120"/>
      <c r="O979" s="123"/>
    </row>
    <row r="980" spans="1:15" x14ac:dyDescent="0.25">
      <c r="A980" s="154"/>
      <c r="B980" s="155"/>
      <c r="C980" s="119"/>
      <c r="D980" s="156"/>
      <c r="E980" s="119"/>
      <c r="F980" s="119"/>
      <c r="G980" s="155"/>
      <c r="H980" s="965"/>
      <c r="I980" s="966"/>
      <c r="J980" s="120"/>
      <c r="K980" s="120"/>
      <c r="L980" s="120"/>
      <c r="M980" s="120"/>
      <c r="N980" s="120"/>
      <c r="O980" s="123"/>
    </row>
    <row r="981" spans="1:15" x14ac:dyDescent="0.25">
      <c r="A981" s="154"/>
      <c r="B981" s="155"/>
      <c r="C981" s="119"/>
      <c r="D981" s="156"/>
      <c r="E981" s="119"/>
      <c r="F981" s="119"/>
      <c r="G981" s="155"/>
      <c r="H981" s="965"/>
      <c r="I981" s="966"/>
      <c r="J981" s="120"/>
      <c r="K981" s="120"/>
      <c r="L981" s="120"/>
      <c r="M981" s="120"/>
      <c r="N981" s="120"/>
      <c r="O981" s="123"/>
    </row>
    <row r="982" spans="1:15" x14ac:dyDescent="0.25">
      <c r="A982" s="154"/>
      <c r="B982" s="155"/>
      <c r="C982" s="119"/>
      <c r="D982" s="156"/>
      <c r="E982" s="119"/>
      <c r="F982" s="119"/>
      <c r="G982" s="155"/>
      <c r="H982" s="965"/>
      <c r="I982" s="966"/>
      <c r="J982" s="120"/>
      <c r="K982" s="120"/>
      <c r="L982" s="120"/>
      <c r="M982" s="120"/>
      <c r="N982" s="120"/>
      <c r="O982" s="123"/>
    </row>
    <row r="983" spans="1:15" x14ac:dyDescent="0.25">
      <c r="A983" s="154"/>
      <c r="B983" s="155"/>
      <c r="C983" s="119"/>
      <c r="D983" s="156"/>
      <c r="E983" s="119"/>
      <c r="F983" s="119"/>
      <c r="G983" s="155"/>
      <c r="H983" s="965"/>
      <c r="I983" s="966"/>
      <c r="J983" s="120"/>
      <c r="K983" s="120"/>
      <c r="L983" s="120"/>
      <c r="M983" s="120"/>
      <c r="N983" s="120"/>
      <c r="O983" s="123"/>
    </row>
    <row r="984" spans="1:15" x14ac:dyDescent="0.25">
      <c r="A984" s="154"/>
      <c r="B984" s="155"/>
      <c r="C984" s="119"/>
      <c r="D984" s="156"/>
      <c r="E984" s="119"/>
      <c r="F984" s="119"/>
      <c r="G984" s="155"/>
      <c r="H984" s="965"/>
      <c r="I984" s="966"/>
      <c r="J984" s="120"/>
      <c r="K984" s="120"/>
      <c r="L984" s="120"/>
      <c r="M984" s="120"/>
      <c r="N984" s="120"/>
      <c r="O984" s="123"/>
    </row>
    <row r="985" spans="1:15" x14ac:dyDescent="0.25">
      <c r="A985" s="154"/>
      <c r="B985" s="155"/>
      <c r="C985" s="119"/>
      <c r="D985" s="156"/>
      <c r="E985" s="119"/>
      <c r="F985" s="119"/>
      <c r="G985" s="155"/>
      <c r="H985" s="965"/>
      <c r="I985" s="966"/>
      <c r="J985" s="120"/>
      <c r="K985" s="120"/>
      <c r="L985" s="120"/>
      <c r="M985" s="120"/>
      <c r="N985" s="120"/>
      <c r="O985" s="123"/>
    </row>
    <row r="986" spans="1:15" x14ac:dyDescent="0.25">
      <c r="A986" s="154"/>
      <c r="B986" s="155"/>
      <c r="C986" s="119"/>
      <c r="D986" s="156"/>
      <c r="E986" s="119"/>
      <c r="F986" s="119"/>
      <c r="G986" s="155"/>
      <c r="H986" s="965"/>
      <c r="I986" s="966"/>
      <c r="J986" s="120"/>
      <c r="K986" s="120"/>
      <c r="L986" s="120"/>
      <c r="M986" s="120"/>
      <c r="N986" s="120"/>
      <c r="O986" s="123"/>
    </row>
    <row r="987" spans="1:15" x14ac:dyDescent="0.25">
      <c r="A987" s="154"/>
      <c r="B987" s="155"/>
      <c r="C987" s="119"/>
      <c r="D987" s="156"/>
      <c r="E987" s="119"/>
      <c r="F987" s="119"/>
      <c r="G987" s="155"/>
      <c r="H987" s="965"/>
      <c r="I987" s="966"/>
      <c r="J987" s="120"/>
      <c r="K987" s="120"/>
      <c r="L987" s="120"/>
      <c r="M987" s="120"/>
      <c r="N987" s="120"/>
      <c r="O987" s="123"/>
    </row>
    <row r="988" spans="1:15" x14ac:dyDescent="0.25">
      <c r="A988" s="154"/>
      <c r="B988" s="155"/>
      <c r="C988" s="119"/>
      <c r="D988" s="156"/>
      <c r="E988" s="119"/>
      <c r="F988" s="119"/>
      <c r="G988" s="155"/>
      <c r="H988" s="965"/>
      <c r="I988" s="966"/>
      <c r="J988" s="120"/>
      <c r="K988" s="120"/>
      <c r="L988" s="120"/>
      <c r="M988" s="120"/>
      <c r="N988" s="120"/>
      <c r="O988" s="123"/>
    </row>
    <row r="989" spans="1:15" s="88" customFormat="1" ht="15.75" thickBot="1" x14ac:dyDescent="0.3">
      <c r="A989" s="967"/>
      <c r="B989" s="968"/>
      <c r="C989" s="968"/>
      <c r="D989" s="968"/>
      <c r="E989" s="968"/>
      <c r="F989" s="968"/>
      <c r="G989" s="968"/>
      <c r="H989" s="969"/>
      <c r="I989" s="969"/>
      <c r="J989" s="968"/>
      <c r="K989" s="968"/>
      <c r="L989" s="968"/>
      <c r="M989" s="968"/>
      <c r="N989" s="968"/>
      <c r="O989" s="970"/>
    </row>
    <row r="990" spans="1:15" s="88" customFormat="1" ht="15.75" thickBot="1" x14ac:dyDescent="0.3"/>
    <row r="991" spans="1:15" s="88" customFormat="1" x14ac:dyDescent="0.25">
      <c r="A991" s="971"/>
      <c r="B991" s="972"/>
      <c r="C991" s="972"/>
      <c r="D991" s="972"/>
      <c r="E991" s="972"/>
      <c r="F991" s="972"/>
      <c r="G991" s="972"/>
      <c r="H991" s="972"/>
      <c r="I991" s="972"/>
      <c r="J991" s="972"/>
      <c r="K991" s="972"/>
      <c r="L991" s="972"/>
      <c r="M991" s="972"/>
      <c r="N991" s="972"/>
      <c r="O991" s="973"/>
    </row>
    <row r="992" spans="1:15" s="88" customFormat="1" x14ac:dyDescent="0.25">
      <c r="A992" s="974" t="s">
        <v>0</v>
      </c>
      <c r="B992" s="975" t="s">
        <v>47</v>
      </c>
      <c r="C992" s="976"/>
      <c r="D992" s="976"/>
      <c r="E992" s="976"/>
      <c r="F992" s="976"/>
      <c r="G992" s="976"/>
      <c r="H992" s="976"/>
      <c r="I992" s="976"/>
      <c r="J992" s="977" t="s">
        <v>2</v>
      </c>
      <c r="K992" s="978">
        <v>81</v>
      </c>
      <c r="L992" s="976"/>
      <c r="M992" s="974" t="s">
        <v>17</v>
      </c>
      <c r="N992" s="979">
        <f>EN_06012_m+EN_06012_p</f>
        <v>0.74966214399999997</v>
      </c>
      <c r="O992" s="980"/>
    </row>
    <row r="993" spans="1:15" s="88" customFormat="1" x14ac:dyDescent="0.25">
      <c r="A993" s="974" t="s">
        <v>4</v>
      </c>
      <c r="B993" s="975" t="s">
        <v>81</v>
      </c>
      <c r="C993" s="976"/>
      <c r="D993" s="974" t="s">
        <v>7</v>
      </c>
      <c r="E993" s="981"/>
      <c r="F993" s="976"/>
      <c r="G993" s="976"/>
      <c r="H993" s="976"/>
      <c r="I993" s="976"/>
      <c r="J993" s="976"/>
      <c r="K993" s="976"/>
      <c r="L993" s="976"/>
      <c r="M993" s="974" t="s">
        <v>5</v>
      </c>
      <c r="N993" s="979">
        <v>1</v>
      </c>
      <c r="O993" s="980"/>
    </row>
    <row r="994" spans="1:15" s="88" customFormat="1" x14ac:dyDescent="0.25">
      <c r="A994" s="974" t="s">
        <v>6</v>
      </c>
      <c r="B994" s="982" t="s">
        <v>405</v>
      </c>
      <c r="C994" s="976"/>
      <c r="D994" s="974" t="s">
        <v>9</v>
      </c>
      <c r="E994" s="976"/>
      <c r="F994" s="976"/>
      <c r="G994" s="976"/>
      <c r="H994" s="976"/>
      <c r="I994" s="976"/>
      <c r="J994" s="983" t="s">
        <v>7</v>
      </c>
      <c r="K994" s="976"/>
      <c r="L994" s="976"/>
      <c r="M994" s="976"/>
      <c r="N994" s="976"/>
      <c r="O994" s="980"/>
    </row>
    <row r="995" spans="1:15" s="88" customFormat="1" x14ac:dyDescent="0.25">
      <c r="A995" s="974" t="s">
        <v>16</v>
      </c>
      <c r="B995" s="984" t="s">
        <v>403</v>
      </c>
      <c r="C995" s="976"/>
      <c r="D995" s="974" t="s">
        <v>13</v>
      </c>
      <c r="E995" s="976"/>
      <c r="F995" s="976"/>
      <c r="G995" s="976"/>
      <c r="H995" s="976"/>
      <c r="I995" s="976"/>
      <c r="J995" s="983" t="s">
        <v>9</v>
      </c>
      <c r="K995" s="976"/>
      <c r="L995" s="976"/>
      <c r="M995" s="974" t="s">
        <v>10</v>
      </c>
      <c r="N995" s="979">
        <f>N993*N992</f>
        <v>0.74966214399999997</v>
      </c>
      <c r="O995" s="980"/>
    </row>
    <row r="996" spans="1:15" s="88" customFormat="1" x14ac:dyDescent="0.25">
      <c r="A996" s="974" t="s">
        <v>8</v>
      </c>
      <c r="B996" s="984" t="s">
        <v>449</v>
      </c>
      <c r="C996" s="976"/>
      <c r="D996" s="976"/>
      <c r="E996" s="976"/>
      <c r="F996" s="976"/>
      <c r="G996" s="976"/>
      <c r="H996" s="976"/>
      <c r="I996" s="976"/>
      <c r="J996" s="983" t="s">
        <v>13</v>
      </c>
      <c r="K996" s="976"/>
      <c r="L996" s="976"/>
      <c r="M996" s="976"/>
      <c r="N996" s="976"/>
      <c r="O996" s="980"/>
    </row>
    <row r="997" spans="1:15" x14ac:dyDescent="0.25">
      <c r="A997" s="118" t="s">
        <v>11</v>
      </c>
      <c r="B997" s="119" t="s">
        <v>12</v>
      </c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3"/>
    </row>
    <row r="998" spans="1:15" x14ac:dyDescent="0.25">
      <c r="A998" s="118" t="s">
        <v>14</v>
      </c>
      <c r="B998" s="119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3"/>
    </row>
    <row r="999" spans="1:15" x14ac:dyDescent="0.25">
      <c r="A999" s="128"/>
      <c r="B999" s="129"/>
      <c r="C999" s="129"/>
      <c r="D999" s="129"/>
      <c r="E999" s="129"/>
      <c r="F999" s="120"/>
      <c r="G999" s="120"/>
      <c r="H999" s="120"/>
      <c r="I999" s="120"/>
      <c r="J999" s="120"/>
      <c r="K999" s="120"/>
      <c r="L999" s="120"/>
      <c r="M999" s="120"/>
      <c r="N999" s="120"/>
      <c r="O999" s="123"/>
    </row>
    <row r="1000" spans="1:15" x14ac:dyDescent="0.25">
      <c r="A1000" s="130" t="s">
        <v>15</v>
      </c>
      <c r="B1000" s="131" t="s">
        <v>20</v>
      </c>
      <c r="C1000" s="131" t="s">
        <v>21</v>
      </c>
      <c r="D1000" s="131" t="s">
        <v>22</v>
      </c>
      <c r="E1000" s="131" t="s">
        <v>23</v>
      </c>
      <c r="F1000" s="132" t="s">
        <v>24</v>
      </c>
      <c r="G1000" s="132" t="s">
        <v>25</v>
      </c>
      <c r="H1000" s="132" t="s">
        <v>26</v>
      </c>
      <c r="I1000" s="132" t="s">
        <v>27</v>
      </c>
      <c r="J1000" s="132" t="s">
        <v>28</v>
      </c>
      <c r="K1000" s="132" t="s">
        <v>29</v>
      </c>
      <c r="L1000" s="132" t="s">
        <v>30</v>
      </c>
      <c r="M1000" s="132" t="s">
        <v>18</v>
      </c>
      <c r="N1000" s="132" t="s">
        <v>19</v>
      </c>
      <c r="O1000" s="123"/>
    </row>
    <row r="1001" spans="1:15" x14ac:dyDescent="0.25">
      <c r="A1001" s="838">
        <v>10</v>
      </c>
      <c r="B1001" s="133" t="s">
        <v>408</v>
      </c>
      <c r="C1001" s="134" t="s">
        <v>49</v>
      </c>
      <c r="D1001" s="162">
        <v>4.2</v>
      </c>
      <c r="E1001" s="840">
        <v>1.2E-2</v>
      </c>
      <c r="F1001" s="134" t="s">
        <v>92</v>
      </c>
      <c r="G1001" s="134"/>
      <c r="H1001" s="19"/>
      <c r="I1001" s="134" t="s">
        <v>409</v>
      </c>
      <c r="J1001" s="828">
        <v>1.09E-3</v>
      </c>
      <c r="K1001" s="839">
        <v>4.0000000000000001E-3</v>
      </c>
      <c r="L1001" s="842">
        <v>2712</v>
      </c>
      <c r="M1001" s="839">
        <v>1</v>
      </c>
      <c r="N1001" s="160">
        <f>IF(J1001="",D1001*M1001,D1001*J1001*K1001*L1001*M1001)</f>
        <v>4.9662144000000012E-2</v>
      </c>
      <c r="O1001" s="136"/>
    </row>
    <row r="1002" spans="1:15" x14ac:dyDescent="0.25">
      <c r="A1002" s="137"/>
      <c r="B1002" s="138"/>
      <c r="C1002" s="138"/>
      <c r="D1002" s="138"/>
      <c r="E1002" s="138"/>
      <c r="F1002" s="138"/>
      <c r="G1002" s="138"/>
      <c r="H1002" s="138"/>
      <c r="I1002" s="138"/>
      <c r="J1002" s="138"/>
      <c r="K1002" s="138"/>
      <c r="L1002" s="138"/>
      <c r="M1002" s="139" t="s">
        <v>19</v>
      </c>
      <c r="N1002" s="161">
        <f>SUM(N1001:N1001)</f>
        <v>4.9662144000000012E-2</v>
      </c>
      <c r="O1002" s="123"/>
    </row>
    <row r="1003" spans="1:15" x14ac:dyDescent="0.25">
      <c r="A1003" s="140"/>
      <c r="B1003" s="120"/>
      <c r="C1003" s="120"/>
      <c r="D1003" s="120"/>
      <c r="E1003" s="120"/>
      <c r="F1003" s="120"/>
      <c r="G1003" s="120"/>
      <c r="H1003" s="120"/>
      <c r="I1003" s="120"/>
      <c r="J1003" s="120"/>
      <c r="K1003" s="120"/>
      <c r="L1003" s="120"/>
      <c r="M1003" s="120"/>
      <c r="N1003" s="120"/>
      <c r="O1003" s="123"/>
    </row>
    <row r="1004" spans="1:15" x14ac:dyDescent="0.25">
      <c r="A1004" s="141" t="s">
        <v>15</v>
      </c>
      <c r="B1004" s="132" t="s">
        <v>32</v>
      </c>
      <c r="C1004" s="132" t="s">
        <v>21</v>
      </c>
      <c r="D1004" s="132" t="s">
        <v>22</v>
      </c>
      <c r="E1004" s="132" t="s">
        <v>33</v>
      </c>
      <c r="F1004" s="132" t="s">
        <v>18</v>
      </c>
      <c r="G1004" s="132" t="s">
        <v>34</v>
      </c>
      <c r="H1004" s="132" t="s">
        <v>35</v>
      </c>
      <c r="I1004" s="132" t="s">
        <v>19</v>
      </c>
      <c r="J1004" s="138"/>
      <c r="K1004" s="138"/>
      <c r="L1004" s="138"/>
      <c r="M1004" s="138"/>
      <c r="N1004" s="138"/>
      <c r="O1004" s="123"/>
    </row>
    <row r="1005" spans="1:15" x14ac:dyDescent="0.25">
      <c r="A1005" s="837">
        <v>10</v>
      </c>
      <c r="B1005" s="142" t="s">
        <v>410</v>
      </c>
      <c r="C1005" s="146"/>
      <c r="D1005" s="160">
        <v>0.35</v>
      </c>
      <c r="E1005" s="146" t="s">
        <v>247</v>
      </c>
      <c r="F1005" s="835">
        <v>2</v>
      </c>
      <c r="G1005" s="142"/>
      <c r="H1005" s="834">
        <v>1</v>
      </c>
      <c r="I1005" s="160">
        <f>IF(H1005="",D1005*F1005,D1005*F1005*H1005)</f>
        <v>0.7</v>
      </c>
      <c r="J1005" s="120"/>
      <c r="K1005" s="120"/>
      <c r="L1005" s="120"/>
      <c r="M1005" s="120"/>
      <c r="N1005" s="120"/>
      <c r="O1005" s="123"/>
    </row>
    <row r="1006" spans="1:15" x14ac:dyDescent="0.25">
      <c r="A1006" s="137"/>
      <c r="B1006" s="138"/>
      <c r="C1006" s="138"/>
      <c r="D1006" s="138"/>
      <c r="E1006" s="138"/>
      <c r="F1006" s="138"/>
      <c r="G1006" s="138"/>
      <c r="H1006" s="148" t="s">
        <v>19</v>
      </c>
      <c r="I1006" s="161">
        <f>SUM(I1005:I1005)</f>
        <v>0.7</v>
      </c>
      <c r="J1006" s="138"/>
      <c r="K1006" s="138"/>
      <c r="L1006" s="138"/>
      <c r="M1006" s="138"/>
      <c r="N1006" s="138"/>
      <c r="O1006" s="123"/>
    </row>
    <row r="1007" spans="1:15" x14ac:dyDescent="0.25">
      <c r="A1007" s="154"/>
      <c r="B1007" s="155"/>
      <c r="C1007" s="119"/>
      <c r="D1007" s="156"/>
      <c r="E1007" s="119"/>
      <c r="F1007" s="119"/>
      <c r="G1007" s="155"/>
      <c r="H1007" s="965"/>
      <c r="I1007" s="966"/>
      <c r="J1007" s="120"/>
      <c r="K1007" s="120"/>
      <c r="L1007" s="120"/>
      <c r="M1007" s="120"/>
      <c r="N1007" s="120"/>
      <c r="O1007" s="123"/>
    </row>
    <row r="1008" spans="1:15" x14ac:dyDescent="0.25">
      <c r="A1008" s="154"/>
      <c r="B1008" s="155"/>
      <c r="C1008" s="119"/>
      <c r="D1008" s="156"/>
      <c r="E1008" s="119"/>
      <c r="F1008" s="119"/>
      <c r="G1008" s="155"/>
      <c r="H1008" s="965"/>
      <c r="I1008" s="966"/>
      <c r="J1008" s="120"/>
      <c r="K1008" s="120"/>
      <c r="L1008" s="120"/>
      <c r="M1008" s="120"/>
      <c r="N1008" s="120"/>
      <c r="O1008" s="123"/>
    </row>
    <row r="1009" spans="1:15" x14ac:dyDescent="0.25">
      <c r="A1009" s="154"/>
      <c r="B1009" s="155"/>
      <c r="C1009" s="119"/>
      <c r="D1009" s="156"/>
      <c r="E1009" s="119"/>
      <c r="F1009" s="119"/>
      <c r="G1009" s="155"/>
      <c r="H1009" s="965"/>
      <c r="I1009" s="966"/>
      <c r="J1009" s="120"/>
      <c r="K1009" s="120"/>
      <c r="L1009" s="120"/>
      <c r="M1009" s="120"/>
      <c r="N1009" s="120"/>
      <c r="O1009" s="123"/>
    </row>
    <row r="1010" spans="1:15" x14ac:dyDescent="0.25">
      <c r="A1010" s="154"/>
      <c r="B1010" s="155"/>
      <c r="C1010" s="119"/>
      <c r="D1010" s="156"/>
      <c r="E1010" s="119"/>
      <c r="F1010" s="119"/>
      <c r="G1010" s="155"/>
      <c r="H1010" s="965"/>
      <c r="I1010" s="966"/>
      <c r="J1010" s="120"/>
      <c r="K1010" s="120"/>
      <c r="L1010" s="120"/>
      <c r="M1010" s="120"/>
      <c r="N1010" s="120"/>
      <c r="O1010" s="123"/>
    </row>
    <row r="1011" spans="1:15" x14ac:dyDescent="0.25">
      <c r="A1011" s="154"/>
      <c r="B1011" s="155"/>
      <c r="C1011" s="119"/>
      <c r="D1011" s="156"/>
      <c r="E1011" s="119"/>
      <c r="F1011" s="119"/>
      <c r="G1011" s="155"/>
      <c r="H1011" s="965"/>
      <c r="I1011" s="966"/>
      <c r="J1011" s="120"/>
      <c r="K1011" s="120"/>
      <c r="L1011" s="120"/>
      <c r="M1011" s="120"/>
      <c r="N1011" s="120"/>
      <c r="O1011" s="123"/>
    </row>
    <row r="1012" spans="1:15" x14ac:dyDescent="0.25">
      <c r="A1012" s="154"/>
      <c r="B1012" s="155"/>
      <c r="C1012" s="119"/>
      <c r="D1012" s="156"/>
      <c r="E1012" s="119"/>
      <c r="F1012" s="119"/>
      <c r="G1012" s="155"/>
      <c r="H1012" s="965"/>
      <c r="I1012" s="966"/>
      <c r="J1012" s="120"/>
      <c r="K1012" s="120"/>
      <c r="L1012" s="120"/>
      <c r="M1012" s="120"/>
      <c r="N1012" s="120"/>
      <c r="O1012" s="123"/>
    </row>
    <row r="1013" spans="1:15" x14ac:dyDescent="0.25">
      <c r="A1013" s="154"/>
      <c r="B1013" s="155"/>
      <c r="C1013" s="119"/>
      <c r="D1013" s="156"/>
      <c r="E1013" s="119"/>
      <c r="F1013" s="119"/>
      <c r="G1013" s="155"/>
      <c r="H1013" s="965"/>
      <c r="I1013" s="966"/>
      <c r="J1013" s="120"/>
      <c r="K1013" s="120"/>
      <c r="L1013" s="120"/>
      <c r="M1013" s="120"/>
      <c r="N1013" s="120"/>
      <c r="O1013" s="123"/>
    </row>
    <row r="1014" spans="1:15" x14ac:dyDescent="0.25">
      <c r="A1014" s="154"/>
      <c r="B1014" s="155"/>
      <c r="C1014" s="119"/>
      <c r="D1014" s="156"/>
      <c r="E1014" s="119"/>
      <c r="F1014" s="119"/>
      <c r="G1014" s="155"/>
      <c r="H1014" s="965"/>
      <c r="I1014" s="966"/>
      <c r="J1014" s="120"/>
      <c r="K1014" s="120"/>
      <c r="L1014" s="120"/>
      <c r="M1014" s="120"/>
      <c r="N1014" s="120"/>
      <c r="O1014" s="123"/>
    </row>
    <row r="1015" spans="1:15" x14ac:dyDescent="0.25">
      <c r="A1015" s="154"/>
      <c r="B1015" s="155"/>
      <c r="C1015" s="119"/>
      <c r="D1015" s="156"/>
      <c r="E1015" s="119"/>
      <c r="F1015" s="119"/>
      <c r="G1015" s="155"/>
      <c r="H1015" s="965"/>
      <c r="I1015" s="966"/>
      <c r="J1015" s="120"/>
      <c r="K1015" s="120"/>
      <c r="L1015" s="120"/>
      <c r="M1015" s="120"/>
      <c r="N1015" s="120"/>
      <c r="O1015" s="123"/>
    </row>
    <row r="1016" spans="1:15" x14ac:dyDescent="0.25">
      <c r="A1016" s="154"/>
      <c r="B1016" s="155"/>
      <c r="C1016" s="119"/>
      <c r="D1016" s="156"/>
      <c r="E1016" s="119"/>
      <c r="F1016" s="119"/>
      <c r="G1016" s="155"/>
      <c r="H1016" s="965"/>
      <c r="I1016" s="966"/>
      <c r="J1016" s="120"/>
      <c r="K1016" s="120"/>
      <c r="L1016" s="120"/>
      <c r="M1016" s="120"/>
      <c r="N1016" s="120"/>
      <c r="O1016" s="123"/>
    </row>
    <row r="1017" spans="1:15" x14ac:dyDescent="0.25">
      <c r="A1017" s="154"/>
      <c r="B1017" s="155"/>
      <c r="C1017" s="119"/>
      <c r="D1017" s="156"/>
      <c r="E1017" s="119"/>
      <c r="F1017" s="119"/>
      <c r="G1017" s="155"/>
      <c r="H1017" s="965"/>
      <c r="I1017" s="966"/>
      <c r="J1017" s="120"/>
      <c r="K1017" s="120"/>
      <c r="L1017" s="120"/>
      <c r="M1017" s="120"/>
      <c r="N1017" s="120"/>
      <c r="O1017" s="123"/>
    </row>
    <row r="1018" spans="1:15" x14ac:dyDescent="0.25">
      <c r="A1018" s="154"/>
      <c r="B1018" s="155"/>
      <c r="C1018" s="119"/>
      <c r="D1018" s="156"/>
      <c r="E1018" s="119"/>
      <c r="F1018" s="119"/>
      <c r="G1018" s="155"/>
      <c r="H1018" s="965"/>
      <c r="I1018" s="966"/>
      <c r="J1018" s="120"/>
      <c r="K1018" s="120"/>
      <c r="L1018" s="120"/>
      <c r="M1018" s="120"/>
      <c r="N1018" s="120"/>
      <c r="O1018" s="123"/>
    </row>
    <row r="1019" spans="1:15" x14ac:dyDescent="0.25">
      <c r="A1019" s="154"/>
      <c r="B1019" s="155"/>
      <c r="C1019" s="119"/>
      <c r="D1019" s="156"/>
      <c r="E1019" s="119"/>
      <c r="F1019" s="119"/>
      <c r="G1019" s="155"/>
      <c r="H1019" s="965"/>
      <c r="I1019" s="966"/>
      <c r="J1019" s="120"/>
      <c r="K1019" s="120"/>
      <c r="L1019" s="120"/>
      <c r="M1019" s="120"/>
      <c r="N1019" s="120"/>
      <c r="O1019" s="123"/>
    </row>
    <row r="1020" spans="1:15" ht="15.75" thickBot="1" x14ac:dyDescent="0.3">
      <c r="A1020" s="149"/>
      <c r="B1020" s="150"/>
      <c r="C1020" s="150"/>
      <c r="D1020" s="150"/>
      <c r="E1020" s="150"/>
      <c r="F1020" s="150"/>
      <c r="G1020" s="150"/>
      <c r="H1020" s="151"/>
      <c r="I1020" s="151"/>
      <c r="J1020" s="150"/>
      <c r="K1020" s="150"/>
      <c r="L1020" s="150"/>
      <c r="M1020" s="150"/>
      <c r="N1020" s="150"/>
      <c r="O1020" s="152"/>
    </row>
    <row r="1021" spans="1:15" ht="15.75" thickBot="1" x14ac:dyDescent="0.3"/>
    <row r="1022" spans="1:15" x14ac:dyDescent="0.25">
      <c r="A1022" s="114"/>
      <c r="B1022" s="115"/>
      <c r="C1022" s="115"/>
      <c r="D1022" s="115"/>
      <c r="E1022" s="115"/>
      <c r="F1022" s="115"/>
      <c r="G1022" s="115"/>
      <c r="H1022" s="115"/>
      <c r="I1022" s="115"/>
      <c r="J1022" s="115"/>
      <c r="K1022" s="115"/>
      <c r="L1022" s="115"/>
      <c r="M1022" s="115"/>
      <c r="N1022" s="115"/>
      <c r="O1022" s="116"/>
    </row>
    <row r="1023" spans="1:15" x14ac:dyDescent="0.25">
      <c r="A1023" s="118" t="s">
        <v>0</v>
      </c>
      <c r="B1023" s="119" t="s">
        <v>47</v>
      </c>
      <c r="C1023" s="120"/>
      <c r="D1023" s="120"/>
      <c r="E1023" s="120"/>
      <c r="F1023" s="120"/>
      <c r="G1023" s="120"/>
      <c r="H1023" s="120"/>
      <c r="I1023" s="120"/>
      <c r="J1023" s="121" t="s">
        <v>2</v>
      </c>
      <c r="K1023" s="122">
        <v>81</v>
      </c>
      <c r="L1023" s="120"/>
      <c r="M1023" s="118" t="s">
        <v>17</v>
      </c>
      <c r="N1023" s="73">
        <f>EN_06013_m+EN_06013_p</f>
        <v>1.749662144</v>
      </c>
      <c r="O1023" s="123"/>
    </row>
    <row r="1024" spans="1:15" x14ac:dyDescent="0.25">
      <c r="A1024" s="118" t="s">
        <v>4</v>
      </c>
      <c r="B1024" s="119" t="s">
        <v>81</v>
      </c>
      <c r="C1024" s="120"/>
      <c r="D1024" s="118" t="s">
        <v>7</v>
      </c>
      <c r="E1024" s="124"/>
      <c r="F1024" s="120"/>
      <c r="G1024" s="120"/>
      <c r="H1024" s="120"/>
      <c r="I1024" s="120"/>
      <c r="J1024" s="120"/>
      <c r="K1024" s="120"/>
      <c r="L1024" s="120"/>
      <c r="M1024" s="118" t="s">
        <v>5</v>
      </c>
      <c r="N1024" s="73">
        <v>1</v>
      </c>
      <c r="O1024" s="123"/>
    </row>
    <row r="1025" spans="1:15" x14ac:dyDescent="0.25">
      <c r="A1025" s="118" t="s">
        <v>6</v>
      </c>
      <c r="B1025" s="125" t="s">
        <v>405</v>
      </c>
      <c r="C1025" s="120"/>
      <c r="D1025" s="118" t="s">
        <v>9</v>
      </c>
      <c r="E1025" s="120"/>
      <c r="F1025" s="120"/>
      <c r="G1025" s="120"/>
      <c r="H1025" s="120"/>
      <c r="I1025" s="120"/>
      <c r="J1025" s="126" t="s">
        <v>7</v>
      </c>
      <c r="K1025" s="120"/>
      <c r="L1025" s="120"/>
      <c r="M1025" s="120"/>
      <c r="N1025" s="120"/>
      <c r="O1025" s="123"/>
    </row>
    <row r="1026" spans="1:15" x14ac:dyDescent="0.25">
      <c r="A1026" s="118" t="s">
        <v>16</v>
      </c>
      <c r="B1026" s="127" t="s">
        <v>451</v>
      </c>
      <c r="C1026" s="120"/>
      <c r="D1026" s="118" t="s">
        <v>13</v>
      </c>
      <c r="E1026" s="120"/>
      <c r="F1026" s="120"/>
      <c r="G1026" s="120"/>
      <c r="H1026" s="120"/>
      <c r="I1026" s="120"/>
      <c r="J1026" s="126" t="s">
        <v>9</v>
      </c>
      <c r="K1026" s="120"/>
      <c r="L1026" s="120"/>
      <c r="M1026" s="118" t="s">
        <v>10</v>
      </c>
      <c r="N1026" s="73">
        <f>N1024*N1023</f>
        <v>1.749662144</v>
      </c>
      <c r="O1026" s="123"/>
    </row>
    <row r="1027" spans="1:15" x14ac:dyDescent="0.25">
      <c r="A1027" s="118" t="s">
        <v>8</v>
      </c>
      <c r="B1027" s="127" t="s">
        <v>450</v>
      </c>
      <c r="C1027" s="120"/>
      <c r="D1027" s="120"/>
      <c r="E1027" s="120"/>
      <c r="F1027" s="120"/>
      <c r="G1027" s="120"/>
      <c r="H1027" s="120"/>
      <c r="I1027" s="120"/>
      <c r="J1027" s="126" t="s">
        <v>13</v>
      </c>
      <c r="K1027" s="120"/>
      <c r="L1027" s="120"/>
      <c r="M1027" s="120"/>
      <c r="N1027" s="120"/>
      <c r="O1027" s="123"/>
    </row>
    <row r="1028" spans="1:15" x14ac:dyDescent="0.25">
      <c r="A1028" s="118" t="s">
        <v>11</v>
      </c>
      <c r="B1028" s="119" t="s">
        <v>12</v>
      </c>
      <c r="C1028" s="120"/>
      <c r="D1028" s="120"/>
      <c r="E1028" s="120"/>
      <c r="F1028" s="120"/>
      <c r="G1028" s="120"/>
      <c r="H1028" s="120"/>
      <c r="I1028" s="120"/>
      <c r="J1028" s="120"/>
      <c r="K1028" s="120"/>
      <c r="L1028" s="120"/>
      <c r="M1028" s="120"/>
      <c r="N1028" s="120"/>
      <c r="O1028" s="123"/>
    </row>
    <row r="1029" spans="1:15" x14ac:dyDescent="0.25">
      <c r="A1029" s="118" t="s">
        <v>14</v>
      </c>
      <c r="B1029" s="119"/>
      <c r="C1029" s="120"/>
      <c r="D1029" s="120"/>
      <c r="E1029" s="120"/>
      <c r="F1029" s="120"/>
      <c r="G1029" s="120"/>
      <c r="H1029" s="120"/>
      <c r="I1029" s="120"/>
      <c r="J1029" s="120"/>
      <c r="K1029" s="120"/>
      <c r="L1029" s="120"/>
      <c r="M1029" s="120"/>
      <c r="N1029" s="120"/>
      <c r="O1029" s="123"/>
    </row>
    <row r="1030" spans="1:15" x14ac:dyDescent="0.25">
      <c r="A1030" s="128"/>
      <c r="B1030" s="129"/>
      <c r="C1030" s="129"/>
      <c r="D1030" s="129"/>
      <c r="E1030" s="129"/>
      <c r="F1030" s="120"/>
      <c r="G1030" s="120"/>
      <c r="H1030" s="120"/>
      <c r="I1030" s="120"/>
      <c r="J1030" s="120"/>
      <c r="K1030" s="120"/>
      <c r="L1030" s="120"/>
      <c r="M1030" s="120"/>
      <c r="N1030" s="120"/>
      <c r="O1030" s="123"/>
    </row>
    <row r="1031" spans="1:15" x14ac:dyDescent="0.25">
      <c r="A1031" s="130" t="s">
        <v>15</v>
      </c>
      <c r="B1031" s="131" t="s">
        <v>20</v>
      </c>
      <c r="C1031" s="131" t="s">
        <v>21</v>
      </c>
      <c r="D1031" s="131" t="s">
        <v>22</v>
      </c>
      <c r="E1031" s="131" t="s">
        <v>23</v>
      </c>
      <c r="F1031" s="132" t="s">
        <v>24</v>
      </c>
      <c r="G1031" s="132" t="s">
        <v>25</v>
      </c>
      <c r="H1031" s="132" t="s">
        <v>26</v>
      </c>
      <c r="I1031" s="132" t="s">
        <v>27</v>
      </c>
      <c r="J1031" s="132" t="s">
        <v>28</v>
      </c>
      <c r="K1031" s="132" t="s">
        <v>29</v>
      </c>
      <c r="L1031" s="132" t="s">
        <v>30</v>
      </c>
      <c r="M1031" s="132" t="s">
        <v>18</v>
      </c>
      <c r="N1031" s="132" t="s">
        <v>19</v>
      </c>
      <c r="O1031" s="123"/>
    </row>
    <row r="1032" spans="1:15" x14ac:dyDescent="0.25">
      <c r="A1032" s="838">
        <v>10</v>
      </c>
      <c r="B1032" s="133" t="s">
        <v>408</v>
      </c>
      <c r="C1032" s="134" t="s">
        <v>49</v>
      </c>
      <c r="D1032" s="162">
        <v>4.2</v>
      </c>
      <c r="E1032" s="840">
        <v>1.2E-2</v>
      </c>
      <c r="F1032" s="134" t="s">
        <v>92</v>
      </c>
      <c r="G1032" s="134"/>
      <c r="H1032" s="19"/>
      <c r="I1032" s="134" t="s">
        <v>452</v>
      </c>
      <c r="J1032" s="828">
        <v>1.09E-3</v>
      </c>
      <c r="K1032" s="839">
        <v>4.0000000000000001E-3</v>
      </c>
      <c r="L1032" s="842">
        <v>2712</v>
      </c>
      <c r="M1032" s="839">
        <v>1</v>
      </c>
      <c r="N1032" s="160">
        <f>IF(J1032="",D1032*M1032,D1032*J1032*K1032*L1032*M1032)</f>
        <v>4.9662144000000012E-2</v>
      </c>
      <c r="O1032" s="136"/>
    </row>
    <row r="1033" spans="1:15" x14ac:dyDescent="0.25">
      <c r="A1033" s="137"/>
      <c r="B1033" s="138"/>
      <c r="C1033" s="138"/>
      <c r="D1033" s="138"/>
      <c r="E1033" s="138"/>
      <c r="F1033" s="138"/>
      <c r="G1033" s="138"/>
      <c r="H1033" s="138"/>
      <c r="I1033" s="138"/>
      <c r="J1033" s="138"/>
      <c r="K1033" s="138"/>
      <c r="L1033" s="138"/>
      <c r="M1033" s="139" t="s">
        <v>19</v>
      </c>
      <c r="N1033" s="161">
        <f>SUM(N1032:N1032)</f>
        <v>4.9662144000000012E-2</v>
      </c>
      <c r="O1033" s="123"/>
    </row>
    <row r="1034" spans="1:15" x14ac:dyDescent="0.25">
      <c r="A1034" s="140"/>
      <c r="B1034" s="120"/>
      <c r="C1034" s="120"/>
      <c r="D1034" s="120"/>
      <c r="E1034" s="120"/>
      <c r="F1034" s="120"/>
      <c r="G1034" s="120"/>
      <c r="H1034" s="120"/>
      <c r="I1034" s="120"/>
      <c r="J1034" s="120"/>
      <c r="K1034" s="120"/>
      <c r="L1034" s="120"/>
      <c r="M1034" s="120"/>
      <c r="N1034" s="120"/>
      <c r="O1034" s="123"/>
    </row>
    <row r="1035" spans="1:15" x14ac:dyDescent="0.25">
      <c r="A1035" s="141" t="s">
        <v>15</v>
      </c>
      <c r="B1035" s="132" t="s">
        <v>32</v>
      </c>
      <c r="C1035" s="132" t="s">
        <v>21</v>
      </c>
      <c r="D1035" s="132" t="s">
        <v>22</v>
      </c>
      <c r="E1035" s="132" t="s">
        <v>33</v>
      </c>
      <c r="F1035" s="132" t="s">
        <v>18</v>
      </c>
      <c r="G1035" s="132" t="s">
        <v>34</v>
      </c>
      <c r="H1035" s="132" t="s">
        <v>35</v>
      </c>
      <c r="I1035" s="132" t="s">
        <v>19</v>
      </c>
      <c r="J1035" s="138"/>
      <c r="K1035" s="138"/>
      <c r="L1035" s="138"/>
      <c r="M1035" s="138"/>
      <c r="N1035" s="138"/>
      <c r="O1035" s="123"/>
    </row>
    <row r="1036" spans="1:15" x14ac:dyDescent="0.25">
      <c r="A1036" s="837">
        <v>10</v>
      </c>
      <c r="B1036" s="142" t="s">
        <v>410</v>
      </c>
      <c r="C1036" s="146"/>
      <c r="D1036" s="160">
        <v>0.35</v>
      </c>
      <c r="E1036" s="146" t="s">
        <v>247</v>
      </c>
      <c r="F1036" s="835">
        <v>2</v>
      </c>
      <c r="G1036" s="142"/>
      <c r="H1036" s="834">
        <v>1</v>
      </c>
      <c r="I1036" s="160">
        <f>IF(H1036="",D1036*F1036,D1036*F1036*H1036)</f>
        <v>0.7</v>
      </c>
      <c r="J1036" s="120"/>
      <c r="K1036" s="120"/>
      <c r="L1036" s="120"/>
      <c r="M1036" s="120"/>
      <c r="N1036" s="120"/>
      <c r="O1036" s="123"/>
    </row>
    <row r="1037" spans="1:15" x14ac:dyDescent="0.25">
      <c r="A1037" s="837">
        <v>20</v>
      </c>
      <c r="B1037" s="142" t="s">
        <v>109</v>
      </c>
      <c r="C1037" s="146"/>
      <c r="D1037" s="160">
        <v>0.25</v>
      </c>
      <c r="E1037" s="146" t="s">
        <v>112</v>
      </c>
      <c r="F1037" s="835">
        <v>4</v>
      </c>
      <c r="G1037" s="142"/>
      <c r="H1037" s="834">
        <v>1</v>
      </c>
      <c r="I1037" s="160">
        <v>1</v>
      </c>
      <c r="J1037" s="120"/>
      <c r="K1037" s="120"/>
      <c r="L1037" s="120"/>
      <c r="M1037" s="120"/>
      <c r="N1037" s="120"/>
      <c r="O1037" s="123"/>
    </row>
    <row r="1038" spans="1:15" x14ac:dyDescent="0.25">
      <c r="A1038" s="137"/>
      <c r="B1038" s="138"/>
      <c r="C1038" s="138"/>
      <c r="D1038" s="138"/>
      <c r="E1038" s="138"/>
      <c r="F1038" s="138"/>
      <c r="G1038" s="138"/>
      <c r="H1038" s="148" t="s">
        <v>19</v>
      </c>
      <c r="I1038" s="161">
        <f>SUM(I1036:I1037)</f>
        <v>1.7</v>
      </c>
      <c r="J1038" s="138"/>
      <c r="K1038" s="138"/>
      <c r="L1038" s="138"/>
      <c r="M1038" s="138"/>
      <c r="N1038" s="138"/>
      <c r="O1038" s="123"/>
    </row>
    <row r="1039" spans="1:15" x14ac:dyDescent="0.25">
      <c r="A1039" s="137"/>
      <c r="B1039" s="138"/>
      <c r="C1039" s="138"/>
      <c r="D1039" s="138"/>
      <c r="E1039" s="138"/>
      <c r="F1039" s="138"/>
      <c r="G1039" s="138"/>
      <c r="H1039" s="986"/>
      <c r="I1039" s="987"/>
      <c r="J1039" s="138"/>
      <c r="K1039" s="138"/>
      <c r="L1039" s="138"/>
      <c r="M1039" s="138"/>
      <c r="N1039" s="138"/>
      <c r="O1039" s="123"/>
    </row>
    <row r="1040" spans="1:15" x14ac:dyDescent="0.25">
      <c r="A1040" s="137"/>
      <c r="B1040" s="138"/>
      <c r="C1040" s="138"/>
      <c r="D1040" s="138"/>
      <c r="E1040" s="138"/>
      <c r="F1040" s="138"/>
      <c r="G1040" s="138"/>
      <c r="H1040" s="986"/>
      <c r="I1040" s="987"/>
      <c r="J1040" s="138"/>
      <c r="K1040" s="138"/>
      <c r="L1040" s="138"/>
      <c r="M1040" s="138"/>
      <c r="N1040" s="138"/>
      <c r="O1040" s="123"/>
    </row>
    <row r="1041" spans="1:15" x14ac:dyDescent="0.25">
      <c r="A1041" s="137"/>
      <c r="B1041" s="138"/>
      <c r="C1041" s="138"/>
      <c r="D1041" s="138"/>
      <c r="E1041" s="138"/>
      <c r="F1041" s="138"/>
      <c r="G1041" s="138"/>
      <c r="H1041" s="986"/>
      <c r="I1041" s="987"/>
      <c r="J1041" s="138"/>
      <c r="K1041" s="138"/>
      <c r="L1041" s="138"/>
      <c r="M1041" s="138"/>
      <c r="N1041" s="138"/>
      <c r="O1041" s="123"/>
    </row>
    <row r="1042" spans="1:15" x14ac:dyDescent="0.25">
      <c r="A1042" s="137"/>
      <c r="B1042" s="138"/>
      <c r="C1042" s="138"/>
      <c r="D1042" s="138"/>
      <c r="E1042" s="138"/>
      <c r="F1042" s="138"/>
      <c r="G1042" s="138"/>
      <c r="H1042" s="986"/>
      <c r="I1042" s="987"/>
      <c r="J1042" s="138"/>
      <c r="K1042" s="138"/>
      <c r="L1042" s="138"/>
      <c r="M1042" s="138"/>
      <c r="N1042" s="138"/>
      <c r="O1042" s="123"/>
    </row>
    <row r="1043" spans="1:15" x14ac:dyDescent="0.25">
      <c r="A1043" s="137"/>
      <c r="B1043" s="138"/>
      <c r="C1043" s="138"/>
      <c r="D1043" s="138"/>
      <c r="E1043" s="138"/>
      <c r="F1043" s="138"/>
      <c r="G1043" s="138"/>
      <c r="H1043" s="986"/>
      <c r="I1043" s="987"/>
      <c r="J1043" s="138"/>
      <c r="K1043" s="138"/>
      <c r="L1043" s="138"/>
      <c r="M1043" s="138"/>
      <c r="N1043" s="138"/>
      <c r="O1043" s="123"/>
    </row>
    <row r="1044" spans="1:15" x14ac:dyDescent="0.25">
      <c r="A1044" s="137"/>
      <c r="B1044" s="138"/>
      <c r="C1044" s="138"/>
      <c r="D1044" s="138"/>
      <c r="E1044" s="138"/>
      <c r="F1044" s="138"/>
      <c r="G1044" s="138"/>
      <c r="H1044" s="986"/>
      <c r="I1044" s="987"/>
      <c r="J1044" s="138"/>
      <c r="K1044" s="138"/>
      <c r="L1044" s="138"/>
      <c r="M1044" s="138"/>
      <c r="N1044" s="138"/>
      <c r="O1044" s="123"/>
    </row>
    <row r="1045" spans="1:15" x14ac:dyDescent="0.25">
      <c r="A1045" s="137"/>
      <c r="B1045" s="138"/>
      <c r="C1045" s="138"/>
      <c r="D1045" s="138"/>
      <c r="E1045" s="138"/>
      <c r="F1045" s="138"/>
      <c r="G1045" s="138"/>
      <c r="H1045" s="986"/>
      <c r="I1045" s="987"/>
      <c r="J1045" s="138"/>
      <c r="K1045" s="138"/>
      <c r="L1045" s="138"/>
      <c r="M1045" s="138"/>
      <c r="N1045" s="138"/>
      <c r="O1045" s="123"/>
    </row>
    <row r="1046" spans="1:15" x14ac:dyDescent="0.25">
      <c r="A1046" s="137"/>
      <c r="B1046" s="138"/>
      <c r="C1046" s="138"/>
      <c r="D1046" s="138"/>
      <c r="E1046" s="138"/>
      <c r="F1046" s="138"/>
      <c r="G1046" s="138"/>
      <c r="H1046" s="986"/>
      <c r="I1046" s="987"/>
      <c r="J1046" s="138"/>
      <c r="K1046" s="138"/>
      <c r="L1046" s="138"/>
      <c r="M1046" s="138"/>
      <c r="N1046" s="138"/>
      <c r="O1046" s="123"/>
    </row>
    <row r="1047" spans="1:15" x14ac:dyDescent="0.25">
      <c r="A1047" s="137"/>
      <c r="B1047" s="138"/>
      <c r="C1047" s="138"/>
      <c r="D1047" s="138"/>
      <c r="E1047" s="138"/>
      <c r="F1047" s="138"/>
      <c r="G1047" s="138"/>
      <c r="H1047" s="986"/>
      <c r="I1047" s="987"/>
      <c r="J1047" s="138"/>
      <c r="K1047" s="138"/>
      <c r="L1047" s="138"/>
      <c r="M1047" s="138"/>
      <c r="N1047" s="138"/>
      <c r="O1047" s="123"/>
    </row>
    <row r="1048" spans="1:15" x14ac:dyDescent="0.25">
      <c r="A1048" s="137"/>
      <c r="B1048" s="138"/>
      <c r="C1048" s="138"/>
      <c r="D1048" s="138"/>
      <c r="E1048" s="138"/>
      <c r="F1048" s="138"/>
      <c r="G1048" s="138"/>
      <c r="H1048" s="986"/>
      <c r="I1048" s="987"/>
      <c r="J1048" s="138"/>
      <c r="K1048" s="138"/>
      <c r="L1048" s="138"/>
      <c r="M1048" s="138"/>
      <c r="N1048" s="138"/>
      <c r="O1048" s="123"/>
    </row>
    <row r="1049" spans="1:15" x14ac:dyDescent="0.25">
      <c r="A1049" s="137"/>
      <c r="B1049" s="138"/>
      <c r="C1049" s="138"/>
      <c r="D1049" s="138"/>
      <c r="E1049" s="138"/>
      <c r="F1049" s="138"/>
      <c r="G1049" s="138"/>
      <c r="H1049" s="986"/>
      <c r="I1049" s="987"/>
      <c r="J1049" s="138"/>
      <c r="K1049" s="138"/>
      <c r="L1049" s="138"/>
      <c r="M1049" s="138"/>
      <c r="N1049" s="138"/>
      <c r="O1049" s="123"/>
    </row>
    <row r="1050" spans="1:15" x14ac:dyDescent="0.25">
      <c r="A1050" s="137"/>
      <c r="B1050" s="138"/>
      <c r="C1050" s="138"/>
      <c r="D1050" s="138"/>
      <c r="E1050" s="138"/>
      <c r="F1050" s="138"/>
      <c r="G1050" s="138"/>
      <c r="H1050" s="986"/>
      <c r="I1050" s="987"/>
      <c r="J1050" s="138"/>
      <c r="K1050" s="138"/>
      <c r="L1050" s="138"/>
      <c r="M1050" s="138"/>
      <c r="N1050" s="138"/>
      <c r="O1050" s="123"/>
    </row>
    <row r="1051" spans="1:15" ht="15.75" thickBot="1" x14ac:dyDescent="0.3">
      <c r="A1051" s="149"/>
      <c r="B1051" s="150"/>
      <c r="C1051" s="150"/>
      <c r="D1051" s="150"/>
      <c r="E1051" s="150"/>
      <c r="F1051" s="150"/>
      <c r="G1051" s="150"/>
      <c r="H1051" s="988"/>
      <c r="I1051" s="988"/>
      <c r="J1051" s="150"/>
      <c r="K1051" s="150"/>
      <c r="L1051" s="150"/>
      <c r="M1051" s="150"/>
      <c r="N1051" s="150"/>
      <c r="O1051" s="152"/>
    </row>
  </sheetData>
  <hyperlinks>
    <hyperlink ref="B513" location="EN_A0005" display="EN_A0005"/>
    <hyperlink ref="B554" location="EN_A0005" display="EN_A0005"/>
    <hyperlink ref="B591" location="EN_A0005" display="EN_A0005"/>
    <hyperlink ref="B630" location="EN_A0005" display="Air Intake System"/>
    <hyperlink ref="B664" location="EN_A0005" display="Air Intake System"/>
    <hyperlink ref="B704" location="EN_A0005" display="Air Intake System"/>
    <hyperlink ref="B4" location="EN_A0001" display="Differential"/>
    <hyperlink ref="B47" location="EN_A0001" display="Differential"/>
    <hyperlink ref="B69" location="EN_A0001" display="Differential"/>
    <hyperlink ref="B89" location="EN_A0001" display="Differential"/>
    <hyperlink ref="B109" location="EN_A0002" display="Turnbuckle"/>
    <hyperlink ref="B129" location="EN_A0002" display="Turnbuckle"/>
    <hyperlink ref="B150" location="EN_A0002" display="Turnbuckle"/>
    <hyperlink ref="B170" location="EN_A0003" display="Driveshaft"/>
    <hyperlink ref="B216" location="EN_A0003" display="Driveshaft"/>
    <hyperlink ref="B265" location="EN_A0003" display="Driveshaft"/>
    <hyperlink ref="B341" location="'EN Assemblies'!B199" display="Chain set"/>
    <hyperlink ref="B384" location="'EN Assemblies'!B199" display="Chain set"/>
    <hyperlink ref="B424" location="'EN Assemblies'!B199" display="Chain set"/>
    <hyperlink ref="B471" location="'EN Assemblies'!B199" display="Chain set"/>
    <hyperlink ref="B491" location="'EN Assemblies'!B199" display="Chain set"/>
    <hyperlink ref="B305" location="EN_A0003" display="Driveshaft"/>
    <hyperlink ref="B744" location="EN_A0006" display="Throttle Body"/>
    <hyperlink ref="B769" location="EN_A0006" display="Throttle Body"/>
    <hyperlink ref="B790" location="EN_A0006" display="Throttle Body"/>
    <hyperlink ref="B811" location="EN_A0006" display="Throttle Body"/>
    <hyperlink ref="B832" location="EN_A0006" display="Throttle Body"/>
    <hyperlink ref="B853" location="EN_A0006" display="Throttle Body"/>
    <hyperlink ref="B874" location="EN_A0006" display="Throttle Body"/>
    <hyperlink ref="B893" location="EN_A0006" display="Throttle Body"/>
    <hyperlink ref="B912" location="EN_A0006" display="Throttle Body"/>
    <hyperlink ref="B931" location="EN_A0006" display="Throttle Body"/>
    <hyperlink ref="B962" location="EN_A0006" display="Throttle Body"/>
    <hyperlink ref="B994" location="EN_A0006" display="Throttle Body"/>
    <hyperlink ref="B1025" location="EN_A0006" display="Throttle Body"/>
  </hyperlinks>
  <pageMargins left="0.19685039370078741" right="0.19685039370078741" top="0.19685039370078741" bottom="0.19685039370078741" header="0.19685039370078741" footer="0.19685039370078741"/>
  <pageSetup paperSize="9" scale="55" firstPageNumber="0" fitToHeight="35" orientation="landscape" r:id="rId1"/>
  <headerFooter alignWithMargins="0">
    <oddHeader>Page &amp;P&amp;RCostReport_GreenFS.xlsx</oddHeader>
    <oddFooter>&amp;C&amp;"Times New Roman,Normal"&amp;12Page &amp;P</oddFooter>
  </headerFooter>
  <rowBreaks count="34" manualBreakCount="34">
    <brk id="42" max="16383" man="1"/>
    <brk id="64" max="16383" man="1"/>
    <brk id="84" max="16383" man="1"/>
    <brk id="104" max="16383" man="1"/>
    <brk id="124" max="16383" man="1"/>
    <brk id="145" max="16383" man="1"/>
    <brk id="165" max="16383" man="1"/>
    <brk id="211" max="16383" man="1"/>
    <brk id="260" max="16383" man="1"/>
    <brk id="300" max="16383" man="1"/>
    <brk id="336" max="16383" man="1"/>
    <brk id="379" max="16383" man="1"/>
    <brk id="419" max="16383" man="1"/>
    <brk id="466" max="16383" man="1"/>
    <brk id="486" max="16383" man="1"/>
    <brk id="508" max="16383" man="1"/>
    <brk id="549" max="16383" man="1"/>
    <brk id="586" max="16383" man="1"/>
    <brk id="625" max="16383" man="1"/>
    <brk id="659" max="16383" man="1"/>
    <brk id="699" max="16383" man="1"/>
    <brk id="739" max="16383" man="1"/>
    <brk id="764" max="16383" man="1"/>
    <brk id="785" max="16383" man="1"/>
    <brk id="806" max="16383" man="1"/>
    <brk id="827" max="16383" man="1"/>
    <brk id="848" max="16383" man="1"/>
    <brk id="869" max="16383" man="1"/>
    <brk id="888" max="16383" man="1"/>
    <brk id="907" max="16383" man="1"/>
    <brk id="926" max="16383" man="1"/>
    <brk id="957" max="16383" man="1"/>
    <brk id="989" max="16383" man="1"/>
    <brk id="102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  <pageSetUpPr fitToPage="1"/>
  </sheetPr>
  <dimension ref="A1:O93"/>
  <sheetViews>
    <sheetView view="pageBreakPreview" zoomScale="60" zoomScaleNormal="80" workbookViewId="0">
      <selection activeCell="M88" sqref="M88"/>
    </sheetView>
  </sheetViews>
  <sheetFormatPr baseColWidth="10" defaultColWidth="9.140625" defaultRowHeight="15" x14ac:dyDescent="0.25"/>
  <cols>
    <col min="1" max="1" width="9.140625" style="895"/>
    <col min="2" max="2" width="34.7109375" style="895" customWidth="1"/>
    <col min="3" max="3" width="37.42578125" style="895" customWidth="1"/>
    <col min="4" max="6" width="9.140625" style="895"/>
    <col min="7" max="7" width="19.42578125" style="895" customWidth="1"/>
    <col min="8" max="13" width="9.140625" style="895"/>
    <col min="14" max="14" width="10.28515625" style="895" bestFit="1" customWidth="1"/>
    <col min="15" max="15" width="25.5703125" style="895" customWidth="1"/>
    <col min="16" max="16384" width="9.140625" style="895"/>
  </cols>
  <sheetData>
    <row r="1" spans="1:15" x14ac:dyDescent="0.25">
      <c r="A1" s="892"/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4"/>
    </row>
    <row r="2" spans="1:15" x14ac:dyDescent="0.25">
      <c r="A2" s="896" t="s">
        <v>0</v>
      </c>
      <c r="B2" s="897" t="s">
        <v>1</v>
      </c>
      <c r="C2" s="898"/>
      <c r="D2" s="898"/>
      <c r="E2" s="898"/>
      <c r="F2" s="898"/>
      <c r="G2" s="898"/>
      <c r="H2" s="898"/>
      <c r="I2" s="898"/>
      <c r="J2" s="896" t="s">
        <v>2</v>
      </c>
      <c r="K2" s="899">
        <v>81</v>
      </c>
      <c r="L2" s="898"/>
      <c r="M2" s="896" t="s">
        <v>3</v>
      </c>
      <c r="N2" s="900">
        <f>E16+FR_A0006_m+FR_A0006_p+FR_A0006_f+FR_A0006_t</f>
        <v>116.56201776883333</v>
      </c>
      <c r="O2" s="901"/>
    </row>
    <row r="3" spans="1:15" x14ac:dyDescent="0.25">
      <c r="A3" s="896" t="s">
        <v>4</v>
      </c>
      <c r="B3" s="897" t="s">
        <v>501</v>
      </c>
      <c r="C3" s="898"/>
      <c r="D3" s="898"/>
      <c r="E3" s="898"/>
      <c r="F3" s="898"/>
      <c r="G3" s="898"/>
      <c r="H3" s="898"/>
      <c r="I3" s="898"/>
      <c r="J3" s="898"/>
      <c r="K3" s="898"/>
      <c r="L3" s="898"/>
      <c r="M3" s="896" t="s">
        <v>5</v>
      </c>
      <c r="N3" s="902">
        <v>1</v>
      </c>
      <c r="O3" s="901"/>
    </row>
    <row r="4" spans="1:15" x14ac:dyDescent="0.25">
      <c r="A4" s="896" t="s">
        <v>6</v>
      </c>
      <c r="B4" s="898" t="s">
        <v>502</v>
      </c>
      <c r="C4" s="898"/>
      <c r="D4" s="898"/>
      <c r="E4" s="898"/>
      <c r="F4" s="898"/>
      <c r="G4" s="898"/>
      <c r="H4" s="898"/>
      <c r="I4" s="898"/>
      <c r="J4" s="903" t="s">
        <v>7</v>
      </c>
      <c r="K4" s="898"/>
      <c r="L4" s="898"/>
      <c r="M4" s="898"/>
      <c r="N4" s="898"/>
      <c r="O4" s="901"/>
    </row>
    <row r="5" spans="1:15" x14ac:dyDescent="0.25">
      <c r="A5" s="896" t="s">
        <v>8</v>
      </c>
      <c r="B5" s="18" t="s">
        <v>601</v>
      </c>
      <c r="C5" s="898"/>
      <c r="D5" s="898"/>
      <c r="E5" s="898"/>
      <c r="F5" s="898"/>
      <c r="G5" s="898"/>
      <c r="H5" s="898"/>
      <c r="I5" s="898"/>
      <c r="J5" s="903" t="s">
        <v>9</v>
      </c>
      <c r="K5" s="898"/>
      <c r="L5" s="898"/>
      <c r="M5" s="896" t="s">
        <v>10</v>
      </c>
      <c r="N5" s="904">
        <f>N2*N3</f>
        <v>116.56201776883333</v>
      </c>
      <c r="O5" s="901"/>
    </row>
    <row r="6" spans="1:15" x14ac:dyDescent="0.25">
      <c r="A6" s="896" t="s">
        <v>11</v>
      </c>
      <c r="B6" s="897" t="s">
        <v>12</v>
      </c>
      <c r="C6" s="898"/>
      <c r="D6" s="898"/>
      <c r="E6" s="898"/>
      <c r="F6" s="898"/>
      <c r="G6" s="898"/>
      <c r="H6" s="898"/>
      <c r="I6" s="898"/>
      <c r="J6" s="903" t="s">
        <v>13</v>
      </c>
      <c r="K6" s="898"/>
      <c r="L6" s="898"/>
      <c r="M6" s="898"/>
      <c r="N6" s="898"/>
      <c r="O6" s="901"/>
    </row>
    <row r="7" spans="1:15" x14ac:dyDescent="0.25">
      <c r="A7" s="896" t="s">
        <v>14</v>
      </c>
      <c r="B7" s="897" t="s">
        <v>531</v>
      </c>
      <c r="C7" s="898"/>
      <c r="D7" s="898"/>
      <c r="E7" s="898"/>
      <c r="F7" s="898"/>
      <c r="G7" s="898"/>
      <c r="H7" s="898"/>
      <c r="I7" s="898"/>
      <c r="J7" s="898"/>
      <c r="K7" s="898"/>
      <c r="L7" s="898"/>
      <c r="M7" s="898"/>
      <c r="N7" s="898"/>
      <c r="O7" s="901"/>
    </row>
    <row r="8" spans="1:15" x14ac:dyDescent="0.25">
      <c r="A8" s="905"/>
      <c r="B8" s="898"/>
      <c r="C8" s="898"/>
      <c r="D8" s="898"/>
      <c r="E8" s="898"/>
      <c r="F8" s="898"/>
      <c r="G8" s="898"/>
      <c r="H8" s="898"/>
      <c r="I8" s="898"/>
      <c r="J8" s="898"/>
      <c r="K8" s="898"/>
      <c r="L8" s="898"/>
      <c r="M8" s="898"/>
      <c r="N8" s="898"/>
      <c r="O8" s="901"/>
    </row>
    <row r="9" spans="1:15" x14ac:dyDescent="0.25">
      <c r="A9" s="896" t="s">
        <v>15</v>
      </c>
      <c r="B9" s="896" t="s">
        <v>16</v>
      </c>
      <c r="C9" s="896" t="s">
        <v>17</v>
      </c>
      <c r="D9" s="896" t="s">
        <v>18</v>
      </c>
      <c r="E9" s="896" t="s">
        <v>19</v>
      </c>
      <c r="F9" s="898"/>
      <c r="G9" s="898"/>
      <c r="H9" s="898"/>
      <c r="I9" s="898"/>
      <c r="J9" s="898"/>
      <c r="K9" s="898"/>
      <c r="L9" s="898"/>
      <c r="M9" s="898"/>
      <c r="N9" s="898"/>
      <c r="O9" s="901"/>
    </row>
    <row r="10" spans="1:15" x14ac:dyDescent="0.25">
      <c r="A10" s="906">
        <v>10</v>
      </c>
      <c r="B10" s="172" t="str">
        <f>'FR Parts'!B5</f>
        <v>Engine gear box drum gear</v>
      </c>
      <c r="C10" s="904">
        <f>'FR Parts'!N5</f>
        <v>14.578946999999999</v>
      </c>
      <c r="D10" s="942">
        <f>FR_06001_q</f>
        <v>1</v>
      </c>
      <c r="E10" s="904">
        <f>C10*D10</f>
        <v>14.578946999999999</v>
      </c>
      <c r="F10" s="898"/>
      <c r="G10" s="898"/>
      <c r="H10" s="898"/>
      <c r="I10" s="898"/>
      <c r="J10" s="898"/>
      <c r="K10" s="898"/>
      <c r="L10" s="898"/>
      <c r="M10" s="898"/>
      <c r="N10" s="898"/>
      <c r="O10" s="901"/>
    </row>
    <row r="11" spans="1:15" x14ac:dyDescent="0.25">
      <c r="A11" s="906">
        <v>20</v>
      </c>
      <c r="B11" s="172" t="str">
        <f>'FR Parts'!B45</f>
        <v>Engine gear box shifting, pinion shaft</v>
      </c>
      <c r="C11" s="904">
        <f>'FR Parts'!N42</f>
        <v>17.638947000000002</v>
      </c>
      <c r="D11" s="906">
        <f>FR_06002_q</f>
        <v>1</v>
      </c>
      <c r="E11" s="904">
        <f t="shared" ref="E11:E15" si="0">C11*D11</f>
        <v>17.638947000000002</v>
      </c>
      <c r="F11" s="898"/>
      <c r="G11" s="898"/>
      <c r="H11" s="898"/>
      <c r="I11" s="898"/>
      <c r="J11" s="898"/>
      <c r="K11" s="898"/>
      <c r="L11" s="898"/>
      <c r="M11" s="898"/>
      <c r="N11" s="898"/>
      <c r="O11" s="901"/>
    </row>
    <row r="12" spans="1:15" x14ac:dyDescent="0.25">
      <c r="A12" s="906">
        <v>30</v>
      </c>
      <c r="B12" s="172" t="str">
        <f>'FR Parts'!B82</f>
        <v>Engine gear box actuator tab</v>
      </c>
      <c r="C12" s="904">
        <f>'FR Parts'!N79</f>
        <v>1.8850923625</v>
      </c>
      <c r="D12" s="906">
        <f>FR_06003_q</f>
        <v>1</v>
      </c>
      <c r="E12" s="904">
        <f t="shared" si="0"/>
        <v>1.8850923625</v>
      </c>
      <c r="F12" s="898"/>
      <c r="G12" s="898"/>
      <c r="H12" s="898"/>
      <c r="I12" s="898"/>
      <c r="J12" s="898"/>
      <c r="K12" s="898"/>
      <c r="L12" s="898"/>
      <c r="M12" s="898"/>
      <c r="N12" s="898"/>
      <c r="O12" s="907"/>
    </row>
    <row r="13" spans="1:15" x14ac:dyDescent="0.25">
      <c r="A13" s="906">
        <v>40</v>
      </c>
      <c r="B13" s="172" t="str">
        <f>'FR Parts'!B117</f>
        <v>Front engine gear box actuator mount</v>
      </c>
      <c r="C13" s="904">
        <f>'FR Parts'!N114</f>
        <v>2.8289551680000002</v>
      </c>
      <c r="D13" s="906">
        <f>FR_06004_q</f>
        <v>1</v>
      </c>
      <c r="E13" s="904">
        <f t="shared" si="0"/>
        <v>2.8289551680000002</v>
      </c>
      <c r="F13" s="898"/>
      <c r="G13" s="898"/>
      <c r="H13" s="898"/>
      <c r="I13" s="898"/>
      <c r="J13" s="898"/>
      <c r="K13" s="898"/>
      <c r="L13" s="898"/>
      <c r="M13" s="898"/>
      <c r="N13" s="898"/>
      <c r="O13" s="907"/>
    </row>
    <row r="14" spans="1:15" x14ac:dyDescent="0.25">
      <c r="A14" s="906">
        <v>50</v>
      </c>
      <c r="B14" s="823" t="str">
        <f>'FR Parts'!B154</f>
        <v>Rear gear box actuator mount</v>
      </c>
      <c r="C14" s="943">
        <f>'FR Parts'!N151</f>
        <v>2.6476392799999999</v>
      </c>
      <c r="D14" s="906">
        <f>FR_06005_q</f>
        <v>1</v>
      </c>
      <c r="E14" s="904">
        <f t="shared" si="0"/>
        <v>2.6476392799999999</v>
      </c>
      <c r="F14" s="898"/>
      <c r="G14" s="898"/>
      <c r="H14" s="898"/>
      <c r="I14" s="898"/>
      <c r="J14" s="898"/>
      <c r="K14" s="898"/>
      <c r="L14" s="898"/>
      <c r="M14" s="898"/>
      <c r="N14" s="898"/>
      <c r="O14" s="901"/>
    </row>
    <row r="15" spans="1:15" x14ac:dyDescent="0.25">
      <c r="A15" s="906">
        <v>60</v>
      </c>
      <c r="B15" s="823" t="str">
        <f>'FR Parts'!B193</f>
        <v>Engine gear box actuator coupling</v>
      </c>
      <c r="C15" s="945">
        <f>'FR Parts'!N190</f>
        <v>7.5428536250000002</v>
      </c>
      <c r="D15" s="906">
        <f>FR_06005_q</f>
        <v>1</v>
      </c>
      <c r="E15" s="904">
        <f t="shared" si="0"/>
        <v>7.5428536250000002</v>
      </c>
      <c r="F15" s="898"/>
      <c r="G15" s="898"/>
      <c r="H15" s="898"/>
      <c r="I15" s="898"/>
      <c r="J15" s="898"/>
      <c r="K15" s="898"/>
      <c r="L15" s="898"/>
      <c r="M15" s="898"/>
      <c r="N15" s="898"/>
      <c r="O15" s="901"/>
    </row>
    <row r="16" spans="1:15" x14ac:dyDescent="0.25">
      <c r="A16" s="905"/>
      <c r="B16" s="898"/>
      <c r="C16" s="944"/>
      <c r="D16" s="908" t="s">
        <v>19</v>
      </c>
      <c r="E16" s="909">
        <f>SUM(E10:E15)</f>
        <v>47.122434435500004</v>
      </c>
      <c r="F16" s="898"/>
      <c r="G16" s="898"/>
      <c r="H16" s="898"/>
      <c r="I16" s="898"/>
      <c r="J16" s="898"/>
      <c r="K16" s="898"/>
      <c r="L16" s="898"/>
      <c r="M16" s="898"/>
      <c r="N16" s="898"/>
      <c r="O16" s="901"/>
    </row>
    <row r="17" spans="1:15" x14ac:dyDescent="0.25">
      <c r="A17" s="905"/>
      <c r="B17" s="898"/>
      <c r="C17" s="898"/>
      <c r="D17" s="898"/>
      <c r="E17" s="898"/>
      <c r="F17" s="898"/>
      <c r="G17" s="898"/>
      <c r="H17" s="898"/>
      <c r="I17" s="898"/>
      <c r="J17" s="898"/>
      <c r="K17" s="898"/>
      <c r="L17" s="898"/>
      <c r="M17" s="898"/>
      <c r="N17" s="898"/>
      <c r="O17" s="901"/>
    </row>
    <row r="18" spans="1:15" x14ac:dyDescent="0.25">
      <c r="A18" s="896" t="s">
        <v>15</v>
      </c>
      <c r="B18" s="896" t="s">
        <v>20</v>
      </c>
      <c r="C18" s="896" t="s">
        <v>21</v>
      </c>
      <c r="D18" s="896" t="s">
        <v>22</v>
      </c>
      <c r="E18" s="896" t="s">
        <v>23</v>
      </c>
      <c r="F18" s="896" t="s">
        <v>24</v>
      </c>
      <c r="G18" s="896" t="s">
        <v>25</v>
      </c>
      <c r="H18" s="896" t="s">
        <v>26</v>
      </c>
      <c r="I18" s="896" t="s">
        <v>27</v>
      </c>
      <c r="J18" s="896" t="s">
        <v>28</v>
      </c>
      <c r="K18" s="896" t="s">
        <v>29</v>
      </c>
      <c r="L18" s="896" t="s">
        <v>30</v>
      </c>
      <c r="M18" s="896" t="s">
        <v>18</v>
      </c>
      <c r="N18" s="896" t="s">
        <v>19</v>
      </c>
      <c r="O18" s="901"/>
    </row>
    <row r="19" spans="1:15" x14ac:dyDescent="0.25">
      <c r="A19" s="906">
        <v>10</v>
      </c>
      <c r="B19" s="906" t="s">
        <v>129</v>
      </c>
      <c r="C19" s="906" t="s">
        <v>532</v>
      </c>
      <c r="D19" s="904">
        <v>10</v>
      </c>
      <c r="E19" s="906">
        <v>5.0000000000000001E-3</v>
      </c>
      <c r="F19" s="906" t="s">
        <v>136</v>
      </c>
      <c r="G19" s="906"/>
      <c r="H19" s="910"/>
      <c r="I19" s="911"/>
      <c r="J19" s="912"/>
      <c r="K19" s="910"/>
      <c r="L19" s="910"/>
      <c r="M19" s="910">
        <v>1</v>
      </c>
      <c r="N19" s="904">
        <f>M19*D19*E19</f>
        <v>0.05</v>
      </c>
      <c r="O19" s="901"/>
    </row>
    <row r="20" spans="1:15" s="921" customFormat="1" ht="18" customHeight="1" x14ac:dyDescent="0.25">
      <c r="A20" s="906">
        <v>20</v>
      </c>
      <c r="B20" s="906" t="s">
        <v>533</v>
      </c>
      <c r="C20" s="913" t="s">
        <v>534</v>
      </c>
      <c r="D20" s="904">
        <v>40</v>
      </c>
      <c r="E20" s="914">
        <v>1</v>
      </c>
      <c r="F20" s="914" t="s">
        <v>36</v>
      </c>
      <c r="G20" s="914"/>
      <c r="H20" s="910"/>
      <c r="I20" s="915"/>
      <c r="J20" s="916"/>
      <c r="K20" s="917"/>
      <c r="L20" s="918"/>
      <c r="M20" s="919">
        <v>1</v>
      </c>
      <c r="N20" s="904">
        <f>M20*D20</f>
        <v>40</v>
      </c>
      <c r="O20" s="920"/>
    </row>
    <row r="21" spans="1:15" x14ac:dyDescent="0.25">
      <c r="A21" s="906">
        <v>30</v>
      </c>
      <c r="B21" s="906" t="s">
        <v>535</v>
      </c>
      <c r="C21" s="906" t="s">
        <v>536</v>
      </c>
      <c r="D21" s="904">
        <v>2.4300000000000002</v>
      </c>
      <c r="E21" s="906">
        <v>9</v>
      </c>
      <c r="F21" s="906" t="s">
        <v>31</v>
      </c>
      <c r="G21" s="906"/>
      <c r="H21" s="910"/>
      <c r="I21" s="919"/>
      <c r="J21" s="922"/>
      <c r="K21" s="910"/>
      <c r="L21" s="916"/>
      <c r="M21" s="910">
        <v>1</v>
      </c>
      <c r="N21" s="904">
        <f>M21*D21</f>
        <v>2.4300000000000002</v>
      </c>
      <c r="O21" s="901"/>
    </row>
    <row r="22" spans="1:15" x14ac:dyDescent="0.25">
      <c r="A22" s="923"/>
      <c r="B22" s="924"/>
      <c r="C22" s="924"/>
      <c r="D22" s="924"/>
      <c r="E22" s="924"/>
      <c r="F22" s="924"/>
      <c r="G22" s="924"/>
      <c r="H22" s="924"/>
      <c r="I22" s="924"/>
      <c r="J22" s="924"/>
      <c r="K22" s="924"/>
      <c r="L22" s="924"/>
      <c r="M22" s="896" t="s">
        <v>19</v>
      </c>
      <c r="N22" s="909">
        <f>SUM(N19:N21)</f>
        <v>42.48</v>
      </c>
      <c r="O22" s="901"/>
    </row>
    <row r="23" spans="1:15" x14ac:dyDescent="0.25">
      <c r="A23" s="905"/>
      <c r="B23" s="898"/>
      <c r="C23" s="898"/>
      <c r="D23" s="898"/>
      <c r="E23" s="898"/>
      <c r="F23" s="898"/>
      <c r="G23" s="898"/>
      <c r="H23" s="898"/>
      <c r="I23" s="898"/>
      <c r="J23" s="898"/>
      <c r="K23" s="898"/>
      <c r="L23" s="898"/>
      <c r="M23" s="898"/>
      <c r="N23" s="898"/>
      <c r="O23" s="901"/>
    </row>
    <row r="24" spans="1:15" s="926" customFormat="1" x14ac:dyDescent="0.25">
      <c r="A24" s="896" t="s">
        <v>15</v>
      </c>
      <c r="B24" s="896" t="s">
        <v>32</v>
      </c>
      <c r="C24" s="896" t="s">
        <v>21</v>
      </c>
      <c r="D24" s="896" t="s">
        <v>22</v>
      </c>
      <c r="E24" s="896" t="s">
        <v>33</v>
      </c>
      <c r="F24" s="896" t="s">
        <v>18</v>
      </c>
      <c r="G24" s="896" t="s">
        <v>34</v>
      </c>
      <c r="H24" s="896" t="s">
        <v>35</v>
      </c>
      <c r="I24" s="896" t="s">
        <v>19</v>
      </c>
      <c r="J24" s="924"/>
      <c r="K24" s="924"/>
      <c r="L24" s="924"/>
      <c r="M24" s="924"/>
      <c r="N24" s="924"/>
      <c r="O24" s="925"/>
    </row>
    <row r="25" spans="1:15" x14ac:dyDescent="0.25">
      <c r="A25" s="906">
        <v>10</v>
      </c>
      <c r="B25" s="906" t="s">
        <v>132</v>
      </c>
      <c r="C25" s="906" t="s">
        <v>537</v>
      </c>
      <c r="D25" s="904">
        <v>0.15</v>
      </c>
      <c r="E25" s="906" t="s">
        <v>53</v>
      </c>
      <c r="F25" s="927">
        <v>5</v>
      </c>
      <c r="G25" s="927"/>
      <c r="H25" s="927">
        <v>1</v>
      </c>
      <c r="I25" s="904">
        <f t="shared" ref="I25:I72" si="1">IF(H25="",D25*F25,D25*F25*H25)</f>
        <v>0.75</v>
      </c>
      <c r="J25" s="898"/>
      <c r="K25" s="898"/>
      <c r="L25" s="898"/>
      <c r="M25" s="898"/>
      <c r="N25" s="898"/>
      <c r="O25" s="901"/>
    </row>
    <row r="26" spans="1:15" x14ac:dyDescent="0.25">
      <c r="A26" s="906">
        <v>20</v>
      </c>
      <c r="B26" s="928" t="s">
        <v>134</v>
      </c>
      <c r="C26" s="906" t="s">
        <v>538</v>
      </c>
      <c r="D26" s="904">
        <v>5.25</v>
      </c>
      <c r="E26" s="928" t="s">
        <v>136</v>
      </c>
      <c r="F26" s="927">
        <v>5.0000000000000001E-3</v>
      </c>
      <c r="G26" s="906"/>
      <c r="H26" s="906">
        <v>1</v>
      </c>
      <c r="I26" s="904">
        <f t="shared" si="1"/>
        <v>2.6249999999999999E-2</v>
      </c>
      <c r="J26" s="898"/>
      <c r="K26" s="898"/>
      <c r="L26" s="898"/>
      <c r="M26" s="898"/>
      <c r="N26" s="898"/>
      <c r="O26" s="901"/>
    </row>
    <row r="27" spans="1:15" x14ac:dyDescent="0.25">
      <c r="A27" s="906">
        <v>30</v>
      </c>
      <c r="B27" s="928" t="s">
        <v>539</v>
      </c>
      <c r="C27" s="62" t="s">
        <v>540</v>
      </c>
      <c r="D27" s="652">
        <v>0.25</v>
      </c>
      <c r="E27" s="62" t="s">
        <v>36</v>
      </c>
      <c r="F27" s="927">
        <v>13</v>
      </c>
      <c r="G27" s="62" t="s">
        <v>543</v>
      </c>
      <c r="H27" s="906">
        <v>0.8</v>
      </c>
      <c r="I27" s="904">
        <f t="shared" si="1"/>
        <v>2.6</v>
      </c>
      <c r="J27" s="898"/>
      <c r="K27" s="898"/>
      <c r="L27" s="898"/>
      <c r="M27" s="898"/>
      <c r="N27" s="898"/>
      <c r="O27" s="901"/>
    </row>
    <row r="28" spans="1:15" x14ac:dyDescent="0.25">
      <c r="A28" s="906">
        <v>40</v>
      </c>
      <c r="B28" s="76" t="s">
        <v>554</v>
      </c>
      <c r="C28" s="62" t="s">
        <v>540</v>
      </c>
      <c r="D28" s="904">
        <v>0.375</v>
      </c>
      <c r="E28" s="62" t="s">
        <v>36</v>
      </c>
      <c r="F28" s="927">
        <v>1</v>
      </c>
      <c r="G28" s="62" t="s">
        <v>543</v>
      </c>
      <c r="H28" s="906">
        <v>0.8</v>
      </c>
      <c r="I28" s="904">
        <f t="shared" si="1"/>
        <v>0.30000000000000004</v>
      </c>
      <c r="J28" s="898"/>
      <c r="K28" s="898"/>
      <c r="L28" s="898"/>
      <c r="M28" s="898"/>
      <c r="N28" s="898"/>
      <c r="O28" s="901"/>
    </row>
    <row r="29" spans="1:15" s="926" customFormat="1" x14ac:dyDescent="0.25">
      <c r="A29" s="906">
        <v>50</v>
      </c>
      <c r="B29" s="62" t="s">
        <v>541</v>
      </c>
      <c r="C29" s="62" t="s">
        <v>542</v>
      </c>
      <c r="D29" s="904">
        <v>0.25</v>
      </c>
      <c r="E29" s="62" t="s">
        <v>36</v>
      </c>
      <c r="F29" s="927">
        <v>5</v>
      </c>
      <c r="G29" s="62" t="s">
        <v>543</v>
      </c>
      <c r="H29" s="906">
        <v>0.8</v>
      </c>
      <c r="I29" s="904">
        <f t="shared" si="1"/>
        <v>1</v>
      </c>
      <c r="J29" s="898"/>
      <c r="K29" s="898"/>
      <c r="L29" s="898"/>
      <c r="M29" s="898"/>
      <c r="N29" s="898"/>
      <c r="O29" s="925"/>
    </row>
    <row r="30" spans="1:15" x14ac:dyDescent="0.25">
      <c r="A30" s="906">
        <v>60</v>
      </c>
      <c r="B30" s="76" t="s">
        <v>480</v>
      </c>
      <c r="C30" s="941" t="s">
        <v>544</v>
      </c>
      <c r="D30" s="904">
        <v>6.25E-2</v>
      </c>
      <c r="E30" s="76" t="s">
        <v>36</v>
      </c>
      <c r="F30" s="927">
        <v>5</v>
      </c>
      <c r="G30" s="62" t="s">
        <v>543</v>
      </c>
      <c r="H30" s="906">
        <v>0.8</v>
      </c>
      <c r="I30" s="904">
        <f t="shared" si="1"/>
        <v>0.25</v>
      </c>
      <c r="J30" s="898"/>
      <c r="K30" s="898"/>
      <c r="L30" s="898"/>
      <c r="M30" s="898"/>
      <c r="N30" s="898"/>
      <c r="O30" s="901"/>
    </row>
    <row r="31" spans="1:15" x14ac:dyDescent="0.25">
      <c r="A31" s="906">
        <v>70</v>
      </c>
      <c r="B31" s="62" t="s">
        <v>480</v>
      </c>
      <c r="C31" s="62" t="s">
        <v>545</v>
      </c>
      <c r="D31" s="904">
        <v>6.25E-2</v>
      </c>
      <c r="E31" s="62" t="s">
        <v>36</v>
      </c>
      <c r="F31" s="927">
        <v>1</v>
      </c>
      <c r="G31" s="62" t="s">
        <v>543</v>
      </c>
      <c r="H31" s="906">
        <v>0.8</v>
      </c>
      <c r="I31" s="904">
        <f t="shared" si="1"/>
        <v>0.05</v>
      </c>
      <c r="J31" s="898"/>
      <c r="K31" s="898"/>
      <c r="L31" s="898"/>
      <c r="M31" s="898"/>
      <c r="N31" s="898"/>
      <c r="O31" s="901"/>
    </row>
    <row r="32" spans="1:15" x14ac:dyDescent="0.25">
      <c r="A32" s="906">
        <v>80</v>
      </c>
      <c r="B32" s="76" t="s">
        <v>480</v>
      </c>
      <c r="C32" s="62" t="s">
        <v>546</v>
      </c>
      <c r="D32" s="904">
        <v>6.25E-2</v>
      </c>
      <c r="E32" s="76" t="s">
        <v>36</v>
      </c>
      <c r="F32" s="927">
        <v>1</v>
      </c>
      <c r="G32" s="62" t="s">
        <v>543</v>
      </c>
      <c r="H32" s="906">
        <v>0.8</v>
      </c>
      <c r="I32" s="904">
        <f t="shared" si="1"/>
        <v>0.05</v>
      </c>
      <c r="J32" s="898"/>
      <c r="K32" s="898"/>
      <c r="L32" s="898"/>
      <c r="M32" s="898"/>
      <c r="N32" s="898"/>
      <c r="O32" s="901"/>
    </row>
    <row r="33" spans="1:15" x14ac:dyDescent="0.25">
      <c r="A33" s="906">
        <v>90</v>
      </c>
      <c r="B33" s="76" t="s">
        <v>539</v>
      </c>
      <c r="C33" s="62" t="s">
        <v>547</v>
      </c>
      <c r="D33" s="904">
        <v>0.25</v>
      </c>
      <c r="E33" s="62" t="s">
        <v>36</v>
      </c>
      <c r="F33" s="927">
        <v>1</v>
      </c>
      <c r="G33" s="62" t="s">
        <v>543</v>
      </c>
      <c r="H33" s="906">
        <v>0.8</v>
      </c>
      <c r="I33" s="904">
        <f t="shared" si="1"/>
        <v>0.2</v>
      </c>
      <c r="J33" s="898"/>
      <c r="K33" s="898"/>
      <c r="L33" s="898"/>
      <c r="M33" s="898"/>
      <c r="N33" s="898"/>
      <c r="O33" s="901"/>
    </row>
    <row r="34" spans="1:15" x14ac:dyDescent="0.25">
      <c r="A34" s="906">
        <v>100</v>
      </c>
      <c r="B34" s="76" t="s">
        <v>480</v>
      </c>
      <c r="C34" s="62" t="s">
        <v>548</v>
      </c>
      <c r="D34" s="904">
        <v>6.25E-2</v>
      </c>
      <c r="E34" s="62" t="s">
        <v>36</v>
      </c>
      <c r="F34" s="927">
        <v>1</v>
      </c>
      <c r="G34" s="62" t="s">
        <v>543</v>
      </c>
      <c r="H34" s="906">
        <v>0.8</v>
      </c>
      <c r="I34" s="904">
        <f t="shared" si="1"/>
        <v>0.05</v>
      </c>
      <c r="J34" s="898"/>
      <c r="K34" s="898"/>
      <c r="L34" s="898"/>
      <c r="M34" s="898"/>
      <c r="N34" s="898"/>
      <c r="O34" s="901"/>
    </row>
    <row r="35" spans="1:15" s="926" customFormat="1" x14ac:dyDescent="0.25">
      <c r="A35" s="906">
        <v>110</v>
      </c>
      <c r="B35" s="62" t="s">
        <v>480</v>
      </c>
      <c r="C35" s="62" t="s">
        <v>549</v>
      </c>
      <c r="D35" s="904">
        <v>6.25E-2</v>
      </c>
      <c r="E35" s="62" t="s">
        <v>36</v>
      </c>
      <c r="F35" s="927">
        <v>1</v>
      </c>
      <c r="G35" s="62" t="s">
        <v>543</v>
      </c>
      <c r="H35" s="906">
        <v>0.8</v>
      </c>
      <c r="I35" s="904">
        <f t="shared" si="1"/>
        <v>0.05</v>
      </c>
      <c r="J35" s="898"/>
      <c r="K35" s="898"/>
      <c r="L35" s="898"/>
      <c r="M35" s="898"/>
      <c r="N35" s="898"/>
      <c r="O35" s="925"/>
    </row>
    <row r="36" spans="1:15" x14ac:dyDescent="0.25">
      <c r="A36" s="906">
        <v>120</v>
      </c>
      <c r="B36" s="76" t="s">
        <v>480</v>
      </c>
      <c r="C36" s="941" t="s">
        <v>550</v>
      </c>
      <c r="D36" s="904">
        <v>6.25E-2</v>
      </c>
      <c r="E36" s="76" t="s">
        <v>36</v>
      </c>
      <c r="F36" s="927">
        <v>1</v>
      </c>
      <c r="G36" s="62" t="s">
        <v>543</v>
      </c>
      <c r="H36" s="906">
        <v>0.8</v>
      </c>
      <c r="I36" s="904">
        <f t="shared" si="1"/>
        <v>0.05</v>
      </c>
      <c r="J36" s="898"/>
      <c r="K36" s="898"/>
      <c r="L36" s="898"/>
      <c r="M36" s="898"/>
      <c r="N36" s="898"/>
      <c r="O36" s="901"/>
    </row>
    <row r="37" spans="1:15" x14ac:dyDescent="0.25">
      <c r="A37" s="906">
        <v>130</v>
      </c>
      <c r="B37" s="62" t="s">
        <v>480</v>
      </c>
      <c r="C37" s="62" t="s">
        <v>551</v>
      </c>
      <c r="D37" s="904">
        <v>6.25E-2</v>
      </c>
      <c r="E37" s="62" t="s">
        <v>36</v>
      </c>
      <c r="F37" s="927">
        <v>1</v>
      </c>
      <c r="G37" s="62" t="s">
        <v>543</v>
      </c>
      <c r="H37" s="906">
        <v>0.8</v>
      </c>
      <c r="I37" s="904">
        <f t="shared" si="1"/>
        <v>0.05</v>
      </c>
      <c r="J37" s="898"/>
      <c r="K37" s="898"/>
      <c r="L37" s="898"/>
      <c r="M37" s="898"/>
      <c r="N37" s="898"/>
      <c r="O37" s="901"/>
    </row>
    <row r="38" spans="1:15" x14ac:dyDescent="0.25">
      <c r="A38" s="906">
        <v>140</v>
      </c>
      <c r="B38" s="76" t="s">
        <v>539</v>
      </c>
      <c r="C38" s="62" t="s">
        <v>552</v>
      </c>
      <c r="D38" s="904">
        <v>0.25</v>
      </c>
      <c r="E38" s="76" t="s">
        <v>36</v>
      </c>
      <c r="F38" s="927">
        <v>5</v>
      </c>
      <c r="G38" s="62" t="s">
        <v>543</v>
      </c>
      <c r="H38" s="906">
        <v>0.8</v>
      </c>
      <c r="I38" s="904">
        <f t="shared" si="1"/>
        <v>1</v>
      </c>
      <c r="J38" s="898"/>
      <c r="K38" s="898"/>
      <c r="L38" s="898"/>
      <c r="M38" s="898"/>
      <c r="N38" s="898"/>
      <c r="O38" s="901"/>
    </row>
    <row r="39" spans="1:15" x14ac:dyDescent="0.25">
      <c r="A39" s="906">
        <v>150</v>
      </c>
      <c r="B39" s="76" t="s">
        <v>480</v>
      </c>
      <c r="C39" s="62" t="s">
        <v>553</v>
      </c>
      <c r="D39" s="904">
        <v>6.25E-2</v>
      </c>
      <c r="E39" s="62" t="s">
        <v>36</v>
      </c>
      <c r="F39" s="927">
        <v>1</v>
      </c>
      <c r="G39" s="62" t="s">
        <v>543</v>
      </c>
      <c r="H39" s="906">
        <v>0.8</v>
      </c>
      <c r="I39" s="904">
        <f t="shared" si="1"/>
        <v>0.05</v>
      </c>
      <c r="J39" s="898"/>
      <c r="K39" s="898"/>
      <c r="L39" s="898"/>
      <c r="M39" s="898"/>
      <c r="N39" s="898"/>
      <c r="O39" s="901"/>
    </row>
    <row r="40" spans="1:15" x14ac:dyDescent="0.25">
      <c r="A40" s="906">
        <v>160</v>
      </c>
      <c r="B40" s="76" t="s">
        <v>554</v>
      </c>
      <c r="C40" s="62" t="s">
        <v>555</v>
      </c>
      <c r="D40" s="904">
        <v>0.375</v>
      </c>
      <c r="E40" s="62" t="s">
        <v>36</v>
      </c>
      <c r="F40" s="927">
        <v>1</v>
      </c>
      <c r="G40" s="62" t="s">
        <v>543</v>
      </c>
      <c r="H40" s="906">
        <v>0.8</v>
      </c>
      <c r="I40" s="904">
        <f t="shared" si="1"/>
        <v>0.30000000000000004</v>
      </c>
      <c r="J40" s="898"/>
      <c r="K40" s="898"/>
      <c r="L40" s="898"/>
      <c r="M40" s="898"/>
      <c r="N40" s="898"/>
      <c r="O40" s="901"/>
    </row>
    <row r="41" spans="1:15" s="926" customFormat="1" x14ac:dyDescent="0.25">
      <c r="A41" s="906">
        <v>170</v>
      </c>
      <c r="B41" s="62" t="s">
        <v>539</v>
      </c>
      <c r="C41" s="62" t="s">
        <v>556</v>
      </c>
      <c r="D41" s="904">
        <v>0.25</v>
      </c>
      <c r="E41" s="62" t="s">
        <v>36</v>
      </c>
      <c r="F41" s="927">
        <v>1</v>
      </c>
      <c r="G41" s="62" t="s">
        <v>543</v>
      </c>
      <c r="H41" s="906">
        <v>0.8</v>
      </c>
      <c r="I41" s="904">
        <f t="shared" si="1"/>
        <v>0.2</v>
      </c>
      <c r="J41" s="898"/>
      <c r="K41" s="898"/>
      <c r="L41" s="898"/>
      <c r="M41" s="898"/>
      <c r="N41" s="898"/>
      <c r="O41" s="925"/>
    </row>
    <row r="42" spans="1:15" x14ac:dyDescent="0.25">
      <c r="A42" s="906">
        <v>180</v>
      </c>
      <c r="B42" s="76" t="s">
        <v>557</v>
      </c>
      <c r="C42" s="941" t="s">
        <v>558</v>
      </c>
      <c r="D42" s="904">
        <v>0.25</v>
      </c>
      <c r="E42" s="76" t="s">
        <v>36</v>
      </c>
      <c r="F42" s="927">
        <v>1</v>
      </c>
      <c r="G42" s="62" t="s">
        <v>543</v>
      </c>
      <c r="H42" s="906">
        <v>0.8</v>
      </c>
      <c r="I42" s="904">
        <f t="shared" si="1"/>
        <v>0.2</v>
      </c>
      <c r="J42" s="898"/>
      <c r="K42" s="898"/>
      <c r="L42" s="898"/>
      <c r="M42" s="898"/>
      <c r="N42" s="898"/>
      <c r="O42" s="901"/>
    </row>
    <row r="43" spans="1:15" x14ac:dyDescent="0.25">
      <c r="A43" s="906">
        <v>190</v>
      </c>
      <c r="B43" s="62" t="s">
        <v>368</v>
      </c>
      <c r="C43" s="62" t="s">
        <v>559</v>
      </c>
      <c r="D43" s="904">
        <v>0.1875</v>
      </c>
      <c r="E43" s="62" t="s">
        <v>36</v>
      </c>
      <c r="F43" s="927">
        <v>1</v>
      </c>
      <c r="G43" s="62" t="s">
        <v>543</v>
      </c>
      <c r="H43" s="906">
        <v>0.8</v>
      </c>
      <c r="I43" s="904">
        <f t="shared" si="1"/>
        <v>0.15000000000000002</v>
      </c>
      <c r="J43" s="898"/>
      <c r="K43" s="898"/>
      <c r="L43" s="898"/>
      <c r="M43" s="898"/>
      <c r="N43" s="898"/>
      <c r="O43" s="901"/>
    </row>
    <row r="44" spans="1:15" x14ac:dyDescent="0.25">
      <c r="A44" s="906">
        <v>200</v>
      </c>
      <c r="B44" s="76" t="s">
        <v>539</v>
      </c>
      <c r="C44" s="62" t="s">
        <v>560</v>
      </c>
      <c r="D44" s="904">
        <v>0.25</v>
      </c>
      <c r="E44" s="76" t="s">
        <v>36</v>
      </c>
      <c r="F44" s="927">
        <v>1</v>
      </c>
      <c r="G44" s="62" t="s">
        <v>543</v>
      </c>
      <c r="H44" s="906">
        <v>0.8</v>
      </c>
      <c r="I44" s="904">
        <f t="shared" si="1"/>
        <v>0.2</v>
      </c>
      <c r="J44" s="898"/>
      <c r="K44" s="898"/>
      <c r="L44" s="898"/>
      <c r="M44" s="898"/>
      <c r="N44" s="898"/>
      <c r="O44" s="901"/>
    </row>
    <row r="45" spans="1:15" x14ac:dyDescent="0.25">
      <c r="A45" s="906">
        <v>210</v>
      </c>
      <c r="B45" s="76" t="s">
        <v>480</v>
      </c>
      <c r="C45" s="62" t="s">
        <v>561</v>
      </c>
      <c r="D45" s="904">
        <v>6.25E-2</v>
      </c>
      <c r="E45" s="62" t="s">
        <v>36</v>
      </c>
      <c r="F45" s="927">
        <v>1</v>
      </c>
      <c r="G45" s="62"/>
      <c r="H45" s="906"/>
      <c r="I45" s="904">
        <f t="shared" si="1"/>
        <v>6.25E-2</v>
      </c>
      <c r="J45" s="898"/>
      <c r="K45" s="898"/>
      <c r="L45" s="898"/>
      <c r="M45" s="898"/>
      <c r="N45" s="898"/>
      <c r="O45" s="901"/>
    </row>
    <row r="46" spans="1:15" x14ac:dyDescent="0.25">
      <c r="A46" s="906">
        <v>220</v>
      </c>
      <c r="B46" s="76" t="s">
        <v>539</v>
      </c>
      <c r="C46" s="62" t="s">
        <v>562</v>
      </c>
      <c r="D46" s="904">
        <v>0.25</v>
      </c>
      <c r="E46" s="62" t="s">
        <v>36</v>
      </c>
      <c r="F46" s="927">
        <v>1</v>
      </c>
      <c r="G46" s="62"/>
      <c r="H46" s="906"/>
      <c r="I46" s="904">
        <f t="shared" si="1"/>
        <v>0.25</v>
      </c>
      <c r="J46" s="898"/>
      <c r="K46" s="898"/>
      <c r="L46" s="898"/>
      <c r="M46" s="898"/>
      <c r="N46" s="898"/>
      <c r="O46" s="901"/>
    </row>
    <row r="47" spans="1:15" s="926" customFormat="1" x14ac:dyDescent="0.25">
      <c r="A47" s="906">
        <v>230</v>
      </c>
      <c r="B47" s="62" t="s">
        <v>368</v>
      </c>
      <c r="C47" s="62" t="s">
        <v>563</v>
      </c>
      <c r="D47" s="904">
        <v>0.1875</v>
      </c>
      <c r="E47" s="62" t="s">
        <v>36</v>
      </c>
      <c r="F47" s="927">
        <v>1</v>
      </c>
      <c r="G47" s="62"/>
      <c r="H47" s="927"/>
      <c r="I47" s="904">
        <f t="shared" si="1"/>
        <v>0.1875</v>
      </c>
      <c r="J47" s="898"/>
      <c r="K47" s="898"/>
      <c r="L47" s="898"/>
      <c r="M47" s="898"/>
      <c r="N47" s="898"/>
      <c r="O47" s="925"/>
    </row>
    <row r="48" spans="1:15" x14ac:dyDescent="0.25">
      <c r="A48" s="906">
        <v>240</v>
      </c>
      <c r="B48" s="76" t="s">
        <v>480</v>
      </c>
      <c r="C48" s="941" t="s">
        <v>564</v>
      </c>
      <c r="D48" s="904">
        <v>6.25E-2</v>
      </c>
      <c r="E48" s="76" t="s">
        <v>36</v>
      </c>
      <c r="F48" s="927">
        <v>1</v>
      </c>
      <c r="G48" s="62"/>
      <c r="H48" s="906"/>
      <c r="I48" s="904">
        <f t="shared" si="1"/>
        <v>6.25E-2</v>
      </c>
      <c r="J48" s="898"/>
      <c r="K48" s="898"/>
      <c r="L48" s="898"/>
      <c r="M48" s="898"/>
      <c r="N48" s="898"/>
      <c r="O48" s="901"/>
    </row>
    <row r="49" spans="1:15" x14ac:dyDescent="0.25">
      <c r="A49" s="906">
        <v>250</v>
      </c>
      <c r="B49" s="62" t="s">
        <v>565</v>
      </c>
      <c r="C49" s="62" t="s">
        <v>566</v>
      </c>
      <c r="D49" s="904">
        <v>0.125</v>
      </c>
      <c r="E49" s="62" t="s">
        <v>36</v>
      </c>
      <c r="F49" s="927">
        <v>1</v>
      </c>
      <c r="G49" s="62"/>
      <c r="H49" s="927"/>
      <c r="I49" s="904">
        <f t="shared" si="1"/>
        <v>0.125</v>
      </c>
      <c r="J49" s="898"/>
      <c r="K49" s="898"/>
      <c r="L49" s="898"/>
      <c r="M49" s="898"/>
      <c r="N49" s="898"/>
      <c r="O49" s="901"/>
    </row>
    <row r="50" spans="1:15" x14ac:dyDescent="0.25">
      <c r="A50" s="906">
        <v>260</v>
      </c>
      <c r="B50" s="76" t="s">
        <v>480</v>
      </c>
      <c r="C50" s="62" t="s">
        <v>564</v>
      </c>
      <c r="D50" s="904">
        <v>6.25E-2</v>
      </c>
      <c r="E50" s="76" t="s">
        <v>36</v>
      </c>
      <c r="F50" s="927">
        <v>1</v>
      </c>
      <c r="G50" s="62"/>
      <c r="H50" s="906"/>
      <c r="I50" s="904">
        <f t="shared" si="1"/>
        <v>6.25E-2</v>
      </c>
      <c r="J50" s="898"/>
      <c r="K50" s="898"/>
      <c r="L50" s="898"/>
      <c r="M50" s="898"/>
      <c r="N50" s="898"/>
      <c r="O50" s="901"/>
    </row>
    <row r="51" spans="1:15" x14ac:dyDescent="0.25">
      <c r="A51" s="906">
        <v>270</v>
      </c>
      <c r="B51" s="76" t="s">
        <v>368</v>
      </c>
      <c r="C51" s="62" t="s">
        <v>563</v>
      </c>
      <c r="D51" s="904">
        <v>0.1875</v>
      </c>
      <c r="E51" s="62" t="s">
        <v>36</v>
      </c>
      <c r="F51" s="927">
        <v>1</v>
      </c>
      <c r="G51" s="62"/>
      <c r="H51" s="906"/>
      <c r="I51" s="904">
        <f t="shared" si="1"/>
        <v>0.1875</v>
      </c>
      <c r="J51" s="898"/>
      <c r="K51" s="898"/>
      <c r="L51" s="898"/>
      <c r="M51" s="898"/>
      <c r="N51" s="898"/>
      <c r="O51" s="901"/>
    </row>
    <row r="52" spans="1:15" x14ac:dyDescent="0.25">
      <c r="A52" s="906">
        <v>280</v>
      </c>
      <c r="B52" s="76" t="s">
        <v>565</v>
      </c>
      <c r="C52" s="62" t="s">
        <v>567</v>
      </c>
      <c r="D52" s="904">
        <v>0.125</v>
      </c>
      <c r="E52" s="62" t="s">
        <v>36</v>
      </c>
      <c r="F52" s="927">
        <v>1</v>
      </c>
      <c r="G52" s="62"/>
      <c r="H52" s="906"/>
      <c r="I52" s="904">
        <f t="shared" si="1"/>
        <v>0.125</v>
      </c>
      <c r="J52" s="898"/>
      <c r="K52" s="898"/>
      <c r="L52" s="898"/>
      <c r="M52" s="898"/>
      <c r="N52" s="898"/>
      <c r="O52" s="901"/>
    </row>
    <row r="53" spans="1:15" s="926" customFormat="1" x14ac:dyDescent="0.25">
      <c r="A53" s="906">
        <v>290</v>
      </c>
      <c r="B53" s="62" t="s">
        <v>568</v>
      </c>
      <c r="C53" s="62" t="s">
        <v>569</v>
      </c>
      <c r="D53" s="904">
        <v>0.1875</v>
      </c>
      <c r="E53" s="62" t="s">
        <v>36</v>
      </c>
      <c r="F53" s="927">
        <v>1</v>
      </c>
      <c r="G53" s="62"/>
      <c r="H53" s="927"/>
      <c r="I53" s="904">
        <f t="shared" si="1"/>
        <v>0.1875</v>
      </c>
      <c r="J53" s="898"/>
      <c r="K53" s="898"/>
      <c r="L53" s="898"/>
      <c r="M53" s="898"/>
      <c r="N53" s="898"/>
      <c r="O53" s="925"/>
    </row>
    <row r="54" spans="1:15" x14ac:dyDescent="0.25">
      <c r="A54" s="906">
        <v>300</v>
      </c>
      <c r="B54" s="76" t="s">
        <v>480</v>
      </c>
      <c r="C54" s="941" t="s">
        <v>570</v>
      </c>
      <c r="D54" s="904">
        <v>6.25E-2</v>
      </c>
      <c r="E54" s="76" t="s">
        <v>36</v>
      </c>
      <c r="F54" s="927">
        <v>1</v>
      </c>
      <c r="G54" s="62"/>
      <c r="H54" s="906"/>
      <c r="I54" s="904">
        <f t="shared" si="1"/>
        <v>6.25E-2</v>
      </c>
      <c r="J54" s="898"/>
      <c r="K54" s="898"/>
      <c r="L54" s="898"/>
      <c r="M54" s="898"/>
      <c r="N54" s="898"/>
      <c r="O54" s="901"/>
    </row>
    <row r="55" spans="1:15" x14ac:dyDescent="0.25">
      <c r="A55" s="906">
        <v>310</v>
      </c>
      <c r="B55" s="62" t="s">
        <v>480</v>
      </c>
      <c r="C55" s="62" t="s">
        <v>571</v>
      </c>
      <c r="D55" s="904">
        <v>6.25E-2</v>
      </c>
      <c r="E55" s="62" t="s">
        <v>36</v>
      </c>
      <c r="F55" s="927">
        <v>1</v>
      </c>
      <c r="G55" s="62"/>
      <c r="H55" s="927"/>
      <c r="I55" s="904">
        <f t="shared" si="1"/>
        <v>6.25E-2</v>
      </c>
      <c r="J55" s="898"/>
      <c r="K55" s="898"/>
      <c r="L55" s="898"/>
      <c r="M55" s="898"/>
      <c r="N55" s="898"/>
      <c r="O55" s="901"/>
    </row>
    <row r="56" spans="1:15" x14ac:dyDescent="0.25">
      <c r="A56" s="906">
        <v>320</v>
      </c>
      <c r="B56" s="76" t="s">
        <v>480</v>
      </c>
      <c r="C56" s="62" t="s">
        <v>572</v>
      </c>
      <c r="D56" s="904">
        <v>6.25E-2</v>
      </c>
      <c r="E56" s="76" t="s">
        <v>36</v>
      </c>
      <c r="F56" s="927">
        <v>1</v>
      </c>
      <c r="G56" s="62"/>
      <c r="H56" s="906"/>
      <c r="I56" s="904">
        <f t="shared" si="1"/>
        <v>6.25E-2</v>
      </c>
      <c r="J56" s="898"/>
      <c r="K56" s="898"/>
      <c r="L56" s="898"/>
      <c r="M56" s="898"/>
      <c r="N56" s="898"/>
      <c r="O56" s="901"/>
    </row>
    <row r="57" spans="1:15" x14ac:dyDescent="0.25">
      <c r="A57" s="906">
        <v>330</v>
      </c>
      <c r="B57" s="76" t="s">
        <v>480</v>
      </c>
      <c r="C57" s="62" t="s">
        <v>573</v>
      </c>
      <c r="D57" s="904">
        <v>6.25E-2</v>
      </c>
      <c r="E57" s="62" t="s">
        <v>36</v>
      </c>
      <c r="F57" s="927">
        <v>1</v>
      </c>
      <c r="G57" s="62"/>
      <c r="H57" s="906"/>
      <c r="I57" s="904">
        <f t="shared" si="1"/>
        <v>6.25E-2</v>
      </c>
      <c r="J57" s="898"/>
      <c r="K57" s="898"/>
      <c r="L57" s="898"/>
      <c r="M57" s="898"/>
      <c r="N57" s="898"/>
      <c r="O57" s="901"/>
    </row>
    <row r="58" spans="1:15" x14ac:dyDescent="0.25">
      <c r="A58" s="906">
        <v>340</v>
      </c>
      <c r="B58" s="76" t="s">
        <v>539</v>
      </c>
      <c r="C58" s="62" t="s">
        <v>574</v>
      </c>
      <c r="D58" s="904">
        <v>0.25</v>
      </c>
      <c r="E58" s="62" t="s">
        <v>36</v>
      </c>
      <c r="F58" s="927">
        <v>1</v>
      </c>
      <c r="G58" s="62"/>
      <c r="H58" s="906">
        <v>0.8</v>
      </c>
      <c r="I58" s="904">
        <f t="shared" si="1"/>
        <v>0.2</v>
      </c>
      <c r="J58" s="898"/>
      <c r="K58" s="898"/>
      <c r="L58" s="898"/>
      <c r="M58" s="898"/>
      <c r="N58" s="898"/>
      <c r="O58" s="901"/>
    </row>
    <row r="59" spans="1:15" s="926" customFormat="1" x14ac:dyDescent="0.25">
      <c r="A59" s="906">
        <v>350</v>
      </c>
      <c r="B59" s="62" t="s">
        <v>480</v>
      </c>
      <c r="C59" s="62" t="s">
        <v>575</v>
      </c>
      <c r="D59" s="904">
        <v>6.25E-2</v>
      </c>
      <c r="E59" s="62" t="s">
        <v>36</v>
      </c>
      <c r="F59" s="927">
        <v>1</v>
      </c>
      <c r="G59" s="62"/>
      <c r="H59" s="927"/>
      <c r="I59" s="904">
        <f t="shared" si="1"/>
        <v>6.25E-2</v>
      </c>
      <c r="J59" s="898"/>
      <c r="K59" s="898"/>
      <c r="L59" s="898"/>
      <c r="M59" s="898"/>
      <c r="N59" s="898"/>
      <c r="O59" s="925"/>
    </row>
    <row r="60" spans="1:15" x14ac:dyDescent="0.25">
      <c r="A60" s="906">
        <v>360</v>
      </c>
      <c r="B60" s="76" t="s">
        <v>480</v>
      </c>
      <c r="C60" s="941" t="s">
        <v>576</v>
      </c>
      <c r="D60" s="904">
        <v>6.25E-2</v>
      </c>
      <c r="E60" s="76" t="s">
        <v>36</v>
      </c>
      <c r="F60" s="927">
        <v>1</v>
      </c>
      <c r="G60" s="62"/>
      <c r="H60" s="906"/>
      <c r="I60" s="904">
        <f t="shared" si="1"/>
        <v>6.25E-2</v>
      </c>
      <c r="J60" s="898"/>
      <c r="K60" s="898"/>
      <c r="L60" s="898"/>
      <c r="M60" s="898"/>
      <c r="N60" s="898"/>
      <c r="O60" s="901"/>
    </row>
    <row r="61" spans="1:15" x14ac:dyDescent="0.25">
      <c r="A61" s="906">
        <v>370</v>
      </c>
      <c r="B61" s="62" t="s">
        <v>480</v>
      </c>
      <c r="C61" s="62" t="s">
        <v>577</v>
      </c>
      <c r="D61" s="904">
        <v>6.25E-2</v>
      </c>
      <c r="E61" s="62" t="s">
        <v>36</v>
      </c>
      <c r="F61" s="927">
        <v>1</v>
      </c>
      <c r="G61" s="62"/>
      <c r="H61" s="927"/>
      <c r="I61" s="904">
        <f t="shared" si="1"/>
        <v>6.25E-2</v>
      </c>
      <c r="J61" s="898"/>
      <c r="K61" s="898"/>
      <c r="L61" s="898"/>
      <c r="M61" s="898"/>
      <c r="N61" s="898"/>
      <c r="O61" s="901"/>
    </row>
    <row r="62" spans="1:15" x14ac:dyDescent="0.25">
      <c r="A62" s="906">
        <v>380</v>
      </c>
      <c r="B62" s="76" t="s">
        <v>557</v>
      </c>
      <c r="C62" s="62" t="s">
        <v>578</v>
      </c>
      <c r="D62" s="904">
        <v>0.25</v>
      </c>
      <c r="E62" s="76" t="s">
        <v>36</v>
      </c>
      <c r="F62" s="927">
        <v>5</v>
      </c>
      <c r="G62" s="62" t="s">
        <v>579</v>
      </c>
      <c r="H62" s="906">
        <v>1.25</v>
      </c>
      <c r="I62" s="904">
        <f t="shared" si="1"/>
        <v>1.5625</v>
      </c>
      <c r="J62" s="898"/>
      <c r="K62" s="898"/>
      <c r="L62" s="898"/>
      <c r="M62" s="898"/>
      <c r="N62" s="898"/>
      <c r="O62" s="901"/>
    </row>
    <row r="63" spans="1:15" x14ac:dyDescent="0.25">
      <c r="A63" s="906">
        <v>390</v>
      </c>
      <c r="B63" s="76" t="s">
        <v>554</v>
      </c>
      <c r="C63" s="62" t="s">
        <v>580</v>
      </c>
      <c r="D63" s="904">
        <v>0.375</v>
      </c>
      <c r="E63" s="62" t="s">
        <v>36</v>
      </c>
      <c r="F63" s="927">
        <v>1</v>
      </c>
      <c r="G63" s="62"/>
      <c r="H63" s="906"/>
      <c r="I63" s="904">
        <f t="shared" si="1"/>
        <v>0.375</v>
      </c>
      <c r="J63" s="898"/>
      <c r="K63" s="898"/>
      <c r="L63" s="898"/>
      <c r="M63" s="898"/>
      <c r="N63" s="898"/>
      <c r="O63" s="901"/>
    </row>
    <row r="64" spans="1:15" x14ac:dyDescent="0.25">
      <c r="A64" s="906">
        <v>400</v>
      </c>
      <c r="B64" s="76" t="s">
        <v>539</v>
      </c>
      <c r="C64" s="62" t="s">
        <v>581</v>
      </c>
      <c r="D64" s="904">
        <v>0.25</v>
      </c>
      <c r="E64" s="62" t="s">
        <v>36</v>
      </c>
      <c r="F64" s="927">
        <v>13</v>
      </c>
      <c r="G64" s="62" t="s">
        <v>579</v>
      </c>
      <c r="H64" s="906">
        <v>1.25</v>
      </c>
      <c r="I64" s="904">
        <f t="shared" si="1"/>
        <v>4.0625</v>
      </c>
      <c r="J64" s="898"/>
      <c r="K64" s="898"/>
      <c r="L64" s="898"/>
      <c r="M64" s="898"/>
      <c r="N64" s="898"/>
      <c r="O64" s="901"/>
    </row>
    <row r="65" spans="1:15" s="926" customFormat="1" x14ac:dyDescent="0.25">
      <c r="A65" s="906">
        <v>410</v>
      </c>
      <c r="B65" s="62" t="s">
        <v>480</v>
      </c>
      <c r="C65" s="62" t="s">
        <v>582</v>
      </c>
      <c r="D65" s="904">
        <v>6.25E-2</v>
      </c>
      <c r="E65" s="62" t="s">
        <v>36</v>
      </c>
      <c r="F65" s="927">
        <v>1</v>
      </c>
      <c r="G65" s="62"/>
      <c r="H65" s="927"/>
      <c r="I65" s="904">
        <f t="shared" si="1"/>
        <v>6.25E-2</v>
      </c>
      <c r="J65" s="898"/>
      <c r="K65" s="898"/>
      <c r="L65" s="898"/>
      <c r="M65" s="898"/>
      <c r="N65" s="898"/>
      <c r="O65" s="925"/>
    </row>
    <row r="66" spans="1:15" x14ac:dyDescent="0.25">
      <c r="A66" s="906">
        <v>420</v>
      </c>
      <c r="B66" s="76" t="s">
        <v>480</v>
      </c>
      <c r="C66" s="941" t="s">
        <v>583</v>
      </c>
      <c r="D66" s="904">
        <v>6.25E-2</v>
      </c>
      <c r="E66" s="76" t="s">
        <v>36</v>
      </c>
      <c r="F66" s="927">
        <v>1</v>
      </c>
      <c r="G66" s="62"/>
      <c r="H66" s="906"/>
      <c r="I66" s="904">
        <f t="shared" si="1"/>
        <v>6.25E-2</v>
      </c>
      <c r="J66" s="898"/>
      <c r="K66" s="898"/>
      <c r="L66" s="898"/>
      <c r="M66" s="898"/>
      <c r="N66" s="898"/>
      <c r="O66" s="901"/>
    </row>
    <row r="67" spans="1:15" x14ac:dyDescent="0.25">
      <c r="A67" s="906">
        <v>430</v>
      </c>
      <c r="B67" s="62" t="s">
        <v>480</v>
      </c>
      <c r="C67" s="62" t="s">
        <v>584</v>
      </c>
      <c r="D67" s="904">
        <v>6.25E-2</v>
      </c>
      <c r="E67" s="62" t="s">
        <v>36</v>
      </c>
      <c r="F67" s="927">
        <v>2</v>
      </c>
      <c r="G67" s="62"/>
      <c r="H67" s="927"/>
      <c r="I67" s="904">
        <f t="shared" si="1"/>
        <v>0.125</v>
      </c>
      <c r="J67" s="898"/>
      <c r="K67" s="898"/>
      <c r="L67" s="898"/>
      <c r="M67" s="898"/>
      <c r="N67" s="898"/>
      <c r="O67" s="901"/>
    </row>
    <row r="68" spans="1:15" x14ac:dyDescent="0.25">
      <c r="A68" s="906">
        <v>440</v>
      </c>
      <c r="B68" s="76" t="s">
        <v>480</v>
      </c>
      <c r="C68" s="62" t="s">
        <v>585</v>
      </c>
      <c r="D68" s="904">
        <v>6.25E-2</v>
      </c>
      <c r="E68" s="76" t="s">
        <v>36</v>
      </c>
      <c r="F68" s="927">
        <v>2</v>
      </c>
      <c r="G68" s="62"/>
      <c r="H68" s="906"/>
      <c r="I68" s="904">
        <f t="shared" si="1"/>
        <v>0.125</v>
      </c>
      <c r="J68" s="898"/>
      <c r="K68" s="898"/>
      <c r="L68" s="898"/>
      <c r="M68" s="898"/>
      <c r="N68" s="898"/>
      <c r="O68" s="901"/>
    </row>
    <row r="69" spans="1:15" x14ac:dyDescent="0.25">
      <c r="A69" s="906">
        <v>450</v>
      </c>
      <c r="B69" s="62" t="s">
        <v>480</v>
      </c>
      <c r="C69" s="62" t="s">
        <v>584</v>
      </c>
      <c r="D69" s="904">
        <v>6.25E-2</v>
      </c>
      <c r="E69" s="62" t="s">
        <v>36</v>
      </c>
      <c r="F69" s="927">
        <v>2</v>
      </c>
      <c r="G69" s="906"/>
      <c r="H69" s="906"/>
      <c r="I69" s="904">
        <f t="shared" si="1"/>
        <v>0.125</v>
      </c>
      <c r="J69" s="898"/>
      <c r="K69" s="898"/>
      <c r="L69" s="898"/>
      <c r="M69" s="898"/>
      <c r="N69" s="898"/>
      <c r="O69" s="901"/>
    </row>
    <row r="70" spans="1:15" x14ac:dyDescent="0.25">
      <c r="A70" s="906">
        <v>460</v>
      </c>
      <c r="B70" s="76" t="s">
        <v>586</v>
      </c>
      <c r="C70" s="62" t="s">
        <v>585</v>
      </c>
      <c r="D70" s="904">
        <v>0.12</v>
      </c>
      <c r="E70" s="76" t="s">
        <v>36</v>
      </c>
      <c r="F70" s="927">
        <v>2</v>
      </c>
      <c r="G70" s="906"/>
      <c r="H70" s="906"/>
      <c r="I70" s="904">
        <f t="shared" si="1"/>
        <v>0.24</v>
      </c>
      <c r="J70" s="898"/>
      <c r="K70" s="898"/>
      <c r="L70" s="898"/>
      <c r="M70" s="898"/>
      <c r="N70" s="898"/>
      <c r="O70" s="901"/>
    </row>
    <row r="71" spans="1:15" s="926" customFormat="1" x14ac:dyDescent="0.25">
      <c r="A71" s="906">
        <v>470</v>
      </c>
      <c r="B71" s="62" t="s">
        <v>554</v>
      </c>
      <c r="C71" s="62" t="s">
        <v>587</v>
      </c>
      <c r="D71" s="904">
        <v>0.375</v>
      </c>
      <c r="E71" s="62" t="s">
        <v>36</v>
      </c>
      <c r="F71" s="927">
        <v>1</v>
      </c>
      <c r="G71" s="927"/>
      <c r="H71" s="927"/>
      <c r="I71" s="904">
        <f t="shared" si="1"/>
        <v>0.375</v>
      </c>
      <c r="J71" s="898"/>
      <c r="K71" s="898"/>
      <c r="L71" s="898"/>
      <c r="M71" s="898"/>
      <c r="N71" s="898"/>
      <c r="O71" s="925"/>
    </row>
    <row r="72" spans="1:15" x14ac:dyDescent="0.25">
      <c r="A72" s="906">
        <v>480</v>
      </c>
      <c r="B72" s="76" t="s">
        <v>480</v>
      </c>
      <c r="C72" s="941" t="s">
        <v>588</v>
      </c>
      <c r="D72" s="904">
        <v>6.25E-2</v>
      </c>
      <c r="E72" s="76" t="s">
        <v>36</v>
      </c>
      <c r="F72" s="927">
        <v>1</v>
      </c>
      <c r="G72" s="906"/>
      <c r="H72" s="906"/>
      <c r="I72" s="904">
        <f t="shared" si="1"/>
        <v>6.25E-2</v>
      </c>
      <c r="J72" s="898"/>
      <c r="K72" s="898"/>
      <c r="L72" s="898"/>
      <c r="M72" s="898"/>
      <c r="N72" s="898"/>
      <c r="O72" s="901"/>
    </row>
    <row r="73" spans="1:15" x14ac:dyDescent="0.25">
      <c r="A73" s="906">
        <v>490</v>
      </c>
      <c r="B73" s="62" t="s">
        <v>480</v>
      </c>
      <c r="C73" s="62" t="s">
        <v>589</v>
      </c>
      <c r="D73" s="904">
        <v>6.25E-2</v>
      </c>
      <c r="E73" s="62" t="s">
        <v>36</v>
      </c>
      <c r="F73" s="927">
        <v>1</v>
      </c>
      <c r="G73" s="927"/>
      <c r="H73" s="927"/>
      <c r="I73" s="904">
        <f t="shared" ref="I73:I78" si="2">IF(H73="",D73*F73,D73*F73*H73)</f>
        <v>6.25E-2</v>
      </c>
      <c r="J73" s="898"/>
      <c r="K73" s="898"/>
      <c r="L73" s="898"/>
      <c r="M73" s="898"/>
      <c r="N73" s="898"/>
      <c r="O73" s="901"/>
    </row>
    <row r="74" spans="1:15" x14ac:dyDescent="0.25">
      <c r="A74" s="906">
        <v>500</v>
      </c>
      <c r="B74" s="76" t="s">
        <v>480</v>
      </c>
      <c r="C74" s="62" t="s">
        <v>590</v>
      </c>
      <c r="D74" s="904">
        <v>6.25E-2</v>
      </c>
      <c r="E74" s="76" t="s">
        <v>36</v>
      </c>
      <c r="F74" s="927">
        <v>1</v>
      </c>
      <c r="G74" s="906"/>
      <c r="H74" s="906"/>
      <c r="I74" s="904">
        <f t="shared" si="2"/>
        <v>6.25E-2</v>
      </c>
      <c r="J74" s="898"/>
      <c r="K74" s="898"/>
      <c r="L74" s="898"/>
      <c r="M74" s="898"/>
      <c r="N74" s="898"/>
      <c r="O74" s="901"/>
    </row>
    <row r="75" spans="1:15" x14ac:dyDescent="0.25">
      <c r="A75" s="906">
        <v>510</v>
      </c>
      <c r="B75" s="76" t="s">
        <v>591</v>
      </c>
      <c r="C75" s="62" t="s">
        <v>592</v>
      </c>
      <c r="D75" s="904">
        <v>1</v>
      </c>
      <c r="E75" s="62" t="s">
        <v>36</v>
      </c>
      <c r="F75" s="927">
        <v>1</v>
      </c>
      <c r="G75" s="62" t="s">
        <v>593</v>
      </c>
      <c r="H75" s="906">
        <v>1.5</v>
      </c>
      <c r="I75" s="904">
        <f t="shared" si="2"/>
        <v>1.5</v>
      </c>
      <c r="J75" s="898"/>
      <c r="K75" s="898"/>
      <c r="L75" s="898"/>
      <c r="M75" s="898"/>
      <c r="N75" s="898"/>
      <c r="O75" s="901"/>
    </row>
    <row r="76" spans="1:15" x14ac:dyDescent="0.25">
      <c r="A76" s="906">
        <v>520</v>
      </c>
      <c r="B76" s="76" t="s">
        <v>591</v>
      </c>
      <c r="C76" s="62" t="s">
        <v>594</v>
      </c>
      <c r="D76" s="904">
        <v>1</v>
      </c>
      <c r="E76" s="62" t="s">
        <v>36</v>
      </c>
      <c r="F76" s="927">
        <v>2</v>
      </c>
      <c r="G76" s="906"/>
      <c r="H76" s="906">
        <v>1.25</v>
      </c>
      <c r="I76" s="904">
        <f t="shared" si="2"/>
        <v>2.5</v>
      </c>
      <c r="J76" s="898"/>
      <c r="K76" s="898"/>
      <c r="L76" s="898"/>
      <c r="M76" s="898"/>
      <c r="N76" s="898"/>
      <c r="O76" s="901"/>
    </row>
    <row r="77" spans="1:15" s="926" customFormat="1" x14ac:dyDescent="0.25">
      <c r="A77" s="906">
        <v>530</v>
      </c>
      <c r="B77" s="62" t="s">
        <v>595</v>
      </c>
      <c r="C77" s="906"/>
      <c r="D77" s="904">
        <v>0.25</v>
      </c>
      <c r="E77" s="62" t="s">
        <v>36</v>
      </c>
      <c r="F77" s="927">
        <v>2</v>
      </c>
      <c r="G77" s="927"/>
      <c r="H77" s="927"/>
      <c r="I77" s="904">
        <f t="shared" si="2"/>
        <v>0.5</v>
      </c>
      <c r="J77" s="898"/>
      <c r="K77" s="898"/>
      <c r="L77" s="898"/>
      <c r="M77" s="898"/>
      <c r="N77" s="898"/>
      <c r="O77" s="925"/>
    </row>
    <row r="78" spans="1:15" x14ac:dyDescent="0.25">
      <c r="A78" s="906">
        <v>540</v>
      </c>
      <c r="B78" s="76" t="s">
        <v>591</v>
      </c>
      <c r="C78" s="941" t="s">
        <v>596</v>
      </c>
      <c r="D78" s="904">
        <v>1</v>
      </c>
      <c r="E78" s="76" t="s">
        <v>36</v>
      </c>
      <c r="F78" s="927">
        <v>4</v>
      </c>
      <c r="G78" s="906"/>
      <c r="H78" s="906">
        <v>1.25</v>
      </c>
      <c r="I78" s="904">
        <f t="shared" si="2"/>
        <v>5</v>
      </c>
      <c r="J78" s="898"/>
      <c r="K78" s="898"/>
      <c r="L78" s="898"/>
      <c r="M78" s="898"/>
      <c r="N78" s="898"/>
      <c r="O78" s="901"/>
    </row>
    <row r="79" spans="1:15" x14ac:dyDescent="0.25">
      <c r="A79" s="923"/>
      <c r="B79" s="924"/>
      <c r="C79" s="924"/>
      <c r="D79" s="924"/>
      <c r="E79" s="924"/>
      <c r="F79" s="924"/>
      <c r="G79" s="924"/>
      <c r="H79" s="908" t="s">
        <v>19</v>
      </c>
      <c r="I79" s="909">
        <f>SUM(I25:I78)</f>
        <v>26.216249999999999</v>
      </c>
      <c r="J79" s="898"/>
      <c r="K79" s="898"/>
      <c r="L79" s="898"/>
      <c r="M79" s="898"/>
      <c r="N79" s="898"/>
      <c r="O79" s="901"/>
    </row>
    <row r="80" spans="1:15" x14ac:dyDescent="0.25">
      <c r="A80" s="905"/>
      <c r="B80" s="898"/>
      <c r="C80" s="898"/>
      <c r="D80" s="898"/>
      <c r="E80" s="898"/>
      <c r="F80" s="898"/>
      <c r="G80" s="898"/>
      <c r="H80" s="898"/>
      <c r="I80" s="898"/>
      <c r="J80" s="898"/>
      <c r="K80" s="898"/>
      <c r="L80" s="898"/>
      <c r="M80" s="898"/>
      <c r="N80" s="898"/>
      <c r="O80" s="901"/>
    </row>
    <row r="81" spans="1:15" x14ac:dyDescent="0.25">
      <c r="A81" s="896" t="s">
        <v>15</v>
      </c>
      <c r="B81" s="896" t="s">
        <v>37</v>
      </c>
      <c r="C81" s="896" t="s">
        <v>21</v>
      </c>
      <c r="D81" s="896" t="s">
        <v>22</v>
      </c>
      <c r="E81" s="896" t="s">
        <v>23</v>
      </c>
      <c r="F81" s="896" t="s">
        <v>24</v>
      </c>
      <c r="G81" s="896" t="s">
        <v>25</v>
      </c>
      <c r="H81" s="896" t="s">
        <v>26</v>
      </c>
      <c r="I81" s="896" t="s">
        <v>18</v>
      </c>
      <c r="J81" s="896" t="s">
        <v>19</v>
      </c>
      <c r="K81" s="898"/>
      <c r="L81" s="898"/>
      <c r="M81" s="898"/>
      <c r="N81" s="898"/>
      <c r="O81" s="901"/>
    </row>
    <row r="82" spans="1:15" x14ac:dyDescent="0.25">
      <c r="A82" s="906">
        <v>10</v>
      </c>
      <c r="B82" s="62" t="s">
        <v>379</v>
      </c>
      <c r="C82" s="62" t="s">
        <v>597</v>
      </c>
      <c r="D82" s="929">
        <v>0.16</v>
      </c>
      <c r="E82" s="930">
        <v>8</v>
      </c>
      <c r="F82" s="930" t="s">
        <v>31</v>
      </c>
      <c r="G82" s="930">
        <v>40</v>
      </c>
      <c r="H82" s="78" t="s">
        <v>31</v>
      </c>
      <c r="I82" s="902">
        <v>1</v>
      </c>
      <c r="J82" s="904">
        <f t="shared" ref="J82:J87" si="3">I82*D82</f>
        <v>0.16</v>
      </c>
      <c r="K82" s="898"/>
      <c r="L82" s="898"/>
      <c r="M82" s="898"/>
      <c r="N82" s="898"/>
      <c r="O82" s="901"/>
    </row>
    <row r="83" spans="1:15" x14ac:dyDescent="0.25">
      <c r="A83" s="906">
        <v>20</v>
      </c>
      <c r="B83" s="62" t="s">
        <v>379</v>
      </c>
      <c r="C83" s="62" t="s">
        <v>598</v>
      </c>
      <c r="D83" s="929">
        <v>0.02</v>
      </c>
      <c r="E83" s="906">
        <v>4</v>
      </c>
      <c r="F83" s="931" t="s">
        <v>31</v>
      </c>
      <c r="G83" s="906">
        <v>20</v>
      </c>
      <c r="H83" s="62" t="s">
        <v>31</v>
      </c>
      <c r="I83" s="902">
        <v>3</v>
      </c>
      <c r="J83" s="904">
        <f t="shared" si="3"/>
        <v>0.06</v>
      </c>
      <c r="K83" s="898"/>
      <c r="L83" s="898"/>
      <c r="M83" s="898"/>
      <c r="N83" s="898"/>
      <c r="O83" s="901"/>
    </row>
    <row r="84" spans="1:15" x14ac:dyDescent="0.25">
      <c r="A84" s="906">
        <v>30</v>
      </c>
      <c r="B84" s="62" t="s">
        <v>38</v>
      </c>
      <c r="C84" s="62" t="s">
        <v>598</v>
      </c>
      <c r="D84" s="929">
        <v>0.01</v>
      </c>
      <c r="E84" s="906">
        <v>4</v>
      </c>
      <c r="F84" s="931" t="s">
        <v>31</v>
      </c>
      <c r="G84" s="906"/>
      <c r="H84" s="906"/>
      <c r="I84" s="902">
        <v>5</v>
      </c>
      <c r="J84" s="904">
        <f t="shared" si="3"/>
        <v>0.05</v>
      </c>
      <c r="K84" s="898"/>
      <c r="L84" s="898"/>
      <c r="M84" s="898"/>
      <c r="N84" s="898"/>
      <c r="O84" s="901"/>
    </row>
    <row r="85" spans="1:15" x14ac:dyDescent="0.25">
      <c r="A85" s="906">
        <v>40</v>
      </c>
      <c r="B85" s="81" t="s">
        <v>39</v>
      </c>
      <c r="C85" s="62" t="s">
        <v>598</v>
      </c>
      <c r="D85" s="932">
        <v>0.01</v>
      </c>
      <c r="E85" s="913">
        <v>12</v>
      </c>
      <c r="F85" s="933" t="s">
        <v>31</v>
      </c>
      <c r="G85" s="913"/>
      <c r="H85" s="913"/>
      <c r="I85" s="934">
        <v>2</v>
      </c>
      <c r="J85" s="904">
        <f t="shared" si="3"/>
        <v>0.02</v>
      </c>
      <c r="K85" s="935"/>
      <c r="L85" s="935"/>
      <c r="M85" s="935"/>
      <c r="N85" s="935"/>
      <c r="O85" s="901"/>
    </row>
    <row r="86" spans="1:15" x14ac:dyDescent="0.25">
      <c r="A86" s="906">
        <v>50</v>
      </c>
      <c r="B86" s="81" t="s">
        <v>38</v>
      </c>
      <c r="C86" s="67" t="s">
        <v>599</v>
      </c>
      <c r="D86" s="932">
        <v>0.01</v>
      </c>
      <c r="E86" s="913">
        <v>14</v>
      </c>
      <c r="F86" s="83" t="s">
        <v>31</v>
      </c>
      <c r="G86" s="913">
        <v>21</v>
      </c>
      <c r="H86" s="67" t="s">
        <v>31</v>
      </c>
      <c r="I86" s="934">
        <v>2</v>
      </c>
      <c r="J86" s="904">
        <f t="shared" si="3"/>
        <v>0.02</v>
      </c>
      <c r="K86" s="935"/>
      <c r="L86" s="935"/>
      <c r="M86" s="935"/>
      <c r="N86" s="935"/>
      <c r="O86" s="901"/>
    </row>
    <row r="87" spans="1:15" x14ac:dyDescent="0.25">
      <c r="A87" s="906">
        <v>60</v>
      </c>
      <c r="B87" s="62" t="s">
        <v>40</v>
      </c>
      <c r="C87" s="67" t="s">
        <v>600</v>
      </c>
      <c r="D87" s="929">
        <v>0.05</v>
      </c>
      <c r="E87" s="906">
        <v>14</v>
      </c>
      <c r="F87" s="80" t="s">
        <v>31</v>
      </c>
      <c r="G87" s="906"/>
      <c r="H87" s="906"/>
      <c r="I87" s="902">
        <v>2</v>
      </c>
      <c r="J87" s="904">
        <f t="shared" si="3"/>
        <v>0.1</v>
      </c>
      <c r="K87" s="898"/>
      <c r="L87" s="898"/>
      <c r="M87" s="898"/>
      <c r="N87" s="898"/>
      <c r="O87" s="901"/>
    </row>
    <row r="88" spans="1:15" x14ac:dyDescent="0.25">
      <c r="A88" s="923"/>
      <c r="B88" s="924"/>
      <c r="C88" s="924"/>
      <c r="D88" s="924"/>
      <c r="E88" s="924"/>
      <c r="F88" s="924"/>
      <c r="G88" s="924"/>
      <c r="H88" s="924"/>
      <c r="I88" s="908" t="s">
        <v>19</v>
      </c>
      <c r="J88" s="909">
        <f>SUM(J82:J87)</f>
        <v>0.41000000000000003</v>
      </c>
      <c r="K88" s="898"/>
      <c r="L88" s="898"/>
      <c r="M88" s="898"/>
      <c r="N88" s="898"/>
      <c r="O88" s="901"/>
    </row>
    <row r="89" spans="1:15" x14ac:dyDescent="0.25">
      <c r="A89" s="905"/>
      <c r="B89" s="898"/>
      <c r="C89" s="898"/>
      <c r="D89" s="898"/>
      <c r="E89" s="898"/>
      <c r="F89" s="898"/>
      <c r="G89" s="898"/>
      <c r="H89" s="898"/>
      <c r="I89" s="898"/>
      <c r="J89" s="898"/>
      <c r="K89" s="898"/>
      <c r="L89" s="898"/>
      <c r="M89" s="898"/>
      <c r="N89" s="898"/>
      <c r="O89" s="901"/>
    </row>
    <row r="90" spans="1:15" x14ac:dyDescent="0.25">
      <c r="A90" s="896" t="s">
        <v>15</v>
      </c>
      <c r="B90" s="896" t="s">
        <v>41</v>
      </c>
      <c r="C90" s="896" t="s">
        <v>21</v>
      </c>
      <c r="D90" s="896" t="s">
        <v>22</v>
      </c>
      <c r="E90" s="896" t="s">
        <v>33</v>
      </c>
      <c r="F90" s="896" t="s">
        <v>18</v>
      </c>
      <c r="G90" s="896" t="s">
        <v>42</v>
      </c>
      <c r="H90" s="896" t="s">
        <v>43</v>
      </c>
      <c r="I90" s="896" t="s">
        <v>19</v>
      </c>
      <c r="J90" s="924"/>
      <c r="K90" s="898"/>
      <c r="L90" s="898"/>
      <c r="M90" s="898"/>
      <c r="N90" s="898"/>
      <c r="O90" s="901"/>
    </row>
    <row r="91" spans="1:15" x14ac:dyDescent="0.25">
      <c r="A91" s="906">
        <v>10</v>
      </c>
      <c r="B91" s="906" t="s">
        <v>44</v>
      </c>
      <c r="C91" s="62" t="s">
        <v>537</v>
      </c>
      <c r="D91" s="904">
        <v>500</v>
      </c>
      <c r="E91" s="906" t="s">
        <v>46</v>
      </c>
      <c r="F91" s="906">
        <v>2</v>
      </c>
      <c r="G91" s="906">
        <v>3000</v>
      </c>
      <c r="H91" s="906">
        <v>1</v>
      </c>
      <c r="I91" s="904">
        <f>D91*F91/G91*H91</f>
        <v>0.33333333333333331</v>
      </c>
      <c r="J91" s="924"/>
      <c r="K91" s="898"/>
      <c r="L91" s="898"/>
      <c r="M91" s="898"/>
      <c r="N91" s="898"/>
      <c r="O91" s="901"/>
    </row>
    <row r="92" spans="1:15" x14ac:dyDescent="0.25">
      <c r="A92" s="923"/>
      <c r="B92" s="924"/>
      <c r="C92" s="924"/>
      <c r="D92" s="924"/>
      <c r="E92" s="924"/>
      <c r="F92" s="924"/>
      <c r="G92" s="924"/>
      <c r="H92" s="936" t="s">
        <v>19</v>
      </c>
      <c r="I92" s="937">
        <f>SUM(I91:I91)</f>
        <v>0.33333333333333331</v>
      </c>
      <c r="J92" s="924"/>
      <c r="K92" s="898"/>
      <c r="L92" s="898"/>
      <c r="M92" s="898"/>
      <c r="N92" s="898"/>
      <c r="O92" s="901"/>
    </row>
    <row r="93" spans="1:15" ht="15.75" thickBot="1" x14ac:dyDescent="0.3">
      <c r="A93" s="938"/>
      <c r="B93" s="939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40"/>
    </row>
  </sheetData>
  <hyperlinks>
    <hyperlink ref="B10" location="FR_06001" display="FR_06001"/>
    <hyperlink ref="B11" location="FR_06002" display="FR_06002"/>
    <hyperlink ref="B12" location="FR_06003" display="FR_06003"/>
    <hyperlink ref="B13" location="FR_06004" display="FR_06004"/>
    <hyperlink ref="B14" location="FR_06005" display="FR_06005"/>
    <hyperlink ref="B15" location="FR_06006" display="FR_06006"/>
  </hyperlinks>
  <pageMargins left="0.70866141732283472" right="0.70866141732283472" top="0.74803149606299213" bottom="0.74803149606299213" header="0.51181102362204722" footer="0.31496062992125984"/>
  <pageSetup paperSize="9" scale="59" firstPageNumber="0" fitToHeight="0" orientation="landscape" r:id="rId1"/>
  <headerFooter>
    <oddFooter>&amp;C&amp;P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35"/>
  <sheetViews>
    <sheetView tabSelected="1" view="pageBreakPreview" topLeftCell="A223" zoomScale="60" zoomScaleNormal="80" workbookViewId="0">
      <selection activeCell="C239" sqref="C239"/>
    </sheetView>
  </sheetViews>
  <sheetFormatPr baseColWidth="10" defaultColWidth="9.140625" defaultRowHeight="15" x14ac:dyDescent="0.25"/>
  <cols>
    <col min="2" max="2" width="37" customWidth="1"/>
    <col min="3" max="3" width="23.42578125" customWidth="1"/>
    <col min="4" max="4" width="14.140625" customWidth="1"/>
    <col min="7" max="7" width="20.42578125" customWidth="1"/>
    <col min="9" max="9" width="28.7109375" customWidth="1"/>
    <col min="15" max="15" width="3.140625" customWidth="1"/>
  </cols>
  <sheetData>
    <row r="1" spans="1:15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5" x14ac:dyDescent="0.25">
      <c r="A2" s="887" t="s">
        <v>0</v>
      </c>
      <c r="B2" s="17" t="s">
        <v>47</v>
      </c>
      <c r="C2" s="46"/>
      <c r="D2" s="46"/>
      <c r="E2" s="46"/>
      <c r="F2" s="46"/>
      <c r="G2" s="46"/>
      <c r="H2" s="46"/>
      <c r="I2" s="46"/>
      <c r="J2" s="890" t="s">
        <v>2</v>
      </c>
      <c r="K2" s="86">
        <v>81</v>
      </c>
      <c r="L2" s="46"/>
      <c r="M2" s="887" t="s">
        <v>17</v>
      </c>
      <c r="N2" s="652">
        <f>FR_06001_m+FR_06001_p</f>
        <v>14.578946999999999</v>
      </c>
      <c r="O2" s="52"/>
    </row>
    <row r="3" spans="1:15" x14ac:dyDescent="0.25">
      <c r="A3" s="887" t="s">
        <v>4</v>
      </c>
      <c r="B3" s="17" t="s">
        <v>501</v>
      </c>
      <c r="C3" s="46"/>
      <c r="D3" s="887" t="s">
        <v>7</v>
      </c>
      <c r="E3" s="89"/>
      <c r="F3" s="46"/>
      <c r="G3" s="46"/>
      <c r="H3" s="46"/>
      <c r="I3" s="46"/>
      <c r="J3" s="46"/>
      <c r="K3" s="46"/>
      <c r="L3" s="46"/>
      <c r="M3" s="887" t="s">
        <v>5</v>
      </c>
      <c r="N3" s="414">
        <v>1</v>
      </c>
      <c r="O3" s="52"/>
    </row>
    <row r="4" spans="1:15" x14ac:dyDescent="0.25">
      <c r="A4" s="887" t="s">
        <v>6</v>
      </c>
      <c r="B4" s="675" t="str">
        <f>'FR Assemblies'!B4</f>
        <v>Shifter</v>
      </c>
      <c r="C4" s="46"/>
      <c r="D4" s="887" t="s">
        <v>9</v>
      </c>
      <c r="E4" s="46"/>
      <c r="F4" s="46"/>
      <c r="G4" s="46"/>
      <c r="H4" s="46"/>
      <c r="I4" s="46"/>
      <c r="J4" s="888" t="s">
        <v>7</v>
      </c>
      <c r="K4" s="46"/>
      <c r="L4" s="46"/>
      <c r="M4" s="46"/>
      <c r="N4" s="46"/>
      <c r="O4" s="52"/>
    </row>
    <row r="5" spans="1:15" x14ac:dyDescent="0.25">
      <c r="A5" s="887" t="s">
        <v>16</v>
      </c>
      <c r="B5" s="18" t="s">
        <v>503</v>
      </c>
      <c r="C5" s="46"/>
      <c r="D5" s="887" t="s">
        <v>13</v>
      </c>
      <c r="E5" s="46"/>
      <c r="F5" s="46"/>
      <c r="G5" s="46"/>
      <c r="H5" s="46"/>
      <c r="I5" s="46"/>
      <c r="J5" s="888" t="s">
        <v>9</v>
      </c>
      <c r="K5" s="46"/>
      <c r="L5" s="46"/>
      <c r="M5" s="887" t="s">
        <v>10</v>
      </c>
      <c r="N5" s="652">
        <f>N3*N2</f>
        <v>14.578946999999999</v>
      </c>
      <c r="O5" s="52"/>
    </row>
    <row r="6" spans="1:15" x14ac:dyDescent="0.25">
      <c r="A6" s="887" t="s">
        <v>8</v>
      </c>
      <c r="B6" s="889" t="s">
        <v>504</v>
      </c>
      <c r="C6" s="46"/>
      <c r="D6" s="46"/>
      <c r="E6" s="46"/>
      <c r="F6" s="46"/>
      <c r="G6" s="46"/>
      <c r="H6" s="46"/>
      <c r="I6" s="46"/>
      <c r="J6" s="888" t="s">
        <v>13</v>
      </c>
      <c r="K6" s="46"/>
      <c r="L6" s="46"/>
      <c r="M6" s="46"/>
      <c r="N6" s="46"/>
      <c r="O6" s="52"/>
    </row>
    <row r="7" spans="1:15" x14ac:dyDescent="0.25">
      <c r="A7" s="887" t="s">
        <v>11</v>
      </c>
      <c r="B7" s="17" t="s">
        <v>12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52"/>
    </row>
    <row r="8" spans="1:15" x14ac:dyDescent="0.25">
      <c r="A8" s="887" t="s">
        <v>14</v>
      </c>
      <c r="B8" s="1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52"/>
    </row>
    <row r="9" spans="1:15" x14ac:dyDescent="0.25">
      <c r="A9" s="886"/>
      <c r="B9" s="885"/>
      <c r="C9" s="885"/>
      <c r="D9" s="885"/>
      <c r="E9" s="885"/>
      <c r="F9" s="46"/>
      <c r="G9" s="46"/>
      <c r="H9" s="46"/>
      <c r="I9" s="46"/>
      <c r="J9" s="46"/>
      <c r="K9" s="46"/>
      <c r="L9" s="46"/>
      <c r="M9" s="46"/>
      <c r="N9" s="46"/>
      <c r="O9" s="52"/>
    </row>
    <row r="10" spans="1:15" x14ac:dyDescent="0.25">
      <c r="A10" s="884" t="s">
        <v>15</v>
      </c>
      <c r="B10" s="883" t="s">
        <v>20</v>
      </c>
      <c r="C10" s="883" t="s">
        <v>21</v>
      </c>
      <c r="D10" s="883" t="s">
        <v>22</v>
      </c>
      <c r="E10" s="883" t="s">
        <v>23</v>
      </c>
      <c r="F10" s="873" t="s">
        <v>24</v>
      </c>
      <c r="G10" s="873" t="s">
        <v>25</v>
      </c>
      <c r="H10" s="873" t="s">
        <v>26</v>
      </c>
      <c r="I10" s="873" t="s">
        <v>27</v>
      </c>
      <c r="J10" s="873" t="s">
        <v>28</v>
      </c>
      <c r="K10" s="873" t="s">
        <v>29</v>
      </c>
      <c r="L10" s="873" t="s">
        <v>30</v>
      </c>
      <c r="M10" s="873" t="s">
        <v>18</v>
      </c>
      <c r="N10" s="873" t="s">
        <v>19</v>
      </c>
      <c r="O10" s="52"/>
    </row>
    <row r="11" spans="1:15" x14ac:dyDescent="0.25">
      <c r="A11" s="838">
        <v>10</v>
      </c>
      <c r="B11" s="133" t="s">
        <v>301</v>
      </c>
      <c r="C11" s="134" t="s">
        <v>423</v>
      </c>
      <c r="D11" s="162">
        <v>2.25</v>
      </c>
      <c r="E11" s="840">
        <v>0.247</v>
      </c>
      <c r="F11" s="134" t="s">
        <v>92</v>
      </c>
      <c r="G11" s="134"/>
      <c r="H11" s="19"/>
      <c r="I11" s="134" t="s">
        <v>505</v>
      </c>
      <c r="J11" s="828">
        <v>5.7300000000000005E-4</v>
      </c>
      <c r="K11" s="19">
        <v>0.24</v>
      </c>
      <c r="L11" s="842">
        <v>7850</v>
      </c>
      <c r="M11" s="839">
        <v>1</v>
      </c>
      <c r="N11" s="870">
        <f>IF(J11="",D11*M11,D11*J11*K11*L11*M11)</f>
        <v>2.428947</v>
      </c>
      <c r="O11" s="56"/>
    </row>
    <row r="12" spans="1:15" x14ac:dyDescent="0.25">
      <c r="A12" s="5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882" t="s">
        <v>19</v>
      </c>
      <c r="N12" s="868">
        <f>SUM(N11:N11)</f>
        <v>2.428947</v>
      </c>
      <c r="O12" s="52"/>
    </row>
    <row r="13" spans="1:15" x14ac:dyDescent="0.25">
      <c r="A13" s="53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52"/>
    </row>
    <row r="14" spans="1:15" x14ac:dyDescent="0.25">
      <c r="A14" s="874" t="s">
        <v>15</v>
      </c>
      <c r="B14" s="873" t="s">
        <v>32</v>
      </c>
      <c r="C14" s="873" t="s">
        <v>21</v>
      </c>
      <c r="D14" s="873" t="s">
        <v>22</v>
      </c>
      <c r="E14" s="873" t="s">
        <v>33</v>
      </c>
      <c r="F14" s="873" t="s">
        <v>18</v>
      </c>
      <c r="G14" s="873" t="s">
        <v>34</v>
      </c>
      <c r="H14" s="873" t="s">
        <v>35</v>
      </c>
      <c r="I14" s="873" t="s">
        <v>19</v>
      </c>
      <c r="J14" s="20"/>
      <c r="K14" s="20"/>
      <c r="L14" s="20"/>
      <c r="M14" s="20"/>
      <c r="N14" s="20"/>
      <c r="O14" s="52"/>
    </row>
    <row r="15" spans="1:15" ht="28.5" customHeight="1" x14ac:dyDescent="0.25">
      <c r="A15" s="881">
        <v>10</v>
      </c>
      <c r="B15" s="877" t="s">
        <v>50</v>
      </c>
      <c r="C15" s="880" t="s">
        <v>506</v>
      </c>
      <c r="D15" s="879">
        <v>1.3</v>
      </c>
      <c r="E15" s="877" t="s">
        <v>36</v>
      </c>
      <c r="F15" s="880">
        <v>1</v>
      </c>
      <c r="G15" s="880"/>
      <c r="H15" s="880">
        <v>1</v>
      </c>
      <c r="I15" s="879">
        <f t="shared" ref="I15:I20" si="0">IF(H15="",D15*F15,D15*F15*H15)</f>
        <v>1.3</v>
      </c>
      <c r="J15" s="48"/>
      <c r="K15" s="48"/>
      <c r="L15" s="48"/>
      <c r="M15" s="48"/>
      <c r="N15" s="48"/>
      <c r="O15" s="58"/>
    </row>
    <row r="16" spans="1:15" x14ac:dyDescent="0.25">
      <c r="A16" s="872">
        <v>20</v>
      </c>
      <c r="B16" s="877" t="s">
        <v>241</v>
      </c>
      <c r="C16" s="871" t="s">
        <v>507</v>
      </c>
      <c r="D16" s="870">
        <v>0.04</v>
      </c>
      <c r="E16" s="871" t="s">
        <v>243</v>
      </c>
      <c r="F16" s="878">
        <v>50</v>
      </c>
      <c r="G16" s="877" t="s">
        <v>111</v>
      </c>
      <c r="H16" s="827">
        <v>3</v>
      </c>
      <c r="I16" s="870">
        <f t="shared" si="0"/>
        <v>6</v>
      </c>
      <c r="J16" s="46"/>
      <c r="K16" s="46"/>
      <c r="L16" s="46"/>
      <c r="M16" s="46"/>
      <c r="N16" s="46"/>
      <c r="O16" s="52"/>
    </row>
    <row r="17" spans="1:15" ht="28.5" customHeight="1" x14ac:dyDescent="0.25">
      <c r="A17" s="881">
        <v>30</v>
      </c>
      <c r="B17" s="877" t="s">
        <v>508</v>
      </c>
      <c r="C17" s="880"/>
      <c r="D17" s="879">
        <v>0.65</v>
      </c>
      <c r="E17" s="877" t="s">
        <v>36</v>
      </c>
      <c r="F17" s="880">
        <v>1</v>
      </c>
      <c r="G17" s="880"/>
      <c r="H17" s="880">
        <v>1</v>
      </c>
      <c r="I17" s="879">
        <f t="shared" si="0"/>
        <v>0.65</v>
      </c>
      <c r="J17" s="48"/>
      <c r="K17" s="48"/>
      <c r="L17" s="48"/>
      <c r="M17" s="48"/>
      <c r="N17" s="48"/>
      <c r="O17" s="58"/>
    </row>
    <row r="18" spans="1:15" x14ac:dyDescent="0.25">
      <c r="A18" s="872">
        <v>40</v>
      </c>
      <c r="B18" s="877" t="s">
        <v>241</v>
      </c>
      <c r="C18" s="871" t="s">
        <v>509</v>
      </c>
      <c r="D18" s="870">
        <v>0.04</v>
      </c>
      <c r="E18" s="871" t="s">
        <v>243</v>
      </c>
      <c r="F18" s="878">
        <v>5</v>
      </c>
      <c r="G18" s="877" t="s">
        <v>111</v>
      </c>
      <c r="H18" s="827">
        <v>3</v>
      </c>
      <c r="I18" s="870">
        <f t="shared" si="0"/>
        <v>0.60000000000000009</v>
      </c>
      <c r="J18" s="46"/>
      <c r="K18" s="46"/>
      <c r="L18" s="46"/>
      <c r="M18" s="46"/>
      <c r="N18" s="46"/>
      <c r="O18" s="52"/>
    </row>
    <row r="19" spans="1:15" ht="28.5" customHeight="1" x14ac:dyDescent="0.25">
      <c r="A19" s="881">
        <v>50</v>
      </c>
      <c r="B19" s="877" t="s">
        <v>510</v>
      </c>
      <c r="C19" s="880"/>
      <c r="D19" s="879">
        <v>0.35</v>
      </c>
      <c r="E19" s="877" t="s">
        <v>247</v>
      </c>
      <c r="F19" s="880">
        <v>6</v>
      </c>
      <c r="G19" s="880"/>
      <c r="H19" s="880">
        <v>1</v>
      </c>
      <c r="I19" s="879">
        <f t="shared" si="0"/>
        <v>2.0999999999999996</v>
      </c>
      <c r="J19" s="48"/>
      <c r="K19" s="48"/>
      <c r="L19" s="48"/>
      <c r="M19" s="48"/>
      <c r="N19" s="48"/>
      <c r="O19" s="58"/>
    </row>
    <row r="20" spans="1:15" ht="28.5" customHeight="1" x14ac:dyDescent="0.25">
      <c r="A20" s="881">
        <v>60</v>
      </c>
      <c r="B20" s="877" t="s">
        <v>511</v>
      </c>
      <c r="C20" s="880"/>
      <c r="D20" s="879">
        <v>0.5</v>
      </c>
      <c r="E20" s="877" t="s">
        <v>247</v>
      </c>
      <c r="F20" s="880">
        <v>1</v>
      </c>
      <c r="G20" s="877" t="s">
        <v>111</v>
      </c>
      <c r="H20" s="880">
        <v>3</v>
      </c>
      <c r="I20" s="879">
        <f t="shared" si="0"/>
        <v>1.5</v>
      </c>
      <c r="J20" s="48"/>
      <c r="K20" s="48"/>
      <c r="L20" s="48"/>
      <c r="M20" s="48"/>
      <c r="N20" s="48"/>
      <c r="O20" s="58"/>
    </row>
    <row r="21" spans="1:15" x14ac:dyDescent="0.25">
      <c r="A21" s="57"/>
      <c r="B21" s="20"/>
      <c r="C21" s="20"/>
      <c r="D21" s="20"/>
      <c r="E21" s="20"/>
      <c r="F21" s="20"/>
      <c r="G21" s="20"/>
      <c r="H21" s="869" t="s">
        <v>19</v>
      </c>
      <c r="I21" s="868">
        <f>SUM(I15:I20)</f>
        <v>12.15</v>
      </c>
      <c r="J21" s="20"/>
      <c r="K21" s="20"/>
      <c r="L21" s="20"/>
      <c r="M21" s="20"/>
      <c r="N21" s="20"/>
      <c r="O21" s="52"/>
    </row>
    <row r="22" spans="1:15" x14ac:dyDescent="0.25">
      <c r="A22" s="137"/>
      <c r="B22" s="138"/>
      <c r="C22" s="138"/>
      <c r="D22" s="138"/>
      <c r="E22" s="138"/>
      <c r="F22" s="138"/>
      <c r="G22" s="138"/>
      <c r="H22" s="965"/>
      <c r="I22" s="966"/>
      <c r="J22" s="138"/>
      <c r="K22" s="138"/>
      <c r="L22" s="138"/>
      <c r="M22" s="138"/>
      <c r="N22" s="138"/>
      <c r="O22" s="123"/>
    </row>
    <row r="23" spans="1:15" x14ac:dyDescent="0.25">
      <c r="A23" s="137"/>
      <c r="B23" s="138"/>
      <c r="C23" s="138"/>
      <c r="D23" s="138"/>
      <c r="E23" s="138"/>
      <c r="F23" s="138"/>
      <c r="G23" s="138"/>
      <c r="H23" s="965"/>
      <c r="I23" s="966"/>
      <c r="J23" s="138"/>
      <c r="K23" s="138"/>
      <c r="L23" s="138"/>
      <c r="M23" s="138"/>
      <c r="N23" s="138"/>
      <c r="O23" s="123"/>
    </row>
    <row r="24" spans="1:15" x14ac:dyDescent="0.25">
      <c r="A24" s="137"/>
      <c r="B24" s="138"/>
      <c r="C24" s="138"/>
      <c r="D24" s="138"/>
      <c r="E24" s="138"/>
      <c r="F24" s="138"/>
      <c r="G24" s="138"/>
      <c r="H24" s="965"/>
      <c r="I24" s="966"/>
      <c r="J24" s="138"/>
      <c r="K24" s="138"/>
      <c r="L24" s="138"/>
      <c r="M24" s="138"/>
      <c r="N24" s="138"/>
      <c r="O24" s="123"/>
    </row>
    <row r="25" spans="1:15" x14ac:dyDescent="0.25">
      <c r="A25" s="137"/>
      <c r="B25" s="138"/>
      <c r="C25" s="138"/>
      <c r="D25" s="138"/>
      <c r="E25" s="138"/>
      <c r="F25" s="138"/>
      <c r="G25" s="138"/>
      <c r="H25" s="965"/>
      <c r="I25" s="966"/>
      <c r="J25" s="138"/>
      <c r="K25" s="138"/>
      <c r="L25" s="138"/>
      <c r="M25" s="138"/>
      <c r="N25" s="138"/>
      <c r="O25" s="123"/>
    </row>
    <row r="26" spans="1:15" x14ac:dyDescent="0.25">
      <c r="A26" s="137"/>
      <c r="B26" s="138"/>
      <c r="C26" s="138"/>
      <c r="D26" s="138"/>
      <c r="E26" s="138"/>
      <c r="F26" s="138"/>
      <c r="G26" s="138"/>
      <c r="H26" s="965"/>
      <c r="I26" s="966"/>
      <c r="J26" s="138"/>
      <c r="K26" s="138"/>
      <c r="L26" s="138"/>
      <c r="M26" s="138"/>
      <c r="N26" s="138"/>
      <c r="O26" s="123"/>
    </row>
    <row r="27" spans="1:15" x14ac:dyDescent="0.25">
      <c r="A27" s="137"/>
      <c r="B27" s="138"/>
      <c r="C27" s="138"/>
      <c r="D27" s="138"/>
      <c r="E27" s="138"/>
      <c r="F27" s="138"/>
      <c r="G27" s="138"/>
      <c r="H27" s="965"/>
      <c r="I27" s="966"/>
      <c r="J27" s="138"/>
      <c r="K27" s="138"/>
      <c r="L27" s="138"/>
      <c r="M27" s="138"/>
      <c r="N27" s="138"/>
      <c r="O27" s="123"/>
    </row>
    <row r="28" spans="1:15" x14ac:dyDescent="0.25">
      <c r="A28" s="137"/>
      <c r="B28" s="138"/>
      <c r="C28" s="138"/>
      <c r="D28" s="138"/>
      <c r="E28" s="138"/>
      <c r="F28" s="138"/>
      <c r="G28" s="138"/>
      <c r="H28" s="965"/>
      <c r="I28" s="966"/>
      <c r="J28" s="138"/>
      <c r="K28" s="138"/>
      <c r="L28" s="138"/>
      <c r="M28" s="138"/>
      <c r="N28" s="138"/>
      <c r="O28" s="123"/>
    </row>
    <row r="29" spans="1:15" x14ac:dyDescent="0.25">
      <c r="A29" s="137"/>
      <c r="B29" s="138"/>
      <c r="C29" s="138"/>
      <c r="D29" s="138"/>
      <c r="E29" s="138"/>
      <c r="F29" s="138"/>
      <c r="G29" s="138"/>
      <c r="H29" s="965"/>
      <c r="I29" s="966"/>
      <c r="J29" s="138"/>
      <c r="K29" s="138"/>
      <c r="L29" s="138"/>
      <c r="M29" s="138"/>
      <c r="N29" s="138"/>
      <c r="O29" s="123"/>
    </row>
    <row r="30" spans="1:15" x14ac:dyDescent="0.25">
      <c r="A30" s="137"/>
      <c r="B30" s="138"/>
      <c r="C30" s="138"/>
      <c r="D30" s="138"/>
      <c r="E30" s="138"/>
      <c r="F30" s="138"/>
      <c r="G30" s="138"/>
      <c r="H30" s="965"/>
      <c r="I30" s="966"/>
      <c r="J30" s="138"/>
      <c r="K30" s="138"/>
      <c r="L30" s="138"/>
      <c r="M30" s="138"/>
      <c r="N30" s="138"/>
      <c r="O30" s="123"/>
    </row>
    <row r="31" spans="1:15" x14ac:dyDescent="0.25">
      <c r="A31" s="137"/>
      <c r="B31" s="138"/>
      <c r="C31" s="138"/>
      <c r="D31" s="138"/>
      <c r="E31" s="138"/>
      <c r="F31" s="138"/>
      <c r="G31" s="138"/>
      <c r="H31" s="965"/>
      <c r="I31" s="966"/>
      <c r="J31" s="138"/>
      <c r="K31" s="138"/>
      <c r="L31" s="138"/>
      <c r="M31" s="138"/>
      <c r="N31" s="138"/>
      <c r="O31" s="123"/>
    </row>
    <row r="32" spans="1:15" x14ac:dyDescent="0.25">
      <c r="A32" s="137"/>
      <c r="B32" s="138"/>
      <c r="C32" s="138"/>
      <c r="D32" s="138"/>
      <c r="E32" s="138"/>
      <c r="F32" s="138"/>
      <c r="G32" s="138"/>
      <c r="H32" s="965"/>
      <c r="I32" s="966"/>
      <c r="J32" s="138"/>
      <c r="K32" s="138"/>
      <c r="L32" s="138"/>
      <c r="M32" s="138"/>
      <c r="N32" s="138"/>
      <c r="O32" s="123"/>
    </row>
    <row r="33" spans="1:15" x14ac:dyDescent="0.25">
      <c r="A33" s="137"/>
      <c r="B33" s="138"/>
      <c r="C33" s="138"/>
      <c r="D33" s="138"/>
      <c r="E33" s="138"/>
      <c r="F33" s="138"/>
      <c r="G33" s="138"/>
      <c r="H33" s="965"/>
      <c r="I33" s="966"/>
      <c r="J33" s="138"/>
      <c r="K33" s="138"/>
      <c r="L33" s="138"/>
      <c r="M33" s="138"/>
      <c r="N33" s="138"/>
      <c r="O33" s="123"/>
    </row>
    <row r="34" spans="1:15" x14ac:dyDescent="0.25">
      <c r="A34" s="137"/>
      <c r="B34" s="138"/>
      <c r="C34" s="138"/>
      <c r="D34" s="138"/>
      <c r="E34" s="138"/>
      <c r="F34" s="138"/>
      <c r="G34" s="138"/>
      <c r="H34" s="965"/>
      <c r="I34" s="966"/>
      <c r="J34" s="138"/>
      <c r="K34" s="138"/>
      <c r="L34" s="138"/>
      <c r="M34" s="138"/>
      <c r="N34" s="138"/>
      <c r="O34" s="123"/>
    </row>
    <row r="35" spans="1:15" x14ac:dyDescent="0.25">
      <c r="A35" s="137"/>
      <c r="B35" s="138"/>
      <c r="C35" s="138"/>
      <c r="D35" s="138"/>
      <c r="E35" s="138"/>
      <c r="F35" s="138"/>
      <c r="G35" s="138"/>
      <c r="H35" s="965"/>
      <c r="I35" s="966"/>
      <c r="J35" s="138"/>
      <c r="K35" s="138"/>
      <c r="L35" s="138"/>
      <c r="M35" s="138"/>
      <c r="N35" s="138"/>
      <c r="O35" s="123"/>
    </row>
    <row r="36" spans="1:15" x14ac:dyDescent="0.25">
      <c r="A36" s="137"/>
      <c r="B36" s="138"/>
      <c r="C36" s="138"/>
      <c r="D36" s="138"/>
      <c r="E36" s="138"/>
      <c r="F36" s="138"/>
      <c r="G36" s="138"/>
      <c r="H36" s="965"/>
      <c r="I36" s="966"/>
      <c r="J36" s="138"/>
      <c r="K36" s="138"/>
      <c r="L36" s="138"/>
      <c r="M36" s="138"/>
      <c r="N36" s="138"/>
      <c r="O36" s="123"/>
    </row>
    <row r="37" spans="1:15" x14ac:dyDescent="0.25">
      <c r="A37" s="137"/>
      <c r="B37" s="138"/>
      <c r="C37" s="138"/>
      <c r="D37" s="138"/>
      <c r="E37" s="138"/>
      <c r="F37" s="138"/>
      <c r="G37" s="138"/>
      <c r="H37" s="965"/>
      <c r="I37" s="966"/>
      <c r="J37" s="138"/>
      <c r="K37" s="138"/>
      <c r="L37" s="138"/>
      <c r="M37" s="138"/>
      <c r="N37" s="138"/>
      <c r="O37" s="123"/>
    </row>
    <row r="38" spans="1:15" x14ac:dyDescent="0.25">
      <c r="A38" s="137"/>
      <c r="B38" s="138"/>
      <c r="C38" s="138"/>
      <c r="D38" s="138"/>
      <c r="E38" s="138"/>
      <c r="F38" s="138"/>
      <c r="G38" s="138"/>
      <c r="H38" s="965"/>
      <c r="I38" s="966"/>
      <c r="J38" s="138"/>
      <c r="K38" s="138"/>
      <c r="L38" s="138"/>
      <c r="M38" s="138"/>
      <c r="N38" s="138"/>
      <c r="O38" s="123"/>
    </row>
    <row r="39" spans="1:15" ht="15.75" thickBot="1" x14ac:dyDescent="0.3">
      <c r="A39" s="59"/>
      <c r="B39" s="60"/>
      <c r="C39" s="60"/>
      <c r="D39" s="60"/>
      <c r="E39" s="60"/>
      <c r="F39" s="60"/>
      <c r="G39" s="60"/>
      <c r="H39" s="891"/>
      <c r="I39" s="891"/>
      <c r="J39" s="60"/>
      <c r="K39" s="60"/>
      <c r="L39" s="60"/>
      <c r="M39" s="60"/>
      <c r="N39" s="60"/>
      <c r="O39" s="61"/>
    </row>
    <row r="40" spans="1:15" ht="15.75" thickBot="1" x14ac:dyDescent="0.3"/>
    <row r="41" spans="1:15" x14ac:dyDescent="0.2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1"/>
    </row>
    <row r="42" spans="1:15" x14ac:dyDescent="0.25">
      <c r="A42" s="887" t="s">
        <v>0</v>
      </c>
      <c r="B42" s="17" t="s">
        <v>47</v>
      </c>
      <c r="C42" s="46"/>
      <c r="D42" s="46"/>
      <c r="E42" s="46"/>
      <c r="F42" s="46"/>
      <c r="G42" s="46"/>
      <c r="H42" s="46"/>
      <c r="I42" s="46"/>
      <c r="J42" s="890" t="s">
        <v>2</v>
      </c>
      <c r="K42" s="86">
        <v>81</v>
      </c>
      <c r="L42" s="46"/>
      <c r="M42" s="887" t="s">
        <v>17</v>
      </c>
      <c r="N42" s="652">
        <f>FR_06002_m+FR_06002_p</f>
        <v>17.638947000000002</v>
      </c>
      <c r="O42" s="52"/>
    </row>
    <row r="43" spans="1:15" x14ac:dyDescent="0.25">
      <c r="A43" s="887" t="s">
        <v>4</v>
      </c>
      <c r="B43" s="17" t="s">
        <v>501</v>
      </c>
      <c r="C43" s="46"/>
      <c r="D43" s="887" t="s">
        <v>7</v>
      </c>
      <c r="E43" s="89"/>
      <c r="F43" s="46"/>
      <c r="G43" s="46"/>
      <c r="H43" s="46"/>
      <c r="I43" s="46"/>
      <c r="J43" s="46"/>
      <c r="K43" s="46"/>
      <c r="L43" s="46"/>
      <c r="M43" s="887" t="s">
        <v>5</v>
      </c>
      <c r="N43" s="414">
        <v>1</v>
      </c>
      <c r="O43" s="52"/>
    </row>
    <row r="44" spans="1:15" x14ac:dyDescent="0.25">
      <c r="A44" s="887" t="s">
        <v>6</v>
      </c>
      <c r="B44" s="675" t="str">
        <f>'FR Assemblies'!B4</f>
        <v>Shifter</v>
      </c>
      <c r="C44" s="46"/>
      <c r="D44" s="887" t="s">
        <v>9</v>
      </c>
      <c r="E44" s="46"/>
      <c r="F44" s="46"/>
      <c r="G44" s="46"/>
      <c r="H44" s="46"/>
      <c r="I44" s="46"/>
      <c r="J44" s="888" t="s">
        <v>7</v>
      </c>
      <c r="K44" s="46"/>
      <c r="L44" s="46"/>
      <c r="M44" s="46"/>
      <c r="N44" s="46"/>
      <c r="O44" s="52"/>
    </row>
    <row r="45" spans="1:15" x14ac:dyDescent="0.25">
      <c r="A45" s="887" t="s">
        <v>16</v>
      </c>
      <c r="B45" s="18" t="s">
        <v>512</v>
      </c>
      <c r="C45" s="46"/>
      <c r="D45" s="887" t="s">
        <v>13</v>
      </c>
      <c r="E45" s="46"/>
      <c r="F45" s="46"/>
      <c r="G45" s="46"/>
      <c r="H45" s="46"/>
      <c r="I45" s="46"/>
      <c r="J45" s="888" t="s">
        <v>9</v>
      </c>
      <c r="K45" s="46"/>
      <c r="L45" s="46"/>
      <c r="M45" s="887" t="s">
        <v>10</v>
      </c>
      <c r="N45" s="652">
        <f>N43*N42</f>
        <v>17.638947000000002</v>
      </c>
      <c r="O45" s="52"/>
    </row>
    <row r="46" spans="1:15" x14ac:dyDescent="0.25">
      <c r="A46" s="887" t="s">
        <v>8</v>
      </c>
      <c r="B46" s="889" t="s">
        <v>514</v>
      </c>
      <c r="C46" s="46"/>
      <c r="D46" s="46"/>
      <c r="E46" s="46"/>
      <c r="F46" s="46"/>
      <c r="G46" s="46"/>
      <c r="H46" s="46"/>
      <c r="I46" s="46"/>
      <c r="J46" s="888" t="s">
        <v>13</v>
      </c>
      <c r="K46" s="46"/>
      <c r="L46" s="46"/>
      <c r="M46" s="46"/>
      <c r="N46" s="46"/>
      <c r="O46" s="52"/>
    </row>
    <row r="47" spans="1:15" x14ac:dyDescent="0.25">
      <c r="A47" s="887" t="s">
        <v>11</v>
      </c>
      <c r="B47" s="17" t="s">
        <v>12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52"/>
    </row>
    <row r="48" spans="1:15" x14ac:dyDescent="0.25">
      <c r="A48" s="887" t="s">
        <v>14</v>
      </c>
      <c r="B48" s="1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52"/>
    </row>
    <row r="49" spans="1:15" x14ac:dyDescent="0.25">
      <c r="A49" s="886"/>
      <c r="B49" s="885"/>
      <c r="C49" s="885"/>
      <c r="D49" s="885"/>
      <c r="E49" s="885"/>
      <c r="F49" s="46"/>
      <c r="G49" s="46"/>
      <c r="H49" s="46"/>
      <c r="I49" s="46"/>
      <c r="J49" s="46"/>
      <c r="K49" s="46"/>
      <c r="L49" s="46"/>
      <c r="M49" s="46"/>
      <c r="N49" s="46"/>
      <c r="O49" s="52"/>
    </row>
    <row r="50" spans="1:15" x14ac:dyDescent="0.25">
      <c r="A50" s="884" t="s">
        <v>15</v>
      </c>
      <c r="B50" s="883" t="s">
        <v>20</v>
      </c>
      <c r="C50" s="883" t="s">
        <v>21</v>
      </c>
      <c r="D50" s="883" t="s">
        <v>22</v>
      </c>
      <c r="E50" s="883" t="s">
        <v>23</v>
      </c>
      <c r="F50" s="873" t="s">
        <v>24</v>
      </c>
      <c r="G50" s="873" t="s">
        <v>25</v>
      </c>
      <c r="H50" s="873" t="s">
        <v>26</v>
      </c>
      <c r="I50" s="873" t="s">
        <v>27</v>
      </c>
      <c r="J50" s="873" t="s">
        <v>28</v>
      </c>
      <c r="K50" s="873" t="s">
        <v>29</v>
      </c>
      <c r="L50" s="873" t="s">
        <v>30</v>
      </c>
      <c r="M50" s="873" t="s">
        <v>18</v>
      </c>
      <c r="N50" s="873" t="s">
        <v>19</v>
      </c>
      <c r="O50" s="52"/>
    </row>
    <row r="51" spans="1:15" x14ac:dyDescent="0.25">
      <c r="A51" s="838">
        <v>10</v>
      </c>
      <c r="B51" s="133" t="s">
        <v>301</v>
      </c>
      <c r="C51" s="134" t="s">
        <v>423</v>
      </c>
      <c r="D51" s="162">
        <v>2.25</v>
      </c>
      <c r="E51" s="840">
        <v>0.20300000000000001</v>
      </c>
      <c r="F51" s="134" t="s">
        <v>92</v>
      </c>
      <c r="G51" s="134"/>
      <c r="H51" s="19"/>
      <c r="I51" s="134" t="s">
        <v>505</v>
      </c>
      <c r="J51" s="828">
        <v>5.7300000000000005E-4</v>
      </c>
      <c r="K51" s="19">
        <v>0.24</v>
      </c>
      <c r="L51" s="842">
        <v>7850</v>
      </c>
      <c r="M51" s="839">
        <v>1</v>
      </c>
      <c r="N51" s="870">
        <f>IF(J51="",D51*M51,D51*J51*K51*L51*M51)</f>
        <v>2.428947</v>
      </c>
      <c r="O51" s="56"/>
    </row>
    <row r="52" spans="1:15" x14ac:dyDescent="0.25">
      <c r="A52" s="5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882" t="s">
        <v>19</v>
      </c>
      <c r="N52" s="868">
        <f>SUM(N51:N51)</f>
        <v>2.428947</v>
      </c>
      <c r="O52" s="52"/>
    </row>
    <row r="53" spans="1:15" x14ac:dyDescent="0.25">
      <c r="A53" s="53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52"/>
    </row>
    <row r="54" spans="1:15" x14ac:dyDescent="0.25">
      <c r="A54" s="874" t="s">
        <v>15</v>
      </c>
      <c r="B54" s="873" t="s">
        <v>32</v>
      </c>
      <c r="C54" s="873" t="s">
        <v>21</v>
      </c>
      <c r="D54" s="873" t="s">
        <v>22</v>
      </c>
      <c r="E54" s="873" t="s">
        <v>33</v>
      </c>
      <c r="F54" s="873" t="s">
        <v>18</v>
      </c>
      <c r="G54" s="873" t="s">
        <v>34</v>
      </c>
      <c r="H54" s="873" t="s">
        <v>35</v>
      </c>
      <c r="I54" s="873" t="s">
        <v>19</v>
      </c>
      <c r="J54" s="20"/>
      <c r="K54" s="20"/>
      <c r="L54" s="20"/>
      <c r="M54" s="20"/>
      <c r="N54" s="20"/>
      <c r="O54" s="52"/>
    </row>
    <row r="55" spans="1:15" x14ac:dyDescent="0.25">
      <c r="A55" s="881">
        <v>10</v>
      </c>
      <c r="B55" s="877" t="s">
        <v>50</v>
      </c>
      <c r="C55" s="880" t="s">
        <v>506</v>
      </c>
      <c r="D55" s="879">
        <v>1.3</v>
      </c>
      <c r="E55" s="877" t="s">
        <v>36</v>
      </c>
      <c r="F55" s="880">
        <v>1</v>
      </c>
      <c r="G55" s="880"/>
      <c r="H55" s="880">
        <v>1</v>
      </c>
      <c r="I55" s="879">
        <f>IF(H55="",D55*F55,D55*F55*H55)</f>
        <v>1.3</v>
      </c>
      <c r="J55" s="48"/>
      <c r="K55" s="48"/>
      <c r="L55" s="48"/>
      <c r="M55" s="48"/>
      <c r="N55" s="48"/>
      <c r="O55" s="58"/>
    </row>
    <row r="56" spans="1:15" x14ac:dyDescent="0.25">
      <c r="A56" s="872">
        <v>20</v>
      </c>
      <c r="B56" s="877" t="s">
        <v>241</v>
      </c>
      <c r="C56" s="871" t="s">
        <v>507</v>
      </c>
      <c r="D56" s="870">
        <v>0.04</v>
      </c>
      <c r="E56" s="871" t="s">
        <v>243</v>
      </c>
      <c r="F56" s="878">
        <v>97</v>
      </c>
      <c r="G56" s="877" t="s">
        <v>111</v>
      </c>
      <c r="H56" s="827">
        <v>3</v>
      </c>
      <c r="I56" s="870">
        <f>IF(H56="",D56*F56,D56*F56*H56)</f>
        <v>11.64</v>
      </c>
      <c r="J56" s="46"/>
      <c r="K56" s="46"/>
      <c r="L56" s="46"/>
      <c r="M56" s="46"/>
      <c r="N56" s="46"/>
      <c r="O56" s="52"/>
    </row>
    <row r="57" spans="1:15" x14ac:dyDescent="0.25">
      <c r="A57" s="881">
        <v>30</v>
      </c>
      <c r="B57" s="877" t="s">
        <v>508</v>
      </c>
      <c r="C57" s="880"/>
      <c r="D57" s="879">
        <v>0.65</v>
      </c>
      <c r="E57" s="877" t="s">
        <v>36</v>
      </c>
      <c r="F57" s="880">
        <v>1</v>
      </c>
      <c r="G57" s="880"/>
      <c r="H57" s="880">
        <v>1</v>
      </c>
      <c r="I57" s="879">
        <f>IF(H57="",D57*F57,D57*F57*H57)</f>
        <v>0.65</v>
      </c>
      <c r="J57" s="48"/>
      <c r="K57" s="48"/>
      <c r="L57" s="48"/>
      <c r="M57" s="48"/>
      <c r="N57" s="48"/>
      <c r="O57" s="58"/>
    </row>
    <row r="58" spans="1:15" ht="23.25" customHeight="1" x14ac:dyDescent="0.25">
      <c r="A58" s="872">
        <v>40</v>
      </c>
      <c r="B58" s="877" t="s">
        <v>241</v>
      </c>
      <c r="C58" s="871" t="s">
        <v>509</v>
      </c>
      <c r="D58" s="870">
        <v>0.04</v>
      </c>
      <c r="E58" s="871" t="s">
        <v>243</v>
      </c>
      <c r="F58" s="878">
        <v>1</v>
      </c>
      <c r="G58" s="877" t="s">
        <v>111</v>
      </c>
      <c r="H58" s="827">
        <v>3</v>
      </c>
      <c r="I58" s="870">
        <f>IF(H58="",D58*F58,D58*F58*H58)</f>
        <v>0.12</v>
      </c>
      <c r="J58" s="46"/>
      <c r="K58" s="46"/>
      <c r="L58" s="46"/>
      <c r="M58" s="46"/>
      <c r="N58" s="46"/>
      <c r="O58" s="52"/>
    </row>
    <row r="59" spans="1:15" ht="15.75" customHeight="1" x14ac:dyDescent="0.25">
      <c r="A59" s="881">
        <v>50</v>
      </c>
      <c r="B59" s="877" t="s">
        <v>511</v>
      </c>
      <c r="C59" s="880"/>
      <c r="D59" s="879">
        <v>0.5</v>
      </c>
      <c r="E59" s="877" t="s">
        <v>247</v>
      </c>
      <c r="F59" s="880">
        <v>1</v>
      </c>
      <c r="G59" s="877" t="s">
        <v>111</v>
      </c>
      <c r="H59" s="880">
        <v>3</v>
      </c>
      <c r="I59" s="879">
        <f>IF(H59="",D59*F59,D59*F59*H59)</f>
        <v>1.5</v>
      </c>
      <c r="J59" s="48"/>
      <c r="K59" s="48"/>
      <c r="L59" s="48"/>
      <c r="M59" s="48"/>
      <c r="N59" s="48"/>
      <c r="O59" s="58"/>
    </row>
    <row r="60" spans="1:15" x14ac:dyDescent="0.25">
      <c r="A60" s="57"/>
      <c r="B60" s="20"/>
      <c r="C60" s="20"/>
      <c r="D60" s="20"/>
      <c r="E60" s="20"/>
      <c r="F60" s="20"/>
      <c r="G60" s="20"/>
      <c r="H60" s="869" t="s">
        <v>19</v>
      </c>
      <c r="I60" s="868">
        <f>SUM(I55:I59)</f>
        <v>15.21</v>
      </c>
      <c r="J60" s="20"/>
      <c r="K60" s="20"/>
      <c r="L60" s="20"/>
      <c r="M60" s="20"/>
      <c r="N60" s="20"/>
      <c r="O60" s="52"/>
    </row>
    <row r="61" spans="1:15" x14ac:dyDescent="0.25">
      <c r="A61" s="137"/>
      <c r="B61" s="138"/>
      <c r="C61" s="138"/>
      <c r="D61" s="138"/>
      <c r="E61" s="138"/>
      <c r="F61" s="138"/>
      <c r="G61" s="138"/>
      <c r="H61" s="965"/>
      <c r="I61" s="966"/>
      <c r="J61" s="138"/>
      <c r="K61" s="138"/>
      <c r="L61" s="138"/>
      <c r="M61" s="138"/>
      <c r="N61" s="138"/>
      <c r="O61" s="123"/>
    </row>
    <row r="62" spans="1:15" x14ac:dyDescent="0.25">
      <c r="A62" s="137"/>
      <c r="B62" s="138"/>
      <c r="C62" s="138"/>
      <c r="D62" s="138"/>
      <c r="E62" s="138"/>
      <c r="F62" s="138"/>
      <c r="G62" s="138"/>
      <c r="H62" s="965"/>
      <c r="I62" s="966"/>
      <c r="J62" s="138"/>
      <c r="K62" s="138"/>
      <c r="L62" s="138"/>
      <c r="M62" s="138"/>
      <c r="N62" s="138"/>
      <c r="O62" s="123"/>
    </row>
    <row r="63" spans="1:15" x14ac:dyDescent="0.25">
      <c r="A63" s="137"/>
      <c r="B63" s="138"/>
      <c r="C63" s="138"/>
      <c r="D63" s="138"/>
      <c r="E63" s="138"/>
      <c r="F63" s="138"/>
      <c r="G63" s="138"/>
      <c r="H63" s="965"/>
      <c r="I63" s="966"/>
      <c r="J63" s="138"/>
      <c r="K63" s="138"/>
      <c r="L63" s="138"/>
      <c r="M63" s="138"/>
      <c r="N63" s="138"/>
      <c r="O63" s="123"/>
    </row>
    <row r="64" spans="1:15" x14ac:dyDescent="0.25">
      <c r="A64" s="137"/>
      <c r="B64" s="138"/>
      <c r="C64" s="138"/>
      <c r="D64" s="138"/>
      <c r="E64" s="138"/>
      <c r="F64" s="138"/>
      <c r="G64" s="138"/>
      <c r="H64" s="965"/>
      <c r="I64" s="966"/>
      <c r="J64" s="138"/>
      <c r="K64" s="138"/>
      <c r="L64" s="138"/>
      <c r="M64" s="138"/>
      <c r="N64" s="138"/>
      <c r="O64" s="123"/>
    </row>
    <row r="65" spans="1:15" x14ac:dyDescent="0.25">
      <c r="A65" s="137"/>
      <c r="B65" s="138"/>
      <c r="C65" s="138"/>
      <c r="D65" s="138"/>
      <c r="E65" s="138"/>
      <c r="F65" s="138"/>
      <c r="G65" s="138"/>
      <c r="H65" s="965"/>
      <c r="I65" s="966"/>
      <c r="J65" s="138"/>
      <c r="K65" s="138"/>
      <c r="L65" s="138"/>
      <c r="M65" s="138"/>
      <c r="N65" s="138"/>
      <c r="O65" s="123"/>
    </row>
    <row r="66" spans="1:15" x14ac:dyDescent="0.25">
      <c r="A66" s="137"/>
      <c r="B66" s="138"/>
      <c r="C66" s="138"/>
      <c r="D66" s="138"/>
      <c r="E66" s="138"/>
      <c r="F66" s="138"/>
      <c r="G66" s="138"/>
      <c r="H66" s="965"/>
      <c r="I66" s="966"/>
      <c r="J66" s="138"/>
      <c r="K66" s="138"/>
      <c r="L66" s="138"/>
      <c r="M66" s="138"/>
      <c r="N66" s="138"/>
      <c r="O66" s="123"/>
    </row>
    <row r="67" spans="1:15" x14ac:dyDescent="0.25">
      <c r="A67" s="137"/>
      <c r="B67" s="138"/>
      <c r="C67" s="138"/>
      <c r="D67" s="138"/>
      <c r="E67" s="138"/>
      <c r="F67" s="138"/>
      <c r="G67" s="138"/>
      <c r="H67" s="965"/>
      <c r="I67" s="966"/>
      <c r="J67" s="138"/>
      <c r="K67" s="138"/>
      <c r="L67" s="138"/>
      <c r="M67" s="138"/>
      <c r="N67" s="138"/>
      <c r="O67" s="123"/>
    </row>
    <row r="68" spans="1:15" x14ac:dyDescent="0.25">
      <c r="A68" s="137"/>
      <c r="B68" s="138"/>
      <c r="C68" s="138"/>
      <c r="D68" s="138"/>
      <c r="E68" s="138"/>
      <c r="F68" s="138"/>
      <c r="G68" s="138"/>
      <c r="H68" s="965"/>
      <c r="I68" s="966"/>
      <c r="J68" s="138"/>
      <c r="K68" s="138"/>
      <c r="L68" s="138"/>
      <c r="M68" s="138"/>
      <c r="N68" s="138"/>
      <c r="O68" s="123"/>
    </row>
    <row r="69" spans="1:15" x14ac:dyDescent="0.25">
      <c r="A69" s="137"/>
      <c r="B69" s="138"/>
      <c r="C69" s="138"/>
      <c r="D69" s="138"/>
      <c r="E69" s="138"/>
      <c r="F69" s="138"/>
      <c r="G69" s="138"/>
      <c r="H69" s="965"/>
      <c r="I69" s="966"/>
      <c r="J69" s="138"/>
      <c r="K69" s="138"/>
      <c r="L69" s="138"/>
      <c r="M69" s="138"/>
      <c r="N69" s="138"/>
      <c r="O69" s="123"/>
    </row>
    <row r="70" spans="1:15" x14ac:dyDescent="0.25">
      <c r="A70" s="137"/>
      <c r="B70" s="138"/>
      <c r="C70" s="138"/>
      <c r="D70" s="138"/>
      <c r="E70" s="138"/>
      <c r="F70" s="138"/>
      <c r="G70" s="138"/>
      <c r="H70" s="965"/>
      <c r="I70" s="966"/>
      <c r="J70" s="138"/>
      <c r="K70" s="138"/>
      <c r="L70" s="138"/>
      <c r="M70" s="138"/>
      <c r="N70" s="138"/>
      <c r="O70" s="123"/>
    </row>
    <row r="71" spans="1:15" x14ac:dyDescent="0.25">
      <c r="A71" s="137"/>
      <c r="B71" s="138"/>
      <c r="C71" s="138"/>
      <c r="D71" s="138"/>
      <c r="E71" s="138"/>
      <c r="F71" s="138"/>
      <c r="G71" s="138"/>
      <c r="H71" s="965"/>
      <c r="I71" s="966"/>
      <c r="J71" s="138"/>
      <c r="K71" s="138"/>
      <c r="L71" s="138"/>
      <c r="M71" s="138"/>
      <c r="N71" s="138"/>
      <c r="O71" s="123"/>
    </row>
    <row r="72" spans="1:15" x14ac:dyDescent="0.25">
      <c r="A72" s="137"/>
      <c r="B72" s="138"/>
      <c r="C72" s="138"/>
      <c r="D72" s="138"/>
      <c r="E72" s="138"/>
      <c r="F72" s="138"/>
      <c r="G72" s="138"/>
      <c r="H72" s="965"/>
      <c r="I72" s="966"/>
      <c r="J72" s="138"/>
      <c r="K72" s="138"/>
      <c r="L72" s="138"/>
      <c r="M72" s="138"/>
      <c r="N72" s="138"/>
      <c r="O72" s="123"/>
    </row>
    <row r="73" spans="1:15" x14ac:dyDescent="0.25">
      <c r="A73" s="137"/>
      <c r="B73" s="138"/>
      <c r="C73" s="138"/>
      <c r="D73" s="138"/>
      <c r="E73" s="138"/>
      <c r="F73" s="138"/>
      <c r="G73" s="138"/>
      <c r="H73" s="965"/>
      <c r="I73" s="966"/>
      <c r="J73" s="138"/>
      <c r="K73" s="138"/>
      <c r="L73" s="138"/>
      <c r="M73" s="138"/>
      <c r="N73" s="138"/>
      <c r="O73" s="123"/>
    </row>
    <row r="74" spans="1:15" x14ac:dyDescent="0.25">
      <c r="A74" s="137"/>
      <c r="B74" s="138"/>
      <c r="C74" s="138"/>
      <c r="D74" s="138"/>
      <c r="E74" s="138"/>
      <c r="F74" s="138"/>
      <c r="G74" s="138"/>
      <c r="H74" s="965"/>
      <c r="I74" s="966"/>
      <c r="J74" s="138"/>
      <c r="K74" s="138"/>
      <c r="L74" s="138"/>
      <c r="M74" s="138"/>
      <c r="N74" s="138"/>
      <c r="O74" s="123"/>
    </row>
    <row r="75" spans="1:15" x14ac:dyDescent="0.25">
      <c r="A75" s="137"/>
      <c r="B75" s="138"/>
      <c r="C75" s="138"/>
      <c r="D75" s="138"/>
      <c r="E75" s="138"/>
      <c r="F75" s="138"/>
      <c r="G75" s="138"/>
      <c r="H75" s="965"/>
      <c r="I75" s="966"/>
      <c r="J75" s="138"/>
      <c r="K75" s="138"/>
      <c r="L75" s="138"/>
      <c r="M75" s="138"/>
      <c r="N75" s="138"/>
      <c r="O75" s="123"/>
    </row>
    <row r="76" spans="1:15" ht="15.75" thickBot="1" x14ac:dyDescent="0.3">
      <c r="A76" s="59"/>
      <c r="B76" s="60"/>
      <c r="C76" s="60"/>
      <c r="D76" s="60"/>
      <c r="E76" s="60"/>
      <c r="F76" s="60"/>
      <c r="G76" s="60"/>
      <c r="H76" s="891"/>
      <c r="I76" s="891"/>
      <c r="J76" s="60"/>
      <c r="K76" s="60"/>
      <c r="L76" s="60"/>
      <c r="M76" s="60"/>
      <c r="N76" s="60"/>
      <c r="O76" s="61"/>
    </row>
    <row r="77" spans="1:15" ht="15.75" thickBot="1" x14ac:dyDescent="0.3"/>
    <row r="78" spans="1:15" x14ac:dyDescent="0.25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1"/>
    </row>
    <row r="79" spans="1:15" x14ac:dyDescent="0.25">
      <c r="A79" s="887" t="s">
        <v>0</v>
      </c>
      <c r="B79" s="17" t="s">
        <v>47</v>
      </c>
      <c r="C79" s="46"/>
      <c r="D79" s="46"/>
      <c r="E79" s="46"/>
      <c r="F79" s="46"/>
      <c r="G79" s="46"/>
      <c r="H79" s="46"/>
      <c r="I79" s="46"/>
      <c r="J79" s="890" t="s">
        <v>2</v>
      </c>
      <c r="K79" s="86">
        <v>81</v>
      </c>
      <c r="L79" s="46"/>
      <c r="M79" s="887" t="s">
        <v>17</v>
      </c>
      <c r="N79" s="652">
        <f>FR_06003_m+FR_06003_p</f>
        <v>1.8850923625</v>
      </c>
      <c r="O79" s="52"/>
    </row>
    <row r="80" spans="1:15" x14ac:dyDescent="0.25">
      <c r="A80" s="887" t="s">
        <v>4</v>
      </c>
      <c r="B80" s="17" t="s">
        <v>501</v>
      </c>
      <c r="C80" s="46"/>
      <c r="D80" s="887" t="s">
        <v>7</v>
      </c>
      <c r="E80" s="89"/>
      <c r="F80" s="46"/>
      <c r="G80" s="46"/>
      <c r="H80" s="46"/>
      <c r="I80" s="46"/>
      <c r="J80" s="46"/>
      <c r="K80" s="46"/>
      <c r="L80" s="46"/>
      <c r="M80" s="887" t="s">
        <v>5</v>
      </c>
      <c r="N80" s="414">
        <v>1</v>
      </c>
      <c r="O80" s="52"/>
    </row>
    <row r="81" spans="1:15" x14ac:dyDescent="0.25">
      <c r="A81" s="887" t="s">
        <v>6</v>
      </c>
      <c r="B81" s="675" t="str">
        <f>'FR Assemblies'!B4</f>
        <v>Shifter</v>
      </c>
      <c r="C81" s="46"/>
      <c r="D81" s="887" t="s">
        <v>9</v>
      </c>
      <c r="E81" s="46"/>
      <c r="F81" s="46"/>
      <c r="G81" s="46"/>
      <c r="H81" s="46"/>
      <c r="I81" s="46"/>
      <c r="J81" s="888" t="s">
        <v>7</v>
      </c>
      <c r="K81" s="46"/>
      <c r="L81" s="46"/>
      <c r="M81" s="46"/>
      <c r="N81" s="46"/>
      <c r="O81" s="52"/>
    </row>
    <row r="82" spans="1:15" x14ac:dyDescent="0.25">
      <c r="A82" s="887" t="s">
        <v>16</v>
      </c>
      <c r="B82" s="18" t="s">
        <v>513</v>
      </c>
      <c r="C82" s="46"/>
      <c r="D82" s="887" t="s">
        <v>13</v>
      </c>
      <c r="E82" s="46"/>
      <c r="F82" s="46"/>
      <c r="G82" s="46"/>
      <c r="H82" s="46"/>
      <c r="I82" s="46"/>
      <c r="J82" s="888" t="s">
        <v>9</v>
      </c>
      <c r="K82" s="46"/>
      <c r="L82" s="46"/>
      <c r="M82" s="887" t="s">
        <v>10</v>
      </c>
      <c r="N82" s="652">
        <f>N80*N79</f>
        <v>1.8850923625</v>
      </c>
      <c r="O82" s="52"/>
    </row>
    <row r="83" spans="1:15" x14ac:dyDescent="0.25">
      <c r="A83" s="887" t="s">
        <v>8</v>
      </c>
      <c r="B83" s="889" t="s">
        <v>518</v>
      </c>
      <c r="C83" s="46"/>
      <c r="D83" s="46"/>
      <c r="E83" s="46"/>
      <c r="F83" s="46"/>
      <c r="G83" s="46"/>
      <c r="H83" s="46"/>
      <c r="I83" s="46"/>
      <c r="J83" s="888" t="s">
        <v>13</v>
      </c>
      <c r="K83" s="46"/>
      <c r="L83" s="46"/>
      <c r="M83" s="46"/>
      <c r="N83" s="46"/>
      <c r="O83" s="52"/>
    </row>
    <row r="84" spans="1:15" x14ac:dyDescent="0.25">
      <c r="A84" s="887" t="s">
        <v>11</v>
      </c>
      <c r="B84" s="17" t="s">
        <v>12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52"/>
    </row>
    <row r="85" spans="1:15" x14ac:dyDescent="0.25">
      <c r="A85" s="887" t="s">
        <v>14</v>
      </c>
      <c r="B85" s="17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52"/>
    </row>
    <row r="86" spans="1:15" x14ac:dyDescent="0.25">
      <c r="A86" s="886"/>
      <c r="B86" s="885"/>
      <c r="C86" s="885"/>
      <c r="D86" s="885"/>
      <c r="E86" s="885"/>
      <c r="F86" s="46"/>
      <c r="G86" s="46"/>
      <c r="H86" s="46"/>
      <c r="I86" s="46"/>
      <c r="J86" s="46"/>
      <c r="K86" s="46"/>
      <c r="L86" s="46"/>
      <c r="M86" s="46"/>
      <c r="N86" s="46"/>
      <c r="O86" s="52"/>
    </row>
    <row r="87" spans="1:15" x14ac:dyDescent="0.25">
      <c r="A87" s="884" t="s">
        <v>15</v>
      </c>
      <c r="B87" s="883" t="s">
        <v>20</v>
      </c>
      <c r="C87" s="883" t="s">
        <v>21</v>
      </c>
      <c r="D87" s="883" t="s">
        <v>22</v>
      </c>
      <c r="E87" s="883" t="s">
        <v>23</v>
      </c>
      <c r="F87" s="873" t="s">
        <v>24</v>
      </c>
      <c r="G87" s="873" t="s">
        <v>25</v>
      </c>
      <c r="H87" s="873" t="s">
        <v>26</v>
      </c>
      <c r="I87" s="873" t="s">
        <v>27</v>
      </c>
      <c r="J87" s="873" t="s">
        <v>28</v>
      </c>
      <c r="K87" s="873" t="s">
        <v>29</v>
      </c>
      <c r="L87" s="873" t="s">
        <v>30</v>
      </c>
      <c r="M87" s="873" t="s">
        <v>18</v>
      </c>
      <c r="N87" s="873" t="s">
        <v>19</v>
      </c>
      <c r="O87" s="52"/>
    </row>
    <row r="88" spans="1:15" x14ac:dyDescent="0.25">
      <c r="A88" s="838">
        <v>10</v>
      </c>
      <c r="B88" s="133" t="s">
        <v>107</v>
      </c>
      <c r="C88" s="134" t="s">
        <v>515</v>
      </c>
      <c r="D88" s="162">
        <v>2.25</v>
      </c>
      <c r="E88" s="831">
        <v>0.02</v>
      </c>
      <c r="F88" s="134" t="s">
        <v>92</v>
      </c>
      <c r="G88" s="134"/>
      <c r="H88" s="19"/>
      <c r="I88" s="134" t="s">
        <v>516</v>
      </c>
      <c r="J88" s="828">
        <v>8.5099999999999998E-4</v>
      </c>
      <c r="K88" s="828">
        <v>3.0000000000000001E-3</v>
      </c>
      <c r="L88" s="842">
        <v>7850</v>
      </c>
      <c r="M88" s="839">
        <v>1</v>
      </c>
      <c r="N88" s="870">
        <f>IF(J88="",D88*M88,D88*J88*K88*L88*M88)</f>
        <v>4.5092362500000004E-2</v>
      </c>
      <c r="O88" s="56"/>
    </row>
    <row r="89" spans="1:15" x14ac:dyDescent="0.25">
      <c r="A89" s="57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882" t="s">
        <v>19</v>
      </c>
      <c r="N89" s="868">
        <f>SUM(N88:N88)</f>
        <v>4.5092362500000004E-2</v>
      </c>
      <c r="O89" s="52"/>
    </row>
    <row r="90" spans="1:15" x14ac:dyDescent="0.25">
      <c r="A90" s="53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52"/>
    </row>
    <row r="91" spans="1:15" x14ac:dyDescent="0.25">
      <c r="A91" s="874" t="s">
        <v>15</v>
      </c>
      <c r="B91" s="873" t="s">
        <v>32</v>
      </c>
      <c r="C91" s="873" t="s">
        <v>21</v>
      </c>
      <c r="D91" s="873" t="s">
        <v>22</v>
      </c>
      <c r="E91" s="873" t="s">
        <v>33</v>
      </c>
      <c r="F91" s="873" t="s">
        <v>18</v>
      </c>
      <c r="G91" s="873" t="s">
        <v>34</v>
      </c>
      <c r="H91" s="873" t="s">
        <v>35</v>
      </c>
      <c r="I91" s="873" t="s">
        <v>19</v>
      </c>
      <c r="J91" s="20"/>
      <c r="K91" s="20"/>
      <c r="L91" s="20"/>
      <c r="M91" s="20"/>
      <c r="N91" s="20"/>
      <c r="O91" s="52"/>
    </row>
    <row r="92" spans="1:15" x14ac:dyDescent="0.25">
      <c r="A92" s="881">
        <v>10</v>
      </c>
      <c r="B92" s="877" t="s">
        <v>50</v>
      </c>
      <c r="C92" s="880" t="s">
        <v>517</v>
      </c>
      <c r="D92" s="879">
        <v>1.3</v>
      </c>
      <c r="E92" s="877" t="s">
        <v>36</v>
      </c>
      <c r="F92" s="880">
        <v>1</v>
      </c>
      <c r="G92" s="880"/>
      <c r="H92" s="880"/>
      <c r="I92" s="879">
        <f>IF(H92="",D92*F92,D92*F92*H92)</f>
        <v>1.3</v>
      </c>
      <c r="J92" s="48"/>
      <c r="K92" s="48"/>
      <c r="L92" s="48"/>
      <c r="M92" s="48"/>
      <c r="N92" s="48"/>
      <c r="O92" s="58"/>
    </row>
    <row r="93" spans="1:15" x14ac:dyDescent="0.25">
      <c r="A93" s="872">
        <v>20</v>
      </c>
      <c r="B93" s="877" t="s">
        <v>94</v>
      </c>
      <c r="C93" s="871"/>
      <c r="D93" s="870">
        <v>0.01</v>
      </c>
      <c r="E93" s="871" t="s">
        <v>53</v>
      </c>
      <c r="F93" s="878">
        <v>18</v>
      </c>
      <c r="G93" s="877" t="s">
        <v>111</v>
      </c>
      <c r="H93" s="827">
        <v>3</v>
      </c>
      <c r="I93" s="870">
        <f>IF(H93="",D93*F93,D93*F93*H93)</f>
        <v>0.54</v>
      </c>
      <c r="J93" s="46"/>
      <c r="K93" s="46"/>
      <c r="L93" s="46"/>
      <c r="M93" s="46"/>
      <c r="N93" s="46"/>
      <c r="O93" s="52"/>
    </row>
    <row r="94" spans="1:15" x14ac:dyDescent="0.25">
      <c r="A94" s="57"/>
      <c r="B94" s="20"/>
      <c r="C94" s="20"/>
      <c r="D94" s="20"/>
      <c r="E94" s="20"/>
      <c r="F94" s="20"/>
      <c r="G94" s="20"/>
      <c r="H94" s="869" t="s">
        <v>19</v>
      </c>
      <c r="I94" s="868">
        <f>SUM(I92:I93)</f>
        <v>1.84</v>
      </c>
      <c r="J94" s="20"/>
      <c r="K94" s="20"/>
      <c r="L94" s="20"/>
      <c r="M94" s="20"/>
      <c r="N94" s="20"/>
      <c r="O94" s="52"/>
    </row>
    <row r="95" spans="1:15" x14ac:dyDescent="0.25">
      <c r="A95" s="137"/>
      <c r="B95" s="138"/>
      <c r="C95" s="138"/>
      <c r="D95" s="138"/>
      <c r="E95" s="138"/>
      <c r="F95" s="138"/>
      <c r="G95" s="138"/>
      <c r="H95" s="965"/>
      <c r="I95" s="966"/>
      <c r="J95" s="138"/>
      <c r="K95" s="138"/>
      <c r="L95" s="138"/>
      <c r="M95" s="138"/>
      <c r="N95" s="138"/>
      <c r="O95" s="123"/>
    </row>
    <row r="96" spans="1:15" x14ac:dyDescent="0.25">
      <c r="A96" s="137"/>
      <c r="B96" s="138"/>
      <c r="C96" s="138"/>
      <c r="D96" s="138"/>
      <c r="E96" s="138"/>
      <c r="F96" s="138"/>
      <c r="G96" s="138"/>
      <c r="H96" s="965"/>
      <c r="I96" s="966"/>
      <c r="J96" s="138"/>
      <c r="K96" s="138"/>
      <c r="L96" s="138"/>
      <c r="M96" s="138"/>
      <c r="N96" s="138"/>
      <c r="O96" s="123"/>
    </row>
    <row r="97" spans="1:15" x14ac:dyDescent="0.25">
      <c r="A97" s="137"/>
      <c r="B97" s="138"/>
      <c r="C97" s="138"/>
      <c r="D97" s="138"/>
      <c r="E97" s="138"/>
      <c r="F97" s="138"/>
      <c r="G97" s="138"/>
      <c r="H97" s="965"/>
      <c r="I97" s="966"/>
      <c r="J97" s="138"/>
      <c r="K97" s="138"/>
      <c r="L97" s="138"/>
      <c r="M97" s="138"/>
      <c r="N97" s="138"/>
      <c r="O97" s="123"/>
    </row>
    <row r="98" spans="1:15" x14ac:dyDescent="0.25">
      <c r="A98" s="137"/>
      <c r="B98" s="138"/>
      <c r="C98" s="138"/>
      <c r="D98" s="138"/>
      <c r="E98" s="138"/>
      <c r="F98" s="138"/>
      <c r="G98" s="138"/>
      <c r="H98" s="965"/>
      <c r="I98" s="966"/>
      <c r="J98" s="138"/>
      <c r="K98" s="138"/>
      <c r="L98" s="138"/>
      <c r="M98" s="138"/>
      <c r="N98" s="138"/>
      <c r="O98" s="123"/>
    </row>
    <row r="99" spans="1:15" x14ac:dyDescent="0.25">
      <c r="A99" s="137"/>
      <c r="B99" s="138"/>
      <c r="C99" s="138"/>
      <c r="D99" s="138"/>
      <c r="E99" s="138"/>
      <c r="F99" s="138"/>
      <c r="G99" s="138"/>
      <c r="H99" s="965"/>
      <c r="I99" s="966"/>
      <c r="J99" s="138"/>
      <c r="K99" s="138"/>
      <c r="L99" s="138"/>
      <c r="M99" s="138"/>
      <c r="N99" s="138"/>
      <c r="O99" s="123"/>
    </row>
    <row r="100" spans="1:15" x14ac:dyDescent="0.25">
      <c r="A100" s="137"/>
      <c r="B100" s="138"/>
      <c r="C100" s="138"/>
      <c r="D100" s="138"/>
      <c r="E100" s="138"/>
      <c r="F100" s="138"/>
      <c r="G100" s="138"/>
      <c r="H100" s="965"/>
      <c r="I100" s="966"/>
      <c r="J100" s="138"/>
      <c r="K100" s="138"/>
      <c r="L100" s="138"/>
      <c r="M100" s="138"/>
      <c r="N100" s="138"/>
      <c r="O100" s="123"/>
    </row>
    <row r="101" spans="1:15" x14ac:dyDescent="0.25">
      <c r="A101" s="137"/>
      <c r="B101" s="138"/>
      <c r="C101" s="138"/>
      <c r="D101" s="138"/>
      <c r="E101" s="138"/>
      <c r="F101" s="138"/>
      <c r="G101" s="138"/>
      <c r="H101" s="965"/>
      <c r="I101" s="966"/>
      <c r="J101" s="138"/>
      <c r="K101" s="138"/>
      <c r="L101" s="138"/>
      <c r="M101" s="138"/>
      <c r="N101" s="138"/>
      <c r="O101" s="123"/>
    </row>
    <row r="102" spans="1:15" x14ac:dyDescent="0.25">
      <c r="A102" s="137"/>
      <c r="B102" s="138"/>
      <c r="C102" s="138"/>
      <c r="D102" s="138"/>
      <c r="E102" s="138"/>
      <c r="F102" s="138"/>
      <c r="G102" s="138"/>
      <c r="H102" s="965"/>
      <c r="I102" s="966"/>
      <c r="J102" s="138"/>
      <c r="K102" s="138"/>
      <c r="L102" s="138"/>
      <c r="M102" s="138"/>
      <c r="N102" s="138"/>
      <c r="O102" s="123"/>
    </row>
    <row r="103" spans="1:15" x14ac:dyDescent="0.25">
      <c r="A103" s="137"/>
      <c r="B103" s="138"/>
      <c r="C103" s="138"/>
      <c r="D103" s="138"/>
      <c r="E103" s="138"/>
      <c r="F103" s="138"/>
      <c r="G103" s="138"/>
      <c r="H103" s="965"/>
      <c r="I103" s="966"/>
      <c r="J103" s="138"/>
      <c r="K103" s="138"/>
      <c r="L103" s="138"/>
      <c r="M103" s="138"/>
      <c r="N103" s="138"/>
      <c r="O103" s="123"/>
    </row>
    <row r="104" spans="1:15" x14ac:dyDescent="0.25">
      <c r="A104" s="137"/>
      <c r="B104" s="138"/>
      <c r="C104" s="138"/>
      <c r="D104" s="138"/>
      <c r="E104" s="138"/>
      <c r="F104" s="138"/>
      <c r="G104" s="138"/>
      <c r="H104" s="965"/>
      <c r="I104" s="966"/>
      <c r="J104" s="138"/>
      <c r="K104" s="138"/>
      <c r="L104" s="138"/>
      <c r="M104" s="138"/>
      <c r="N104" s="138"/>
      <c r="O104" s="123"/>
    </row>
    <row r="105" spans="1:15" x14ac:dyDescent="0.25">
      <c r="A105" s="137"/>
      <c r="B105" s="138"/>
      <c r="C105" s="138"/>
      <c r="D105" s="138"/>
      <c r="E105" s="138"/>
      <c r="F105" s="138"/>
      <c r="G105" s="138"/>
      <c r="H105" s="965"/>
      <c r="I105" s="966"/>
      <c r="J105" s="138"/>
      <c r="K105" s="138"/>
      <c r="L105" s="138"/>
      <c r="M105" s="138"/>
      <c r="N105" s="138"/>
      <c r="O105" s="123"/>
    </row>
    <row r="106" spans="1:15" x14ac:dyDescent="0.25">
      <c r="A106" s="137"/>
      <c r="B106" s="138"/>
      <c r="C106" s="138"/>
      <c r="D106" s="138"/>
      <c r="E106" s="138"/>
      <c r="F106" s="138"/>
      <c r="G106" s="138"/>
      <c r="H106" s="965"/>
      <c r="I106" s="966"/>
      <c r="J106" s="138"/>
      <c r="K106" s="138"/>
      <c r="L106" s="138"/>
      <c r="M106" s="138"/>
      <c r="N106" s="138"/>
      <c r="O106" s="123"/>
    </row>
    <row r="107" spans="1:15" x14ac:dyDescent="0.25">
      <c r="A107" s="137"/>
      <c r="B107" s="138"/>
      <c r="C107" s="138"/>
      <c r="D107" s="138"/>
      <c r="E107" s="138"/>
      <c r="F107" s="138"/>
      <c r="G107" s="138"/>
      <c r="H107" s="965"/>
      <c r="I107" s="966"/>
      <c r="J107" s="138"/>
      <c r="K107" s="138"/>
      <c r="L107" s="138"/>
      <c r="M107" s="138"/>
      <c r="N107" s="138"/>
      <c r="O107" s="123"/>
    </row>
    <row r="108" spans="1:15" x14ac:dyDescent="0.25">
      <c r="A108" s="137"/>
      <c r="B108" s="138"/>
      <c r="C108" s="138"/>
      <c r="D108" s="138"/>
      <c r="E108" s="138"/>
      <c r="F108" s="138"/>
      <c r="G108" s="138"/>
      <c r="H108" s="965"/>
      <c r="I108" s="966"/>
      <c r="J108" s="138"/>
      <c r="K108" s="138"/>
      <c r="L108" s="138"/>
      <c r="M108" s="138"/>
      <c r="N108" s="138"/>
      <c r="O108" s="123"/>
    </row>
    <row r="109" spans="1:15" x14ac:dyDescent="0.25">
      <c r="A109" s="137"/>
      <c r="B109" s="138"/>
      <c r="C109" s="138"/>
      <c r="D109" s="138"/>
      <c r="E109" s="138"/>
      <c r="F109" s="138"/>
      <c r="G109" s="138"/>
      <c r="H109" s="965"/>
      <c r="I109" s="966"/>
      <c r="J109" s="138"/>
      <c r="K109" s="138"/>
      <c r="L109" s="138"/>
      <c r="M109" s="138"/>
      <c r="N109" s="138"/>
      <c r="O109" s="123"/>
    </row>
    <row r="110" spans="1:15" x14ac:dyDescent="0.25">
      <c r="A110" s="137"/>
      <c r="B110" s="138"/>
      <c r="C110" s="138"/>
      <c r="D110" s="138"/>
      <c r="E110" s="138"/>
      <c r="F110" s="138"/>
      <c r="G110" s="138"/>
      <c r="H110" s="965"/>
      <c r="I110" s="966"/>
      <c r="J110" s="138"/>
      <c r="K110" s="138"/>
      <c r="L110" s="138"/>
      <c r="M110" s="138"/>
      <c r="N110" s="138"/>
      <c r="O110" s="123"/>
    </row>
    <row r="111" spans="1:15" ht="15.75" thickBot="1" x14ac:dyDescent="0.3">
      <c r="A111" s="59"/>
      <c r="B111" s="60"/>
      <c r="C111" s="60"/>
      <c r="D111" s="60"/>
      <c r="E111" s="60"/>
      <c r="F111" s="60"/>
      <c r="G111" s="60"/>
      <c r="H111" s="891"/>
      <c r="I111" s="891"/>
      <c r="J111" s="60"/>
      <c r="K111" s="60"/>
      <c r="L111" s="60"/>
      <c r="M111" s="60"/>
      <c r="N111" s="60"/>
      <c r="O111" s="61"/>
    </row>
    <row r="112" spans="1:15" ht="15.75" thickBot="1" x14ac:dyDescent="0.3"/>
    <row r="113" spans="1:15" x14ac:dyDescent="0.25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1"/>
    </row>
    <row r="114" spans="1:15" x14ac:dyDescent="0.25">
      <c r="A114" s="887" t="s">
        <v>0</v>
      </c>
      <c r="B114" s="17" t="s">
        <v>47</v>
      </c>
      <c r="C114" s="46"/>
      <c r="D114" s="46"/>
      <c r="E114" s="46"/>
      <c r="F114" s="46"/>
      <c r="G114" s="46"/>
      <c r="H114" s="46"/>
      <c r="I114" s="46"/>
      <c r="J114" s="890" t="s">
        <v>2</v>
      </c>
      <c r="K114" s="86">
        <v>81</v>
      </c>
      <c r="L114" s="46"/>
      <c r="M114" s="887" t="s">
        <v>17</v>
      </c>
      <c r="N114" s="652">
        <f>FR_06004_m+FR_06004_p</f>
        <v>2.8289551680000002</v>
      </c>
      <c r="O114" s="52"/>
    </row>
    <row r="115" spans="1:15" x14ac:dyDescent="0.25">
      <c r="A115" s="887" t="s">
        <v>4</v>
      </c>
      <c r="B115" s="17" t="s">
        <v>501</v>
      </c>
      <c r="C115" s="46"/>
      <c r="D115" s="887" t="s">
        <v>7</v>
      </c>
      <c r="E115" s="89"/>
      <c r="F115" s="46"/>
      <c r="G115" s="46"/>
      <c r="H115" s="46"/>
      <c r="I115" s="46"/>
      <c r="J115" s="46"/>
      <c r="K115" s="46"/>
      <c r="L115" s="46"/>
      <c r="M115" s="887" t="s">
        <v>5</v>
      </c>
      <c r="N115" s="414">
        <v>1</v>
      </c>
      <c r="O115" s="52"/>
    </row>
    <row r="116" spans="1:15" x14ac:dyDescent="0.25">
      <c r="A116" s="887" t="s">
        <v>6</v>
      </c>
      <c r="B116" s="675" t="str">
        <f>'FR Assemblies'!B4</f>
        <v>Shifter</v>
      </c>
      <c r="C116" s="46"/>
      <c r="D116" s="887" t="s">
        <v>9</v>
      </c>
      <c r="E116" s="46"/>
      <c r="F116" s="46"/>
      <c r="G116" s="46"/>
      <c r="H116" s="46"/>
      <c r="I116" s="46"/>
      <c r="J116" s="888" t="s">
        <v>7</v>
      </c>
      <c r="K116" s="46"/>
      <c r="L116" s="46"/>
      <c r="M116" s="46"/>
      <c r="N116" s="46"/>
      <c r="O116" s="52"/>
    </row>
    <row r="117" spans="1:15" x14ac:dyDescent="0.25">
      <c r="A117" s="887" t="s">
        <v>16</v>
      </c>
      <c r="B117" s="18" t="s">
        <v>520</v>
      </c>
      <c r="C117" s="46"/>
      <c r="D117" s="887" t="s">
        <v>13</v>
      </c>
      <c r="E117" s="46"/>
      <c r="F117" s="46"/>
      <c r="G117" s="46"/>
      <c r="H117" s="46"/>
      <c r="I117" s="46"/>
      <c r="J117" s="888" t="s">
        <v>9</v>
      </c>
      <c r="K117" s="46"/>
      <c r="L117" s="46"/>
      <c r="M117" s="887" t="s">
        <v>10</v>
      </c>
      <c r="N117" s="652">
        <f>N115*N114</f>
        <v>2.8289551680000002</v>
      </c>
      <c r="O117" s="52"/>
    </row>
    <row r="118" spans="1:15" x14ac:dyDescent="0.25">
      <c r="A118" s="887" t="s">
        <v>8</v>
      </c>
      <c r="B118" s="889" t="s">
        <v>519</v>
      </c>
      <c r="C118" s="46"/>
      <c r="D118" s="46"/>
      <c r="E118" s="46"/>
      <c r="F118" s="46"/>
      <c r="G118" s="46"/>
      <c r="H118" s="46"/>
      <c r="I118" s="46"/>
      <c r="J118" s="888" t="s">
        <v>13</v>
      </c>
      <c r="K118" s="46"/>
      <c r="L118" s="46"/>
      <c r="M118" s="46"/>
      <c r="N118" s="46"/>
      <c r="O118" s="52"/>
    </row>
    <row r="119" spans="1:15" x14ac:dyDescent="0.25">
      <c r="A119" s="887" t="s">
        <v>11</v>
      </c>
      <c r="B119" s="17" t="s">
        <v>12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52"/>
    </row>
    <row r="120" spans="1:15" x14ac:dyDescent="0.25">
      <c r="A120" s="887" t="s">
        <v>14</v>
      </c>
      <c r="B120" s="17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52"/>
    </row>
    <row r="121" spans="1:15" x14ac:dyDescent="0.25">
      <c r="A121" s="886"/>
      <c r="B121" s="885"/>
      <c r="C121" s="885"/>
      <c r="D121" s="885"/>
      <c r="E121" s="885"/>
      <c r="F121" s="46"/>
      <c r="G121" s="46"/>
      <c r="H121" s="46"/>
      <c r="I121" s="46"/>
      <c r="J121" s="46"/>
      <c r="K121" s="46"/>
      <c r="L121" s="46"/>
      <c r="M121" s="46"/>
      <c r="N121" s="46"/>
      <c r="O121" s="52"/>
    </row>
    <row r="122" spans="1:15" x14ac:dyDescent="0.25">
      <c r="A122" s="884" t="s">
        <v>15</v>
      </c>
      <c r="B122" s="883" t="s">
        <v>20</v>
      </c>
      <c r="C122" s="883" t="s">
        <v>21</v>
      </c>
      <c r="D122" s="883" t="s">
        <v>22</v>
      </c>
      <c r="E122" s="883" t="s">
        <v>23</v>
      </c>
      <c r="F122" s="873" t="s">
        <v>24</v>
      </c>
      <c r="G122" s="873" t="s">
        <v>25</v>
      </c>
      <c r="H122" s="873" t="s">
        <v>26</v>
      </c>
      <c r="I122" s="873" t="s">
        <v>27</v>
      </c>
      <c r="J122" s="873" t="s">
        <v>28</v>
      </c>
      <c r="K122" s="873" t="s">
        <v>29</v>
      </c>
      <c r="L122" s="873" t="s">
        <v>30</v>
      </c>
      <c r="M122" s="873" t="s">
        <v>18</v>
      </c>
      <c r="N122" s="873" t="s">
        <v>19</v>
      </c>
      <c r="O122" s="52"/>
    </row>
    <row r="123" spans="1:15" x14ac:dyDescent="0.25">
      <c r="A123" s="838">
        <v>10</v>
      </c>
      <c r="B123" s="133" t="s">
        <v>408</v>
      </c>
      <c r="C123" s="134" t="s">
        <v>522</v>
      </c>
      <c r="D123" s="162">
        <v>4.2</v>
      </c>
      <c r="E123" s="840">
        <v>8.9999999999999993E-3</v>
      </c>
      <c r="F123" s="134" t="s">
        <v>92</v>
      </c>
      <c r="G123" s="134"/>
      <c r="H123" s="19"/>
      <c r="I123" s="134" t="s">
        <v>521</v>
      </c>
      <c r="J123" s="828">
        <v>3.15E-3</v>
      </c>
      <c r="K123" s="828">
        <v>3.0000000000000001E-3</v>
      </c>
      <c r="L123" s="842">
        <v>2712</v>
      </c>
      <c r="M123" s="839">
        <v>1</v>
      </c>
      <c r="N123" s="828">
        <f>IF(J160="",D123*M123,D123*J160*K123*L123*M123)</f>
        <v>3.8955167999999998E-2</v>
      </c>
      <c r="O123" s="56"/>
    </row>
    <row r="124" spans="1:15" x14ac:dyDescent="0.25">
      <c r="A124" s="57"/>
      <c r="B124" s="20"/>
      <c r="C124" s="20"/>
      <c r="D124" s="20"/>
      <c r="E124" s="20"/>
      <c r="F124" s="20"/>
      <c r="G124" s="20"/>
      <c r="H124" s="20"/>
      <c r="I124" s="20"/>
      <c r="K124" s="20"/>
      <c r="L124" s="20"/>
      <c r="M124" s="882" t="s">
        <v>19</v>
      </c>
      <c r="N124" s="868">
        <f>SUM(N123:N123)</f>
        <v>3.8955167999999998E-2</v>
      </c>
      <c r="O124" s="52"/>
    </row>
    <row r="125" spans="1:15" x14ac:dyDescent="0.25">
      <c r="A125" s="53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52"/>
    </row>
    <row r="126" spans="1:15" x14ac:dyDescent="0.25">
      <c r="A126" s="874" t="s">
        <v>15</v>
      </c>
      <c r="B126" s="873" t="s">
        <v>32</v>
      </c>
      <c r="C126" s="873" t="s">
        <v>21</v>
      </c>
      <c r="D126" s="873" t="s">
        <v>22</v>
      </c>
      <c r="E126" s="873" t="s">
        <v>33</v>
      </c>
      <c r="F126" s="873" t="s">
        <v>18</v>
      </c>
      <c r="G126" s="873" t="s">
        <v>34</v>
      </c>
      <c r="H126" s="873" t="s">
        <v>35</v>
      </c>
      <c r="I126" s="873" t="s">
        <v>19</v>
      </c>
      <c r="J126" s="20"/>
      <c r="K126" s="20"/>
      <c r="L126" s="20"/>
      <c r="M126" s="20"/>
      <c r="N126" s="20"/>
      <c r="O126" s="52"/>
    </row>
    <row r="127" spans="1:15" x14ac:dyDescent="0.25">
      <c r="A127" s="881">
        <v>10</v>
      </c>
      <c r="B127" s="877" t="s">
        <v>50</v>
      </c>
      <c r="C127" s="880" t="s">
        <v>517</v>
      </c>
      <c r="D127" s="879">
        <v>1.3</v>
      </c>
      <c r="E127" s="877" t="s">
        <v>36</v>
      </c>
      <c r="F127" s="880">
        <v>1</v>
      </c>
      <c r="G127" s="880"/>
      <c r="H127" s="880"/>
      <c r="I127" s="879">
        <f>IF(H127="",D127*F127,D127*F127*H127)</f>
        <v>1.3</v>
      </c>
      <c r="J127" s="48"/>
      <c r="K127" s="48"/>
      <c r="L127" s="48"/>
      <c r="M127" s="48"/>
      <c r="N127" s="48"/>
      <c r="O127" s="58"/>
    </row>
    <row r="128" spans="1:15" x14ac:dyDescent="0.25">
      <c r="A128" s="872">
        <v>20</v>
      </c>
      <c r="B128" s="877" t="s">
        <v>94</v>
      </c>
      <c r="C128" s="871"/>
      <c r="D128" s="870">
        <v>0.01</v>
      </c>
      <c r="E128" s="871" t="s">
        <v>53</v>
      </c>
      <c r="F128" s="878">
        <v>24</v>
      </c>
      <c r="G128" s="877" t="s">
        <v>523</v>
      </c>
      <c r="H128" s="827">
        <v>1</v>
      </c>
      <c r="I128" s="870">
        <f>IF(H128="",D128*F128,D128*F128*H128)</f>
        <v>0.24</v>
      </c>
      <c r="J128" s="46"/>
      <c r="K128" s="46"/>
      <c r="L128" s="46"/>
      <c r="M128" s="46"/>
      <c r="N128" s="46"/>
      <c r="O128" s="52"/>
    </row>
    <row r="129" spans="1:15" x14ac:dyDescent="0.25">
      <c r="A129" s="872">
        <v>30</v>
      </c>
      <c r="B129" s="877" t="s">
        <v>524</v>
      </c>
      <c r="C129" s="871"/>
      <c r="D129" s="870">
        <v>0.25</v>
      </c>
      <c r="E129" s="871" t="s">
        <v>112</v>
      </c>
      <c r="F129" s="878">
        <v>5</v>
      </c>
      <c r="G129" s="877"/>
      <c r="H129" s="827"/>
      <c r="I129" s="870">
        <f>IF(H129="",D129*F129,D129*F129*H129)</f>
        <v>1.25</v>
      </c>
      <c r="J129" s="46"/>
      <c r="K129" s="46"/>
      <c r="L129" s="46"/>
      <c r="M129" s="46"/>
      <c r="N129" s="46"/>
      <c r="O129" s="52"/>
    </row>
    <row r="130" spans="1:15" x14ac:dyDescent="0.25">
      <c r="A130" s="57"/>
      <c r="B130" s="20"/>
      <c r="C130" s="20"/>
      <c r="D130" s="20"/>
      <c r="E130" s="20"/>
      <c r="F130" s="20"/>
      <c r="G130" s="20"/>
      <c r="H130" s="869" t="s">
        <v>19</v>
      </c>
      <c r="I130" s="868">
        <f>SUM(I127:I129)</f>
        <v>2.79</v>
      </c>
      <c r="J130" s="20"/>
      <c r="K130" s="20"/>
      <c r="L130" s="20"/>
      <c r="M130" s="20"/>
      <c r="N130" s="20"/>
      <c r="O130" s="52"/>
    </row>
    <row r="131" spans="1:15" x14ac:dyDescent="0.25">
      <c r="A131" s="137"/>
      <c r="B131" s="138"/>
      <c r="C131" s="138"/>
      <c r="D131" s="138"/>
      <c r="E131" s="138"/>
      <c r="F131" s="138"/>
      <c r="G131" s="138"/>
      <c r="H131" s="965"/>
      <c r="I131" s="966"/>
      <c r="J131" s="138"/>
      <c r="K131" s="138"/>
      <c r="L131" s="138"/>
      <c r="M131" s="138"/>
      <c r="N131" s="138"/>
      <c r="O131" s="123"/>
    </row>
    <row r="132" spans="1:15" x14ac:dyDescent="0.25">
      <c r="A132" s="137"/>
      <c r="B132" s="138"/>
      <c r="C132" s="138"/>
      <c r="D132" s="138"/>
      <c r="E132" s="138"/>
      <c r="F132" s="138"/>
      <c r="G132" s="138"/>
      <c r="H132" s="965"/>
      <c r="I132" s="966"/>
      <c r="J132" s="138"/>
      <c r="K132" s="138"/>
      <c r="L132" s="138"/>
      <c r="M132" s="138"/>
      <c r="N132" s="138"/>
      <c r="O132" s="123"/>
    </row>
    <row r="133" spans="1:15" x14ac:dyDescent="0.25">
      <c r="A133" s="137"/>
      <c r="B133" s="138"/>
      <c r="C133" s="138"/>
      <c r="D133" s="138"/>
      <c r="E133" s="138"/>
      <c r="F133" s="138"/>
      <c r="G133" s="138"/>
      <c r="H133" s="965"/>
      <c r="I133" s="966"/>
      <c r="J133" s="138"/>
      <c r="K133" s="138"/>
      <c r="L133" s="138"/>
      <c r="M133" s="138"/>
      <c r="N133" s="138"/>
      <c r="O133" s="123"/>
    </row>
    <row r="134" spans="1:15" x14ac:dyDescent="0.25">
      <c r="A134" s="137"/>
      <c r="B134" s="138"/>
      <c r="C134" s="138"/>
      <c r="D134" s="138"/>
      <c r="E134" s="138"/>
      <c r="F134" s="138"/>
      <c r="G134" s="138"/>
      <c r="H134" s="965"/>
      <c r="I134" s="966"/>
      <c r="J134" s="138"/>
      <c r="K134" s="138"/>
      <c r="L134" s="138"/>
      <c r="M134" s="138"/>
      <c r="N134" s="138"/>
      <c r="O134" s="123"/>
    </row>
    <row r="135" spans="1:15" x14ac:dyDescent="0.25">
      <c r="A135" s="137"/>
      <c r="B135" s="138"/>
      <c r="C135" s="138"/>
      <c r="D135" s="138"/>
      <c r="E135" s="138"/>
      <c r="F135" s="138"/>
      <c r="G135" s="138"/>
      <c r="H135" s="965"/>
      <c r="I135" s="966"/>
      <c r="J135" s="138"/>
      <c r="K135" s="138"/>
      <c r="L135" s="138"/>
      <c r="M135" s="138"/>
      <c r="N135" s="138"/>
      <c r="O135" s="123"/>
    </row>
    <row r="136" spans="1:15" x14ac:dyDescent="0.25">
      <c r="A136" s="137"/>
      <c r="B136" s="138"/>
      <c r="C136" s="138"/>
      <c r="D136" s="138"/>
      <c r="E136" s="138"/>
      <c r="F136" s="138"/>
      <c r="G136" s="138"/>
      <c r="H136" s="965"/>
      <c r="I136" s="966"/>
      <c r="J136" s="138"/>
      <c r="K136" s="138"/>
      <c r="L136" s="138"/>
      <c r="M136" s="138"/>
      <c r="N136" s="138"/>
      <c r="O136" s="123"/>
    </row>
    <row r="137" spans="1:15" x14ac:dyDescent="0.25">
      <c r="A137" s="137"/>
      <c r="B137" s="138"/>
      <c r="C137" s="138"/>
      <c r="D137" s="138"/>
      <c r="E137" s="138"/>
      <c r="F137" s="138"/>
      <c r="G137" s="138"/>
      <c r="H137" s="965"/>
      <c r="I137" s="966"/>
      <c r="J137" s="138"/>
      <c r="K137" s="138"/>
      <c r="L137" s="138"/>
      <c r="M137" s="138"/>
      <c r="N137" s="138"/>
      <c r="O137" s="123"/>
    </row>
    <row r="138" spans="1:15" x14ac:dyDescent="0.25">
      <c r="A138" s="137"/>
      <c r="B138" s="138"/>
      <c r="C138" s="138"/>
      <c r="D138" s="138"/>
      <c r="E138" s="138"/>
      <c r="F138" s="138"/>
      <c r="G138" s="138"/>
      <c r="H138" s="965"/>
      <c r="I138" s="966"/>
      <c r="J138" s="138"/>
      <c r="K138" s="138"/>
      <c r="L138" s="138"/>
      <c r="M138" s="138"/>
      <c r="N138" s="138"/>
      <c r="O138" s="123"/>
    </row>
    <row r="139" spans="1:15" x14ac:dyDescent="0.25">
      <c r="A139" s="137"/>
      <c r="B139" s="138"/>
      <c r="C139" s="138"/>
      <c r="D139" s="138"/>
      <c r="E139" s="138"/>
      <c r="F139" s="138"/>
      <c r="G139" s="138"/>
      <c r="H139" s="965"/>
      <c r="I139" s="966"/>
      <c r="J139" s="138"/>
      <c r="K139" s="138"/>
      <c r="L139" s="138"/>
      <c r="M139" s="138"/>
      <c r="N139" s="138"/>
      <c r="O139" s="123"/>
    </row>
    <row r="140" spans="1:15" x14ac:dyDescent="0.25">
      <c r="A140" s="137"/>
      <c r="B140" s="138"/>
      <c r="C140" s="138"/>
      <c r="D140" s="138"/>
      <c r="E140" s="138"/>
      <c r="F140" s="138"/>
      <c r="G140" s="138"/>
      <c r="H140" s="965"/>
      <c r="I140" s="966"/>
      <c r="J140" s="138"/>
      <c r="K140" s="138"/>
      <c r="L140" s="138"/>
      <c r="M140" s="138"/>
      <c r="N140" s="138"/>
      <c r="O140" s="123"/>
    </row>
    <row r="141" spans="1:15" x14ac:dyDescent="0.25">
      <c r="A141" s="137"/>
      <c r="B141" s="138"/>
      <c r="C141" s="138"/>
      <c r="D141" s="138"/>
      <c r="E141" s="138"/>
      <c r="F141" s="138"/>
      <c r="G141" s="138"/>
      <c r="H141" s="965"/>
      <c r="I141" s="966"/>
      <c r="J141" s="138"/>
      <c r="K141" s="138"/>
      <c r="L141" s="138"/>
      <c r="M141" s="138"/>
      <c r="N141" s="138"/>
      <c r="O141" s="123"/>
    </row>
    <row r="142" spans="1:15" x14ac:dyDescent="0.25">
      <c r="A142" s="137"/>
      <c r="B142" s="138"/>
      <c r="C142" s="138"/>
      <c r="D142" s="138"/>
      <c r="E142" s="138"/>
      <c r="F142" s="138"/>
      <c r="G142" s="138"/>
      <c r="H142" s="965"/>
      <c r="I142" s="966"/>
      <c r="J142" s="138"/>
      <c r="K142" s="138"/>
      <c r="L142" s="138"/>
      <c r="M142" s="138"/>
      <c r="N142" s="138"/>
      <c r="O142" s="123"/>
    </row>
    <row r="143" spans="1:15" x14ac:dyDescent="0.25">
      <c r="A143" s="137"/>
      <c r="B143" s="138"/>
      <c r="C143" s="138"/>
      <c r="D143" s="138"/>
      <c r="E143" s="138"/>
      <c r="F143" s="138"/>
      <c r="G143" s="138"/>
      <c r="H143" s="965"/>
      <c r="I143" s="966"/>
      <c r="J143" s="138"/>
      <c r="K143" s="138"/>
      <c r="L143" s="138"/>
      <c r="M143" s="138"/>
      <c r="N143" s="138"/>
      <c r="O143" s="123"/>
    </row>
    <row r="144" spans="1:15" x14ac:dyDescent="0.25">
      <c r="A144" s="137"/>
      <c r="B144" s="138"/>
      <c r="C144" s="138"/>
      <c r="D144" s="138"/>
      <c r="E144" s="138"/>
      <c r="F144" s="138"/>
      <c r="G144" s="138"/>
      <c r="H144" s="965"/>
      <c r="I144" s="966"/>
      <c r="J144" s="138"/>
      <c r="K144" s="138"/>
      <c r="L144" s="138"/>
      <c r="M144" s="138"/>
      <c r="N144" s="138"/>
      <c r="O144" s="123"/>
    </row>
    <row r="145" spans="1:15" x14ac:dyDescent="0.25">
      <c r="A145" s="137"/>
      <c r="B145" s="138"/>
      <c r="C145" s="138"/>
      <c r="D145" s="138"/>
      <c r="E145" s="138"/>
      <c r="F145" s="138"/>
      <c r="G145" s="138"/>
      <c r="H145" s="965"/>
      <c r="I145" s="966"/>
      <c r="J145" s="138"/>
      <c r="K145" s="138"/>
      <c r="L145" s="138"/>
      <c r="M145" s="138"/>
      <c r="N145" s="138"/>
      <c r="O145" s="123"/>
    </row>
    <row r="146" spans="1:15" x14ac:dyDescent="0.25">
      <c r="A146" s="137"/>
      <c r="B146" s="138"/>
      <c r="C146" s="138"/>
      <c r="D146" s="138"/>
      <c r="E146" s="138"/>
      <c r="F146" s="138"/>
      <c r="G146" s="138"/>
      <c r="H146" s="965"/>
      <c r="I146" s="966"/>
      <c r="J146" s="138"/>
      <c r="K146" s="138"/>
      <c r="L146" s="138"/>
      <c r="M146" s="138"/>
      <c r="N146" s="138"/>
      <c r="O146" s="123"/>
    </row>
    <row r="147" spans="1:15" x14ac:dyDescent="0.25">
      <c r="A147" s="137"/>
      <c r="B147" s="138"/>
      <c r="C147" s="138"/>
      <c r="D147" s="138"/>
      <c r="E147" s="138"/>
      <c r="F147" s="138"/>
      <c r="G147" s="138"/>
      <c r="H147" s="965"/>
      <c r="I147" s="966"/>
      <c r="J147" s="138"/>
      <c r="K147" s="138"/>
      <c r="L147" s="138"/>
      <c r="M147" s="138"/>
      <c r="N147" s="138"/>
      <c r="O147" s="123"/>
    </row>
    <row r="148" spans="1:15" ht="15.75" thickBot="1" x14ac:dyDescent="0.3">
      <c r="A148" s="59"/>
      <c r="B148" s="60"/>
      <c r="C148" s="60"/>
      <c r="D148" s="60"/>
      <c r="E148" s="60"/>
      <c r="F148" s="60"/>
      <c r="G148" s="60"/>
      <c r="H148" s="891"/>
      <c r="I148" s="891"/>
      <c r="J148" s="60"/>
      <c r="K148" s="60"/>
      <c r="L148" s="60"/>
      <c r="M148" s="60"/>
      <c r="N148" s="60"/>
      <c r="O148" s="61"/>
    </row>
    <row r="149" spans="1:15" ht="15.75" thickBot="1" x14ac:dyDescent="0.3"/>
    <row r="150" spans="1:15" x14ac:dyDescent="0.25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1"/>
    </row>
    <row r="151" spans="1:15" x14ac:dyDescent="0.25">
      <c r="A151" s="887" t="s">
        <v>0</v>
      </c>
      <c r="B151" s="17" t="s">
        <v>47</v>
      </c>
      <c r="C151" s="46"/>
      <c r="D151" s="46"/>
      <c r="E151" s="46"/>
      <c r="F151" s="46"/>
      <c r="G151" s="46"/>
      <c r="H151" s="46"/>
      <c r="I151" s="46"/>
      <c r="J151" s="890" t="s">
        <v>2</v>
      </c>
      <c r="K151" s="86">
        <v>81</v>
      </c>
      <c r="L151" s="46"/>
      <c r="M151" s="887" t="s">
        <v>17</v>
      </c>
      <c r="N151" s="652">
        <f>FR_06005_m+FR_06005_p</f>
        <v>2.6476392799999999</v>
      </c>
      <c r="O151" s="52"/>
    </row>
    <row r="152" spans="1:15" x14ac:dyDescent="0.25">
      <c r="A152" s="887" t="s">
        <v>4</v>
      </c>
      <c r="B152" s="17" t="s">
        <v>501</v>
      </c>
      <c r="C152" s="46"/>
      <c r="D152" s="887" t="s">
        <v>7</v>
      </c>
      <c r="E152" s="89"/>
      <c r="F152" s="46"/>
      <c r="G152" s="46"/>
      <c r="H152" s="46"/>
      <c r="I152" s="46"/>
      <c r="J152" s="46"/>
      <c r="K152" s="46"/>
      <c r="L152" s="46"/>
      <c r="M152" s="887" t="s">
        <v>5</v>
      </c>
      <c r="N152" s="414">
        <v>1</v>
      </c>
      <c r="O152" s="52"/>
    </row>
    <row r="153" spans="1:15" x14ac:dyDescent="0.25">
      <c r="A153" s="887" t="s">
        <v>6</v>
      </c>
      <c r="B153" s="675" t="str">
        <f>'FR Assemblies'!B4</f>
        <v>Shifter</v>
      </c>
      <c r="C153" s="46"/>
      <c r="D153" s="887" t="s">
        <v>9</v>
      </c>
      <c r="E153" s="46"/>
      <c r="F153" s="46"/>
      <c r="G153" s="46"/>
      <c r="H153" s="46"/>
      <c r="I153" s="46"/>
      <c r="J153" s="888" t="s">
        <v>7</v>
      </c>
      <c r="K153" s="46"/>
      <c r="L153" s="46"/>
      <c r="M153" s="46"/>
      <c r="N153" s="46"/>
      <c r="O153" s="52"/>
    </row>
    <row r="154" spans="1:15" x14ac:dyDescent="0.25">
      <c r="A154" s="887" t="s">
        <v>16</v>
      </c>
      <c r="B154" s="18" t="s">
        <v>526</v>
      </c>
      <c r="C154" s="46"/>
      <c r="D154" s="887" t="s">
        <v>13</v>
      </c>
      <c r="E154" s="46"/>
      <c r="F154" s="46"/>
      <c r="G154" s="46"/>
      <c r="H154" s="46"/>
      <c r="I154" s="46"/>
      <c r="J154" s="888" t="s">
        <v>9</v>
      </c>
      <c r="K154" s="46"/>
      <c r="L154" s="46"/>
      <c r="M154" s="887" t="s">
        <v>10</v>
      </c>
      <c r="N154" s="652">
        <f>N152*N151</f>
        <v>2.6476392799999999</v>
      </c>
      <c r="O154" s="52"/>
    </row>
    <row r="155" spans="1:15" x14ac:dyDescent="0.25">
      <c r="A155" s="887" t="s">
        <v>8</v>
      </c>
      <c r="B155" s="889" t="s">
        <v>525</v>
      </c>
      <c r="C155" s="46"/>
      <c r="D155" s="46"/>
      <c r="E155" s="46"/>
      <c r="F155" s="46"/>
      <c r="G155" s="46"/>
      <c r="H155" s="46"/>
      <c r="I155" s="46"/>
      <c r="J155" s="888" t="s">
        <v>13</v>
      </c>
      <c r="K155" s="46"/>
      <c r="L155" s="46"/>
      <c r="M155" s="46"/>
      <c r="N155" s="46"/>
      <c r="O155" s="52"/>
    </row>
    <row r="156" spans="1:15" x14ac:dyDescent="0.25">
      <c r="A156" s="887" t="s">
        <v>11</v>
      </c>
      <c r="B156" s="17" t="s">
        <v>12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52"/>
    </row>
    <row r="157" spans="1:15" x14ac:dyDescent="0.25">
      <c r="A157" s="887" t="s">
        <v>14</v>
      </c>
      <c r="B157" s="17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52"/>
    </row>
    <row r="158" spans="1:15" x14ac:dyDescent="0.25">
      <c r="A158" s="886"/>
      <c r="B158" s="885"/>
      <c r="C158" s="885"/>
      <c r="D158" s="885"/>
      <c r="E158" s="885"/>
      <c r="F158" s="46"/>
      <c r="G158" s="46"/>
      <c r="H158" s="46"/>
      <c r="I158" s="46"/>
      <c r="J158" s="46"/>
      <c r="K158" s="46"/>
      <c r="L158" s="46"/>
      <c r="M158" s="46"/>
      <c r="N158" s="46"/>
      <c r="O158" s="52"/>
    </row>
    <row r="159" spans="1:15" x14ac:dyDescent="0.25">
      <c r="A159" s="884" t="s">
        <v>15</v>
      </c>
      <c r="B159" s="883" t="s">
        <v>20</v>
      </c>
      <c r="C159" s="883" t="s">
        <v>21</v>
      </c>
      <c r="D159" s="883" t="s">
        <v>22</v>
      </c>
      <c r="E159" s="883" t="s">
        <v>23</v>
      </c>
      <c r="F159" s="873" t="s">
        <v>24</v>
      </c>
      <c r="G159" s="873" t="s">
        <v>25</v>
      </c>
      <c r="H159" s="873" t="s">
        <v>26</v>
      </c>
      <c r="I159" s="873" t="s">
        <v>27</v>
      </c>
      <c r="J159" s="873" t="s">
        <v>28</v>
      </c>
      <c r="K159" s="873" t="s">
        <v>29</v>
      </c>
      <c r="L159" s="873" t="s">
        <v>30</v>
      </c>
      <c r="M159" s="873" t="s">
        <v>18</v>
      </c>
      <c r="N159" s="873" t="s">
        <v>19</v>
      </c>
      <c r="O159" s="52"/>
    </row>
    <row r="160" spans="1:15" x14ac:dyDescent="0.25">
      <c r="A160" s="838">
        <v>10</v>
      </c>
      <c r="B160" s="133" t="s">
        <v>408</v>
      </c>
      <c r="C160" s="134" t="s">
        <v>522</v>
      </c>
      <c r="D160" s="162">
        <v>4.2</v>
      </c>
      <c r="E160" s="840">
        <v>2.5999999999999999E-2</v>
      </c>
      <c r="F160" s="134" t="s">
        <v>92</v>
      </c>
      <c r="G160" s="134"/>
      <c r="H160" s="19"/>
      <c r="I160" s="134" t="s">
        <v>527</v>
      </c>
      <c r="J160" s="828">
        <v>1.14E-3</v>
      </c>
      <c r="K160" s="828">
        <v>3.0000000000000001E-3</v>
      </c>
      <c r="L160" s="842">
        <v>2712</v>
      </c>
      <c r="M160" s="839">
        <v>1</v>
      </c>
      <c r="N160" s="19">
        <f>IF(J123="",D160*M160,D160*J123*K160*L160*M160)</f>
        <v>0.10763928</v>
      </c>
      <c r="O160" s="56"/>
    </row>
    <row r="161" spans="1:15" x14ac:dyDescent="0.25">
      <c r="A161" s="57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882" t="s">
        <v>19</v>
      </c>
      <c r="N161" s="868">
        <f>SUM(N160:N160)</f>
        <v>0.10763928</v>
      </c>
      <c r="O161" s="52"/>
    </row>
    <row r="162" spans="1:15" x14ac:dyDescent="0.25">
      <c r="A162" s="53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52"/>
    </row>
    <row r="163" spans="1:15" x14ac:dyDescent="0.25">
      <c r="A163" s="874" t="s">
        <v>15</v>
      </c>
      <c r="B163" s="873" t="s">
        <v>32</v>
      </c>
      <c r="C163" s="873" t="s">
        <v>21</v>
      </c>
      <c r="D163" s="873" t="s">
        <v>22</v>
      </c>
      <c r="E163" s="873" t="s">
        <v>33</v>
      </c>
      <c r="F163" s="873" t="s">
        <v>18</v>
      </c>
      <c r="G163" s="873" t="s">
        <v>34</v>
      </c>
      <c r="H163" s="873" t="s">
        <v>35</v>
      </c>
      <c r="I163" s="873" t="s">
        <v>19</v>
      </c>
      <c r="J163" s="20"/>
      <c r="K163" s="20"/>
      <c r="L163" s="20"/>
      <c r="M163" s="20"/>
      <c r="N163" s="20"/>
      <c r="O163" s="52"/>
    </row>
    <row r="164" spans="1:15" x14ac:dyDescent="0.25">
      <c r="A164" s="881">
        <v>10</v>
      </c>
      <c r="B164" s="877" t="s">
        <v>50</v>
      </c>
      <c r="C164" s="880" t="s">
        <v>517</v>
      </c>
      <c r="D164" s="879">
        <v>1.3</v>
      </c>
      <c r="E164" s="877" t="s">
        <v>36</v>
      </c>
      <c r="F164" s="880">
        <v>1</v>
      </c>
      <c r="G164" s="880"/>
      <c r="H164" s="880"/>
      <c r="I164" s="879">
        <f>IF(H164="",D164*F164,D164*F164*H164)</f>
        <v>1.3</v>
      </c>
      <c r="J164" s="48"/>
      <c r="K164" s="48"/>
      <c r="L164" s="48"/>
      <c r="M164" s="48"/>
      <c r="N164" s="48"/>
      <c r="O164" s="58"/>
    </row>
    <row r="165" spans="1:15" x14ac:dyDescent="0.25">
      <c r="A165" s="872">
        <v>20</v>
      </c>
      <c r="B165" s="877" t="s">
        <v>94</v>
      </c>
      <c r="C165" s="871"/>
      <c r="D165" s="870">
        <v>0.01</v>
      </c>
      <c r="E165" s="871" t="s">
        <v>53</v>
      </c>
      <c r="F165" s="878">
        <v>24</v>
      </c>
      <c r="G165" s="877" t="s">
        <v>523</v>
      </c>
      <c r="H165" s="827">
        <v>1</v>
      </c>
      <c r="I165" s="870">
        <f>IF(H165="",D165*F165,D165*F165*H165)</f>
        <v>0.24</v>
      </c>
      <c r="J165" s="46"/>
      <c r="K165" s="46"/>
      <c r="L165" s="46"/>
      <c r="M165" s="46"/>
      <c r="N165" s="46"/>
      <c r="O165" s="52"/>
    </row>
    <row r="166" spans="1:15" x14ac:dyDescent="0.25">
      <c r="A166" s="872">
        <v>30</v>
      </c>
      <c r="B166" s="877" t="s">
        <v>524</v>
      </c>
      <c r="C166" s="871"/>
      <c r="D166" s="870">
        <v>0.25</v>
      </c>
      <c r="E166" s="871" t="s">
        <v>112</v>
      </c>
      <c r="F166" s="878">
        <v>4</v>
      </c>
      <c r="G166" s="877"/>
      <c r="H166" s="827"/>
      <c r="I166" s="870">
        <f>IF(H166="",D166*F166,D166*F166*H166)</f>
        <v>1</v>
      </c>
      <c r="J166" s="46"/>
      <c r="K166" s="46"/>
      <c r="L166" s="46"/>
      <c r="M166" s="46"/>
      <c r="N166" s="46"/>
      <c r="O166" s="52"/>
    </row>
    <row r="167" spans="1:15" x14ac:dyDescent="0.25">
      <c r="A167" s="57"/>
      <c r="B167" s="20"/>
      <c r="C167" s="20"/>
      <c r="D167" s="20"/>
      <c r="E167" s="20"/>
      <c r="F167" s="20"/>
      <c r="G167" s="20"/>
      <c r="H167" s="869" t="s">
        <v>19</v>
      </c>
      <c r="I167" s="868">
        <f>SUM(I164:I166)</f>
        <v>2.54</v>
      </c>
      <c r="J167" s="20"/>
      <c r="K167" s="20"/>
      <c r="L167" s="20"/>
      <c r="M167" s="20"/>
      <c r="N167" s="20"/>
      <c r="O167" s="52"/>
    </row>
    <row r="168" spans="1:15" x14ac:dyDescent="0.25">
      <c r="A168" s="137"/>
      <c r="B168" s="138"/>
      <c r="C168" s="138"/>
      <c r="D168" s="138"/>
      <c r="E168" s="138"/>
      <c r="F168" s="138"/>
      <c r="G168" s="138"/>
      <c r="H168" s="965"/>
      <c r="I168" s="966"/>
      <c r="J168" s="138"/>
      <c r="K168" s="138"/>
      <c r="L168" s="138"/>
      <c r="M168" s="138"/>
      <c r="N168" s="138"/>
      <c r="O168" s="123"/>
    </row>
    <row r="169" spans="1:15" x14ac:dyDescent="0.25">
      <c r="A169" s="137"/>
      <c r="B169" s="138"/>
      <c r="C169" s="138"/>
      <c r="D169" s="138"/>
      <c r="E169" s="138"/>
      <c r="F169" s="138"/>
      <c r="G169" s="138"/>
      <c r="H169" s="965"/>
      <c r="I169" s="966"/>
      <c r="J169" s="138"/>
      <c r="K169" s="138"/>
      <c r="L169" s="138"/>
      <c r="M169" s="138"/>
      <c r="N169" s="138"/>
      <c r="O169" s="123"/>
    </row>
    <row r="170" spans="1:15" x14ac:dyDescent="0.25">
      <c r="A170" s="137"/>
      <c r="B170" s="138"/>
      <c r="C170" s="138"/>
      <c r="D170" s="138"/>
      <c r="E170" s="138"/>
      <c r="F170" s="138"/>
      <c r="G170" s="138"/>
      <c r="H170" s="965"/>
      <c r="I170" s="966"/>
      <c r="J170" s="138"/>
      <c r="K170" s="138"/>
      <c r="L170" s="138"/>
      <c r="M170" s="138"/>
      <c r="N170" s="138"/>
      <c r="O170" s="123"/>
    </row>
    <row r="171" spans="1:15" x14ac:dyDescent="0.25">
      <c r="A171" s="137"/>
      <c r="B171" s="138"/>
      <c r="C171" s="138"/>
      <c r="D171" s="138"/>
      <c r="E171" s="138"/>
      <c r="F171" s="138"/>
      <c r="G171" s="138"/>
      <c r="H171" s="965"/>
      <c r="I171" s="966"/>
      <c r="J171" s="138"/>
      <c r="K171" s="138"/>
      <c r="L171" s="138"/>
      <c r="M171" s="138"/>
      <c r="N171" s="138"/>
      <c r="O171" s="123"/>
    </row>
    <row r="172" spans="1:15" x14ac:dyDescent="0.25">
      <c r="A172" s="137"/>
      <c r="B172" s="138"/>
      <c r="C172" s="138"/>
      <c r="D172" s="138"/>
      <c r="E172" s="138"/>
      <c r="F172" s="138"/>
      <c r="G172" s="138"/>
      <c r="H172" s="965"/>
      <c r="I172" s="966"/>
      <c r="J172" s="138"/>
      <c r="K172" s="138"/>
      <c r="L172" s="138"/>
      <c r="M172" s="138"/>
      <c r="N172" s="138"/>
      <c r="O172" s="123"/>
    </row>
    <row r="173" spans="1:15" x14ac:dyDescent="0.25">
      <c r="A173" s="137"/>
      <c r="B173" s="138"/>
      <c r="C173" s="138"/>
      <c r="D173" s="138"/>
      <c r="E173" s="138"/>
      <c r="F173" s="138"/>
      <c r="G173" s="138"/>
      <c r="H173" s="965"/>
      <c r="I173" s="966"/>
      <c r="J173" s="138"/>
      <c r="K173" s="138"/>
      <c r="L173" s="138"/>
      <c r="M173" s="138"/>
      <c r="N173" s="138"/>
      <c r="O173" s="123"/>
    </row>
    <row r="174" spans="1:15" x14ac:dyDescent="0.25">
      <c r="A174" s="137"/>
      <c r="B174" s="138"/>
      <c r="C174" s="138"/>
      <c r="D174" s="138"/>
      <c r="E174" s="138"/>
      <c r="F174" s="138"/>
      <c r="G174" s="138"/>
      <c r="H174" s="965"/>
      <c r="I174" s="966"/>
      <c r="J174" s="138"/>
      <c r="K174" s="138"/>
      <c r="L174" s="138"/>
      <c r="M174" s="138"/>
      <c r="N174" s="138"/>
      <c r="O174" s="123"/>
    </row>
    <row r="175" spans="1:15" x14ac:dyDescent="0.25">
      <c r="A175" s="137"/>
      <c r="B175" s="138"/>
      <c r="C175" s="138"/>
      <c r="D175" s="138"/>
      <c r="E175" s="138"/>
      <c r="F175" s="138"/>
      <c r="G175" s="138"/>
      <c r="H175" s="965"/>
      <c r="I175" s="966"/>
      <c r="J175" s="138"/>
      <c r="K175" s="138"/>
      <c r="L175" s="138"/>
      <c r="M175" s="138"/>
      <c r="N175" s="138"/>
      <c r="O175" s="123"/>
    </row>
    <row r="176" spans="1:15" x14ac:dyDescent="0.25">
      <c r="A176" s="137"/>
      <c r="B176" s="138"/>
      <c r="C176" s="138"/>
      <c r="D176" s="138"/>
      <c r="E176" s="138"/>
      <c r="F176" s="138"/>
      <c r="G176" s="138"/>
      <c r="H176" s="965"/>
      <c r="I176" s="966"/>
      <c r="J176" s="138"/>
      <c r="K176" s="138"/>
      <c r="L176" s="138"/>
      <c r="M176" s="138"/>
      <c r="N176" s="138"/>
      <c r="O176" s="123"/>
    </row>
    <row r="177" spans="1:15" x14ac:dyDescent="0.25">
      <c r="A177" s="137"/>
      <c r="B177" s="138"/>
      <c r="C177" s="138"/>
      <c r="D177" s="138"/>
      <c r="E177" s="138"/>
      <c r="F177" s="138"/>
      <c r="G177" s="138"/>
      <c r="H177" s="965"/>
      <c r="I177" s="966"/>
      <c r="J177" s="138"/>
      <c r="K177" s="138"/>
      <c r="L177" s="138"/>
      <c r="M177" s="138"/>
      <c r="N177" s="138"/>
      <c r="O177" s="123"/>
    </row>
    <row r="178" spans="1:15" x14ac:dyDescent="0.25">
      <c r="A178" s="137"/>
      <c r="B178" s="138"/>
      <c r="C178" s="138"/>
      <c r="D178" s="138"/>
      <c r="E178" s="138"/>
      <c r="F178" s="138"/>
      <c r="G178" s="138"/>
      <c r="H178" s="965"/>
      <c r="I178" s="966"/>
      <c r="J178" s="138"/>
      <c r="K178" s="138"/>
      <c r="L178" s="138"/>
      <c r="M178" s="138"/>
      <c r="N178" s="138"/>
      <c r="O178" s="123"/>
    </row>
    <row r="179" spans="1:15" x14ac:dyDescent="0.25">
      <c r="A179" s="137"/>
      <c r="B179" s="138"/>
      <c r="C179" s="138"/>
      <c r="D179" s="138"/>
      <c r="E179" s="138"/>
      <c r="F179" s="138"/>
      <c r="G179" s="138"/>
      <c r="H179" s="965"/>
      <c r="I179" s="966"/>
      <c r="J179" s="138"/>
      <c r="K179" s="138"/>
      <c r="L179" s="138"/>
      <c r="M179" s="138"/>
      <c r="N179" s="138"/>
      <c r="O179" s="123"/>
    </row>
    <row r="180" spans="1:15" x14ac:dyDescent="0.25">
      <c r="A180" s="137"/>
      <c r="B180" s="138"/>
      <c r="C180" s="138"/>
      <c r="D180" s="138"/>
      <c r="E180" s="138"/>
      <c r="F180" s="138"/>
      <c r="G180" s="138"/>
      <c r="H180" s="965"/>
      <c r="I180" s="966"/>
      <c r="J180" s="138"/>
      <c r="K180" s="138"/>
      <c r="L180" s="138"/>
      <c r="M180" s="138"/>
      <c r="N180" s="138"/>
      <c r="O180" s="123"/>
    </row>
    <row r="181" spans="1:15" x14ac:dyDescent="0.25">
      <c r="A181" s="137"/>
      <c r="B181" s="138"/>
      <c r="C181" s="138"/>
      <c r="D181" s="138"/>
      <c r="E181" s="138"/>
      <c r="F181" s="138"/>
      <c r="G181" s="138"/>
      <c r="H181" s="965"/>
      <c r="I181" s="966"/>
      <c r="J181" s="138"/>
      <c r="K181" s="138"/>
      <c r="L181" s="138"/>
      <c r="M181" s="138"/>
      <c r="N181" s="138"/>
      <c r="O181" s="123"/>
    </row>
    <row r="182" spans="1:15" x14ac:dyDescent="0.25">
      <c r="A182" s="137"/>
      <c r="B182" s="138"/>
      <c r="C182" s="138"/>
      <c r="D182" s="138"/>
      <c r="E182" s="138"/>
      <c r="F182" s="138"/>
      <c r="G182" s="138"/>
      <c r="H182" s="965"/>
      <c r="I182" s="966"/>
      <c r="J182" s="138"/>
      <c r="K182" s="138"/>
      <c r="L182" s="138"/>
      <c r="M182" s="138"/>
      <c r="N182" s="138"/>
      <c r="O182" s="123"/>
    </row>
    <row r="183" spans="1:15" x14ac:dyDescent="0.25">
      <c r="A183" s="137"/>
      <c r="B183" s="138"/>
      <c r="C183" s="138"/>
      <c r="D183" s="138"/>
      <c r="E183" s="138"/>
      <c r="F183" s="138"/>
      <c r="G183" s="138"/>
      <c r="H183" s="965"/>
      <c r="I183" s="966"/>
      <c r="J183" s="138"/>
      <c r="K183" s="138"/>
      <c r="L183" s="138"/>
      <c r="M183" s="138"/>
      <c r="N183" s="138"/>
      <c r="O183" s="123"/>
    </row>
    <row r="184" spans="1:15" x14ac:dyDescent="0.25">
      <c r="A184" s="137"/>
      <c r="B184" s="138"/>
      <c r="C184" s="138"/>
      <c r="D184" s="138"/>
      <c r="E184" s="138"/>
      <c r="F184" s="138"/>
      <c r="G184" s="138"/>
      <c r="H184" s="965"/>
      <c r="I184" s="966"/>
      <c r="J184" s="138"/>
      <c r="K184" s="138"/>
      <c r="L184" s="138"/>
      <c r="M184" s="138"/>
      <c r="N184" s="138"/>
      <c r="O184" s="123"/>
    </row>
    <row r="185" spans="1:15" x14ac:dyDescent="0.25">
      <c r="A185" s="137"/>
      <c r="B185" s="138"/>
      <c r="C185" s="138"/>
      <c r="D185" s="138"/>
      <c r="E185" s="138"/>
      <c r="F185" s="138"/>
      <c r="G185" s="138"/>
      <c r="H185" s="965"/>
      <c r="I185" s="966"/>
      <c r="J185" s="138"/>
      <c r="K185" s="138"/>
      <c r="L185" s="138"/>
      <c r="M185" s="138"/>
      <c r="N185" s="138"/>
      <c r="O185" s="123"/>
    </row>
    <row r="186" spans="1:15" x14ac:dyDescent="0.25">
      <c r="A186" s="137"/>
      <c r="B186" s="138"/>
      <c r="C186" s="138"/>
      <c r="D186" s="138"/>
      <c r="E186" s="138"/>
      <c r="F186" s="138"/>
      <c r="G186" s="138"/>
      <c r="H186" s="965"/>
      <c r="I186" s="966"/>
      <c r="J186" s="138"/>
      <c r="K186" s="138"/>
      <c r="L186" s="138"/>
      <c r="M186" s="138"/>
      <c r="N186" s="138"/>
      <c r="O186" s="123"/>
    </row>
    <row r="187" spans="1:15" ht="15.75" thickBot="1" x14ac:dyDescent="0.3">
      <c r="A187" s="59"/>
      <c r="B187" s="60"/>
      <c r="C187" s="60"/>
      <c r="D187" s="60"/>
      <c r="E187" s="60"/>
      <c r="F187" s="60"/>
      <c r="G187" s="60"/>
      <c r="H187" s="891"/>
      <c r="I187" s="891"/>
      <c r="J187" s="60"/>
      <c r="K187" s="60"/>
      <c r="L187" s="60"/>
      <c r="M187" s="60"/>
      <c r="N187" s="60"/>
      <c r="O187" s="61"/>
    </row>
    <row r="188" spans="1:15" ht="15.75" thickBot="1" x14ac:dyDescent="0.3"/>
    <row r="189" spans="1:15" x14ac:dyDescent="0.25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1"/>
    </row>
    <row r="190" spans="1:15" x14ac:dyDescent="0.25">
      <c r="A190" s="887" t="s">
        <v>0</v>
      </c>
      <c r="B190" s="17" t="s">
        <v>47</v>
      </c>
      <c r="C190" s="46"/>
      <c r="D190" s="46"/>
      <c r="E190" s="46"/>
      <c r="F190" s="46"/>
      <c r="G190" s="46"/>
      <c r="H190" s="46"/>
      <c r="I190" s="46"/>
      <c r="J190" s="890" t="s">
        <v>2</v>
      </c>
      <c r="K190" s="86">
        <v>81</v>
      </c>
      <c r="L190" s="46"/>
      <c r="M190" s="887" t="s">
        <v>17</v>
      </c>
      <c r="N190" s="652">
        <f>FR_06006_m+FR_06006_p+FR_06006_f</f>
        <v>7.5428536250000002</v>
      </c>
      <c r="O190" s="52"/>
    </row>
    <row r="191" spans="1:15" x14ac:dyDescent="0.25">
      <c r="A191" s="887" t="s">
        <v>4</v>
      </c>
      <c r="B191" s="17" t="s">
        <v>501</v>
      </c>
      <c r="C191" s="46"/>
      <c r="D191" s="887" t="s">
        <v>7</v>
      </c>
      <c r="E191" s="89"/>
      <c r="F191" s="46"/>
      <c r="G191" s="46"/>
      <c r="H191" s="46"/>
      <c r="I191" s="46"/>
      <c r="J191" s="46"/>
      <c r="K191" s="46"/>
      <c r="L191" s="46"/>
      <c r="M191" s="887" t="s">
        <v>5</v>
      </c>
      <c r="N191" s="414">
        <v>1</v>
      </c>
      <c r="O191" s="52"/>
    </row>
    <row r="192" spans="1:15" x14ac:dyDescent="0.25">
      <c r="A192" s="887" t="s">
        <v>6</v>
      </c>
      <c r="B192" s="675" t="str">
        <f>'FR Assemblies'!B4</f>
        <v>Shifter</v>
      </c>
      <c r="C192" s="46"/>
      <c r="D192" s="887" t="s">
        <v>9</v>
      </c>
      <c r="E192" s="46"/>
      <c r="F192" s="46"/>
      <c r="G192" s="46"/>
      <c r="H192" s="46"/>
      <c r="I192" s="46"/>
      <c r="J192" s="888" t="s">
        <v>7</v>
      </c>
      <c r="K192" s="46"/>
      <c r="L192" s="46"/>
      <c r="M192" s="46"/>
      <c r="N192" s="46"/>
      <c r="O192" s="52"/>
    </row>
    <row r="193" spans="1:15" x14ac:dyDescent="0.25">
      <c r="A193" s="887" t="s">
        <v>16</v>
      </c>
      <c r="B193" s="18" t="s">
        <v>529</v>
      </c>
      <c r="C193" s="46"/>
      <c r="D193" s="887" t="s">
        <v>13</v>
      </c>
      <c r="E193" s="46"/>
      <c r="F193" s="46"/>
      <c r="G193" s="46"/>
      <c r="H193" s="46"/>
      <c r="I193" s="46"/>
      <c r="J193" s="888" t="s">
        <v>9</v>
      </c>
      <c r="K193" s="46"/>
      <c r="L193" s="46"/>
      <c r="M193" s="887" t="s">
        <v>10</v>
      </c>
      <c r="N193" s="652">
        <f>N191*N190</f>
        <v>7.5428536250000002</v>
      </c>
      <c r="O193" s="52"/>
    </row>
    <row r="194" spans="1:15" x14ac:dyDescent="0.25">
      <c r="A194" s="887" t="s">
        <v>8</v>
      </c>
      <c r="B194" s="889" t="s">
        <v>528</v>
      </c>
      <c r="C194" s="46"/>
      <c r="D194" s="46"/>
      <c r="E194" s="46"/>
      <c r="F194" s="46"/>
      <c r="G194" s="46"/>
      <c r="H194" s="46"/>
      <c r="I194" s="46"/>
      <c r="J194" s="888" t="s">
        <v>13</v>
      </c>
      <c r="K194" s="46"/>
      <c r="L194" s="46"/>
      <c r="M194" s="46"/>
      <c r="N194" s="46"/>
      <c r="O194" s="52"/>
    </row>
    <row r="195" spans="1:15" x14ac:dyDescent="0.25">
      <c r="A195" s="887" t="s">
        <v>11</v>
      </c>
      <c r="B195" s="17" t="s">
        <v>12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52"/>
    </row>
    <row r="196" spans="1:15" x14ac:dyDescent="0.25">
      <c r="A196" s="887" t="s">
        <v>14</v>
      </c>
      <c r="B196" s="17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52"/>
    </row>
    <row r="197" spans="1:15" x14ac:dyDescent="0.25">
      <c r="A197" s="886"/>
      <c r="B197" s="885"/>
      <c r="C197" s="885"/>
      <c r="D197" s="885"/>
      <c r="E197" s="885"/>
      <c r="F197" s="46"/>
      <c r="G197" s="46"/>
      <c r="H197" s="46"/>
      <c r="I197" s="46"/>
      <c r="J197" s="46"/>
      <c r="K197" s="46"/>
      <c r="L197" s="46"/>
      <c r="M197" s="46"/>
      <c r="N197" s="46"/>
      <c r="O197" s="52"/>
    </row>
    <row r="198" spans="1:15" x14ac:dyDescent="0.25">
      <c r="A198" s="884" t="s">
        <v>15</v>
      </c>
      <c r="B198" s="883" t="s">
        <v>20</v>
      </c>
      <c r="C198" s="883" t="s">
        <v>21</v>
      </c>
      <c r="D198" s="883" t="s">
        <v>22</v>
      </c>
      <c r="E198" s="883" t="s">
        <v>23</v>
      </c>
      <c r="F198" s="873" t="s">
        <v>24</v>
      </c>
      <c r="G198" s="873" t="s">
        <v>25</v>
      </c>
      <c r="H198" s="873" t="s">
        <v>26</v>
      </c>
      <c r="I198" s="873" t="s">
        <v>27</v>
      </c>
      <c r="J198" s="873" t="s">
        <v>28</v>
      </c>
      <c r="K198" s="873" t="s">
        <v>29</v>
      </c>
      <c r="L198" s="873" t="s">
        <v>30</v>
      </c>
      <c r="M198" s="873" t="s">
        <v>18</v>
      </c>
      <c r="N198" s="873" t="s">
        <v>19</v>
      </c>
      <c r="O198" s="52"/>
    </row>
    <row r="199" spans="1:15" x14ac:dyDescent="0.25">
      <c r="A199" s="838">
        <v>10</v>
      </c>
      <c r="B199" s="133" t="s">
        <v>603</v>
      </c>
      <c r="C199" s="134" t="s">
        <v>522</v>
      </c>
      <c r="D199" s="162">
        <v>2.25</v>
      </c>
      <c r="E199" s="840">
        <v>3.5000000000000003E-2</v>
      </c>
      <c r="F199" s="134" t="s">
        <v>92</v>
      </c>
      <c r="G199" s="134"/>
      <c r="H199" s="19"/>
      <c r="I199" s="134" t="s">
        <v>505</v>
      </c>
      <c r="J199" s="828">
        <v>5.7300000000000005E-4</v>
      </c>
      <c r="K199" s="19">
        <v>0.35</v>
      </c>
      <c r="L199" s="842">
        <v>2710</v>
      </c>
      <c r="M199" s="839">
        <v>1</v>
      </c>
      <c r="N199" s="870">
        <f>IF(J199="",D199*M199,D199*J199*K199*L199*M199)</f>
        <v>1.2228536249999999</v>
      </c>
      <c r="O199" s="56"/>
    </row>
    <row r="200" spans="1:15" x14ac:dyDescent="0.25">
      <c r="A200" s="57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882" t="s">
        <v>19</v>
      </c>
      <c r="N200" s="868">
        <f>SUM(N199:N199)</f>
        <v>1.2228536249999999</v>
      </c>
      <c r="O200" s="52"/>
    </row>
    <row r="201" spans="1:15" x14ac:dyDescent="0.25">
      <c r="A201" s="53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52"/>
    </row>
    <row r="202" spans="1:15" x14ac:dyDescent="0.25">
      <c r="A202" s="874" t="s">
        <v>15</v>
      </c>
      <c r="B202" s="873" t="s">
        <v>32</v>
      </c>
      <c r="C202" s="873" t="s">
        <v>21</v>
      </c>
      <c r="D202" s="873" t="s">
        <v>22</v>
      </c>
      <c r="E202" s="873" t="s">
        <v>33</v>
      </c>
      <c r="F202" s="873" t="s">
        <v>18</v>
      </c>
      <c r="G202" s="873" t="s">
        <v>34</v>
      </c>
      <c r="H202" s="873" t="s">
        <v>35</v>
      </c>
      <c r="I202" s="873" t="s">
        <v>19</v>
      </c>
      <c r="J202" s="20"/>
      <c r="K202" s="20"/>
      <c r="L202" s="20"/>
      <c r="M202" s="20"/>
      <c r="N202" s="20"/>
      <c r="O202" s="52"/>
    </row>
    <row r="203" spans="1:15" x14ac:dyDescent="0.25">
      <c r="A203" s="881">
        <v>10</v>
      </c>
      <c r="B203" s="877" t="s">
        <v>50</v>
      </c>
      <c r="C203" s="880" t="s">
        <v>506</v>
      </c>
      <c r="D203" s="879">
        <v>1.3</v>
      </c>
      <c r="E203" s="877" t="s">
        <v>36</v>
      </c>
      <c r="F203" s="880">
        <v>1</v>
      </c>
      <c r="G203" s="880"/>
      <c r="H203" s="880"/>
      <c r="I203" s="879">
        <f t="shared" ref="I203:I210" si="1">IF(H203="",D203*F203,D203*F203*H203)</f>
        <v>1.3</v>
      </c>
      <c r="J203" s="48"/>
      <c r="K203" s="48"/>
      <c r="L203" s="48"/>
      <c r="M203" s="48"/>
      <c r="N203" s="48"/>
      <c r="O203" s="58"/>
    </row>
    <row r="204" spans="1:15" x14ac:dyDescent="0.25">
      <c r="A204" s="872">
        <v>20</v>
      </c>
      <c r="B204" s="877" t="s">
        <v>241</v>
      </c>
      <c r="C204" s="871"/>
      <c r="D204" s="870">
        <v>0.04</v>
      </c>
      <c r="E204" s="871" t="s">
        <v>243</v>
      </c>
      <c r="F204" s="878">
        <v>5</v>
      </c>
      <c r="G204" s="877" t="s">
        <v>111</v>
      </c>
      <c r="H204" s="880">
        <v>3</v>
      </c>
      <c r="I204" s="870">
        <f t="shared" si="1"/>
        <v>0.60000000000000009</v>
      </c>
      <c r="J204" s="46"/>
      <c r="K204" s="46"/>
      <c r="L204" s="46"/>
      <c r="M204" s="46"/>
      <c r="N204" s="46"/>
      <c r="O204" s="52"/>
    </row>
    <row r="205" spans="1:15" x14ac:dyDescent="0.25">
      <c r="A205" s="881">
        <v>30</v>
      </c>
      <c r="B205" s="877" t="s">
        <v>508</v>
      </c>
      <c r="C205" s="880"/>
      <c r="D205" s="879">
        <v>0.65</v>
      </c>
      <c r="E205" s="877" t="s">
        <v>36</v>
      </c>
      <c r="F205" s="880">
        <v>1</v>
      </c>
      <c r="G205" s="880"/>
      <c r="H205" s="880"/>
      <c r="I205" s="879">
        <f t="shared" si="1"/>
        <v>0.65</v>
      </c>
      <c r="J205" s="48"/>
      <c r="K205" s="48"/>
      <c r="L205" s="48"/>
      <c r="M205" s="48"/>
      <c r="N205" s="48"/>
      <c r="O205" s="58"/>
    </row>
    <row r="206" spans="1:15" x14ac:dyDescent="0.25">
      <c r="A206" s="872">
        <v>40</v>
      </c>
      <c r="B206" s="877" t="s">
        <v>241</v>
      </c>
      <c r="C206" s="871"/>
      <c r="D206" s="870">
        <v>0.04</v>
      </c>
      <c r="E206" s="871" t="s">
        <v>243</v>
      </c>
      <c r="F206" s="878">
        <v>3</v>
      </c>
      <c r="G206" s="877" t="s">
        <v>111</v>
      </c>
      <c r="H206" s="880">
        <v>3</v>
      </c>
      <c r="I206" s="870">
        <f t="shared" si="1"/>
        <v>0.36</v>
      </c>
      <c r="J206" s="46"/>
      <c r="K206" s="46"/>
      <c r="L206" s="46"/>
      <c r="M206" s="46"/>
      <c r="N206" s="46"/>
      <c r="O206" s="52"/>
    </row>
    <row r="207" spans="1:15" x14ac:dyDescent="0.25">
      <c r="A207" s="881">
        <v>50</v>
      </c>
      <c r="B207" s="877" t="s">
        <v>508</v>
      </c>
      <c r="C207" s="880"/>
      <c r="D207" s="879">
        <v>0.65</v>
      </c>
      <c r="E207" s="877" t="s">
        <v>36</v>
      </c>
      <c r="F207" s="880">
        <v>1</v>
      </c>
      <c r="G207" s="880"/>
      <c r="H207" s="880"/>
      <c r="I207" s="879">
        <f t="shared" si="1"/>
        <v>0.65</v>
      </c>
      <c r="J207" s="48"/>
      <c r="K207" s="48"/>
      <c r="L207" s="48"/>
      <c r="M207" s="48"/>
      <c r="N207" s="48"/>
      <c r="O207" s="58"/>
    </row>
    <row r="208" spans="1:15" x14ac:dyDescent="0.25">
      <c r="A208" s="872">
        <v>60</v>
      </c>
      <c r="B208" s="877" t="s">
        <v>241</v>
      </c>
      <c r="C208" s="871"/>
      <c r="D208" s="870">
        <v>0.04</v>
      </c>
      <c r="E208" s="871" t="s">
        <v>243</v>
      </c>
      <c r="F208" s="878">
        <v>1</v>
      </c>
      <c r="G208" s="877" t="s">
        <v>111</v>
      </c>
      <c r="H208" s="880">
        <v>3</v>
      </c>
      <c r="I208" s="870">
        <f t="shared" si="1"/>
        <v>0.12</v>
      </c>
      <c r="J208" s="46"/>
      <c r="K208" s="46"/>
      <c r="L208" s="46"/>
      <c r="M208" s="46"/>
      <c r="N208" s="46"/>
      <c r="O208" s="52"/>
    </row>
    <row r="209" spans="1:15" x14ac:dyDescent="0.25">
      <c r="A209" s="881">
        <v>70</v>
      </c>
      <c r="B209" s="877" t="s">
        <v>510</v>
      </c>
      <c r="C209" s="880"/>
      <c r="D209" s="879">
        <v>0.35</v>
      </c>
      <c r="E209" s="877" t="s">
        <v>247</v>
      </c>
      <c r="F209" s="880">
        <v>4</v>
      </c>
      <c r="G209" s="880"/>
      <c r="H209" s="880"/>
      <c r="I209" s="879">
        <f t="shared" si="1"/>
        <v>1.4</v>
      </c>
      <c r="J209" s="48"/>
      <c r="K209" s="48"/>
      <c r="L209" s="48"/>
      <c r="M209" s="48"/>
      <c r="N209" s="48"/>
      <c r="O209" s="58"/>
    </row>
    <row r="210" spans="1:15" x14ac:dyDescent="0.25">
      <c r="A210" s="872">
        <v>80</v>
      </c>
      <c r="B210" s="877" t="s">
        <v>530</v>
      </c>
      <c r="C210" s="880"/>
      <c r="D210" s="879">
        <v>0.1</v>
      </c>
      <c r="E210" s="877" t="s">
        <v>247</v>
      </c>
      <c r="F210" s="880">
        <v>4</v>
      </c>
      <c r="G210" s="877" t="s">
        <v>111</v>
      </c>
      <c r="H210" s="880">
        <v>3</v>
      </c>
      <c r="I210" s="879">
        <f t="shared" si="1"/>
        <v>1.2000000000000002</v>
      </c>
      <c r="J210" s="48"/>
      <c r="K210" s="48"/>
      <c r="L210" s="48"/>
      <c r="M210" s="48"/>
      <c r="N210" s="48"/>
      <c r="O210" s="58"/>
    </row>
    <row r="211" spans="1:15" x14ac:dyDescent="0.25">
      <c r="A211" s="57"/>
      <c r="B211" s="20"/>
      <c r="C211" s="20"/>
      <c r="D211" s="20"/>
      <c r="E211" s="20"/>
      <c r="F211" s="20"/>
      <c r="G211" s="20"/>
      <c r="H211" s="869" t="s">
        <v>19</v>
      </c>
      <c r="I211" s="868">
        <f>SUM(I203:I210)</f>
        <v>6.28</v>
      </c>
      <c r="J211" s="20"/>
      <c r="K211" s="20"/>
      <c r="L211" s="20"/>
      <c r="M211" s="20"/>
      <c r="N211" s="20"/>
      <c r="O211" s="52"/>
    </row>
    <row r="212" spans="1:15" x14ac:dyDescent="0.25">
      <c r="A212" s="53"/>
      <c r="B212" s="46"/>
      <c r="C212" s="46"/>
      <c r="D212" s="46"/>
      <c r="E212" s="46"/>
      <c r="F212" s="46"/>
      <c r="G212" s="46"/>
      <c r="H212" s="46"/>
      <c r="I212" s="47"/>
      <c r="J212" s="46"/>
      <c r="K212" s="46"/>
      <c r="L212" s="46"/>
      <c r="M212" s="46"/>
      <c r="N212" s="46"/>
      <c r="O212" s="52"/>
    </row>
    <row r="213" spans="1:15" x14ac:dyDescent="0.25">
      <c r="A213" s="874" t="s">
        <v>15</v>
      </c>
      <c r="B213" s="873" t="s">
        <v>37</v>
      </c>
      <c r="C213" s="873" t="s">
        <v>21</v>
      </c>
      <c r="D213" s="873" t="s">
        <v>22</v>
      </c>
      <c r="E213" s="873" t="s">
        <v>23</v>
      </c>
      <c r="F213" s="873" t="s">
        <v>24</v>
      </c>
      <c r="G213" s="873" t="s">
        <v>25</v>
      </c>
      <c r="H213" s="873" t="s">
        <v>26</v>
      </c>
      <c r="I213" s="873" t="s">
        <v>18</v>
      </c>
      <c r="J213" s="873" t="s">
        <v>19</v>
      </c>
      <c r="K213" s="46"/>
      <c r="L213" s="46"/>
      <c r="M213" s="46"/>
      <c r="N213" s="46"/>
      <c r="O213" s="52"/>
    </row>
    <row r="214" spans="1:15" x14ac:dyDescent="0.25">
      <c r="A214" s="872">
        <v>10</v>
      </c>
      <c r="B214" s="871" t="s">
        <v>151</v>
      </c>
      <c r="C214" s="871"/>
      <c r="D214" s="870">
        <v>0.01</v>
      </c>
      <c r="E214" s="871">
        <v>3</v>
      </c>
      <c r="F214" s="876" t="s">
        <v>31</v>
      </c>
      <c r="G214" s="871">
        <v>10</v>
      </c>
      <c r="H214" s="871" t="s">
        <v>31</v>
      </c>
      <c r="I214" s="875">
        <v>4</v>
      </c>
      <c r="J214" s="870">
        <f>I214*D214</f>
        <v>0.04</v>
      </c>
      <c r="K214" s="46"/>
      <c r="L214" s="46"/>
      <c r="M214" s="46"/>
      <c r="N214" s="46"/>
      <c r="O214" s="52"/>
    </row>
    <row r="215" spans="1:15" x14ac:dyDescent="0.25">
      <c r="A215" s="57"/>
      <c r="B215" s="20"/>
      <c r="C215" s="20"/>
      <c r="D215" s="20"/>
      <c r="E215" s="20"/>
      <c r="F215" s="20"/>
      <c r="G215" s="20"/>
      <c r="H215" s="20"/>
      <c r="I215" s="869" t="s">
        <v>19</v>
      </c>
      <c r="J215" s="868">
        <f>SUM(J214:J214)</f>
        <v>0.04</v>
      </c>
      <c r="K215" s="46"/>
      <c r="L215" s="46"/>
      <c r="M215" s="46"/>
      <c r="N215" s="46"/>
      <c r="O215" s="52"/>
    </row>
    <row r="216" spans="1:15" x14ac:dyDescent="0.25">
      <c r="A216" s="137"/>
      <c r="B216" s="138"/>
      <c r="C216" s="138"/>
      <c r="D216" s="138"/>
      <c r="E216" s="138"/>
      <c r="F216" s="138"/>
      <c r="G216" s="138"/>
      <c r="H216" s="965"/>
      <c r="I216" s="966"/>
      <c r="J216" s="138"/>
      <c r="K216" s="138"/>
      <c r="L216" s="138"/>
      <c r="M216" s="138"/>
      <c r="N216" s="138"/>
      <c r="O216" s="123"/>
    </row>
    <row r="217" spans="1:15" x14ac:dyDescent="0.25">
      <c r="A217" s="137"/>
      <c r="B217" s="138"/>
      <c r="C217" s="138"/>
      <c r="D217" s="138"/>
      <c r="E217" s="138"/>
      <c r="F217" s="138"/>
      <c r="G217" s="138"/>
      <c r="H217" s="965"/>
      <c r="I217" s="966"/>
      <c r="J217" s="138"/>
      <c r="K217" s="138"/>
      <c r="L217" s="138"/>
      <c r="M217" s="138"/>
      <c r="N217" s="138"/>
      <c r="O217" s="123"/>
    </row>
    <row r="218" spans="1:15" x14ac:dyDescent="0.25">
      <c r="A218" s="137"/>
      <c r="B218" s="138"/>
      <c r="C218" s="138"/>
      <c r="D218" s="138"/>
      <c r="E218" s="138"/>
      <c r="F218" s="138"/>
      <c r="G218" s="138"/>
      <c r="H218" s="965"/>
      <c r="I218" s="966"/>
      <c r="J218" s="138"/>
      <c r="K218" s="138"/>
      <c r="L218" s="138"/>
      <c r="M218" s="138"/>
      <c r="N218" s="138"/>
      <c r="O218" s="123"/>
    </row>
    <row r="219" spans="1:15" x14ac:dyDescent="0.25">
      <c r="A219" s="137"/>
      <c r="B219" s="138"/>
      <c r="C219" s="138"/>
      <c r="D219" s="138"/>
      <c r="E219" s="138"/>
      <c r="F219" s="138"/>
      <c r="G219" s="138"/>
      <c r="H219" s="965"/>
      <c r="I219" s="966"/>
      <c r="J219" s="138"/>
      <c r="K219" s="138"/>
      <c r="L219" s="138"/>
      <c r="M219" s="138"/>
      <c r="N219" s="138"/>
      <c r="O219" s="123"/>
    </row>
    <row r="220" spans="1:15" x14ac:dyDescent="0.25">
      <c r="A220" s="137"/>
      <c r="B220" s="138"/>
      <c r="C220" s="138"/>
      <c r="D220" s="138"/>
      <c r="E220" s="138"/>
      <c r="F220" s="138"/>
      <c r="G220" s="138"/>
      <c r="H220" s="965"/>
      <c r="I220" s="966"/>
      <c r="J220" s="138"/>
      <c r="K220" s="138"/>
      <c r="L220" s="138"/>
      <c r="M220" s="138"/>
      <c r="N220" s="138"/>
      <c r="O220" s="123"/>
    </row>
    <row r="221" spans="1:15" x14ac:dyDescent="0.25">
      <c r="A221" s="137"/>
      <c r="B221" s="138"/>
      <c r="C221" s="138"/>
      <c r="D221" s="138"/>
      <c r="E221" s="138"/>
      <c r="F221" s="138"/>
      <c r="G221" s="138"/>
      <c r="H221" s="965"/>
      <c r="I221" s="966"/>
      <c r="J221" s="138"/>
      <c r="K221" s="138"/>
      <c r="L221" s="138"/>
      <c r="M221" s="138"/>
      <c r="N221" s="138"/>
      <c r="O221" s="123"/>
    </row>
    <row r="222" spans="1:15" x14ac:dyDescent="0.25">
      <c r="A222" s="137"/>
      <c r="B222" s="138"/>
      <c r="C222" s="138"/>
      <c r="D222" s="138"/>
      <c r="E222" s="138"/>
      <c r="F222" s="138"/>
      <c r="G222" s="138"/>
      <c r="H222" s="965"/>
      <c r="I222" s="966"/>
      <c r="J222" s="138"/>
      <c r="K222" s="138"/>
      <c r="L222" s="138"/>
      <c r="M222" s="138"/>
      <c r="N222" s="138"/>
      <c r="O222" s="123"/>
    </row>
    <row r="223" spans="1:15" x14ac:dyDescent="0.25">
      <c r="A223" s="137"/>
      <c r="B223" s="138"/>
      <c r="C223" s="138"/>
      <c r="D223" s="138"/>
      <c r="E223" s="138"/>
      <c r="F223" s="138"/>
      <c r="G223" s="138"/>
      <c r="H223" s="965"/>
      <c r="I223" s="966"/>
      <c r="J223" s="138"/>
      <c r="K223" s="138"/>
      <c r="L223" s="138"/>
      <c r="M223" s="138"/>
      <c r="N223" s="138"/>
      <c r="O223" s="123"/>
    </row>
    <row r="224" spans="1:15" x14ac:dyDescent="0.25">
      <c r="A224" s="137"/>
      <c r="B224" s="138"/>
      <c r="C224" s="138"/>
      <c r="D224" s="138"/>
      <c r="E224" s="138"/>
      <c r="F224" s="138"/>
      <c r="G224" s="138"/>
      <c r="H224" s="965"/>
      <c r="I224" s="966"/>
      <c r="J224" s="138"/>
      <c r="K224" s="138"/>
      <c r="L224" s="138"/>
      <c r="M224" s="138"/>
      <c r="N224" s="138"/>
      <c r="O224" s="123"/>
    </row>
    <row r="225" spans="1:15" x14ac:dyDescent="0.25">
      <c r="A225" s="137"/>
      <c r="B225" s="138"/>
      <c r="C225" s="138"/>
      <c r="D225" s="138"/>
      <c r="E225" s="138"/>
      <c r="F225" s="138"/>
      <c r="G225" s="138"/>
      <c r="H225" s="965"/>
      <c r="I225" s="966"/>
      <c r="J225" s="138"/>
      <c r="K225" s="138"/>
      <c r="L225" s="138"/>
      <c r="M225" s="138"/>
      <c r="N225" s="138"/>
      <c r="O225" s="123"/>
    </row>
    <row r="226" spans="1:15" x14ac:dyDescent="0.25">
      <c r="A226" s="137"/>
      <c r="B226" s="138"/>
      <c r="C226" s="138"/>
      <c r="D226" s="138"/>
      <c r="E226" s="138"/>
      <c r="F226" s="138"/>
      <c r="G226" s="138"/>
      <c r="H226" s="965"/>
      <c r="I226" s="966"/>
      <c r="J226" s="138"/>
      <c r="K226" s="138"/>
      <c r="L226" s="138"/>
      <c r="M226" s="138"/>
      <c r="N226" s="138"/>
      <c r="O226" s="123"/>
    </row>
    <row r="227" spans="1:15" x14ac:dyDescent="0.25">
      <c r="A227" s="137"/>
      <c r="B227" s="138"/>
      <c r="C227" s="138"/>
      <c r="D227" s="138"/>
      <c r="E227" s="138"/>
      <c r="F227" s="138"/>
      <c r="G227" s="138"/>
      <c r="H227" s="965"/>
      <c r="I227" s="966"/>
      <c r="J227" s="138"/>
      <c r="K227" s="138"/>
      <c r="L227" s="138"/>
      <c r="M227" s="138"/>
      <c r="N227" s="138"/>
      <c r="O227" s="123"/>
    </row>
    <row r="228" spans="1:15" x14ac:dyDescent="0.25">
      <c r="A228" s="137"/>
      <c r="B228" s="138"/>
      <c r="C228" s="138"/>
      <c r="D228" s="138"/>
      <c r="E228" s="138"/>
      <c r="F228" s="138"/>
      <c r="G228" s="138"/>
      <c r="H228" s="965"/>
      <c r="I228" s="966"/>
      <c r="J228" s="138"/>
      <c r="K228" s="138"/>
      <c r="L228" s="138"/>
      <c r="M228" s="138"/>
      <c r="N228" s="138"/>
      <c r="O228" s="123"/>
    </row>
    <row r="229" spans="1:15" x14ac:dyDescent="0.25">
      <c r="A229" s="137"/>
      <c r="B229" s="138"/>
      <c r="C229" s="138"/>
      <c r="D229" s="138"/>
      <c r="E229" s="138"/>
      <c r="F229" s="138"/>
      <c r="G229" s="138"/>
      <c r="H229" s="965"/>
      <c r="I229" s="966"/>
      <c r="J229" s="138"/>
      <c r="K229" s="138"/>
      <c r="L229" s="138"/>
      <c r="M229" s="138"/>
      <c r="N229" s="138"/>
      <c r="O229" s="123"/>
    </row>
    <row r="230" spans="1:15" x14ac:dyDescent="0.25">
      <c r="A230" s="137"/>
      <c r="B230" s="138"/>
      <c r="C230" s="138"/>
      <c r="D230" s="138"/>
      <c r="E230" s="138"/>
      <c r="F230" s="138"/>
      <c r="G230" s="138"/>
      <c r="H230" s="965"/>
      <c r="I230" s="966"/>
      <c r="J230" s="138"/>
      <c r="K230" s="138"/>
      <c r="L230" s="138"/>
      <c r="M230" s="138"/>
      <c r="N230" s="138"/>
      <c r="O230" s="123"/>
    </row>
    <row r="231" spans="1:15" ht="15.75" customHeight="1" x14ac:dyDescent="0.25">
      <c r="A231" s="137"/>
      <c r="B231" s="138"/>
      <c r="C231" s="138"/>
      <c r="D231" s="138"/>
      <c r="E231" s="138"/>
      <c r="F231" s="138"/>
      <c r="G231" s="138"/>
      <c r="H231" s="965"/>
      <c r="I231" s="966"/>
      <c r="J231" s="138"/>
      <c r="K231" s="138"/>
      <c r="L231" s="138"/>
      <c r="M231" s="138"/>
      <c r="N231" s="138"/>
      <c r="O231" s="123"/>
    </row>
    <row r="232" spans="1:15" x14ac:dyDescent="0.25">
      <c r="A232" s="137"/>
      <c r="B232" s="138"/>
      <c r="C232" s="138"/>
      <c r="D232" s="138"/>
      <c r="E232" s="138"/>
      <c r="F232" s="138"/>
      <c r="G232" s="138"/>
      <c r="H232" s="965"/>
      <c r="I232" s="966"/>
      <c r="J232" s="138"/>
      <c r="K232" s="138"/>
      <c r="L232" s="138"/>
      <c r="M232" s="138"/>
      <c r="N232" s="138"/>
      <c r="O232" s="123"/>
    </row>
    <row r="233" spans="1:15" x14ac:dyDescent="0.25">
      <c r="A233" s="137"/>
      <c r="B233" s="138"/>
      <c r="C233" s="138"/>
      <c r="D233" s="138"/>
      <c r="E233" s="138"/>
      <c r="F233" s="138"/>
      <c r="G233" s="138"/>
      <c r="H233" s="965"/>
      <c r="I233" s="966"/>
      <c r="J233" s="138"/>
      <c r="K233" s="138"/>
      <c r="L233" s="138"/>
      <c r="M233" s="138"/>
      <c r="N233" s="138"/>
      <c r="O233" s="123"/>
    </row>
    <row r="234" spans="1:15" x14ac:dyDescent="0.25">
      <c r="A234" s="137"/>
      <c r="B234" s="138"/>
      <c r="C234" s="138"/>
      <c r="D234" s="138"/>
      <c r="E234" s="138"/>
      <c r="F234" s="138"/>
      <c r="G234" s="138"/>
      <c r="H234" s="965"/>
      <c r="I234" s="966"/>
      <c r="J234" s="138"/>
      <c r="K234" s="138"/>
      <c r="L234" s="138"/>
      <c r="M234" s="138"/>
      <c r="N234" s="138"/>
      <c r="O234" s="123"/>
    </row>
    <row r="235" spans="1:15" ht="15.75" thickBot="1" x14ac:dyDescent="0.3">
      <c r="A235" s="59"/>
      <c r="B235" s="60"/>
      <c r="C235" s="60"/>
      <c r="D235" s="60"/>
      <c r="E235" s="60"/>
      <c r="F235" s="60"/>
      <c r="G235" s="60"/>
      <c r="H235" s="891"/>
      <c r="I235" s="891"/>
      <c r="J235" s="60"/>
      <c r="K235" s="60"/>
      <c r="L235" s="60"/>
      <c r="M235" s="60"/>
      <c r="N235" s="60"/>
      <c r="O235" s="61"/>
    </row>
  </sheetData>
  <hyperlinks>
    <hyperlink ref="B4" location="FR_A0006" display="FR_A0006"/>
    <hyperlink ref="B44" location="FR_A0006" display="FR_A0006"/>
    <hyperlink ref="B81" location="FR_A0006" display="FR_A0006"/>
    <hyperlink ref="B116" location="FR_A0006" display="FR_A0006"/>
    <hyperlink ref="B153" location="FR_A0006" display="FR_A0006"/>
    <hyperlink ref="B192" location="FR_A0006" display="FR_A0006"/>
  </hyperlinks>
  <pageMargins left="0.78740157480314965" right="0.78740157480314965" top="1.0629921259842521" bottom="1.0629921259842521" header="0.78740157480314965" footer="0.78740157480314965"/>
  <pageSetup paperSize="9" scale="61" firstPageNumber="0" fitToHeight="0" orientation="landscape" r:id="rId1"/>
  <headerFooter>
    <oddHeader>&amp;C&amp;"Times New Roman,Normal"&amp;12&amp;A</oddHeader>
    <oddFooter>&amp;C&amp;"Times New Roman,Normal"&amp;12Page &amp;P</oddFooter>
  </headerFooter>
  <rowBreaks count="6" manualBreakCount="6">
    <brk id="39" max="16383" man="1"/>
    <brk id="76" max="16383" man="1"/>
    <brk id="111" max="16383" man="1"/>
    <brk id="148" max="16383" man="1"/>
    <brk id="187" max="16383" man="1"/>
    <brk id="236" max="14" man="1"/>
  </rowBreaks>
  <colBreaks count="1" manualBreakCount="1">
    <brk id="1" max="26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215</vt:i4>
      </vt:variant>
    </vt:vector>
  </HeadingPairs>
  <TitlesOfParts>
    <vt:vector size="220" baseType="lpstr">
      <vt:lpstr>BOM</vt:lpstr>
      <vt:lpstr>EN Assemblies</vt:lpstr>
      <vt:lpstr>EN Parts</vt:lpstr>
      <vt:lpstr>FR Assemblies</vt:lpstr>
      <vt:lpstr>FR Parts</vt:lpstr>
      <vt:lpstr>AN_A0005_f</vt:lpstr>
      <vt:lpstr>AN_A0005_p</vt:lpstr>
      <vt:lpstr>BOM!Car</vt:lpstr>
      <vt:lpstr>BOM!CompCode</vt:lpstr>
      <vt:lpstr>EN_01001</vt:lpstr>
      <vt:lpstr>EN_01001_f</vt:lpstr>
      <vt:lpstr>EN_01001_m</vt:lpstr>
      <vt:lpstr>EN_01001_p</vt:lpstr>
      <vt:lpstr>EN_01001_q</vt:lpstr>
      <vt:lpstr>EN_01002</vt:lpstr>
      <vt:lpstr>EN_01002_m</vt:lpstr>
      <vt:lpstr>EN_01002_p</vt:lpstr>
      <vt:lpstr>EN_01002_q</vt:lpstr>
      <vt:lpstr>EN_01003</vt:lpstr>
      <vt:lpstr>EN_01003_m</vt:lpstr>
      <vt:lpstr>EN_01003_p</vt:lpstr>
      <vt:lpstr>EN_01003_q</vt:lpstr>
      <vt:lpstr>EN_01004</vt:lpstr>
      <vt:lpstr>EN_01004_m</vt:lpstr>
      <vt:lpstr>EN_01004_p</vt:lpstr>
      <vt:lpstr>EN_01004_q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EN_03001</vt:lpstr>
      <vt:lpstr>EN_03001_m</vt:lpstr>
      <vt:lpstr>EN_03001_p</vt:lpstr>
      <vt:lpstr>EN_03001_q</vt:lpstr>
      <vt:lpstr>EN_03002</vt:lpstr>
      <vt:lpstr>EN_03002_m</vt:lpstr>
      <vt:lpstr>EN_03002_p</vt:lpstr>
      <vt:lpstr>EN_03002_q</vt:lpstr>
      <vt:lpstr>EN_03003</vt:lpstr>
      <vt:lpstr>EN_03003_m</vt:lpstr>
      <vt:lpstr>EN_03003_p</vt:lpstr>
      <vt:lpstr>EN_03003_q</vt:lpstr>
      <vt:lpstr>EN_03004</vt:lpstr>
      <vt:lpstr>EN_03004_m</vt:lpstr>
      <vt:lpstr>EN_03004_p</vt:lpstr>
      <vt:lpstr>EN_03004_q</vt:lpstr>
      <vt:lpstr>EN_04001</vt:lpstr>
      <vt:lpstr>EN_04001_m</vt:lpstr>
      <vt:lpstr>EN_04001_p</vt:lpstr>
      <vt:lpstr>EN_04001_q</vt:lpstr>
      <vt:lpstr>EN_04002</vt:lpstr>
      <vt:lpstr>EN_04002_m</vt:lpstr>
      <vt:lpstr>EN_04002_p</vt:lpstr>
      <vt:lpstr>EN_04002_q</vt:lpstr>
      <vt:lpstr>EN_04003</vt:lpstr>
      <vt:lpstr>EN_04003_m</vt:lpstr>
      <vt:lpstr>EN_04003_p</vt:lpstr>
      <vt:lpstr>EN_04003_q</vt:lpstr>
      <vt:lpstr>EN_04004</vt:lpstr>
      <vt:lpstr>EN_04004_m</vt:lpstr>
      <vt:lpstr>EN_04004_p</vt:lpstr>
      <vt:lpstr>EN_04004_q</vt:lpstr>
      <vt:lpstr>EN_04005</vt:lpstr>
      <vt:lpstr>EN_04005_m</vt:lpstr>
      <vt:lpstr>EN_04005_p</vt:lpstr>
      <vt:lpstr>EN_04005_q</vt:lpstr>
      <vt:lpstr>EN_05001</vt:lpstr>
      <vt:lpstr>EN_05001_m</vt:lpstr>
      <vt:lpstr>EN_05001_p</vt:lpstr>
      <vt:lpstr>EN_05001_q</vt:lpstr>
      <vt:lpstr>EN_05002</vt:lpstr>
      <vt:lpstr>EN_05002_m</vt:lpstr>
      <vt:lpstr>EN_05002_p</vt:lpstr>
      <vt:lpstr>EN_05002_q</vt:lpstr>
      <vt:lpstr>EN_05003</vt:lpstr>
      <vt:lpstr>EN_05003_m</vt:lpstr>
      <vt:lpstr>EN_05003_p</vt:lpstr>
      <vt:lpstr>EN_05003_q</vt:lpstr>
      <vt:lpstr>EN_05004</vt:lpstr>
      <vt:lpstr>EN_05004_m</vt:lpstr>
      <vt:lpstr>EN_05004_p</vt:lpstr>
      <vt:lpstr>EN_05004_q</vt:lpstr>
      <vt:lpstr>EN_05005</vt:lpstr>
      <vt:lpstr>EN_05005_m</vt:lpstr>
      <vt:lpstr>EN_05005_p</vt:lpstr>
      <vt:lpstr>EN_05005_q</vt:lpstr>
      <vt:lpstr>EN_05006</vt:lpstr>
      <vt:lpstr>EN_05006_m</vt:lpstr>
      <vt:lpstr>EN_05006_p</vt:lpstr>
      <vt:lpstr>EN_05006_q</vt:lpstr>
      <vt:lpstr>EN_06001</vt:lpstr>
      <vt:lpstr>EN_06001_m</vt:lpstr>
      <vt:lpstr>EN_06001_p</vt:lpstr>
      <vt:lpstr>EN_06001_q</vt:lpstr>
      <vt:lpstr>EN_06002</vt:lpstr>
      <vt:lpstr>EN_06002_m</vt:lpstr>
      <vt:lpstr>EN_06002_p</vt:lpstr>
      <vt:lpstr>EN_06002_q</vt:lpstr>
      <vt:lpstr>EN_06003</vt:lpstr>
      <vt:lpstr>EN_06003_m</vt:lpstr>
      <vt:lpstr>EN_06003_p</vt:lpstr>
      <vt:lpstr>EN_06003_q</vt:lpstr>
      <vt:lpstr>EN_06004</vt:lpstr>
      <vt:lpstr>EN_06004_m</vt:lpstr>
      <vt:lpstr>EN_06004_p</vt:lpstr>
      <vt:lpstr>EN_06004_q</vt:lpstr>
      <vt:lpstr>EN_06005</vt:lpstr>
      <vt:lpstr>EN_06005_m</vt:lpstr>
      <vt:lpstr>EN_06005_p</vt:lpstr>
      <vt:lpstr>EN_06005_q</vt:lpstr>
      <vt:lpstr>EN_06006</vt:lpstr>
      <vt:lpstr>EN_06006_m</vt:lpstr>
      <vt:lpstr>EN_06006_p</vt:lpstr>
      <vt:lpstr>EN_06006_q</vt:lpstr>
      <vt:lpstr>EN_06007</vt:lpstr>
      <vt:lpstr>EN_06007_m</vt:lpstr>
      <vt:lpstr>EN_06007_p</vt:lpstr>
      <vt:lpstr>EN_06007_q</vt:lpstr>
      <vt:lpstr>EN_06008</vt:lpstr>
      <vt:lpstr>EN_06008_m</vt:lpstr>
      <vt:lpstr>EN_06008_p</vt:lpstr>
      <vt:lpstr>EN_06008_q</vt:lpstr>
      <vt:lpstr>EN_06009</vt:lpstr>
      <vt:lpstr>EN_06009_m</vt:lpstr>
      <vt:lpstr>EN_06009_p</vt:lpstr>
      <vt:lpstr>EN_06009_q</vt:lpstr>
      <vt:lpstr>EN_06010</vt:lpstr>
      <vt:lpstr>EN_06010_m</vt:lpstr>
      <vt:lpstr>EN_06010_p</vt:lpstr>
      <vt:lpstr>EN_06010_q</vt:lpstr>
      <vt:lpstr>EN_06011</vt:lpstr>
      <vt:lpstr>EN_06011_m</vt:lpstr>
      <vt:lpstr>EN_06011_p</vt:lpstr>
      <vt:lpstr>EN_06011_q</vt:lpstr>
      <vt:lpstr>EN_06012</vt:lpstr>
      <vt:lpstr>EN_06012_m</vt:lpstr>
      <vt:lpstr>EN_06012_p</vt:lpstr>
      <vt:lpstr>EN_06012_q</vt:lpstr>
      <vt:lpstr>EN_06013</vt:lpstr>
      <vt:lpstr>EN_06013_m</vt:lpstr>
      <vt:lpstr>EN_06013_p</vt:lpstr>
      <vt:lpstr>EN_06013_q</vt:lpstr>
      <vt:lpstr>EN_A0001</vt:lpstr>
      <vt:lpstr>EN_A0001_f</vt:lpstr>
      <vt:lpstr>EN_A0001_m</vt:lpstr>
      <vt:lpstr>EN_A0001_p</vt:lpstr>
      <vt:lpstr>EN_A0001_q</vt:lpstr>
      <vt:lpstr>EN_A0001_t</vt:lpstr>
      <vt:lpstr>EN_A0002</vt:lpstr>
      <vt:lpstr>EN_A0002_f</vt:lpstr>
      <vt:lpstr>EN_A0002_m</vt:lpstr>
      <vt:lpstr>EN_A0002_p</vt:lpstr>
      <vt:lpstr>EN_A0002_q</vt:lpstr>
      <vt:lpstr>EN_A0002_t</vt:lpstr>
      <vt:lpstr>EN_A0003</vt:lpstr>
      <vt:lpstr>EN_A0003_f</vt:lpstr>
      <vt:lpstr>EN_A0003_m</vt:lpstr>
      <vt:lpstr>EN_A0003_p</vt:lpstr>
      <vt:lpstr>EN_A0003_q</vt:lpstr>
      <vt:lpstr>EN_A0004</vt:lpstr>
      <vt:lpstr>EN_A0004_f</vt:lpstr>
      <vt:lpstr>EN_A0004_m</vt:lpstr>
      <vt:lpstr>EN_A0004_p</vt:lpstr>
      <vt:lpstr>EN_A0004_q</vt:lpstr>
      <vt:lpstr>EN_A0005</vt:lpstr>
      <vt:lpstr>EN_A0005_f</vt:lpstr>
      <vt:lpstr>EN_A0005_m</vt:lpstr>
      <vt:lpstr>EN_A0005_p</vt:lpstr>
      <vt:lpstr>EN_A0005_q</vt:lpstr>
      <vt:lpstr>EN_A0005_t</vt:lpstr>
      <vt:lpstr>EN_A0006</vt:lpstr>
      <vt:lpstr>EN_A0006_f</vt:lpstr>
      <vt:lpstr>EN_A0006_m</vt:lpstr>
      <vt:lpstr>EN_A0006_p</vt:lpstr>
      <vt:lpstr>EN_A0006_q</vt:lpstr>
      <vt:lpstr>EN_A0006_t</vt:lpstr>
      <vt:lpstr>FR_06001</vt:lpstr>
      <vt:lpstr>FR_06001_m</vt:lpstr>
      <vt:lpstr>FR_06001_p</vt:lpstr>
      <vt:lpstr>FR_06001_q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FR_A0006</vt:lpstr>
      <vt:lpstr>FR_A0006_f</vt:lpstr>
      <vt:lpstr>FR_A0006_m</vt:lpstr>
      <vt:lpstr>FR_A0006_p</vt:lpstr>
      <vt:lpstr>FR_A0006_q</vt:lpstr>
      <vt:lpstr>FR_A0006_t</vt:lpstr>
      <vt:lpstr>BOM!Impression_des_titres</vt:lpstr>
      <vt:lpstr>Sub_Total</vt:lpstr>
      <vt:lpstr>BOM!Zone_d_impression</vt:lpstr>
      <vt:lpstr>'EN Parts'!Zone_d_impression</vt:lpstr>
      <vt:lpstr>'FR Parts'!Zone_d_impression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</dc:creator>
  <cp:lastModifiedBy>Aurélien</cp:lastModifiedBy>
  <cp:revision>0</cp:revision>
  <cp:lastPrinted>2017-06-02T21:43:03Z</cp:lastPrinted>
  <dcterms:created xsi:type="dcterms:W3CDTF">2015-05-29T18:57:13Z</dcterms:created>
  <dcterms:modified xsi:type="dcterms:W3CDTF">2017-06-02T22:03:48Z</dcterms:modified>
  <dc:language>fr-FR</dc:language>
</cp:coreProperties>
</file>