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e\Documents\ALG\PL1\"/>
    </mc:Choice>
  </mc:AlternateContent>
  <xr:revisionPtr revIDLastSave="0" documentId="13_ncr:1_{96E55298-A0CF-431F-82C2-2BE4D955C882}" xr6:coauthVersionLast="45" xr6:coauthVersionMax="45" xr10:uidLastSave="{00000000-0000-0000-0000-000000000000}"/>
  <bookViews>
    <workbookView xWindow="-108" yWindow="-108" windowWidth="23256" windowHeight="12576" activeTab="1" xr2:uid="{B5052F24-DF62-44C4-9EAB-63452254C526}"/>
  </bookViews>
  <sheets>
    <sheet name="P1.1" sheetId="2" r:id="rId1"/>
    <sheet name="P1.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2" l="1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H33" i="4"/>
  <c r="D40" i="4"/>
  <c r="D36" i="4"/>
  <c r="D35" i="4"/>
  <c r="D34" i="4"/>
  <c r="D33" i="4"/>
  <c r="E36" i="4"/>
  <c r="E34" i="4"/>
  <c r="E35" i="4"/>
  <c r="E40" i="4"/>
  <c r="E39" i="4"/>
  <c r="D39" i="4"/>
  <c r="E38" i="4"/>
  <c r="D38" i="4"/>
  <c r="E37" i="4"/>
  <c r="D37" i="4"/>
  <c r="H34" i="4"/>
  <c r="H35" i="4"/>
  <c r="H36" i="4"/>
  <c r="H37" i="4"/>
  <c r="H38" i="4"/>
  <c r="H39" i="4"/>
  <c r="H40" i="4"/>
  <c r="D25" i="4" l="1"/>
  <c r="D24" i="4"/>
  <c r="D23" i="4"/>
  <c r="D22" i="4"/>
  <c r="D21" i="4"/>
  <c r="D20" i="4"/>
  <c r="D19" i="4"/>
  <c r="D18" i="4"/>
  <c r="F25" i="4"/>
  <c r="F24" i="4"/>
  <c r="F23" i="4"/>
  <c r="F22" i="4"/>
  <c r="F21" i="4"/>
  <c r="G21" i="4" s="1"/>
  <c r="F20" i="4"/>
  <c r="F19" i="4"/>
  <c r="F18" i="4"/>
  <c r="E13" i="4"/>
  <c r="E12" i="4"/>
  <c r="E11" i="4"/>
  <c r="E10" i="4"/>
  <c r="E9" i="4"/>
  <c r="E8" i="4"/>
  <c r="E7" i="4"/>
  <c r="E6" i="4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G22" i="4" l="1"/>
  <c r="F14" i="4"/>
  <c r="G23" i="4"/>
  <c r="G24" i="4"/>
  <c r="G25" i="4"/>
  <c r="G20" i="4"/>
  <c r="G19" i="4"/>
  <c r="G18" i="4"/>
  <c r="G26" i="4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20" i="2"/>
  <c r="D19" i="2"/>
  <c r="D18" i="2"/>
  <c r="D17" i="2"/>
  <c r="D16" i="2"/>
  <c r="D15" i="2"/>
  <c r="D14" i="2"/>
  <c r="D11" i="2"/>
  <c r="D13" i="2"/>
  <c r="D12" i="2"/>
  <c r="D10" i="2"/>
  <c r="D9" i="2"/>
  <c r="D8" i="2"/>
  <c r="D7" i="2"/>
  <c r="D6" i="2"/>
</calcChain>
</file>

<file path=xl/sharedStrings.xml><?xml version="1.0" encoding="utf-8"?>
<sst xmlns="http://schemas.openxmlformats.org/spreadsheetml/2006/main" count="48" uniqueCount="30">
  <si>
    <t>bucle1/bucle2</t>
  </si>
  <si>
    <t>n= 100000000</t>
  </si>
  <si>
    <t>n= 100000</t>
  </si>
  <si>
    <t>n= 1000000</t>
  </si>
  <si>
    <t>n= 1000</t>
  </si>
  <si>
    <t>nVeces</t>
  </si>
  <si>
    <t>Tamaño</t>
  </si>
  <si>
    <t>SUMA</t>
  </si>
  <si>
    <t>MAXIMO</t>
  </si>
  <si>
    <t>Diagonal1</t>
  </si>
  <si>
    <t>Diagonal2</t>
  </si>
  <si>
    <t>n= 10</t>
  </si>
  <si>
    <t>bucle2/bucle3</t>
  </si>
  <si>
    <t>tamaño</t>
  </si>
  <si>
    <t>Media =</t>
  </si>
  <si>
    <t>bucle2 (S)</t>
  </si>
  <si>
    <t>bucle3 (S)</t>
  </si>
  <si>
    <t>bucle1 (S)</t>
  </si>
  <si>
    <t>n=1000</t>
  </si>
  <si>
    <t>nVeces2</t>
  </si>
  <si>
    <t>bucle4 (S)</t>
  </si>
  <si>
    <t>bucle5 (S)</t>
  </si>
  <si>
    <t>incógnita (S)</t>
  </si>
  <si>
    <t>n= 1</t>
  </si>
  <si>
    <t>tamaño2</t>
  </si>
  <si>
    <t>n=1</t>
  </si>
  <si>
    <t xml:space="preserve"> </t>
  </si>
  <si>
    <t>Complejidad:</t>
  </si>
  <si>
    <t>O(n^3)</t>
  </si>
  <si>
    <t>Intel(R) Core(TM) i7-4750HQ CPU @ 2.00GHz. (RAM): 16.0 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</si>
</sst>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3" borderId="0" xfId="0" applyFont="1" applyFill="1"/>
    <xf numFmtId="0" fontId="0" fillId="3" borderId="0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 applyBorder="1"/>
    <xf numFmtId="0" fontId="0" fillId="4" borderId="0" xfId="0" applyFont="1" applyFill="1" applyBorder="1"/>
    <xf numFmtId="0" fontId="0" fillId="4" borderId="0" xfId="0" applyNumberFormat="1" applyFill="1" applyBorder="1"/>
    <xf numFmtId="0" fontId="0" fillId="4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alignment horizontal="right" vertical="bottom" textRotation="0" wrapText="0" indent="0" justifyLastLine="0" shrinkToFit="0" readingOrder="0"/>
    </dxf>
    <dxf>
      <numFmt numFmtId="164" formatCode="0.00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'P1.1'!$D$5</c:f>
              <c:strCache>
                <c:ptCount val="1"/>
                <c:pt idx="0">
                  <c:v>SUMA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'P1.1'!$C$6:$C$20</c:f>
              <c:numCache>
                <c:formatCode>General</c:formatCode>
                <c:ptCount val="15"/>
                <c:pt idx="0">
                  <c:v>10</c:v>
                </c:pt>
                <c:pt idx="1">
                  <c:v>30</c:v>
                </c:pt>
                <c:pt idx="2">
                  <c:v>90</c:v>
                </c:pt>
                <c:pt idx="3">
                  <c:v>270</c:v>
                </c:pt>
                <c:pt idx="4">
                  <c:v>810</c:v>
                </c:pt>
                <c:pt idx="5">
                  <c:v>2430</c:v>
                </c:pt>
                <c:pt idx="6">
                  <c:v>7290</c:v>
                </c:pt>
                <c:pt idx="7">
                  <c:v>21870</c:v>
                </c:pt>
                <c:pt idx="8">
                  <c:v>65610</c:v>
                </c:pt>
                <c:pt idx="9">
                  <c:v>196830</c:v>
                </c:pt>
                <c:pt idx="10">
                  <c:v>590490</c:v>
                </c:pt>
                <c:pt idx="11">
                  <c:v>1771470</c:v>
                </c:pt>
                <c:pt idx="12">
                  <c:v>5314410</c:v>
                </c:pt>
                <c:pt idx="13">
                  <c:v>15943230</c:v>
                </c:pt>
                <c:pt idx="14">
                  <c:v>47829690</c:v>
                </c:pt>
              </c:numCache>
            </c:numRef>
          </c:xVal>
          <c:yVal>
            <c:numRef>
              <c:f>'P1.1'!$D$6:$D$20</c:f>
              <c:numCache>
                <c:formatCode>General</c:formatCode>
                <c:ptCount val="15"/>
                <c:pt idx="0">
                  <c:v>2.9599999999999997E-9</c:v>
                </c:pt>
                <c:pt idx="1">
                  <c:v>8.8199999999999989E-9</c:v>
                </c:pt>
                <c:pt idx="2">
                  <c:v>2.6189999999999998E-8</c:v>
                </c:pt>
                <c:pt idx="3">
                  <c:v>9.0289999999999997E-8</c:v>
                </c:pt>
                <c:pt idx="4">
                  <c:v>2.7098000000000001E-7</c:v>
                </c:pt>
                <c:pt idx="5">
                  <c:v>8.0700000000000007E-7</c:v>
                </c:pt>
                <c:pt idx="6">
                  <c:v>2.4360000000000001E-6</c:v>
                </c:pt>
                <c:pt idx="7">
                  <c:v>7.2890000000000009E-6</c:v>
                </c:pt>
                <c:pt idx="8">
                  <c:v>2.1789999999999998E-4</c:v>
                </c:pt>
                <c:pt idx="9">
                  <c:v>6.6330000000000002E-4</c:v>
                </c:pt>
                <c:pt idx="10">
                  <c:v>1.9588000000000001E-3</c:v>
                </c:pt>
                <c:pt idx="11">
                  <c:v>6.3961999999999995E-3</c:v>
                </c:pt>
                <c:pt idx="12">
                  <c:v>1.9190000000000002E-2</c:v>
                </c:pt>
                <c:pt idx="13">
                  <c:v>5.8400000000000007E-2</c:v>
                </c:pt>
                <c:pt idx="14">
                  <c:v>0.19406000000000001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1-4F16-875D-004A8D0E76E4}"/>
            </c:ext>
          </c:extLst>
        </c:ser>
        <c:ser>
          <c:idx val="1"/>
          <c:order val="1"/>
          <c:tx>
            <c:strRef>
              <c:f>'P1.1'!$E$5</c:f>
              <c:strCache>
                <c:ptCount val="1"/>
                <c:pt idx="0">
                  <c:v>MAXIMO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'P1.1'!$C$6:$C$20</c:f>
              <c:numCache>
                <c:formatCode>General</c:formatCode>
                <c:ptCount val="15"/>
                <c:pt idx="0">
                  <c:v>10</c:v>
                </c:pt>
                <c:pt idx="1">
                  <c:v>30</c:v>
                </c:pt>
                <c:pt idx="2">
                  <c:v>90</c:v>
                </c:pt>
                <c:pt idx="3">
                  <c:v>270</c:v>
                </c:pt>
                <c:pt idx="4">
                  <c:v>810</c:v>
                </c:pt>
                <c:pt idx="5">
                  <c:v>2430</c:v>
                </c:pt>
                <c:pt idx="6">
                  <c:v>7290</c:v>
                </c:pt>
                <c:pt idx="7">
                  <c:v>21870</c:v>
                </c:pt>
                <c:pt idx="8">
                  <c:v>65610</c:v>
                </c:pt>
                <c:pt idx="9">
                  <c:v>196830</c:v>
                </c:pt>
                <c:pt idx="10">
                  <c:v>590490</c:v>
                </c:pt>
                <c:pt idx="11">
                  <c:v>1771470</c:v>
                </c:pt>
                <c:pt idx="12">
                  <c:v>5314410</c:v>
                </c:pt>
                <c:pt idx="13">
                  <c:v>15943230</c:v>
                </c:pt>
                <c:pt idx="14">
                  <c:v>47829690</c:v>
                </c:pt>
              </c:numCache>
            </c:numRef>
          </c:xVal>
          <c:yVal>
            <c:numRef>
              <c:f>'P1.1'!$E$6:$E$20</c:f>
              <c:numCache>
                <c:formatCode>General</c:formatCode>
                <c:ptCount val="15"/>
                <c:pt idx="0">
                  <c:v>5.4799999999999993E-9</c:v>
                </c:pt>
                <c:pt idx="1">
                  <c:v>1.358E-8</c:v>
                </c:pt>
                <c:pt idx="2">
                  <c:v>3.3750000000000001E-8</c:v>
                </c:pt>
                <c:pt idx="3">
                  <c:v>9.8069999999999991E-8</c:v>
                </c:pt>
                <c:pt idx="4">
                  <c:v>2.5609999999999997E-7</c:v>
                </c:pt>
                <c:pt idx="5">
                  <c:v>9.0400000000000005E-7</c:v>
                </c:pt>
                <c:pt idx="6">
                  <c:v>2.4670000000000003E-6</c:v>
                </c:pt>
                <c:pt idx="7">
                  <c:v>7.374E-6</c:v>
                </c:pt>
                <c:pt idx="8">
                  <c:v>2.7250000000000001E-4</c:v>
                </c:pt>
                <c:pt idx="9">
                  <c:v>8.1479999999999996E-4</c:v>
                </c:pt>
                <c:pt idx="10">
                  <c:v>2.4507000000000001E-3</c:v>
                </c:pt>
                <c:pt idx="11">
                  <c:v>7.8265999999999995E-3</c:v>
                </c:pt>
                <c:pt idx="12">
                  <c:v>1.9300000000000001E-2</c:v>
                </c:pt>
                <c:pt idx="13">
                  <c:v>5.7730000000000004E-2</c:v>
                </c:pt>
                <c:pt idx="14">
                  <c:v>0.20299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1-4F16-875D-004A8D0E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974991"/>
        <c:axId val="967289439"/>
      </c:scatterChart>
      <c:valAx>
        <c:axId val="12279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7289439"/>
        <c:crosses val="autoZero"/>
        <c:crossBetween val="midCat"/>
      </c:valAx>
      <c:valAx>
        <c:axId val="96728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79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'P1.1'!$D$25</c:f>
              <c:strCache>
                <c:ptCount val="1"/>
                <c:pt idx="0">
                  <c:v>Diagonal1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'P1.1'!$C$26:$C$39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  <c:pt idx="11">
                  <c:v>6144</c:v>
                </c:pt>
                <c:pt idx="12">
                  <c:v>12288</c:v>
                </c:pt>
                <c:pt idx="13">
                  <c:v>24576</c:v>
                </c:pt>
              </c:numCache>
            </c:numRef>
          </c:xVal>
          <c:yVal>
            <c:numRef>
              <c:f>'P1.1'!$D$26:$D$39</c:f>
              <c:numCache>
                <c:formatCode>General</c:formatCode>
                <c:ptCount val="14"/>
                <c:pt idx="0">
                  <c:v>1.2119999999999999E-8</c:v>
                </c:pt>
                <c:pt idx="1">
                  <c:v>4.1239999999999997E-8</c:v>
                </c:pt>
                <c:pt idx="2">
                  <c:v>1.3156999999999998E-7</c:v>
                </c:pt>
                <c:pt idx="3">
                  <c:v>4.4801999999999996E-7</c:v>
                </c:pt>
                <c:pt idx="4">
                  <c:v>1.5460000000000001E-6</c:v>
                </c:pt>
                <c:pt idx="5">
                  <c:v>6.2660000000000007E-6</c:v>
                </c:pt>
                <c:pt idx="6">
                  <c:v>2.1977E-5</c:v>
                </c:pt>
                <c:pt idx="7">
                  <c:v>8.0162000000000009E-5</c:v>
                </c:pt>
                <c:pt idx="8">
                  <c:v>3.1091999999999999E-3</c:v>
                </c:pt>
                <c:pt idx="9">
                  <c:v>1.2298099999999999E-2</c:v>
                </c:pt>
                <c:pt idx="10">
                  <c:v>3.3450000000000001E-2</c:v>
                </c:pt>
                <c:pt idx="11">
                  <c:v>0.13228000000000001</c:v>
                </c:pt>
                <c:pt idx="12">
                  <c:v>0.51918000000000009</c:v>
                </c:pt>
                <c:pt idx="13">
                  <c:v>1.8260000000000001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1-4B1A-80D4-2BE1AD193867}"/>
            </c:ext>
          </c:extLst>
        </c:ser>
        <c:ser>
          <c:idx val="1"/>
          <c:order val="1"/>
          <c:tx>
            <c:strRef>
              <c:f>'P1.1'!$E$25</c:f>
              <c:strCache>
                <c:ptCount val="1"/>
                <c:pt idx="0">
                  <c:v>Diagonal2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'P1.1'!$C$26:$C$39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  <c:pt idx="11">
                  <c:v>6144</c:v>
                </c:pt>
                <c:pt idx="12">
                  <c:v>12288</c:v>
                </c:pt>
                <c:pt idx="13">
                  <c:v>24576</c:v>
                </c:pt>
              </c:numCache>
            </c:numRef>
          </c:xVal>
          <c:yVal>
            <c:numRef>
              <c:f>'P1.1'!$E$26:$E$39</c:f>
              <c:numCache>
                <c:formatCode>General</c:formatCode>
                <c:ptCount val="14"/>
                <c:pt idx="0">
                  <c:v>3.0899999999999999E-9</c:v>
                </c:pt>
                <c:pt idx="1">
                  <c:v>6.9499999999999994E-9</c:v>
                </c:pt>
                <c:pt idx="2">
                  <c:v>1.1149999999999999E-8</c:v>
                </c:pt>
                <c:pt idx="3">
                  <c:v>2.0799999999999998E-8</c:v>
                </c:pt>
                <c:pt idx="4">
                  <c:v>4.2000000000000006E-8</c:v>
                </c:pt>
                <c:pt idx="5">
                  <c:v>8.6000000000000002E-8</c:v>
                </c:pt>
                <c:pt idx="6">
                  <c:v>1.7000000000000001E-7</c:v>
                </c:pt>
                <c:pt idx="7">
                  <c:v>6.2300000000000001E-7</c:v>
                </c:pt>
                <c:pt idx="8">
                  <c:v>1.2299999999999999E-5</c:v>
                </c:pt>
                <c:pt idx="9">
                  <c:v>1.7479999999999999E-4</c:v>
                </c:pt>
                <c:pt idx="10">
                  <c:v>5.1000000000000004E-4</c:v>
                </c:pt>
                <c:pt idx="11">
                  <c:v>1.3600000000000001E-3</c:v>
                </c:pt>
                <c:pt idx="12">
                  <c:v>3.1200000000000004E-3</c:v>
                </c:pt>
                <c:pt idx="13">
                  <c:v>8.1300000000000001E-3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1-4B1A-80D4-2BE1AD193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271376"/>
        <c:axId val="1303962960"/>
      </c:scatterChart>
      <c:valAx>
        <c:axId val="147127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962960"/>
        <c:crosses val="autoZero"/>
        <c:crossBetween val="midCat"/>
      </c:valAx>
      <c:valAx>
        <c:axId val="13039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12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'P1.2'!$D$17</c:f>
              <c:strCache>
                <c:ptCount val="1"/>
                <c:pt idx="0">
                  <c:v>bucle1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'P1.2'!$C$18:$C$25</c:f>
              <c:numCache>
                <c:formatCode>General</c:formatCode>
                <c:ptCount val="8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</c:numCache>
            </c:numRef>
          </c:xVal>
          <c:yVal>
            <c:numRef>
              <c:f>'P1.2'!$D$18:$D$25</c:f>
              <c:numCache>
                <c:formatCode>General</c:formatCode>
                <c:ptCount val="8"/>
                <c:pt idx="0">
                  <c:v>2.7099999999999998E-5</c:v>
                </c:pt>
                <c:pt idx="1">
                  <c:v>6.05E-5</c:v>
                </c:pt>
                <c:pt idx="2">
                  <c:v>1.2989999999999999E-4</c:v>
                </c:pt>
                <c:pt idx="3">
                  <c:v>2.901E-4</c:v>
                </c:pt>
                <c:pt idx="4">
                  <c:v>6.0019999999999995E-4</c:v>
                </c:pt>
                <c:pt idx="5">
                  <c:v>1.2930999999999999E-3</c:v>
                </c:pt>
                <c:pt idx="6">
                  <c:v>2.7343999999999997E-3</c:v>
                </c:pt>
                <c:pt idx="7">
                  <c:v>5.9238999999999993E-3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1-4809-BFDD-127AF85711E3}"/>
            </c:ext>
          </c:extLst>
        </c:ser>
        <c:ser>
          <c:idx val="1"/>
          <c:order val="1"/>
          <c:tx>
            <c:strRef>
              <c:f>'P1.2'!$F$17</c:f>
              <c:strCache>
                <c:ptCount val="1"/>
                <c:pt idx="0">
                  <c:v>bucle2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'P1.2'!$C$18:$C$25</c:f>
              <c:numCache>
                <c:formatCode>General</c:formatCode>
                <c:ptCount val="8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</c:numCache>
            </c:numRef>
          </c:xVal>
          <c:yVal>
            <c:numRef>
              <c:f>'P1.2'!$F$18:$F$25</c:f>
              <c:numCache>
                <c:formatCode>General</c:formatCode>
                <c:ptCount val="8"/>
                <c:pt idx="0">
                  <c:v>1.6000000000000001E-4</c:v>
                </c:pt>
                <c:pt idx="1">
                  <c:v>4.5000000000000004E-4</c:v>
                </c:pt>
                <c:pt idx="2">
                  <c:v>1.3200000000000002E-3</c:v>
                </c:pt>
                <c:pt idx="3">
                  <c:v>4.3700000000000006E-3</c:v>
                </c:pt>
                <c:pt idx="4">
                  <c:v>1.5520000000000001E-2</c:v>
                </c:pt>
                <c:pt idx="5">
                  <c:v>5.8830000000000007E-2</c:v>
                </c:pt>
                <c:pt idx="6">
                  <c:v>0.23024000000000003</c:v>
                </c:pt>
                <c:pt idx="7">
                  <c:v>0.90687000000000006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1-4809-BFDD-127AF8571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189151"/>
        <c:axId val="1017555087"/>
      </c:scatterChart>
      <c:valAx>
        <c:axId val="110818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7555087"/>
        <c:crosses val="autoZero"/>
        <c:crossBetween val="midCat"/>
      </c:valAx>
      <c:valAx>
        <c:axId val="10175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8189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'P1.2'!$D$5</c:f>
              <c:strCache>
                <c:ptCount val="1"/>
                <c:pt idx="0">
                  <c:v>bucle2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'P1.2'!$C$6:$C$13</c:f>
              <c:numCache>
                <c:formatCode>General</c:formatCode>
                <c:ptCount val="8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</c:numCache>
            </c:numRef>
          </c:xVal>
          <c:yVal>
            <c:numRef>
              <c:f>'P1.2'!$D$6:$D$13</c:f>
              <c:numCache>
                <c:formatCode>General</c:formatCode>
                <c:ptCount val="8"/>
                <c:pt idx="0">
                  <c:v>1.6000000000000001E-4</c:v>
                </c:pt>
                <c:pt idx="1">
                  <c:v>4.5000000000000004E-4</c:v>
                </c:pt>
                <c:pt idx="2">
                  <c:v>1.3200000000000002E-3</c:v>
                </c:pt>
                <c:pt idx="3">
                  <c:v>4.3700000000000006E-3</c:v>
                </c:pt>
                <c:pt idx="4">
                  <c:v>1.5520000000000001E-2</c:v>
                </c:pt>
                <c:pt idx="5">
                  <c:v>5.8830000000000007E-2</c:v>
                </c:pt>
                <c:pt idx="6">
                  <c:v>0.23024000000000003</c:v>
                </c:pt>
                <c:pt idx="7">
                  <c:v>0.90687000000000006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7-4611-B08B-7965911E0B4A}"/>
            </c:ext>
          </c:extLst>
        </c:ser>
        <c:ser>
          <c:idx val="1"/>
          <c:order val="1"/>
          <c:tx>
            <c:strRef>
              <c:f>'P1.2'!$E$5</c:f>
              <c:strCache>
                <c:ptCount val="1"/>
                <c:pt idx="0">
                  <c:v>bucle3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'P1.2'!$C$6:$C$13</c:f>
              <c:numCache>
                <c:formatCode>General</c:formatCode>
                <c:ptCount val="8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</c:numCache>
            </c:numRef>
          </c:xVal>
          <c:yVal>
            <c:numRef>
              <c:f>'P1.2'!$E$6:$E$13</c:f>
              <c:numCache>
                <c:formatCode>General</c:formatCode>
                <c:ptCount val="8"/>
                <c:pt idx="0">
                  <c:v>1E-4</c:v>
                </c:pt>
                <c:pt idx="1">
                  <c:v>2.8000000000000003E-4</c:v>
                </c:pt>
                <c:pt idx="2">
                  <c:v>7.7000000000000007E-4</c:v>
                </c:pt>
                <c:pt idx="3">
                  <c:v>2.3800000000000002E-3</c:v>
                </c:pt>
                <c:pt idx="4">
                  <c:v>8.2199999999999999E-3</c:v>
                </c:pt>
                <c:pt idx="5">
                  <c:v>3.0220000000000004E-2</c:v>
                </c:pt>
                <c:pt idx="6">
                  <c:v>0.11594000000000002</c:v>
                </c:pt>
                <c:pt idx="7">
                  <c:v>0.45848000000000005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7-4611-B08B-7965911E0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088975"/>
        <c:axId val="1024908687"/>
      </c:scatterChart>
      <c:valAx>
        <c:axId val="102608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4908687"/>
        <c:crosses val="autoZero"/>
        <c:crossBetween val="midCat"/>
      </c:valAx>
      <c:valAx>
        <c:axId val="10249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6088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4</xdr:row>
      <xdr:rowOff>68580</xdr:rowOff>
    </xdr:from>
    <xdr:to>
      <xdr:col>11</xdr:col>
      <xdr:colOff>624840</xdr:colOff>
      <xdr:row>19</xdr:row>
      <xdr:rowOff>68580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5D1B9E-03F1-49AD-9F4D-1DA65DCA2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24</xdr:row>
      <xdr:rowOff>7620</xdr:rowOff>
    </xdr:from>
    <xdr:to>
      <xdr:col>11</xdr:col>
      <xdr:colOff>617220</xdr:colOff>
      <xdr:row>39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0C746E-5356-4DE8-8A57-4ADF5C353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16</xdr:row>
      <xdr:rowOff>0</xdr:rowOff>
    </xdr:from>
    <xdr:to>
      <xdr:col>13</xdr:col>
      <xdr:colOff>7620</xdr:colOff>
      <xdr:row>27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F51C68-AEA6-4F69-8BCA-90521C3F1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502920</xdr:colOff>
      <xdr:row>1</xdr:row>
      <xdr:rowOff>175260</xdr:rowOff>
    </xdr:from>
    <xdr:to>
      <xdr:col>10</xdr:col>
      <xdr:colOff>784860</xdr:colOff>
      <xdr:row>14</xdr:row>
      <xdr:rowOff>121920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5D9A47-4EA5-4CBE-996D-CF441A36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86D17-407F-4B9A-B961-71EB54E21662}" name="Tabla1" displayName="Tabla1" ref="B5:E20" totalsRowShown="0">
  <autoFilter ref="B5:E20" xr:uid="{6CA34425-36BA-458F-B27A-DB72284EC896}"/>
  <tableColumns count="4">
    <tableColumn id="1" xr3:uid="{AD276ACF-8FD5-4C91-8D44-B47C12647B3F}" name="nVeces"/>
    <tableColumn id="2" xr3:uid="{C192983A-BCBF-4847-AB53-2F424010B128}" name="Tamaño"/>
    <tableColumn id="3" xr3:uid="{E38F5C0A-E696-4980-B031-EB7F87530BF6}" name="SUMA" dataDxfId="9"/>
    <tableColumn id="4" xr3:uid="{4ED7694C-45CA-4080-A461-2F88CD69B608}" name="MAXIMO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1A0655-98BA-4076-AB60-FD5B3C5AFE69}" name="Tabla137" displayName="Tabla137" ref="B25:E39" totalsRowShown="0">
  <autoFilter ref="B25:E39" xr:uid="{C03ED010-629D-4B5E-B8F2-AE583C2B8416}"/>
  <tableColumns count="4">
    <tableColumn id="1" xr3:uid="{2BD76F29-61F9-478E-917D-CD9B58D4007B}" name="nVeces"/>
    <tableColumn id="2" xr3:uid="{2E75A79A-0FC6-4097-8A4A-B6283A900404}" name="Tamaño"/>
    <tableColumn id="3" xr3:uid="{10E005B9-FDDC-4DC7-86EE-E05DAD8AAC45}" name="Diagonal1" dataDxfId="8"/>
    <tableColumn id="4" xr3:uid="{C66C535C-3B99-4732-AD92-C68D2963372F}" name="Diagonal2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193F21-CD61-4F37-AB23-9855DE02B627}" name="Tabla3" displayName="Tabla3" ref="B5:F14" totalsRowCount="1">
  <autoFilter ref="B5:F13" xr:uid="{99D53A24-A940-4EA6-BE71-2D44C1C7BC59}"/>
  <tableColumns count="5">
    <tableColumn id="1" xr3:uid="{611E8CCC-A64E-4D67-8AEC-4FB68B356FCC}" name="nVeces"/>
    <tableColumn id="2" xr3:uid="{39D8E041-9B59-4193-B3F3-EC9BC8AB630C}" name="tamaño"/>
    <tableColumn id="3" xr3:uid="{6DFD34BB-E3E1-4036-A765-A7E1A865E8E3}" name="bucle2 (S)"/>
    <tableColumn id="4" xr3:uid="{65523481-F282-4326-9E40-55CBD2ADCB56}" name="bucle3 (S)" totalsRowLabel="Media =" totalsRowDxfId="7"/>
    <tableColumn id="5" xr3:uid="{05EC74CA-04C1-4162-8256-E7E14273867E}" name="bucle2/bucle3" totalsRowFunction="custom" totalsRowDxfId="6">
      <calculatedColumnFormula>D6/E6</calculatedColumnFormula>
      <totalsRowFormula>GEOMEAN(F6,F7,F8,F9,F10,F11,F12,F13)</totalsRow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503D2-90D6-4039-9B7C-F2F63C5C9E7C}" name="Tabla35" displayName="Tabla35" ref="B17:G26" totalsRowCount="1">
  <autoFilter ref="B17:G25" xr:uid="{CEF0A183-6F66-45B8-9598-D28D1B99678B}"/>
  <tableColumns count="6">
    <tableColumn id="1" xr3:uid="{2F90D90B-DE52-455A-91D7-B351B53AE733}" name="nVeces"/>
    <tableColumn id="2" xr3:uid="{965AD1AB-8624-41B1-801E-98F108A4C6A9}" name="tamaño"/>
    <tableColumn id="3" xr3:uid="{0465AE23-9008-4BE7-8475-D1217CFA6A05}" name="bucle1 (S)"/>
    <tableColumn id="6" xr3:uid="{76430DA3-8DD9-4DC8-B106-944806FA2DD3}" name="nVeces2"/>
    <tableColumn id="4" xr3:uid="{08A5812E-56CD-42EE-A6E6-772C854A7B24}" name="bucle2 (S)" totalsRowLabel="Media =" totalsRowDxfId="5"/>
    <tableColumn id="5" xr3:uid="{0F33F34B-F9A7-4F25-A4E8-EB15955CE335}" name="bucle1/bucle2" totalsRowFunction="custom" dataDxfId="4" totalsRowDxfId="3">
      <calculatedColumnFormula>D18/F18</calculatedColumnFormula>
      <totalsRowFormula>GEOMEAN(G18,G19,G20,G21,G22,G23,G24,G25)</totalsRowFormula>
    </tableColumn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67022-831A-40B5-8ABB-EE613EDD2F27}" name="Tabla5" displayName="Tabla5" ref="B32:H41" totalsRowShown="0">
  <autoFilter ref="B32:H41" xr:uid="{4CF82E25-E7F7-421E-8695-376E4574F6FE}"/>
  <tableColumns count="7">
    <tableColumn id="1" xr3:uid="{75B01273-F794-48A3-820E-292278D35BFF}" name="nVeces"/>
    <tableColumn id="2" xr3:uid="{CDF7E461-C341-42E3-BFD7-7D8B0B9FB7C9}" name="tamaño" dataDxfId="2"/>
    <tableColumn id="3" xr3:uid="{55D46FBC-7D94-446D-B4FE-4BD308775974}" name="bucle4 (S)"/>
    <tableColumn id="4" xr3:uid="{2072E700-97B7-4B41-B6BB-BD55EC60148F}" name="bucle5 (S)" dataDxfId="1">
      <calculatedColumnFormula>60*0.01</calculatedColumnFormula>
    </tableColumn>
    <tableColumn id="5" xr3:uid="{97053A3D-4BEA-46B2-AD21-9EBB577A64A3}" name="nVeces2"/>
    <tableColumn id="7" xr3:uid="{F725918B-158F-4C92-86C5-3EB7BCD1569D}" name="tamaño2" dataDxfId="0"/>
    <tableColumn id="6" xr3:uid="{EC7E83AB-E0A6-4CFA-9E79-45854BF404F9}" name="incógnita (S)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B4E2-96D5-4DD8-914D-D7225B9C6791}">
  <dimension ref="A2:Q46"/>
  <sheetViews>
    <sheetView workbookViewId="0">
      <selection activeCell="M7" sqref="M7:Q9"/>
    </sheetView>
  </sheetViews>
  <sheetFormatPr baseColWidth="10" defaultRowHeight="14.4" x14ac:dyDescent="0.3"/>
  <cols>
    <col min="1" max="1" width="12.6640625" customWidth="1"/>
    <col min="2" max="2" width="13.109375" customWidth="1"/>
  </cols>
  <sheetData>
    <row r="2" spans="1:17" x14ac:dyDescent="0.3">
      <c r="A2" s="1"/>
    </row>
    <row r="5" spans="1:17" x14ac:dyDescent="0.3">
      <c r="B5" t="s">
        <v>5</v>
      </c>
      <c r="C5" t="s">
        <v>6</v>
      </c>
      <c r="D5" t="s">
        <v>7</v>
      </c>
      <c r="E5" t="s">
        <v>8</v>
      </c>
    </row>
    <row r="6" spans="1:17" ht="15" thickBot="1" x14ac:dyDescent="0.35">
      <c r="B6" t="s">
        <v>1</v>
      </c>
      <c r="C6">
        <v>10</v>
      </c>
      <c r="D6">
        <f>296*0.00000000001</f>
        <v>2.9599999999999997E-9</v>
      </c>
      <c r="E6">
        <f>548*0.00000000001</f>
        <v>5.4799999999999993E-9</v>
      </c>
    </row>
    <row r="7" spans="1:17" x14ac:dyDescent="0.3">
      <c r="C7">
        <v>30</v>
      </c>
      <c r="D7">
        <f>882*0.00000000001</f>
        <v>8.8199999999999989E-9</v>
      </c>
      <c r="E7">
        <f>1358*0.00000000001</f>
        <v>1.358E-8</v>
      </c>
      <c r="M7" s="18" t="s">
        <v>29</v>
      </c>
      <c r="N7" s="19"/>
      <c r="O7" s="19"/>
      <c r="P7" s="19"/>
      <c r="Q7" s="20"/>
    </row>
    <row r="8" spans="1:17" x14ac:dyDescent="0.3">
      <c r="C8">
        <v>90</v>
      </c>
      <c r="D8" s="2">
        <f>2619*0.00000000001</f>
        <v>2.6189999999999998E-8</v>
      </c>
      <c r="E8">
        <f>3375*0.00000000001</f>
        <v>3.3750000000000001E-8</v>
      </c>
      <c r="M8" s="21"/>
      <c r="N8" s="22"/>
      <c r="O8" s="22"/>
      <c r="P8" s="22"/>
      <c r="Q8" s="23"/>
    </row>
    <row r="9" spans="1:17" ht="15" thickBot="1" x14ac:dyDescent="0.35">
      <c r="C9">
        <v>270</v>
      </c>
      <c r="D9" s="2">
        <f>9029*0.00000000001</f>
        <v>9.0289999999999997E-8</v>
      </c>
      <c r="E9">
        <f>9807*0.00000000001</f>
        <v>9.8069999999999991E-8</v>
      </c>
      <c r="M9" s="24"/>
      <c r="N9" s="25"/>
      <c r="O9" s="25"/>
      <c r="P9" s="25"/>
      <c r="Q9" s="26"/>
    </row>
    <row r="10" spans="1:17" x14ac:dyDescent="0.3">
      <c r="C10">
        <v>810</v>
      </c>
      <c r="D10" s="2">
        <f>27098*0.00000000001</f>
        <v>2.7098000000000001E-7</v>
      </c>
      <c r="E10">
        <f>25610*0.00000000001</f>
        <v>2.5609999999999997E-7</v>
      </c>
    </row>
    <row r="11" spans="1:17" x14ac:dyDescent="0.3">
      <c r="B11" t="s">
        <v>3</v>
      </c>
      <c r="C11">
        <v>2430</v>
      </c>
      <c r="D11" s="2">
        <f>807*0.000000001</f>
        <v>8.0700000000000007E-7</v>
      </c>
      <c r="E11">
        <f>904*0.000000001</f>
        <v>9.0400000000000005E-7</v>
      </c>
    </row>
    <row r="12" spans="1:17" x14ac:dyDescent="0.3">
      <c r="C12">
        <v>7290</v>
      </c>
      <c r="D12" s="2">
        <f>2436*0.000000001</f>
        <v>2.4360000000000001E-6</v>
      </c>
      <c r="E12">
        <f>2467*0.000000001</f>
        <v>2.4670000000000003E-6</v>
      </c>
    </row>
    <row r="13" spans="1:17" x14ac:dyDescent="0.3">
      <c r="C13">
        <v>21870</v>
      </c>
      <c r="D13" s="2">
        <f>7289*0.000000001</f>
        <v>7.2890000000000009E-6</v>
      </c>
      <c r="E13">
        <f>7374*0.000000001</f>
        <v>7.374E-6</v>
      </c>
    </row>
    <row r="14" spans="1:17" x14ac:dyDescent="0.3">
      <c r="B14" t="s">
        <v>2</v>
      </c>
      <c r="C14">
        <v>65610</v>
      </c>
      <c r="D14" s="2">
        <f>2179*0.0000001</f>
        <v>2.1789999999999998E-4</v>
      </c>
      <c r="E14">
        <f>2725*0.0000001</f>
        <v>2.7250000000000001E-4</v>
      </c>
    </row>
    <row r="15" spans="1:17" x14ac:dyDescent="0.3">
      <c r="C15">
        <v>196830</v>
      </c>
      <c r="D15" s="2">
        <f>6633*0.0000001</f>
        <v>6.6330000000000002E-4</v>
      </c>
      <c r="E15">
        <f>8148*0.0000001</f>
        <v>8.1479999999999996E-4</v>
      </c>
    </row>
    <row r="16" spans="1:17" x14ac:dyDescent="0.3">
      <c r="C16">
        <v>590490</v>
      </c>
      <c r="D16" s="2">
        <f>19588*0.0000001</f>
        <v>1.9588000000000001E-3</v>
      </c>
      <c r="E16">
        <f>24507*0.0000001</f>
        <v>2.4507000000000001E-3</v>
      </c>
    </row>
    <row r="17" spans="2:5" x14ac:dyDescent="0.3">
      <c r="C17">
        <v>1771470</v>
      </c>
      <c r="D17" s="2">
        <f>63962*0.0000001</f>
        <v>6.3961999999999995E-3</v>
      </c>
      <c r="E17">
        <f>78266*0.0000001</f>
        <v>7.8265999999999995E-3</v>
      </c>
    </row>
    <row r="18" spans="2:5" x14ac:dyDescent="0.3">
      <c r="B18" t="s">
        <v>4</v>
      </c>
      <c r="C18">
        <v>5314410</v>
      </c>
      <c r="D18" s="2">
        <f>1919*0.00001</f>
        <v>1.9190000000000002E-2</v>
      </c>
      <c r="E18">
        <f>1930*0.00001</f>
        <v>1.9300000000000001E-2</v>
      </c>
    </row>
    <row r="19" spans="2:5" x14ac:dyDescent="0.3">
      <c r="C19">
        <v>15943230</v>
      </c>
      <c r="D19">
        <f>5840*0.00001</f>
        <v>5.8400000000000007E-2</v>
      </c>
      <c r="E19">
        <f>5773*0.00001</f>
        <v>5.7730000000000004E-2</v>
      </c>
    </row>
    <row r="20" spans="2:5" x14ac:dyDescent="0.3">
      <c r="C20">
        <v>47829690</v>
      </c>
      <c r="D20">
        <f>19406*0.00001</f>
        <v>0.19406000000000001</v>
      </c>
      <c r="E20">
        <f>20299*0.00001</f>
        <v>0.20299</v>
      </c>
    </row>
    <row r="25" spans="2:5" x14ac:dyDescent="0.3">
      <c r="B25" t="s">
        <v>5</v>
      </c>
      <c r="C25" t="s">
        <v>6</v>
      </c>
      <c r="D25" t="s">
        <v>9</v>
      </c>
      <c r="E25" t="s">
        <v>10</v>
      </c>
    </row>
    <row r="26" spans="2:5" x14ac:dyDescent="0.3">
      <c r="B26" t="s">
        <v>1</v>
      </c>
      <c r="C26">
        <v>3</v>
      </c>
      <c r="D26">
        <f>1212*0.00000000001</f>
        <v>1.2119999999999999E-8</v>
      </c>
      <c r="E26">
        <f>309*0.00000000001</f>
        <v>3.0899999999999999E-9</v>
      </c>
    </row>
    <row r="27" spans="2:5" x14ac:dyDescent="0.3">
      <c r="C27">
        <v>6</v>
      </c>
      <c r="D27">
        <f>4124*0.00000000001</f>
        <v>4.1239999999999997E-8</v>
      </c>
      <c r="E27">
        <f>695*0.00000000001</f>
        <v>6.9499999999999994E-9</v>
      </c>
    </row>
    <row r="28" spans="2:5" x14ac:dyDescent="0.3">
      <c r="C28">
        <v>12</v>
      </c>
      <c r="D28" s="2">
        <f>13157*0.00000000001</f>
        <v>1.3156999999999998E-7</v>
      </c>
      <c r="E28">
        <f>1115*0.00000000001</f>
        <v>1.1149999999999999E-8</v>
      </c>
    </row>
    <row r="29" spans="2:5" x14ac:dyDescent="0.3">
      <c r="C29">
        <v>24</v>
      </c>
      <c r="D29" s="2">
        <f>44802*0.00000000001</f>
        <v>4.4801999999999996E-7</v>
      </c>
      <c r="E29">
        <f>2080*0.00000000001</f>
        <v>2.0799999999999998E-8</v>
      </c>
    </row>
    <row r="30" spans="2:5" x14ac:dyDescent="0.3">
      <c r="B30" t="s">
        <v>3</v>
      </c>
      <c r="C30">
        <v>48</v>
      </c>
      <c r="D30" s="2">
        <f>1546*0.000000001</f>
        <v>1.5460000000000001E-6</v>
      </c>
      <c r="E30">
        <f>42*0.000000001</f>
        <v>4.2000000000000006E-8</v>
      </c>
    </row>
    <row r="31" spans="2:5" x14ac:dyDescent="0.3">
      <c r="C31">
        <v>96</v>
      </c>
      <c r="D31" s="2">
        <f>6266*0.000000001</f>
        <v>6.2660000000000007E-6</v>
      </c>
      <c r="E31">
        <f>86*0.000000001</f>
        <v>8.6000000000000002E-8</v>
      </c>
    </row>
    <row r="32" spans="2:5" x14ac:dyDescent="0.3">
      <c r="C32">
        <v>192</v>
      </c>
      <c r="D32" s="2">
        <f>21977*0.000000001</f>
        <v>2.1977E-5</v>
      </c>
      <c r="E32">
        <f>170*0.000000001</f>
        <v>1.7000000000000001E-7</v>
      </c>
    </row>
    <row r="33" spans="2:10" x14ac:dyDescent="0.3">
      <c r="C33">
        <v>384</v>
      </c>
      <c r="D33" s="2">
        <f>80162*0.000000001</f>
        <v>8.0162000000000009E-5</v>
      </c>
      <c r="E33">
        <f>623*0.000000001</f>
        <v>6.2300000000000001E-7</v>
      </c>
    </row>
    <row r="34" spans="2:10" x14ac:dyDescent="0.3">
      <c r="B34" t="s">
        <v>2</v>
      </c>
      <c r="C34">
        <v>768</v>
      </c>
      <c r="D34" s="2">
        <f>31092*0.0000001</f>
        <v>3.1091999999999999E-3</v>
      </c>
      <c r="E34">
        <f>123*0.0000001</f>
        <v>1.2299999999999999E-5</v>
      </c>
    </row>
    <row r="35" spans="2:10" x14ac:dyDescent="0.3">
      <c r="C35">
        <v>1536</v>
      </c>
      <c r="D35" s="2">
        <f>122981*0.0000001</f>
        <v>1.2298099999999999E-2</v>
      </c>
      <c r="E35">
        <f>1748*0.0000001</f>
        <v>1.7479999999999999E-4</v>
      </c>
    </row>
    <row r="36" spans="2:10" x14ac:dyDescent="0.3">
      <c r="B36" t="s">
        <v>4</v>
      </c>
      <c r="C36">
        <v>3072</v>
      </c>
      <c r="D36" s="2">
        <f>3345*0.00001</f>
        <v>3.3450000000000001E-2</v>
      </c>
      <c r="E36">
        <f>51*0.00001</f>
        <v>5.1000000000000004E-4</v>
      </c>
    </row>
    <row r="37" spans="2:10" x14ac:dyDescent="0.3">
      <c r="C37">
        <v>6144</v>
      </c>
      <c r="D37" s="2">
        <f>13228*0.00001</f>
        <v>0.13228000000000001</v>
      </c>
      <c r="E37">
        <f>136*0.00001</f>
        <v>1.3600000000000001E-3</v>
      </c>
    </row>
    <row r="38" spans="2:10" x14ac:dyDescent="0.3">
      <c r="C38">
        <v>12288</v>
      </c>
      <c r="D38" s="2">
        <f>51918*0.00001</f>
        <v>0.51918000000000009</v>
      </c>
      <c r="E38">
        <f>312*0.00001</f>
        <v>3.1200000000000004E-3</v>
      </c>
    </row>
    <row r="39" spans="2:10" x14ac:dyDescent="0.3">
      <c r="B39" t="s">
        <v>11</v>
      </c>
      <c r="C39">
        <v>24576</v>
      </c>
      <c r="D39">
        <f>1826*0.001</f>
        <v>1.8260000000000001</v>
      </c>
      <c r="E39">
        <f>813*0.00001</f>
        <v>8.1300000000000001E-3</v>
      </c>
    </row>
    <row r="44" spans="2:10" x14ac:dyDescent="0.3">
      <c r="C44" s="17"/>
      <c r="D44" s="17"/>
      <c r="E44" s="17"/>
      <c r="F44" s="17"/>
      <c r="G44" s="17"/>
      <c r="H44" s="17"/>
      <c r="I44" s="17"/>
      <c r="J44" s="17"/>
    </row>
    <row r="45" spans="2:10" x14ac:dyDescent="0.3">
      <c r="C45" s="17"/>
      <c r="D45" s="17"/>
      <c r="E45" s="17"/>
      <c r="F45" s="17"/>
      <c r="G45" s="17"/>
      <c r="H45" s="17"/>
      <c r="I45" s="17"/>
      <c r="J45" s="17"/>
    </row>
    <row r="46" spans="2:10" x14ac:dyDescent="0.3">
      <c r="C46" s="17"/>
      <c r="D46" s="17"/>
      <c r="E46" s="17"/>
      <c r="F46" s="17"/>
      <c r="G46" s="17"/>
      <c r="H46" s="17"/>
      <c r="I46" s="17"/>
      <c r="J46" s="17"/>
    </row>
  </sheetData>
  <mergeCells count="1">
    <mergeCell ref="M7:Q9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F029-804A-4307-9EF5-C23357D8F8E1}">
  <dimension ref="A4:Q41"/>
  <sheetViews>
    <sheetView tabSelected="1" workbookViewId="0">
      <selection activeCell="L12" sqref="L12"/>
    </sheetView>
  </sheetViews>
  <sheetFormatPr baseColWidth="10" defaultRowHeight="14.4" x14ac:dyDescent="0.3"/>
  <cols>
    <col min="5" max="5" width="14.88671875" customWidth="1"/>
    <col min="6" max="6" width="15.21875" customWidth="1"/>
    <col min="7" max="7" width="15.44140625" customWidth="1"/>
    <col min="8" max="8" width="14.33203125" customWidth="1"/>
  </cols>
  <sheetData>
    <row r="4" spans="2:17" ht="15" thickBot="1" x14ac:dyDescent="0.35"/>
    <row r="5" spans="2:17" x14ac:dyDescent="0.3">
      <c r="B5" t="s">
        <v>5</v>
      </c>
      <c r="C5" t="s">
        <v>13</v>
      </c>
      <c r="D5" t="s">
        <v>15</v>
      </c>
      <c r="E5" t="s">
        <v>16</v>
      </c>
      <c r="F5" t="s">
        <v>12</v>
      </c>
      <c r="M5" s="18" t="s">
        <v>29</v>
      </c>
      <c r="N5" s="19"/>
      <c r="O5" s="19"/>
      <c r="P5" s="19"/>
      <c r="Q5" s="20"/>
    </row>
    <row r="6" spans="2:17" x14ac:dyDescent="0.3">
      <c r="B6" t="s">
        <v>4</v>
      </c>
      <c r="C6">
        <v>512</v>
      </c>
      <c r="D6">
        <f>16*0.00001</f>
        <v>1.6000000000000001E-4</v>
      </c>
      <c r="E6">
        <f>10*0.00001</f>
        <v>1E-4</v>
      </c>
      <c r="F6">
        <f>D6/E6</f>
        <v>1.6</v>
      </c>
      <c r="M6" s="21"/>
      <c r="N6" s="22"/>
      <c r="O6" s="22"/>
      <c r="P6" s="22"/>
      <c r="Q6" s="23"/>
    </row>
    <row r="7" spans="2:17" ht="15" thickBot="1" x14ac:dyDescent="0.35">
      <c r="C7">
        <v>1024</v>
      </c>
      <c r="D7">
        <f>45*0.00001</f>
        <v>4.5000000000000004E-4</v>
      </c>
      <c r="E7">
        <f>28*0.00001</f>
        <v>2.8000000000000003E-4</v>
      </c>
      <c r="F7" s="6">
        <f t="shared" ref="F7:F13" si="0">D7/E7</f>
        <v>1.6071428571428572</v>
      </c>
      <c r="M7" s="24"/>
      <c r="N7" s="25"/>
      <c r="O7" s="25"/>
      <c r="P7" s="25"/>
      <c r="Q7" s="26"/>
    </row>
    <row r="8" spans="2:17" x14ac:dyDescent="0.3">
      <c r="C8">
        <v>2048</v>
      </c>
      <c r="D8">
        <f>132*0.00001</f>
        <v>1.3200000000000002E-3</v>
      </c>
      <c r="E8">
        <f>77*0.00001</f>
        <v>7.7000000000000007E-4</v>
      </c>
      <c r="F8" s="6">
        <f t="shared" si="0"/>
        <v>1.7142857142857144</v>
      </c>
    </row>
    <row r="9" spans="2:17" x14ac:dyDescent="0.3">
      <c r="C9">
        <v>4096</v>
      </c>
      <c r="D9">
        <f>437*0.00001</f>
        <v>4.3700000000000006E-3</v>
      </c>
      <c r="E9">
        <f>238*0.00001</f>
        <v>2.3800000000000002E-3</v>
      </c>
      <c r="F9" s="6">
        <f t="shared" si="0"/>
        <v>1.8361344537815127</v>
      </c>
    </row>
    <row r="10" spans="2:17" x14ac:dyDescent="0.3">
      <c r="C10">
        <v>8192</v>
      </c>
      <c r="D10">
        <f>1552*0.00001</f>
        <v>1.5520000000000001E-2</v>
      </c>
      <c r="E10">
        <f>822*0.00001</f>
        <v>8.2199999999999999E-3</v>
      </c>
      <c r="F10" s="6">
        <f t="shared" si="0"/>
        <v>1.8880778588807787</v>
      </c>
    </row>
    <row r="11" spans="2:17" x14ac:dyDescent="0.3">
      <c r="C11">
        <v>16384</v>
      </c>
      <c r="D11">
        <f>5883*0.00001</f>
        <v>5.8830000000000007E-2</v>
      </c>
      <c r="E11">
        <f>3022*0.00001</f>
        <v>3.0220000000000004E-2</v>
      </c>
      <c r="F11" s="6">
        <f t="shared" si="0"/>
        <v>1.9467240238252812</v>
      </c>
    </row>
    <row r="12" spans="2:17" x14ac:dyDescent="0.3">
      <c r="C12">
        <v>32768</v>
      </c>
      <c r="D12">
        <f>23024*0.00001</f>
        <v>0.23024000000000003</v>
      </c>
      <c r="E12">
        <f>11594*0.00001</f>
        <v>0.11594000000000002</v>
      </c>
      <c r="F12" s="6">
        <f t="shared" si="0"/>
        <v>1.985854752458168</v>
      </c>
    </row>
    <row r="13" spans="2:17" x14ac:dyDescent="0.3">
      <c r="C13">
        <v>65536</v>
      </c>
      <c r="D13">
        <f>90687*0.00001</f>
        <v>0.90687000000000006</v>
      </c>
      <c r="E13">
        <f>45848*0.00001</f>
        <v>0.45848000000000005</v>
      </c>
      <c r="F13" s="6">
        <f t="shared" si="0"/>
        <v>1.9779924969464315</v>
      </c>
    </row>
    <row r="14" spans="2:17" x14ac:dyDescent="0.3">
      <c r="E14" s="5" t="s">
        <v>14</v>
      </c>
      <c r="F14" s="6">
        <f>GEOMEAN(F6,F7,F8,F9,F10,F11,F12,F13)</f>
        <v>1.8132484709307926</v>
      </c>
    </row>
    <row r="17" spans="2:8" x14ac:dyDescent="0.3">
      <c r="B17" t="s">
        <v>5</v>
      </c>
      <c r="C17" t="s">
        <v>13</v>
      </c>
      <c r="D17" t="s">
        <v>17</v>
      </c>
      <c r="E17" t="s">
        <v>19</v>
      </c>
      <c r="F17" t="s">
        <v>15</v>
      </c>
      <c r="G17" t="s">
        <v>0</v>
      </c>
    </row>
    <row r="18" spans="2:8" x14ac:dyDescent="0.3">
      <c r="B18" t="s">
        <v>2</v>
      </c>
      <c r="C18">
        <v>512</v>
      </c>
      <c r="D18">
        <f>271*0.0000001</f>
        <v>2.7099999999999998E-5</v>
      </c>
      <c r="E18" t="s">
        <v>18</v>
      </c>
      <c r="F18">
        <f>16*0.00001</f>
        <v>1.6000000000000001E-4</v>
      </c>
      <c r="G18" s="6">
        <f t="shared" ref="G18:G25" si="1">D18/F18</f>
        <v>0.16937499999999997</v>
      </c>
    </row>
    <row r="19" spans="2:8" x14ac:dyDescent="0.3">
      <c r="C19">
        <v>1024</v>
      </c>
      <c r="D19">
        <f>605*0.0000001</f>
        <v>6.05E-5</v>
      </c>
      <c r="F19">
        <f>45*0.00001</f>
        <v>4.5000000000000004E-4</v>
      </c>
      <c r="G19" s="6">
        <f t="shared" si="1"/>
        <v>0.13444444444444442</v>
      </c>
    </row>
    <row r="20" spans="2:8" x14ac:dyDescent="0.3">
      <c r="C20">
        <v>2048</v>
      </c>
      <c r="D20">
        <f>1299*0.0000001</f>
        <v>1.2989999999999999E-4</v>
      </c>
      <c r="F20">
        <f>132*0.00001</f>
        <v>1.3200000000000002E-3</v>
      </c>
      <c r="G20" s="6">
        <f t="shared" si="1"/>
        <v>9.8409090909090877E-2</v>
      </c>
    </row>
    <row r="21" spans="2:8" x14ac:dyDescent="0.3">
      <c r="C21">
        <v>4096</v>
      </c>
      <c r="D21">
        <f>2901*0.0000001</f>
        <v>2.901E-4</v>
      </c>
      <c r="F21">
        <f>437*0.00001</f>
        <v>4.3700000000000006E-3</v>
      </c>
      <c r="G21" s="6">
        <f t="shared" si="1"/>
        <v>6.638443935926773E-2</v>
      </c>
    </row>
    <row r="22" spans="2:8" x14ac:dyDescent="0.3">
      <c r="C22">
        <v>8192</v>
      </c>
      <c r="D22">
        <f>6002*0.0000001</f>
        <v>6.0019999999999995E-4</v>
      </c>
      <c r="F22">
        <f>1552*0.00001</f>
        <v>1.5520000000000001E-2</v>
      </c>
      <c r="G22" s="6">
        <f t="shared" si="1"/>
        <v>3.8672680412371131E-2</v>
      </c>
    </row>
    <row r="23" spans="2:8" x14ac:dyDescent="0.3">
      <c r="C23">
        <v>16384</v>
      </c>
      <c r="D23">
        <f>12931*0.0000001</f>
        <v>1.2930999999999999E-3</v>
      </c>
      <c r="F23">
        <f>5883*0.00001</f>
        <v>5.8830000000000007E-2</v>
      </c>
      <c r="G23" s="6">
        <f t="shared" si="1"/>
        <v>2.1980282168961411E-2</v>
      </c>
    </row>
    <row r="24" spans="2:8" x14ac:dyDescent="0.3">
      <c r="C24">
        <v>32768</v>
      </c>
      <c r="D24">
        <f>27344*0.0000001</f>
        <v>2.7343999999999997E-3</v>
      </c>
      <c r="F24">
        <f>23024*0.00001</f>
        <v>0.23024000000000003</v>
      </c>
      <c r="G24" s="6">
        <f t="shared" si="1"/>
        <v>1.1876302988186238E-2</v>
      </c>
    </row>
    <row r="25" spans="2:8" x14ac:dyDescent="0.3">
      <c r="C25">
        <v>65536</v>
      </c>
      <c r="D25">
        <f>59239*0.0000001</f>
        <v>5.9238999999999993E-3</v>
      </c>
      <c r="F25">
        <f>90687*0.00001</f>
        <v>0.90687000000000006</v>
      </c>
      <c r="G25" s="6">
        <f t="shared" si="1"/>
        <v>6.5322482825542786E-3</v>
      </c>
    </row>
    <row r="26" spans="2:8" x14ac:dyDescent="0.3">
      <c r="F26" s="5" t="s">
        <v>14</v>
      </c>
      <c r="G26" s="6">
        <f>GEOMEAN(G18,G19,G20,G21,G22,G23,G24,G25)</f>
        <v>4.2068729503296431E-2</v>
      </c>
    </row>
    <row r="32" spans="2:8" x14ac:dyDescent="0.3">
      <c r="B32" t="s">
        <v>5</v>
      </c>
      <c r="C32" t="s">
        <v>13</v>
      </c>
      <c r="D32" t="s">
        <v>20</v>
      </c>
      <c r="E32" t="s">
        <v>21</v>
      </c>
      <c r="F32" t="s">
        <v>19</v>
      </c>
      <c r="G32" t="s">
        <v>24</v>
      </c>
      <c r="H32" t="s">
        <v>22</v>
      </c>
    </row>
    <row r="33" spans="1:8" x14ac:dyDescent="0.3">
      <c r="B33" t="s">
        <v>23</v>
      </c>
      <c r="C33" s="4">
        <v>16</v>
      </c>
      <c r="D33">
        <f>1*0.01</f>
        <v>0.01</v>
      </c>
      <c r="E33">
        <v>0</v>
      </c>
      <c r="F33" t="s">
        <v>11</v>
      </c>
      <c r="G33" s="3">
        <v>256</v>
      </c>
      <c r="H33">
        <f>2*0.001</f>
        <v>2E-3</v>
      </c>
    </row>
    <row r="34" spans="1:8" x14ac:dyDescent="0.3">
      <c r="C34" s="4">
        <v>32</v>
      </c>
      <c r="D34">
        <f>4*0.01</f>
        <v>0.04</v>
      </c>
      <c r="E34">
        <f>1*0.01</f>
        <v>0.01</v>
      </c>
      <c r="G34" s="8">
        <v>512</v>
      </c>
      <c r="H34">
        <f>22*0.001</f>
        <v>2.1999999999999999E-2</v>
      </c>
    </row>
    <row r="35" spans="1:8" x14ac:dyDescent="0.3">
      <c r="C35" s="4">
        <v>64</v>
      </c>
      <c r="D35">
        <f>34*0.01</f>
        <v>0.34</v>
      </c>
      <c r="E35">
        <f>5*0.01</f>
        <v>0.05</v>
      </c>
      <c r="G35" s="4">
        <v>1024</v>
      </c>
      <c r="H35">
        <f>123*0.001</f>
        <v>0.123</v>
      </c>
    </row>
    <row r="36" spans="1:8" x14ac:dyDescent="0.3">
      <c r="C36" s="4">
        <v>128</v>
      </c>
      <c r="D36">
        <f>19*0.01</f>
        <v>0.19</v>
      </c>
      <c r="E36">
        <f>6*0.01</f>
        <v>0.06</v>
      </c>
      <c r="G36" s="7">
        <v>2048</v>
      </c>
      <c r="H36">
        <f>673*0.001</f>
        <v>0.67300000000000004</v>
      </c>
    </row>
    <row r="37" spans="1:8" x14ac:dyDescent="0.3">
      <c r="C37" s="4">
        <v>256</v>
      </c>
      <c r="D37">
        <f>201*0.01</f>
        <v>2.0100000000000002</v>
      </c>
      <c r="E37">
        <f t="shared" ref="E37" si="2">60*0.01</f>
        <v>0.6</v>
      </c>
      <c r="G37" s="4">
        <v>4096</v>
      </c>
      <c r="H37">
        <f>3997*0.001</f>
        <v>3.9969999999999999</v>
      </c>
    </row>
    <row r="38" spans="1:8" x14ac:dyDescent="0.3">
      <c r="A38" t="s">
        <v>26</v>
      </c>
      <c r="C38" s="4">
        <v>512</v>
      </c>
      <c r="D38">
        <f>2319*0.01</f>
        <v>23.19</v>
      </c>
      <c r="E38">
        <f>512*0.01</f>
        <v>5.12</v>
      </c>
      <c r="G38" s="7">
        <v>8192</v>
      </c>
      <c r="H38">
        <f>26790*0.001</f>
        <v>26.79</v>
      </c>
    </row>
    <row r="39" spans="1:8" x14ac:dyDescent="0.3">
      <c r="C39" s="4">
        <v>1024</v>
      </c>
      <c r="D39">
        <f>41651*0.01</f>
        <v>416.51</v>
      </c>
      <c r="E39">
        <f>4661*0.01</f>
        <v>46.61</v>
      </c>
      <c r="G39" s="4">
        <v>16384</v>
      </c>
      <c r="H39">
        <f>193364*0.001</f>
        <v>193.364</v>
      </c>
    </row>
    <row r="40" spans="1:8" ht="15" thickBot="1" x14ac:dyDescent="0.35">
      <c r="B40" s="9"/>
      <c r="C40" s="11">
        <v>2048</v>
      </c>
      <c r="D40" s="9">
        <f>487127*0.01</f>
        <v>4871.2700000000004</v>
      </c>
      <c r="E40" s="9">
        <f>41296*0.01</f>
        <v>412.96000000000004</v>
      </c>
      <c r="F40" s="9" t="s">
        <v>25</v>
      </c>
      <c r="G40" s="10">
        <v>32768</v>
      </c>
      <c r="H40" s="9">
        <f>138163*0.01</f>
        <v>1381.63</v>
      </c>
    </row>
    <row r="41" spans="1:8" ht="15" thickTop="1" x14ac:dyDescent="0.3">
      <c r="B41" s="12"/>
      <c r="C41" s="13"/>
      <c r="D41" s="12"/>
      <c r="E41" s="14"/>
      <c r="F41" s="12"/>
      <c r="G41" s="15" t="s">
        <v>27</v>
      </c>
      <c r="H41" s="16" t="s">
        <v>28</v>
      </c>
    </row>
  </sheetData>
  <mergeCells count="1">
    <mergeCell ref="M5:Q7"/>
  </mergeCells>
  <phoneticPr fontId="1" type="noConversion"/>
  <pageMargins left="0.7" right="0.7" top="0.75" bottom="0.75" header="0.3" footer="0.3"/>
  <ignoredErrors>
    <ignoredError sqref="E38:E40 E33:E36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P1.1</vt:lpstr>
      <vt:lpstr>P1.2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msame</dc:creator>
  <cp:lastModifiedBy>msame</cp:lastModifiedBy>
  <dcterms:created xsi:type="dcterms:W3CDTF">2020-02-13T13:42:23Z</dcterms:created>
  <dcterms:modified xsi:type="dcterms:W3CDTF">2020-02-20T11:53:25Z</dcterms:modified>
</cp:coreProperties>
</file>