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ame\Documents\ALG\Ordenación\"/>
    </mc:Choice>
  </mc:AlternateContent>
  <xr:revisionPtr revIDLastSave="0" documentId="13_ncr:1_{F5889C5E-2A93-4898-98E4-97CE395C6589}" xr6:coauthVersionLast="45" xr6:coauthVersionMax="45" xr10:uidLastSave="{00000000-0000-0000-0000-000000000000}"/>
  <bookViews>
    <workbookView xWindow="-108" yWindow="-108" windowWidth="23256" windowHeight="12576" xr2:uid="{614C7E6A-0F1C-42EB-BB75-09FB7141CFA3}"/>
  </bookViews>
  <sheets>
    <sheet name="Algoritmos Malos" sheetId="1" r:id="rId1"/>
    <sheet name="Quicksort" sheetId="2" r:id="rId2"/>
  </sheets>
  <definedNames>
    <definedName name="_xlchart.v1.0" hidden="1">'Algoritmos Malos'!$G$5:$G$12</definedName>
    <definedName name="_xlchart.v1.1" hidden="1">'Algoritmos Malos'!$H$4</definedName>
    <definedName name="_xlchart.v1.2" hidden="1">'Algoritmos Malos'!$H$5:$H$12</definedName>
    <definedName name="_xlchart.v1.3" hidden="1">'Algoritmos Malos'!$I$4</definedName>
    <definedName name="_xlchart.v1.4" hidden="1">'Algoritmos Malos'!$I$5:$I$12</definedName>
    <definedName name="_xlchart.v1.5" hidden="1">'Algoritmos Malos'!$J$4</definedName>
    <definedName name="_xlchart.v1.6" hidden="1">'Algoritmos Malos'!$J$5:$J$12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C9" i="1"/>
  <c r="E12" i="2" l="1"/>
  <c r="E11" i="2"/>
  <c r="E10" i="2"/>
  <c r="E9" i="2"/>
  <c r="E8" i="2"/>
  <c r="E7" i="2"/>
  <c r="E6" i="2"/>
  <c r="E5" i="2"/>
  <c r="D12" i="2"/>
  <c r="D11" i="2"/>
  <c r="D10" i="2"/>
  <c r="D9" i="2"/>
  <c r="D8" i="2"/>
  <c r="D7" i="2"/>
  <c r="D6" i="2"/>
  <c r="D5" i="2"/>
  <c r="C12" i="2"/>
  <c r="C11" i="2"/>
  <c r="C10" i="2"/>
  <c r="C9" i="2"/>
  <c r="C8" i="2"/>
  <c r="C7" i="2"/>
  <c r="C6" i="2"/>
  <c r="C5" i="2"/>
  <c r="O12" i="1"/>
  <c r="O11" i="1"/>
  <c r="O10" i="1"/>
  <c r="O9" i="1"/>
  <c r="O8" i="1"/>
  <c r="O7" i="1"/>
  <c r="O6" i="1"/>
  <c r="O5" i="1"/>
  <c r="N12" i="1"/>
  <c r="N11" i="1"/>
  <c r="N10" i="1"/>
  <c r="N9" i="1"/>
  <c r="N8" i="1"/>
  <c r="N7" i="1"/>
  <c r="N6" i="1"/>
  <c r="N5" i="1"/>
  <c r="M5" i="1"/>
  <c r="M12" i="1"/>
  <c r="M11" i="1"/>
  <c r="M10" i="1"/>
  <c r="M9" i="1"/>
  <c r="M8" i="1"/>
  <c r="M7" i="1"/>
  <c r="M6" i="1"/>
  <c r="D12" i="1"/>
  <c r="J12" i="1"/>
  <c r="J11" i="1"/>
  <c r="J10" i="1"/>
  <c r="J9" i="1"/>
  <c r="J8" i="1"/>
  <c r="J7" i="1"/>
  <c r="J6" i="1"/>
  <c r="J5" i="1"/>
  <c r="I12" i="1"/>
  <c r="C7" i="1"/>
  <c r="I11" i="1"/>
  <c r="I10" i="1"/>
  <c r="I9" i="1"/>
  <c r="I8" i="1"/>
  <c r="I7" i="1"/>
  <c r="I6" i="1"/>
  <c r="I5" i="1"/>
  <c r="H12" i="1"/>
  <c r="H11" i="1"/>
  <c r="H10" i="1"/>
  <c r="H9" i="1"/>
  <c r="H8" i="1"/>
  <c r="H7" i="1"/>
  <c r="H6" i="1"/>
  <c r="H5" i="1"/>
  <c r="E9" i="1" l="1"/>
  <c r="E8" i="1"/>
  <c r="E7" i="1"/>
  <c r="E6" i="1"/>
  <c r="E5" i="1"/>
  <c r="D9" i="1"/>
  <c r="D8" i="1"/>
  <c r="D7" i="1"/>
  <c r="D6" i="1"/>
  <c r="E10" i="1"/>
  <c r="E11" i="1"/>
  <c r="E12" i="1"/>
  <c r="D11" i="1"/>
  <c r="D10" i="1"/>
  <c r="C11" i="1"/>
  <c r="C10" i="1"/>
  <c r="C8" i="1"/>
  <c r="C6" i="1"/>
  <c r="D5" i="1"/>
  <c r="C5" i="1"/>
</calcChain>
</file>

<file path=xl/sharedStrings.xml><?xml version="1.0" encoding="utf-8"?>
<sst xmlns="http://schemas.openxmlformats.org/spreadsheetml/2006/main" count="30" uniqueCount="18">
  <si>
    <t>SELECCIÓN</t>
  </si>
  <si>
    <t>n</t>
  </si>
  <si>
    <t>INSERCCIÓN</t>
  </si>
  <si>
    <t>BURBUJA</t>
  </si>
  <si>
    <t>Ordenado</t>
  </si>
  <si>
    <t>Inverso</t>
  </si>
  <si>
    <t>Aleatorio</t>
  </si>
  <si>
    <r>
      <t xml:space="preserve">Se han realizado las mediciones con tres tamaños del problema diferentes: </t>
    </r>
    <r>
      <rPr>
        <b/>
        <sz val="11"/>
        <color theme="1"/>
        <rFont val="Calibri"/>
        <family val="2"/>
        <scheme val="minor"/>
      </rPr>
      <t>n=1000; n=10 y n=1</t>
    </r>
    <r>
      <rPr>
        <sz val="11"/>
        <color theme="1"/>
        <rFont val="Calibri"/>
        <family val="2"/>
        <scheme val="minor"/>
      </rPr>
      <t>.</t>
    </r>
  </si>
  <si>
    <t>En las gráficas se puede ver la comparación de cada uno de ellos en los diferentes tipos de vector.</t>
  </si>
  <si>
    <r>
      <t xml:space="preserve">El algoritmo de </t>
    </r>
    <r>
      <rPr>
        <b/>
        <sz val="11"/>
        <color theme="1"/>
        <rFont val="Calibri"/>
        <family val="2"/>
        <scheme val="minor"/>
      </rPr>
      <t>Insercción Directa</t>
    </r>
    <r>
      <rPr>
        <sz val="11"/>
        <color theme="1"/>
        <rFont val="Calibri"/>
        <family val="2"/>
        <scheme val="minor"/>
      </rPr>
      <t xml:space="preserve"> es el mejor de los tres, siendo en su caso mejor O(n). </t>
    </r>
  </si>
  <si>
    <r>
      <t xml:space="preserve">Estos algoritmos son extremadamente lentos, llegando a complejidades </t>
    </r>
    <r>
      <rPr>
        <b/>
        <sz val="11"/>
        <color theme="1"/>
        <rFont val="Calibri"/>
        <family val="2"/>
        <scheme val="minor"/>
      </rPr>
      <t>O(n^2)</t>
    </r>
    <r>
      <rPr>
        <sz val="11"/>
        <color theme="1"/>
        <rFont val="Calibri"/>
        <family val="2"/>
        <scheme val="minor"/>
      </rPr>
      <t>.</t>
    </r>
  </si>
  <si>
    <t>RAPIDO MEDIANA 3</t>
  </si>
  <si>
    <t>Se trata de un algoritmo recursivo, con lo que aparentemente será mejor que los tres anteriores.</t>
  </si>
  <si>
    <t xml:space="preserve">En la gráfica vemos representados los tres casos posibles. </t>
  </si>
  <si>
    <t>En los casos en los que se usó un tamaño n=1000, únicamente se han podido ejecutar hasta 40000. Excepto en insercción directa ordenado, que se usó n=10000, dado que tiene una complejidad de O(n).</t>
  </si>
  <si>
    <r>
      <t xml:space="preserve">El </t>
    </r>
    <r>
      <rPr>
        <b/>
        <sz val="11"/>
        <color theme="1"/>
        <rFont val="Calibri"/>
        <family val="2"/>
        <scheme val="minor"/>
      </rPr>
      <t>caso peor</t>
    </r>
    <r>
      <rPr>
        <sz val="11"/>
        <color theme="1"/>
        <rFont val="Calibri"/>
        <family val="2"/>
        <scheme val="minor"/>
      </rPr>
      <t xml:space="preserve"> al igual que los tres anteriores sigue siendo teóricamente </t>
    </r>
    <r>
      <rPr>
        <b/>
        <sz val="11"/>
        <color theme="1"/>
        <rFont val="Calibri"/>
        <family val="2"/>
        <scheme val="minor"/>
      </rPr>
      <t>O(n^2)</t>
    </r>
    <r>
      <rPr>
        <sz val="11"/>
        <color theme="1"/>
        <rFont val="Calibri"/>
        <family val="2"/>
        <scheme val="minor"/>
      </rPr>
      <t xml:space="preserve">. </t>
    </r>
  </si>
  <si>
    <r>
      <t xml:space="preserve">Está en el grupo de los algoritmos de ordenación, con </t>
    </r>
    <r>
      <rPr>
        <b/>
        <sz val="11"/>
        <color theme="1"/>
        <rFont val="Calibri"/>
        <family val="2"/>
        <scheme val="minor"/>
      </rPr>
      <t>caso mejor O(nlogn)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quasi lineal</t>
    </r>
    <r>
      <rPr>
        <sz val="11"/>
        <color theme="1"/>
        <rFont val="Calibri"/>
        <family val="2"/>
        <scheme val="minor"/>
      </rPr>
      <t>.</t>
    </r>
  </si>
  <si>
    <t xml:space="preserve">Como se puede observar, la complejidad de este algoritmo es quasi lineal, haciéndolo muy eficiente en comparación con los tres anteriores.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</si>
</sst>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2"/>
      </left>
      <right/>
      <top/>
      <bottom/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/>
      </right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Border="1"/>
    <xf numFmtId="2" fontId="0" fillId="0" borderId="0" xfId="0" applyNumberFormat="1"/>
    <xf numFmtId="2" fontId="0" fillId="0" borderId="0" xfId="0" applyNumberFormat="1" applyBorder="1"/>
    <xf numFmtId="0" fontId="0" fillId="0" borderId="0" xfId="0" applyFont="1"/>
    <xf numFmtId="0" fontId="0" fillId="0" borderId="11" xfId="0" applyBorder="1"/>
    <xf numFmtId="0" fontId="0" fillId="0" borderId="12" xfId="0" applyBorder="1"/>
    <xf numFmtId="0" fontId="1" fillId="5" borderId="14" xfId="0" applyFont="1" applyFill="1" applyBorder="1" applyAlignment="1"/>
    <xf numFmtId="0" fontId="2" fillId="0" borderId="13" xfId="0" applyFont="1" applyBorder="1"/>
    <xf numFmtId="0" fontId="1" fillId="5" borderId="15" xfId="0" applyFont="1" applyFill="1" applyBorder="1" applyAlignment="1"/>
    <xf numFmtId="0" fontId="1" fillId="5" borderId="13" xfId="0" applyFont="1" applyFill="1" applyBorder="1" applyAlignment="1"/>
    <xf numFmtId="0" fontId="0" fillId="0" borderId="16" xfId="0" applyBorder="1"/>
    <xf numFmtId="0" fontId="1" fillId="5" borderId="17" xfId="0" applyFont="1" applyFill="1" applyBorder="1" applyAlignment="1"/>
    <xf numFmtId="0" fontId="1" fillId="5" borderId="18" xfId="0" applyFont="1" applyFill="1" applyBorder="1" applyAlignment="1"/>
    <xf numFmtId="2" fontId="0" fillId="5" borderId="0" xfId="0" applyNumberFormat="1" applyFill="1" applyBorder="1"/>
    <xf numFmtId="164" fontId="0" fillId="0" borderId="0" xfId="0" applyNumberFormat="1"/>
    <xf numFmtId="164" fontId="0" fillId="0" borderId="0" xfId="0" applyNumberFormat="1" applyBorder="1"/>
    <xf numFmtId="0" fontId="0" fillId="4" borderId="5" xfId="0" applyFill="1" applyBorder="1" applyAlignment="1">
      <alignment horizontal="center" wrapText="1"/>
    </xf>
    <xf numFmtId="0" fontId="0" fillId="4" borderId="6" xfId="0" applyFill="1" applyBorder="1" applyAlignment="1">
      <alignment horizontal="center" wrapText="1"/>
    </xf>
    <xf numFmtId="0" fontId="0" fillId="4" borderId="7" xfId="0" applyFill="1" applyBorder="1" applyAlignment="1">
      <alignment horizontal="center" wrapText="1"/>
    </xf>
    <xf numFmtId="0" fontId="0" fillId="4" borderId="8" xfId="0" applyFill="1" applyBorder="1" applyAlignment="1">
      <alignment horizontal="center" wrapText="1"/>
    </xf>
    <xf numFmtId="0" fontId="0" fillId="4" borderId="9" xfId="0" applyFill="1" applyBorder="1" applyAlignment="1">
      <alignment horizontal="center" wrapText="1"/>
    </xf>
    <xf numFmtId="0" fontId="0" fillId="4" borderId="10" xfId="0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 wrapText="1"/>
    </xf>
    <xf numFmtId="0" fontId="0" fillId="3" borderId="19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wrapText="1"/>
    </xf>
    <xf numFmtId="0" fontId="0" fillId="6" borderId="19" xfId="0" applyFill="1" applyBorder="1" applyAlignment="1">
      <alignment horizontal="center" wrapText="1"/>
    </xf>
    <xf numFmtId="0" fontId="0" fillId="4" borderId="20" xfId="0" applyFont="1" applyFill="1" applyBorder="1" applyAlignment="1">
      <alignment horizontal="center" wrapText="1"/>
    </xf>
    <xf numFmtId="0" fontId="0" fillId="4" borderId="21" xfId="0" applyFont="1" applyFill="1" applyBorder="1" applyAlignment="1">
      <alignment horizontal="center" wrapText="1"/>
    </xf>
    <xf numFmtId="0" fontId="0" fillId="4" borderId="22" xfId="0" applyFont="1" applyFill="1" applyBorder="1" applyAlignment="1">
      <alignment horizontal="center" wrapText="1"/>
    </xf>
    <xf numFmtId="0" fontId="0" fillId="4" borderId="23" xfId="0" applyFont="1" applyFill="1" applyBorder="1" applyAlignment="1">
      <alignment horizontal="center" wrapText="1"/>
    </xf>
    <xf numFmtId="0" fontId="0" fillId="4" borderId="24" xfId="0" applyFont="1" applyFill="1" applyBorder="1" applyAlignment="1">
      <alignment horizontal="center" wrapText="1"/>
    </xf>
    <xf numFmtId="0" fontId="0" fillId="4" borderId="25" xfId="0" applyFont="1" applyFill="1" applyBorder="1" applyAlignment="1">
      <alignment horizontal="center" wrapText="1"/>
    </xf>
  </cellXfs>
  <cellStyles count="1">
    <cellStyle name="Normal" xfId="0" builtinId="0"/>
  </cellStyles>
  <dxfs count="5">
    <dxf>
      <numFmt numFmtId="164" formatCode="0.000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Selección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'Algoritmos Malos'!$C$4</c:f>
              <c:strCache>
                <c:ptCount val="1"/>
                <c:pt idx="0">
                  <c:v>Ordenado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'Algoritmos Malos'!$B$5:$B$12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'Algoritmos Malos'!$C$5:$C$12</c:f>
              <c:numCache>
                <c:formatCode>0.00</c:formatCode>
                <c:ptCount val="8"/>
                <c:pt idx="0">
                  <c:v>0.28688000000000002</c:v>
                </c:pt>
                <c:pt idx="1">
                  <c:v>1.1636000000000002</c:v>
                </c:pt>
                <c:pt idx="2">
                  <c:v>4.6308600000000002</c:v>
                </c:pt>
                <c:pt idx="3">
                  <c:v>18.937000000000001</c:v>
                </c:pt>
                <c:pt idx="4">
                  <c:v>76.070999999999998</c:v>
                </c:pt>
                <c:pt idx="5">
                  <c:v>313.90000000000003</c:v>
                </c:pt>
                <c:pt idx="6">
                  <c:v>1224.1000000000001</c:v>
                </c:pt>
                <c:pt idx="7" formatCode="General">
                  <c:v>4916.6099999999997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D6-40E3-BA82-1BACA5D4C4D3}"/>
            </c:ext>
          </c:extLst>
        </c:ser>
        <c:ser>
          <c:idx val="1"/>
          <c:order val="1"/>
          <c:tx>
            <c:strRef>
              <c:f>'Algoritmos Malos'!$D$4</c:f>
              <c:strCache>
                <c:ptCount val="1"/>
                <c:pt idx="0">
                  <c:v>Inverso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'Algoritmos Malos'!$B$5:$B$12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'Algoritmos Malos'!$D$5:$D$12</c:f>
              <c:numCache>
                <c:formatCode>0.00</c:formatCode>
                <c:ptCount val="8"/>
                <c:pt idx="0">
                  <c:v>1.4785800000000002</c:v>
                </c:pt>
                <c:pt idx="1">
                  <c:v>5.9415700000000005</c:v>
                </c:pt>
                <c:pt idx="2">
                  <c:v>23.609000000000002</c:v>
                </c:pt>
                <c:pt idx="3">
                  <c:v>95.073000000000008</c:v>
                </c:pt>
                <c:pt idx="4">
                  <c:v>379.084</c:v>
                </c:pt>
                <c:pt idx="5">
                  <c:v>449.1</c:v>
                </c:pt>
                <c:pt idx="6" formatCode="General">
                  <c:v>1782.3400000000001</c:v>
                </c:pt>
                <c:pt idx="7" formatCode="General">
                  <c:v>7220.49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D6-40E3-BA82-1BACA5D4C4D3}"/>
            </c:ext>
          </c:extLst>
        </c:ser>
        <c:ser>
          <c:idx val="2"/>
          <c:order val="2"/>
          <c:tx>
            <c:strRef>
              <c:f>'Algoritmos Malos'!$E$4</c:f>
              <c:strCache>
                <c:ptCount val="1"/>
                <c:pt idx="0">
                  <c:v>Aleatorio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'Algoritmos Malos'!$B$5:$B$12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'Algoritmos Malos'!$E$5:$E$12</c:f>
              <c:numCache>
                <c:formatCode>General</c:formatCode>
                <c:ptCount val="8"/>
                <c:pt idx="0">
                  <c:v>0.38200000000000001</c:v>
                </c:pt>
                <c:pt idx="1">
                  <c:v>1.3129999999999999</c:v>
                </c:pt>
                <c:pt idx="2">
                  <c:v>5.234</c:v>
                </c:pt>
                <c:pt idx="3">
                  <c:v>21.426000000000002</c:v>
                </c:pt>
                <c:pt idx="4">
                  <c:v>85.664000000000001</c:v>
                </c:pt>
                <c:pt idx="5">
                  <c:v>345.47</c:v>
                </c:pt>
                <c:pt idx="6">
                  <c:v>1369.49</c:v>
                </c:pt>
                <c:pt idx="7">
                  <c:v>5602.4400000000005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D6-40E3-BA82-1BACA5D4C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055968"/>
        <c:axId val="1016904272"/>
      </c:scatterChart>
      <c:valAx>
        <c:axId val="117705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6904272"/>
        <c:crosses val="autoZero"/>
        <c:crossBetween val="midCat"/>
      </c:valAx>
      <c:valAx>
        <c:axId val="10169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705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Burbuja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'Algoritmos Malos'!$H$4</c:f>
              <c:strCache>
                <c:ptCount val="1"/>
                <c:pt idx="0">
                  <c:v>Ordenado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'Algoritmos Malos'!$G$5:$G$12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'Algoritmos Malos'!$H$5:$H$12</c:f>
              <c:numCache>
                <c:formatCode>0.00</c:formatCode>
                <c:ptCount val="8"/>
                <c:pt idx="0">
                  <c:v>0.56800000000000006</c:v>
                </c:pt>
                <c:pt idx="1">
                  <c:v>2.1829999999999998</c:v>
                </c:pt>
                <c:pt idx="2">
                  <c:v>8.9320000000000004</c:v>
                </c:pt>
                <c:pt idx="3">
                  <c:v>40.989000000000004</c:v>
                </c:pt>
                <c:pt idx="4">
                  <c:v>143.25300000000001</c:v>
                </c:pt>
                <c:pt idx="5" formatCode="General">
                  <c:v>587.86</c:v>
                </c:pt>
                <c:pt idx="6" formatCode="General">
                  <c:v>2277.9700000000003</c:v>
                </c:pt>
                <c:pt idx="7" formatCode="General">
                  <c:v>9065.9699999999993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69-4660-842D-15B8758940B2}"/>
            </c:ext>
          </c:extLst>
        </c:ser>
        <c:ser>
          <c:idx val="1"/>
          <c:order val="1"/>
          <c:tx>
            <c:strRef>
              <c:f>'Algoritmos Malos'!$I$4</c:f>
              <c:strCache>
                <c:ptCount val="1"/>
                <c:pt idx="0">
                  <c:v>Inverso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'Algoritmos Malos'!$G$5:$G$12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'Algoritmos Malos'!$I$5:$I$12</c:f>
              <c:numCache>
                <c:formatCode>General</c:formatCode>
                <c:ptCount val="8"/>
                <c:pt idx="0">
                  <c:v>1.34</c:v>
                </c:pt>
                <c:pt idx="1">
                  <c:v>4.2700000000000005</c:v>
                </c:pt>
                <c:pt idx="2">
                  <c:v>14.73</c:v>
                </c:pt>
                <c:pt idx="3">
                  <c:v>60.18</c:v>
                </c:pt>
                <c:pt idx="4">
                  <c:v>245.68</c:v>
                </c:pt>
                <c:pt idx="5">
                  <c:v>944.86</c:v>
                </c:pt>
                <c:pt idx="6">
                  <c:v>3783.12</c:v>
                </c:pt>
                <c:pt idx="7">
                  <c:v>15348.220000000001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69-4660-842D-15B8758940B2}"/>
            </c:ext>
          </c:extLst>
        </c:ser>
        <c:ser>
          <c:idx val="2"/>
          <c:order val="2"/>
          <c:tx>
            <c:strRef>
              <c:f>'Algoritmos Malos'!$J$4</c:f>
              <c:strCache>
                <c:ptCount val="1"/>
                <c:pt idx="0">
                  <c:v>Aleatorio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'Algoritmos Malos'!$G$5:$G$12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'Algoritmos Malos'!$J$5:$J$12</c:f>
              <c:numCache>
                <c:formatCode>General</c:formatCode>
                <c:ptCount val="8"/>
                <c:pt idx="0">
                  <c:v>1.49</c:v>
                </c:pt>
                <c:pt idx="1">
                  <c:v>6.8500000000000005</c:v>
                </c:pt>
                <c:pt idx="2">
                  <c:v>24.94</c:v>
                </c:pt>
                <c:pt idx="3">
                  <c:v>101.89</c:v>
                </c:pt>
                <c:pt idx="4">
                  <c:v>408.83</c:v>
                </c:pt>
                <c:pt idx="5">
                  <c:v>1658.27</c:v>
                </c:pt>
                <c:pt idx="6">
                  <c:v>6504.33</c:v>
                </c:pt>
                <c:pt idx="7">
                  <c:v>31156.850000000002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69-4660-842D-15B875894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687392"/>
        <c:axId val="1246404000"/>
      </c:scatterChart>
      <c:valAx>
        <c:axId val="124368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6404000"/>
        <c:crosses val="autoZero"/>
        <c:crossBetween val="midCat"/>
      </c:valAx>
      <c:valAx>
        <c:axId val="124640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368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Insercción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'Algoritmos Malos'!$M$4</c:f>
              <c:strCache>
                <c:ptCount val="1"/>
                <c:pt idx="0">
                  <c:v>Ordenado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'Algoritmos Malos'!$L$5:$L$12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'Algoritmos Malos'!$M$5:$M$12</c:f>
              <c:numCache>
                <c:formatCode>General</c:formatCode>
                <c:ptCount val="8"/>
                <c:pt idx="0">
                  <c:v>2.14E-4</c:v>
                </c:pt>
                <c:pt idx="1">
                  <c:v>5.3899999999999998E-4</c:v>
                </c:pt>
                <c:pt idx="2">
                  <c:v>1.3809999999999998E-3</c:v>
                </c:pt>
                <c:pt idx="3">
                  <c:v>2.8049999999999998E-3</c:v>
                </c:pt>
                <c:pt idx="4">
                  <c:v>5.5880000000000001E-3</c:v>
                </c:pt>
                <c:pt idx="5">
                  <c:v>1.111E-2</c:v>
                </c:pt>
                <c:pt idx="6">
                  <c:v>2.2256999999999999E-2</c:v>
                </c:pt>
                <c:pt idx="7">
                  <c:v>4.4717E-2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AD-4087-B1B7-90345DCD2E28}"/>
            </c:ext>
          </c:extLst>
        </c:ser>
        <c:ser>
          <c:idx val="1"/>
          <c:order val="1"/>
          <c:tx>
            <c:strRef>
              <c:f>'Algoritmos Malos'!$N$4</c:f>
              <c:strCache>
                <c:ptCount val="1"/>
                <c:pt idx="0">
                  <c:v>Inverso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'Algoritmos Malos'!$L$5:$L$12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'Algoritmos Malos'!$N$5:$N$12</c:f>
              <c:numCache>
                <c:formatCode>General</c:formatCode>
                <c:ptCount val="8"/>
                <c:pt idx="0">
                  <c:v>2.9799999999999998E-4</c:v>
                </c:pt>
                <c:pt idx="1">
                  <c:v>6.9499999999999998E-4</c:v>
                </c:pt>
                <c:pt idx="2">
                  <c:v>1.756E-3</c:v>
                </c:pt>
                <c:pt idx="3">
                  <c:v>4.2750000000000002E-3</c:v>
                </c:pt>
                <c:pt idx="4">
                  <c:v>1.1732999999999999E-2</c:v>
                </c:pt>
                <c:pt idx="5">
                  <c:v>3.6672999999999997E-2</c:v>
                </c:pt>
                <c:pt idx="6">
                  <c:v>0.124904</c:v>
                </c:pt>
                <c:pt idx="7">
                  <c:v>0.45960699999999999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AD-4087-B1B7-90345DCD2E28}"/>
            </c:ext>
          </c:extLst>
        </c:ser>
        <c:ser>
          <c:idx val="2"/>
          <c:order val="2"/>
          <c:tx>
            <c:strRef>
              <c:f>'Algoritmos Malos'!$O$4</c:f>
              <c:strCache>
                <c:ptCount val="1"/>
                <c:pt idx="0">
                  <c:v>Aleatorio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'Algoritmos Malos'!$L$5:$L$12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'Algoritmos Malos'!$O$5:$O$12</c:f>
              <c:numCache>
                <c:formatCode>General</c:formatCode>
                <c:ptCount val="8"/>
                <c:pt idx="0">
                  <c:v>2.8600000000000001E-4</c:v>
                </c:pt>
                <c:pt idx="1">
                  <c:v>6.3699999999999998E-4</c:v>
                </c:pt>
                <c:pt idx="2">
                  <c:v>1.5409999999999998E-3</c:v>
                </c:pt>
                <c:pt idx="3">
                  <c:v>3.5279999999999999E-3</c:v>
                </c:pt>
                <c:pt idx="4">
                  <c:v>8.5699999999999995E-3</c:v>
                </c:pt>
                <c:pt idx="5">
                  <c:v>2.3695999999999998E-2</c:v>
                </c:pt>
                <c:pt idx="6">
                  <c:v>7.3379E-2</c:v>
                </c:pt>
                <c:pt idx="7">
                  <c:v>0.252141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AD-4087-B1B7-90345DCD2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902240"/>
        <c:axId val="780810016"/>
      </c:scatterChart>
      <c:valAx>
        <c:axId val="117490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0810016"/>
        <c:crosses val="autoZero"/>
        <c:crossBetween val="midCat"/>
      </c:valAx>
      <c:valAx>
        <c:axId val="78081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90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Quicksort!$C$4</c:f>
              <c:strCache>
                <c:ptCount val="1"/>
                <c:pt idx="0">
                  <c:v>Ordenado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Quicksort!$B$5:$B$12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Quicksort!$C$5:$C$12</c:f>
              <c:numCache>
                <c:formatCode>0.00000</c:formatCode>
                <c:ptCount val="8"/>
                <c:pt idx="0">
                  <c:v>1.3679999999999999E-3</c:v>
                </c:pt>
                <c:pt idx="1">
                  <c:v>2.8369999999999997E-3</c:v>
                </c:pt>
                <c:pt idx="2">
                  <c:v>6.1059999999999994E-3</c:v>
                </c:pt>
                <c:pt idx="3">
                  <c:v>1.5854E-2</c:v>
                </c:pt>
                <c:pt idx="4">
                  <c:v>2.7188E-2</c:v>
                </c:pt>
                <c:pt idx="5">
                  <c:v>5.6342999999999997E-2</c:v>
                </c:pt>
                <c:pt idx="6">
                  <c:v>0.116451</c:v>
                </c:pt>
                <c:pt idx="7">
                  <c:v>0.24468799999999999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09-49C9-B5F5-94C20CC2C735}"/>
            </c:ext>
          </c:extLst>
        </c:ser>
        <c:ser>
          <c:idx val="1"/>
          <c:order val="1"/>
          <c:tx>
            <c:strRef>
              <c:f>Quicksort!$D$4</c:f>
              <c:strCache>
                <c:ptCount val="1"/>
                <c:pt idx="0">
                  <c:v>Inverso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Quicksort!$B$5:$B$12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Quicksort!$D$5:$D$12</c:f>
              <c:numCache>
                <c:formatCode>0.00000</c:formatCode>
                <c:ptCount val="8"/>
                <c:pt idx="0">
                  <c:v>1.467E-3</c:v>
                </c:pt>
                <c:pt idx="1">
                  <c:v>2.9299999999999999E-3</c:v>
                </c:pt>
                <c:pt idx="2">
                  <c:v>6.3679999999999995E-3</c:v>
                </c:pt>
                <c:pt idx="3">
                  <c:v>1.3509999999999999E-2</c:v>
                </c:pt>
                <c:pt idx="4">
                  <c:v>2.7525999999999998E-2</c:v>
                </c:pt>
                <c:pt idx="5">
                  <c:v>5.8929999999999996E-2</c:v>
                </c:pt>
                <c:pt idx="6">
                  <c:v>0.122888</c:v>
                </c:pt>
                <c:pt idx="7">
                  <c:v>0.24970499999999998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09-49C9-B5F5-94C20CC2C735}"/>
            </c:ext>
          </c:extLst>
        </c:ser>
        <c:ser>
          <c:idx val="2"/>
          <c:order val="2"/>
          <c:tx>
            <c:strRef>
              <c:f>Quicksort!$E$4</c:f>
              <c:strCache>
                <c:ptCount val="1"/>
                <c:pt idx="0">
                  <c:v>Aleatorio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Quicksort!$B$5:$B$12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</c:numCache>
            </c:numRef>
          </c:xVal>
          <c:yVal>
            <c:numRef>
              <c:f>Quicksort!$E$5:$E$12</c:f>
              <c:numCache>
                <c:formatCode>General</c:formatCode>
                <c:ptCount val="8"/>
                <c:pt idx="0">
                  <c:v>1.4519999999999999E-3</c:v>
                </c:pt>
                <c:pt idx="1">
                  <c:v>2.9729999999999999E-3</c:v>
                </c:pt>
                <c:pt idx="2">
                  <c:v>6.365E-3</c:v>
                </c:pt>
                <c:pt idx="3">
                  <c:v>1.3996999999999999E-2</c:v>
                </c:pt>
                <c:pt idx="4">
                  <c:v>3.0470999999999998E-2</c:v>
                </c:pt>
                <c:pt idx="5">
                  <c:v>6.5338999999999994E-2</c:v>
                </c:pt>
                <c:pt idx="6">
                  <c:v>0.14948899999999998</c:v>
                </c:pt>
                <c:pt idx="7">
                  <c:v>0.34435199999999999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09-49C9-B5F5-94C20CC2C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283536"/>
        <c:axId val="1246401920"/>
      </c:scatterChart>
      <c:valAx>
        <c:axId val="124128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6401920"/>
        <c:crosses val="autoZero"/>
        <c:crossBetween val="midCat"/>
      </c:valAx>
      <c:valAx>
        <c:axId val="12464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128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784860</xdr:colOff>
      <xdr:row>13</xdr:row>
      <xdr:rowOff>144780</xdr:rowOff>
    </xdr:from>
    <xdr:to>
      <xdr:col>10</xdr:col>
      <xdr:colOff>502920</xdr:colOff>
      <xdr:row>25</xdr:row>
      <xdr:rowOff>167640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0081DBA-C0A0-4AC2-9BF6-DF06737A9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754380</xdr:colOff>
      <xdr:row>13</xdr:row>
      <xdr:rowOff>129540</xdr:rowOff>
    </xdr:from>
    <xdr:to>
      <xdr:col>15</xdr:col>
      <xdr:colOff>175260</xdr:colOff>
      <xdr:row>25</xdr:row>
      <xdr:rowOff>167640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9885E62-74C5-416B-BD5F-982A1F5A6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754380</xdr:colOff>
      <xdr:row>26</xdr:row>
      <xdr:rowOff>152400</xdr:rowOff>
    </xdr:from>
    <xdr:to>
      <xdr:col>10</xdr:col>
      <xdr:colOff>518160</xdr:colOff>
      <xdr:row>39</xdr:row>
      <xdr:rowOff>137160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3B9CCFE-AEBA-49EC-A1A0-30C231126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1</xdr:row>
      <xdr:rowOff>175260</xdr:rowOff>
    </xdr:from>
    <xdr:to>
      <xdr:col>11</xdr:col>
      <xdr:colOff>624840</xdr:colOff>
      <xdr:row>16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D77FDE-F502-494B-B2FA-EF358B69D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ED962C-9096-468E-A126-5B85F2A291F6}" name="Tabla2" displayName="Tabla2" ref="B4:E12" totalsRowShown="0" headerRowDxfId="4">
  <autoFilter ref="B4:E12" xr:uid="{24BC0376-FD7D-4460-A617-EF0984E9EF42}"/>
  <tableColumns count="4">
    <tableColumn id="1" xr3:uid="{09246209-941E-4B2E-B1F9-E6C327C90986}" name="n"/>
    <tableColumn id="2" xr3:uid="{F294EE5E-EA07-4C5F-9C81-B7DBEE187610}" name="Ordenado"/>
    <tableColumn id="3" xr3:uid="{ABD309D4-061B-4B00-A3EA-5363F287B020}" name="Inverso"/>
    <tableColumn id="4" xr3:uid="{12CDD667-0A62-4B70-8299-E75FA6B11D9F}" name="Aleatorio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72FCA4-DDC5-481D-B79B-37E876DF7986}" name="Tabla3" displayName="Tabla3" ref="G4:J12" totalsRowShown="0" headerRowDxfId="3">
  <autoFilter ref="G4:J12" xr:uid="{B9CC4544-9E7A-4AAF-8BC4-93EA6AE04324}"/>
  <tableColumns count="4">
    <tableColumn id="1" xr3:uid="{A9004C0F-5655-4505-8585-6CE737C907FF}" name="n"/>
    <tableColumn id="2" xr3:uid="{D04ABE1C-B651-4FF1-979D-9BDC0E1243ED}" name="Ordenado"/>
    <tableColumn id="3" xr3:uid="{D967AC1F-FF9F-4EEF-AEFD-861FD3F785FD}" name="Inverso"/>
    <tableColumn id="4" xr3:uid="{65A66177-CDED-49C0-9915-7D21A038261E}" name="Aleatorio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DCC3E8-47D0-4723-9387-B5FA566EC7CE}" name="Tabla4" displayName="Tabla4" ref="L4:O12" totalsRowShown="0" headerRowDxfId="2">
  <autoFilter ref="L4:O12" xr:uid="{3FA3D3EA-D1C1-4133-9371-124667010E8A}"/>
  <tableColumns count="4">
    <tableColumn id="1" xr3:uid="{59F167E3-1DBB-4ABE-A1CD-603B4BB94E00}" name="n"/>
    <tableColumn id="2" xr3:uid="{1D771945-F8ED-45D4-8FA6-B2DBB8417506}" name="Ordenado"/>
    <tableColumn id="3" xr3:uid="{8AE927CE-740F-4DEF-9C96-D24D618A68A9}" name="Inverso"/>
    <tableColumn id="4" xr3:uid="{E751A9DE-5DC2-4CD9-8B6C-E97EE1334303}" name="Aleatorio"/>
  </tableColumns>
  <tableStyleInfo name="TableStyleMedium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99DDA6-66E1-4770-9F1D-6663F6C3CE75}" name="Tabla22" displayName="Tabla22" ref="B4:E12" totalsRowShown="0" headerRowDxfId="1">
  <autoFilter ref="B4:E12" xr:uid="{72F37F6E-193E-4E04-8FE7-13F191193057}"/>
  <tableColumns count="4">
    <tableColumn id="1" xr3:uid="{0F3D80EE-9CE5-4832-8616-C7FF4982C454}" name="n"/>
    <tableColumn id="2" xr3:uid="{772E333B-1D20-4321-A8FB-594C30B27B94}" name="Ordenado"/>
    <tableColumn id="3" xr3:uid="{A0D7843D-BE0B-44BE-B638-31AACDD7101B}" name="Inverso" dataDxfId="0"/>
    <tableColumn id="4" xr3:uid="{339A9FB6-E7B9-4E53-9B6B-73F2F4ECE26F}" name="Aleatorio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BF16-4928-4A51-A433-AFDB95FEA1D6}">
  <dimension ref="A3:O31"/>
  <sheetViews>
    <sheetView tabSelected="1" workbookViewId="0">
      <selection activeCell="F13" sqref="F13"/>
    </sheetView>
  </sheetViews>
  <sheetFormatPr baseColWidth="10" defaultRowHeight="14.4" x14ac:dyDescent="0.3"/>
  <sheetData>
    <row r="3" spans="1:15" x14ac:dyDescent="0.3">
      <c r="B3" s="25" t="s">
        <v>0</v>
      </c>
      <c r="C3" s="26"/>
      <c r="D3" s="26"/>
      <c r="E3" s="27"/>
      <c r="G3" s="25" t="s">
        <v>3</v>
      </c>
      <c r="H3" s="26"/>
      <c r="I3" s="26"/>
      <c r="J3" s="27"/>
      <c r="L3" s="25" t="s">
        <v>2</v>
      </c>
      <c r="M3" s="26"/>
      <c r="N3" s="26"/>
      <c r="O3" s="27"/>
    </row>
    <row r="4" spans="1:15" x14ac:dyDescent="0.3">
      <c r="B4" s="1" t="s">
        <v>1</v>
      </c>
      <c r="C4" s="1" t="s">
        <v>4</v>
      </c>
      <c r="D4" s="1" t="s">
        <v>5</v>
      </c>
      <c r="E4" s="1" t="s">
        <v>6</v>
      </c>
      <c r="G4" s="1" t="s">
        <v>1</v>
      </c>
      <c r="H4" s="1" t="s">
        <v>4</v>
      </c>
      <c r="I4" s="1" t="s">
        <v>5</v>
      </c>
      <c r="J4" s="1" t="s">
        <v>6</v>
      </c>
      <c r="L4" s="1" t="s">
        <v>1</v>
      </c>
      <c r="M4" s="1" t="s">
        <v>4</v>
      </c>
      <c r="N4" s="1" t="s">
        <v>5</v>
      </c>
      <c r="O4" s="1" t="s">
        <v>6</v>
      </c>
    </row>
    <row r="5" spans="1:15" x14ac:dyDescent="0.3">
      <c r="A5" s="2"/>
      <c r="B5">
        <v>10000</v>
      </c>
      <c r="C5" s="4">
        <f>28688*0.00001</f>
        <v>0.28688000000000002</v>
      </c>
      <c r="D5" s="4">
        <f>147858*0.00001</f>
        <v>1.4785800000000002</v>
      </c>
      <c r="E5">
        <f>382*0.001</f>
        <v>0.38200000000000001</v>
      </c>
      <c r="G5">
        <v>10000</v>
      </c>
      <c r="H5" s="4">
        <f>568*0.001</f>
        <v>0.56800000000000006</v>
      </c>
      <c r="I5">
        <f>134*0.01</f>
        <v>1.34</v>
      </c>
      <c r="J5">
        <f>149*0.01</f>
        <v>1.49</v>
      </c>
      <c r="L5">
        <v>10000</v>
      </c>
      <c r="M5">
        <f>214*0.000001</f>
        <v>2.14E-4</v>
      </c>
      <c r="N5">
        <f>298*0.000001</f>
        <v>2.9799999999999998E-4</v>
      </c>
      <c r="O5">
        <f>286*0.000001</f>
        <v>2.8600000000000001E-4</v>
      </c>
    </row>
    <row r="6" spans="1:15" x14ac:dyDescent="0.3">
      <c r="B6">
        <v>20000</v>
      </c>
      <c r="C6" s="4">
        <f>116360*0.00001</f>
        <v>1.1636000000000002</v>
      </c>
      <c r="D6" s="4">
        <f>594157*0.00001</f>
        <v>5.9415700000000005</v>
      </c>
      <c r="E6">
        <f>1313*0.001</f>
        <v>1.3129999999999999</v>
      </c>
      <c r="G6">
        <v>20000</v>
      </c>
      <c r="H6" s="4">
        <f>2183*0.001</f>
        <v>2.1829999999999998</v>
      </c>
      <c r="I6">
        <f>427*0.01</f>
        <v>4.2700000000000005</v>
      </c>
      <c r="J6">
        <f>685*0.01</f>
        <v>6.8500000000000005</v>
      </c>
      <c r="L6">
        <v>20000</v>
      </c>
      <c r="M6">
        <f>539*0.000001</f>
        <v>5.3899999999999998E-4</v>
      </c>
      <c r="N6">
        <f>695*0.000001</f>
        <v>6.9499999999999998E-4</v>
      </c>
      <c r="O6">
        <f>637*0.000001</f>
        <v>6.3699999999999998E-4</v>
      </c>
    </row>
    <row r="7" spans="1:15" x14ac:dyDescent="0.3">
      <c r="B7">
        <v>40000</v>
      </c>
      <c r="C7" s="4">
        <f>463086*0.00001</f>
        <v>4.6308600000000002</v>
      </c>
      <c r="D7" s="4">
        <f>23609*0.001</f>
        <v>23.609000000000002</v>
      </c>
      <c r="E7">
        <f>5234*0.001</f>
        <v>5.234</v>
      </c>
      <c r="G7">
        <v>40000</v>
      </c>
      <c r="H7" s="4">
        <f>8932*0.001</f>
        <v>8.9320000000000004</v>
      </c>
      <c r="I7">
        <f>1473*0.01</f>
        <v>14.73</v>
      </c>
      <c r="J7">
        <f>2494*0.01</f>
        <v>24.94</v>
      </c>
      <c r="L7">
        <v>40000</v>
      </c>
      <c r="M7">
        <f>1381*0.000001</f>
        <v>1.3809999999999998E-3</v>
      </c>
      <c r="N7">
        <f>1756*0.000001</f>
        <v>1.756E-3</v>
      </c>
      <c r="O7">
        <f>1541*0.000001</f>
        <v>1.5409999999999998E-3</v>
      </c>
    </row>
    <row r="8" spans="1:15" x14ac:dyDescent="0.3">
      <c r="A8" s="2"/>
      <c r="B8">
        <v>80000</v>
      </c>
      <c r="C8" s="4">
        <f>18937*0.001</f>
        <v>18.937000000000001</v>
      </c>
      <c r="D8" s="4">
        <f>95073*0.001</f>
        <v>95.073000000000008</v>
      </c>
      <c r="E8">
        <f>21426*0.001</f>
        <v>21.426000000000002</v>
      </c>
      <c r="G8">
        <v>80000</v>
      </c>
      <c r="H8" s="4">
        <f>40989*0.001</f>
        <v>40.989000000000004</v>
      </c>
      <c r="I8">
        <f>6018*0.01</f>
        <v>60.18</v>
      </c>
      <c r="J8">
        <f>10189*0.01</f>
        <v>101.89</v>
      </c>
      <c r="L8">
        <v>80000</v>
      </c>
      <c r="M8">
        <f>2805*0.000001</f>
        <v>2.8049999999999998E-3</v>
      </c>
      <c r="N8">
        <f>4275*0.000001</f>
        <v>4.2750000000000002E-3</v>
      </c>
      <c r="O8">
        <f>3528*0.000001</f>
        <v>3.5279999999999999E-3</v>
      </c>
    </row>
    <row r="9" spans="1:15" x14ac:dyDescent="0.3">
      <c r="B9">
        <v>160000</v>
      </c>
      <c r="C9" s="5">
        <f>76071*0.001</f>
        <v>76.070999999999998</v>
      </c>
      <c r="D9" s="4">
        <f>379084*0.001</f>
        <v>379.084</v>
      </c>
      <c r="E9">
        <f>85664*0.001</f>
        <v>85.664000000000001</v>
      </c>
      <c r="G9">
        <v>160000</v>
      </c>
      <c r="H9" s="4">
        <f>143253*0.001</f>
        <v>143.25300000000001</v>
      </c>
      <c r="I9">
        <f>24568*0.01</f>
        <v>245.68</v>
      </c>
      <c r="J9">
        <f>40883*0.01</f>
        <v>408.83</v>
      </c>
      <c r="L9">
        <v>160000</v>
      </c>
      <c r="M9">
        <f>5588*0.000001</f>
        <v>5.5880000000000001E-3</v>
      </c>
      <c r="N9">
        <f>11733*0.000001</f>
        <v>1.1732999999999999E-2</v>
      </c>
      <c r="O9">
        <f>8570*0.000001</f>
        <v>8.5699999999999995E-3</v>
      </c>
    </row>
    <row r="10" spans="1:15" x14ac:dyDescent="0.3">
      <c r="A10" s="2"/>
      <c r="B10">
        <v>320000</v>
      </c>
      <c r="C10" s="4">
        <f>31390*0.01</f>
        <v>313.90000000000003</v>
      </c>
      <c r="D10" s="4">
        <f>44910*0.01</f>
        <v>449.1</v>
      </c>
      <c r="E10">
        <f>34547*0.01</f>
        <v>345.47</v>
      </c>
      <c r="G10">
        <v>320000</v>
      </c>
      <c r="H10">
        <f>58786*0.01</f>
        <v>587.86</v>
      </c>
      <c r="I10">
        <f>94486*0.01</f>
        <v>944.86</v>
      </c>
      <c r="J10">
        <f>165827*0.01</f>
        <v>1658.27</v>
      </c>
      <c r="L10">
        <v>320000</v>
      </c>
      <c r="M10">
        <f>11110*0.000001</f>
        <v>1.111E-2</v>
      </c>
      <c r="N10">
        <f>36673*0.000001</f>
        <v>3.6672999999999997E-2</v>
      </c>
      <c r="O10">
        <f>23696*0.000001</f>
        <v>2.3695999999999998E-2</v>
      </c>
    </row>
    <row r="11" spans="1:15" x14ac:dyDescent="0.3">
      <c r="B11">
        <v>640000</v>
      </c>
      <c r="C11" s="4">
        <f>122410*0.01</f>
        <v>1224.1000000000001</v>
      </c>
      <c r="D11">
        <f>178234*0.01</f>
        <v>1782.3400000000001</v>
      </c>
      <c r="E11">
        <f>136949*0.01</f>
        <v>1369.49</v>
      </c>
      <c r="G11">
        <v>640000</v>
      </c>
      <c r="H11">
        <f>227797*0.01</f>
        <v>2277.9700000000003</v>
      </c>
      <c r="I11">
        <f>378312*0.01</f>
        <v>3783.12</v>
      </c>
      <c r="J11">
        <f>650433*0.01</f>
        <v>6504.33</v>
      </c>
      <c r="L11">
        <v>640000</v>
      </c>
      <c r="M11">
        <f>22257*0.000001</f>
        <v>2.2256999999999999E-2</v>
      </c>
      <c r="N11">
        <f>124904*0.000001</f>
        <v>0.124904</v>
      </c>
      <c r="O11">
        <f>73379*0.000001</f>
        <v>7.3379E-2</v>
      </c>
    </row>
    <row r="12" spans="1:15" x14ac:dyDescent="0.3">
      <c r="B12" s="3">
        <v>1280000</v>
      </c>
      <c r="C12" s="3">
        <f>491661*0.01</f>
        <v>4916.6099999999997</v>
      </c>
      <c r="D12" s="3">
        <f>722049*0.01</f>
        <v>7220.49</v>
      </c>
      <c r="E12" s="3">
        <f>560244*0.01</f>
        <v>5602.4400000000005</v>
      </c>
      <c r="G12">
        <v>1280000</v>
      </c>
      <c r="H12">
        <f>906597*0.01</f>
        <v>9065.9699999999993</v>
      </c>
      <c r="I12">
        <f>1534822*0.01</f>
        <v>15348.220000000001</v>
      </c>
      <c r="J12">
        <f>3115685*0.01</f>
        <v>31156.850000000002</v>
      </c>
      <c r="L12">
        <v>1280000</v>
      </c>
      <c r="M12">
        <f>44717*0.000001</f>
        <v>4.4717E-2</v>
      </c>
      <c r="N12">
        <f>459607*0.000001</f>
        <v>0.45960699999999999</v>
      </c>
      <c r="O12">
        <f>252141*0.000001</f>
        <v>0.252141</v>
      </c>
    </row>
    <row r="13" spans="1:15" x14ac:dyDescent="0.3">
      <c r="A13" s="2"/>
    </row>
    <row r="15" spans="1:15" x14ac:dyDescent="0.3">
      <c r="B15" s="28" t="s">
        <v>7</v>
      </c>
      <c r="C15" s="28"/>
      <c r="D15" s="28"/>
      <c r="E15" s="28"/>
    </row>
    <row r="16" spans="1:15" x14ac:dyDescent="0.3">
      <c r="B16" s="28"/>
      <c r="C16" s="28"/>
      <c r="D16" s="28"/>
      <c r="E16" s="28"/>
    </row>
    <row r="17" spans="1:5" x14ac:dyDescent="0.3">
      <c r="B17" s="3"/>
      <c r="C17" s="3"/>
      <c r="D17" s="3"/>
      <c r="E17" s="3"/>
    </row>
    <row r="18" spans="1:5" ht="14.4" customHeight="1" x14ac:dyDescent="0.3">
      <c r="A18" s="2"/>
      <c r="B18" s="29" t="s">
        <v>14</v>
      </c>
      <c r="C18" s="29"/>
      <c r="D18" s="29"/>
      <c r="E18" s="29"/>
    </row>
    <row r="19" spans="1:5" x14ac:dyDescent="0.3">
      <c r="B19" s="29"/>
      <c r="C19" s="29"/>
      <c r="D19" s="29"/>
      <c r="E19" s="29"/>
    </row>
    <row r="20" spans="1:5" ht="14.4" customHeight="1" x14ac:dyDescent="0.3">
      <c r="B20" s="29"/>
      <c r="C20" s="29"/>
      <c r="D20" s="29"/>
      <c r="E20" s="29"/>
    </row>
    <row r="21" spans="1:5" ht="14.4" customHeight="1" x14ac:dyDescent="0.3">
      <c r="B21" s="29"/>
      <c r="C21" s="29"/>
      <c r="D21" s="29"/>
      <c r="E21" s="29"/>
    </row>
    <row r="22" spans="1:5" x14ac:dyDescent="0.3">
      <c r="B22" s="29"/>
      <c r="C22" s="29"/>
      <c r="D22" s="29"/>
      <c r="E22" s="29"/>
    </row>
    <row r="24" spans="1:5" ht="14.4" customHeight="1" x14ac:dyDescent="0.3">
      <c r="B24" s="19" t="s">
        <v>10</v>
      </c>
      <c r="C24" s="20"/>
      <c r="D24" s="20"/>
      <c r="E24" s="21"/>
    </row>
    <row r="25" spans="1:5" x14ac:dyDescent="0.3">
      <c r="B25" s="22"/>
      <c r="C25" s="23"/>
      <c r="D25" s="23"/>
      <c r="E25" s="24"/>
    </row>
    <row r="27" spans="1:5" x14ac:dyDescent="0.3">
      <c r="B27" s="19" t="s">
        <v>8</v>
      </c>
      <c r="C27" s="20"/>
      <c r="D27" s="20"/>
      <c r="E27" s="21"/>
    </row>
    <row r="28" spans="1:5" x14ac:dyDescent="0.3">
      <c r="B28" s="22"/>
      <c r="C28" s="23"/>
      <c r="D28" s="23"/>
      <c r="E28" s="24"/>
    </row>
    <row r="30" spans="1:5" x14ac:dyDescent="0.3">
      <c r="B30" s="19" t="s">
        <v>9</v>
      </c>
      <c r="C30" s="20"/>
      <c r="D30" s="20"/>
      <c r="E30" s="21"/>
    </row>
    <row r="31" spans="1:5" x14ac:dyDescent="0.3">
      <c r="B31" s="22"/>
      <c r="C31" s="23"/>
      <c r="D31" s="23"/>
      <c r="E31" s="24"/>
    </row>
  </sheetData>
  <mergeCells count="8">
    <mergeCell ref="B27:E28"/>
    <mergeCell ref="B30:E31"/>
    <mergeCell ref="B3:E3"/>
    <mergeCell ref="L3:O3"/>
    <mergeCell ref="G3:J3"/>
    <mergeCell ref="B15:E16"/>
    <mergeCell ref="B24:E25"/>
    <mergeCell ref="B18:E22"/>
  </mergeCells>
  <pageMargins left="0.7" right="0.7" top="0.75" bottom="0.75" header="0.3" footer="0.3"/>
  <pageSetup paperSize="9" orientation="portrait" horizontalDpi="300" verticalDpi="300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7CD6D-CD77-49D7-90E1-1F3CC2FFFF01}">
  <dimension ref="B2:P25"/>
  <sheetViews>
    <sheetView workbookViewId="0">
      <selection activeCell="B15" sqref="B15:E16"/>
    </sheetView>
  </sheetViews>
  <sheetFormatPr baseColWidth="10" defaultRowHeight="14.4" x14ac:dyDescent="0.3"/>
  <sheetData>
    <row r="2" spans="2:16" x14ac:dyDescent="0.3">
      <c r="G2" s="3"/>
      <c r="H2" s="3"/>
      <c r="I2" s="8"/>
      <c r="L2" s="8"/>
      <c r="M2" s="3"/>
      <c r="N2" s="8"/>
      <c r="O2" s="8"/>
    </row>
    <row r="3" spans="2:16" x14ac:dyDescent="0.3">
      <c r="B3" s="25" t="s">
        <v>11</v>
      </c>
      <c r="C3" s="26"/>
      <c r="D3" s="26"/>
      <c r="E3" s="27"/>
      <c r="G3" s="14"/>
      <c r="H3" s="14"/>
      <c r="I3" s="14"/>
      <c r="J3" s="12"/>
      <c r="K3" s="13"/>
      <c r="L3" s="11"/>
      <c r="M3" s="15"/>
      <c r="N3" s="14"/>
      <c r="O3" s="9"/>
      <c r="P3" s="7"/>
    </row>
    <row r="4" spans="2:16" x14ac:dyDescent="0.3">
      <c r="B4" s="1" t="s">
        <v>1</v>
      </c>
      <c r="C4" s="1" t="s">
        <v>4</v>
      </c>
      <c r="D4" s="1" t="s">
        <v>5</v>
      </c>
      <c r="E4" s="1" t="s">
        <v>6</v>
      </c>
      <c r="G4" s="1"/>
      <c r="H4" s="1"/>
      <c r="I4" s="10"/>
      <c r="J4" s="10"/>
      <c r="L4" s="10"/>
      <c r="M4" s="10"/>
      <c r="N4" s="1"/>
      <c r="O4" s="10"/>
    </row>
    <row r="5" spans="2:16" x14ac:dyDescent="0.3">
      <c r="B5">
        <v>10000</v>
      </c>
      <c r="C5" s="17">
        <f>1368*0.000001</f>
        <v>1.3679999999999999E-3</v>
      </c>
      <c r="D5" s="17">
        <f>1467*0.000001</f>
        <v>1.467E-3</v>
      </c>
      <c r="E5">
        <f>1452*0.000001</f>
        <v>1.4519999999999999E-3</v>
      </c>
      <c r="H5" s="4"/>
      <c r="I5" s="4"/>
      <c r="M5" s="4"/>
      <c r="N5" s="4"/>
    </row>
    <row r="6" spans="2:16" x14ac:dyDescent="0.3">
      <c r="B6">
        <v>20000</v>
      </c>
      <c r="C6" s="17">
        <f>2837*0.000001</f>
        <v>2.8369999999999997E-3</v>
      </c>
      <c r="D6" s="17">
        <f>2930*0.000001</f>
        <v>2.9299999999999999E-3</v>
      </c>
      <c r="E6">
        <f>2973*0.000001</f>
        <v>2.9729999999999999E-3</v>
      </c>
      <c r="H6" s="4"/>
      <c r="I6" s="4"/>
      <c r="M6" s="4"/>
      <c r="N6" s="16"/>
    </row>
    <row r="7" spans="2:16" x14ac:dyDescent="0.3">
      <c r="B7">
        <v>40000</v>
      </c>
      <c r="C7" s="17">
        <f>6106*0.000001</f>
        <v>6.1059999999999994E-3</v>
      </c>
      <c r="D7" s="17">
        <f>6368*0.000001</f>
        <v>6.3679999999999995E-3</v>
      </c>
      <c r="E7">
        <f>6365*0.000001</f>
        <v>6.365E-3</v>
      </c>
      <c r="H7" s="4"/>
      <c r="I7" s="4"/>
      <c r="M7" s="4"/>
      <c r="N7" s="4"/>
    </row>
    <row r="8" spans="2:16" x14ac:dyDescent="0.3">
      <c r="B8">
        <v>80000</v>
      </c>
      <c r="C8" s="17">
        <f>15854*0.000001</f>
        <v>1.5854E-2</v>
      </c>
      <c r="D8" s="17">
        <f>13510*0.000001</f>
        <v>1.3509999999999999E-2</v>
      </c>
      <c r="E8">
        <f>13997*0.000001</f>
        <v>1.3996999999999999E-2</v>
      </c>
      <c r="H8" s="4"/>
      <c r="I8" s="4"/>
      <c r="M8" s="4"/>
      <c r="N8" s="4"/>
    </row>
    <row r="9" spans="2:16" x14ac:dyDescent="0.3">
      <c r="B9">
        <v>160000</v>
      </c>
      <c r="C9" s="18">
        <f>27188*0.000001</f>
        <v>2.7188E-2</v>
      </c>
      <c r="D9" s="17">
        <f>27526*0.000001</f>
        <v>2.7525999999999998E-2</v>
      </c>
      <c r="E9">
        <f>30471*0.000001</f>
        <v>3.0470999999999998E-2</v>
      </c>
      <c r="H9" s="5"/>
      <c r="I9" s="4"/>
      <c r="M9" s="5"/>
      <c r="N9" s="4"/>
    </row>
    <row r="10" spans="2:16" x14ac:dyDescent="0.3">
      <c r="B10">
        <v>320000</v>
      </c>
      <c r="C10" s="17">
        <f>56343*0.000001</f>
        <v>5.6342999999999997E-2</v>
      </c>
      <c r="D10" s="17">
        <f>58930*0.000001</f>
        <v>5.8929999999999996E-2</v>
      </c>
      <c r="E10">
        <f>65339*0.000001</f>
        <v>6.5338999999999994E-2</v>
      </c>
      <c r="H10" s="4"/>
      <c r="I10" s="4"/>
      <c r="M10" s="4"/>
      <c r="N10" s="4"/>
    </row>
    <row r="11" spans="2:16" x14ac:dyDescent="0.3">
      <c r="B11">
        <v>640000</v>
      </c>
      <c r="C11" s="17">
        <f>116451*0.000001</f>
        <v>0.116451</v>
      </c>
      <c r="D11" s="17">
        <f>122888*0.000001</f>
        <v>0.122888</v>
      </c>
      <c r="E11">
        <f>149489*0.000001</f>
        <v>0.14948899999999998</v>
      </c>
      <c r="H11" s="4"/>
      <c r="M11" s="4"/>
    </row>
    <row r="12" spans="2:16" x14ac:dyDescent="0.3">
      <c r="B12" s="3">
        <v>1280000</v>
      </c>
      <c r="C12" s="18">
        <f>244688*0.000001</f>
        <v>0.24468799999999999</v>
      </c>
      <c r="D12" s="18">
        <f>249705*0.000001</f>
        <v>0.24970499999999998</v>
      </c>
      <c r="E12" s="3">
        <f>344352*0.000001</f>
        <v>0.34435199999999999</v>
      </c>
      <c r="G12" s="3"/>
      <c r="H12" s="3"/>
      <c r="I12" s="3"/>
      <c r="J12" s="3"/>
      <c r="L12" s="3"/>
      <c r="M12" s="3"/>
      <c r="N12" s="3"/>
      <c r="O12" s="3"/>
    </row>
    <row r="13" spans="2:16" x14ac:dyDescent="0.3">
      <c r="E13" s="6"/>
    </row>
    <row r="15" spans="2:16" x14ac:dyDescent="0.3">
      <c r="B15" s="31" t="s">
        <v>12</v>
      </c>
      <c r="C15" s="31"/>
      <c r="D15" s="31"/>
      <c r="E15" s="31"/>
    </row>
    <row r="16" spans="2:16" x14ac:dyDescent="0.3">
      <c r="B16" s="31"/>
      <c r="C16" s="31"/>
      <c r="D16" s="31"/>
      <c r="E16" s="31"/>
    </row>
    <row r="18" spans="2:11" x14ac:dyDescent="0.3">
      <c r="B18" s="32" t="s">
        <v>16</v>
      </c>
      <c r="C18" s="33"/>
      <c r="D18" s="33"/>
      <c r="E18" s="34"/>
    </row>
    <row r="19" spans="2:11" x14ac:dyDescent="0.3">
      <c r="B19" s="35"/>
      <c r="C19" s="36"/>
      <c r="D19" s="36"/>
      <c r="E19" s="37"/>
    </row>
    <row r="20" spans="2:11" x14ac:dyDescent="0.3">
      <c r="G20" s="31" t="s">
        <v>17</v>
      </c>
      <c r="H20" s="31"/>
      <c r="I20" s="31"/>
      <c r="J20" s="31"/>
      <c r="K20" s="31"/>
    </row>
    <row r="21" spans="2:11" x14ac:dyDescent="0.3">
      <c r="B21" s="30" t="s">
        <v>15</v>
      </c>
      <c r="C21" s="30"/>
      <c r="D21" s="30"/>
      <c r="E21" s="30"/>
      <c r="G21" s="31"/>
      <c r="H21" s="31"/>
      <c r="I21" s="31"/>
      <c r="J21" s="31"/>
      <c r="K21" s="31"/>
    </row>
    <row r="22" spans="2:11" x14ac:dyDescent="0.3">
      <c r="B22" s="30"/>
      <c r="C22" s="30"/>
      <c r="D22" s="30"/>
      <c r="E22" s="30"/>
      <c r="G22" s="31"/>
      <c r="H22" s="31"/>
      <c r="I22" s="31"/>
      <c r="J22" s="31"/>
      <c r="K22" s="31"/>
    </row>
    <row r="24" spans="2:11" x14ac:dyDescent="0.3">
      <c r="B24" s="30" t="s">
        <v>13</v>
      </c>
      <c r="C24" s="30"/>
      <c r="D24" s="30"/>
      <c r="E24" s="30"/>
    </row>
    <row r="25" spans="2:11" x14ac:dyDescent="0.3">
      <c r="B25" s="30"/>
      <c r="C25" s="30"/>
      <c r="D25" s="30"/>
      <c r="E25" s="30"/>
    </row>
  </sheetData>
  <mergeCells count="6">
    <mergeCell ref="B24:E25"/>
    <mergeCell ref="G20:K22"/>
    <mergeCell ref="B3:E3"/>
    <mergeCell ref="B15:E16"/>
    <mergeCell ref="B18:E19"/>
    <mergeCell ref="B21:E2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Algoritmos Malos</vt:lpstr>
      <vt:lpstr>Quicksort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msame</dc:creator>
  <cp:lastModifiedBy>msame</cp:lastModifiedBy>
  <dcterms:created xsi:type="dcterms:W3CDTF">2020-02-25T14:51:11Z</dcterms:created>
  <dcterms:modified xsi:type="dcterms:W3CDTF">2020-02-28T15:56:41Z</dcterms:modified>
</cp:coreProperties>
</file>