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w71377\Downloads\"/>
    </mc:Choice>
  </mc:AlternateContent>
  <xr:revisionPtr revIDLastSave="0" documentId="13_ncr:1_{DA932FB4-6F42-4E5B-8557-817D710975F1}" xr6:coauthVersionLast="36" xr6:coauthVersionMax="47" xr10:uidLastSave="{00000000-0000-0000-0000-000000000000}"/>
  <bookViews>
    <workbookView xWindow="0" yWindow="0" windowWidth="19200" windowHeight="11385" activeTab="4" xr2:uid="{07698564-2BCD-4C08-A4D3-7614F053D8E5}"/>
  </bookViews>
  <sheets>
    <sheet name="Cw0" sheetId="2" r:id="rId1"/>
    <sheet name="Cw3" sheetId="1" r:id="rId2"/>
    <sheet name="Cw4" sheetId="3" r:id="rId3"/>
    <sheet name="Cw5" sheetId="4" r:id="rId4"/>
    <sheet name="Cw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5" l="1"/>
  <c r="H35" i="5"/>
  <c r="R9" i="5"/>
  <c r="R8" i="5"/>
  <c r="I7" i="5"/>
  <c r="G7" i="5"/>
  <c r="O7" i="5"/>
  <c r="R7" i="5"/>
  <c r="G11" i="4" l="1"/>
  <c r="H7" i="4"/>
  <c r="H6" i="4"/>
  <c r="J6" i="4" s="1"/>
  <c r="N6" i="4" s="1"/>
  <c r="G10" i="4"/>
  <c r="J10" i="4" s="1"/>
  <c r="J14" i="4"/>
  <c r="N14" i="4" s="1"/>
  <c r="D35" i="5"/>
  <c r="D34" i="5"/>
  <c r="F34" i="5" s="1"/>
  <c r="G18" i="5"/>
  <c r="G19" i="5"/>
  <c r="G20" i="5"/>
  <c r="G21" i="5"/>
  <c r="G22" i="5"/>
  <c r="G23" i="5"/>
  <c r="G24" i="5"/>
  <c r="G25" i="5"/>
  <c r="G26" i="5"/>
  <c r="G17" i="5"/>
  <c r="O17" i="5" s="1"/>
  <c r="I8" i="5"/>
  <c r="O8" i="5"/>
  <c r="G8" i="5" s="1"/>
  <c r="C23" i="4" l="1"/>
  <c r="C28" i="4" s="1"/>
  <c r="P6" i="4" s="1"/>
  <c r="D23" i="4"/>
  <c r="D28" i="4" s="1"/>
  <c r="P10" i="4" s="1"/>
  <c r="E28" i="4"/>
  <c r="P14" i="4" s="1"/>
  <c r="N10" i="4"/>
  <c r="D33" i="5"/>
  <c r="F33" i="5" s="1"/>
  <c r="H86" i="3"/>
  <c r="I86" i="3" s="1"/>
  <c r="C24" i="2" l="1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l="1"/>
  <c r="K5" i="3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<sst xmlns="http://schemas.openxmlformats.org/spreadsheetml/2006/main" count="127" uniqueCount="103">
  <si>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</si>
  <si>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</si>
  <si>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</si>
  <si>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</si>
  <si>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</si>
  <si>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</si>
  <si>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</si>
  <si>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</si>
  <si>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</si>
  <si>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</si>
  <si>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</si>
  <si>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</si>
  <si>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</si>
  <si>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</si>
  <si>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</si>
  <si>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</si>
  <si>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</si>
  <si>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</si>
  <si>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</si>
  <si>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</si>
  <si>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</si>
  <si>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</si>
  <si>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</si>
  <si>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</si>
  <si>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</si>
  <si>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</si>
  <si>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</si>
  <si>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</si>
  <si>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</si>
  <si>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</si>
  <si>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</si>
  <si>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</si>
  <si>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</si>
  <si>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</si>
  <si>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</si>
  <si>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</si>
  <si>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</si>
  <si>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</si>
  <si>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</si>
  <si>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</si>
  <si>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</si>
  <si>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</si>
  <si>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</si>
  <si>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</si>
  <si>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</si>
  <si>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</si>
  <si>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</si>
  <si>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</si>
  <si>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</si>
  <si>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</si>
  <si>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</si>
  <si>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</si>
  <si>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</si>
  <si>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</si>
  <si>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</si>
  <si>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</si>
  <si>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</si>
  <si>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</si>
  <si>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</si>
  <si>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</si>
  <si>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</si>
  <si>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</si>
  <si>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</si>
  <si>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</si>
  <si>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</si>
  <si>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</si>
  <si>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</si>
  <si>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</si>
  <si>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</si>
  <si>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</si>
  <si>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</si>
  <si>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</si>
  <si>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Niepewnośc gęstości Prost.</t>
  </si>
  <si>
    <t>Niepewnośc gęstości Walca</t>
  </si>
  <si>
    <t>Niepewnośc gęstości Nieregularny</t>
  </si>
  <si>
    <t>Niepewność Prost. Obj</t>
  </si>
  <si>
    <t>Niepewność Walca Obj</t>
  </si>
  <si>
    <t>Rz, szer. Pomiar</t>
  </si>
  <si>
    <t>Rz, szer. Teoria</t>
  </si>
  <si>
    <t>Rz, rown. Pomiar</t>
  </si>
  <si>
    <t>Rz, rown. Teoria</t>
  </si>
  <si>
    <t>Szeregowo</t>
  </si>
  <si>
    <t>Rownolegle</t>
  </si>
  <si>
    <t>R1 Ω</t>
  </si>
  <si>
    <t>R2 Ω</t>
  </si>
  <si>
    <t>Ω</t>
  </si>
  <si>
    <t>Lp.</t>
  </si>
  <si>
    <t>U[V]</t>
  </si>
  <si>
    <t>R[Ω]</t>
  </si>
  <si>
    <t>I(układu)</t>
  </si>
  <si>
    <t>∆U</t>
  </si>
  <si>
    <t>1mA=0.001A</t>
  </si>
  <si>
    <t>I[A]</t>
  </si>
  <si>
    <t>Błąd bezwzgledny</t>
  </si>
  <si>
    <t>Błąd względny</t>
  </si>
  <si>
    <t>a)</t>
  </si>
  <si>
    <t>%</t>
  </si>
  <si>
    <t>b) nap</t>
  </si>
  <si>
    <t>b) nat</t>
  </si>
  <si>
    <t>Teoria [V]</t>
  </si>
  <si>
    <t>Teoria [A]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</si>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</sst>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1"/>
    <xf numFmtId="2" fontId="0" fillId="0" borderId="1" xfId="0" applyNumberFormat="1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2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I=f(U)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'Cw1'!$E$17:$E$21</c:f>
              <c:numCache>
                <c:formatCode>General</c:formatCode>
                <c:ptCount val="5"/>
                <c:pt idx="0">
                  <c:v>2.78</c:v>
                </c:pt>
                <c:pt idx="1">
                  <c:v>3.7</c:v>
                </c:pt>
                <c:pt idx="2">
                  <c:v>4.63</c:v>
                </c:pt>
                <c:pt idx="3">
                  <c:v>5.55</c:v>
                </c:pt>
                <c:pt idx="4">
                  <c:v>6.49</c:v>
                </c:pt>
              </c:numCache>
            </c:numRef>
          </c:xVal>
          <c:yVal>
            <c:numRef>
              <c:f>'Cw1'!$F$17:$F$21</c:f>
              <c:numCache>
                <c:formatCode>General</c:formatCode>
                <c:ptCount val="5"/>
                <c:pt idx="0">
                  <c:v>1.6100000000000001E-4</c:v>
                </c:pt>
                <c:pt idx="1">
                  <c:v>2.1499999999999999E-4</c:v>
                </c:pt>
                <c:pt idx="2">
                  <c:v>2.7099999999999997E-4</c:v>
                </c:pt>
                <c:pt idx="3">
                  <c:v>3.21E-4</c:v>
                </c:pt>
                <c:pt idx="4">
                  <c:v>3.7599999999999998E-4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8-492E-AC92-FE685030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153631"/>
        <c:axId val="1343154591"/>
      </c:scatterChart>
      <c:valAx>
        <c:axId val="134315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f(U)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4591"/>
        <c:crosses val="autoZero"/>
        <c:crossBetween val="midCat"/>
      </c:valAx>
      <c:valAx>
        <c:axId val="13431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15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1057275</xdr:colOff>
      <xdr:row>13</xdr:row>
      <xdr:rowOff>109537</xdr:rowOff>
    </xdr:from>
    <xdr:to>
      <xdr:col>17</xdr:col>
      <xdr:colOff>247650</xdr:colOff>
      <xdr:row>27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0E05A-BFB2-41FD-714E-1D5F9882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rtizono.com/pl/wykres-gestosci-metalu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4.25"/>
  <sheetData>
    <row r="2" spans="2:19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>
      <c r="E13" t="s">
        <v>27</v>
      </c>
      <c r="F13">
        <f>SUM(F3:F12)</f>
        <v>22.400000000000002</v>
      </c>
    </row>
    <row r="14" spans="2:19">
      <c r="E14" t="s">
        <v>28</v>
      </c>
      <c r="F14">
        <f>SQRT(F13/(10*(10-1)))</f>
        <v>0.49888765156985887</v>
      </c>
      <c r="G14">
        <f>- 0.5</f>
        <v>-0.5</v>
      </c>
    </row>
    <row r="17" spans="2:13">
      <c r="C17" t="s">
        <v>29</v>
      </c>
    </row>
    <row r="18" spans="2:13">
      <c r="C18" t="s">
        <v>33</v>
      </c>
    </row>
    <row r="20" spans="2:13">
      <c r="C20" t="s">
        <v>30</v>
      </c>
      <c r="D20">
        <v>0.999</v>
      </c>
    </row>
    <row r="21" spans="2:13">
      <c r="D21" t="s">
        <v>36</v>
      </c>
      <c r="F21" t="s">
        <v>35</v>
      </c>
      <c r="H21">
        <f>4.781 * 0.5</f>
        <v>2.3904999999999998</v>
      </c>
    </row>
    <row r="22" spans="2:13">
      <c r="C22" t="s">
        <v>34</v>
      </c>
      <c r="D22" t="s">
        <v>37</v>
      </c>
    </row>
    <row r="24" spans="2:13">
      <c r="B24" t="s">
        <v>31</v>
      </c>
      <c r="C24">
        <f xml:space="preserve"> 2.252 *0.5</f>
        <v>1.1259999999999999</v>
      </c>
    </row>
    <row r="25" spans="2:13">
      <c r="B25" t="s">
        <v>56</v>
      </c>
    </row>
    <row r="28" spans="2:13">
      <c r="B28" t="s">
        <v>32</v>
      </c>
      <c r="C28">
        <f>0.1/2*( SQRT(3))</f>
        <v>8.6602540378443865E-2</v>
      </c>
      <c r="E28">
        <f>SQRT(3)</f>
        <v>1.7320508075688772</v>
      </c>
    </row>
    <row r="29" spans="2:13">
      <c r="C29">
        <v>5.8000000000000003E-2</v>
      </c>
      <c r="E29">
        <f>2*E28</f>
        <v>3.4641016151377544</v>
      </c>
    </row>
    <row r="30" spans="2:13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4.25"/>
  <cols>
    <col min="5" max="5" width="9.375" bestFit="1" customWidth="1"/>
  </cols>
  <sheetData>
    <row r="5" spans="5: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>
      <c r="Y28">
        <f>(N28-$E$33)^2</f>
        <v>30098144.025008153</v>
      </c>
    </row>
    <row r="29" spans="5:25">
      <c r="L29" t="s">
        <v>18</v>
      </c>
    </row>
    <row r="30" spans="5:25">
      <c r="L30">
        <v>7</v>
      </c>
      <c r="P30">
        <f>1/(L30*(L30-1))</f>
        <v>2.3809523809523808E-2</v>
      </c>
      <c r="Y30" t="s">
        <v>20</v>
      </c>
    </row>
    <row r="31" spans="5:25">
      <c r="Y31">
        <f>SUM(Y7:Y28)</f>
        <v>84427511.105919182</v>
      </c>
    </row>
    <row r="32" spans="5:25">
      <c r="E32" t="s">
        <v>16</v>
      </c>
      <c r="F32" t="s">
        <v>17</v>
      </c>
      <c r="Q32">
        <f>P30*Y31</f>
        <v>2010178.8358552186</v>
      </c>
    </row>
    <row r="33" spans="5:6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topLeftCell="A10" workbookViewId="0">
      <selection activeCell="H33" sqref="H33"/>
    </sheetView>
  </sheetViews>
  <sheetFormatPr defaultRowHeight="14.25"/>
  <cols>
    <col min="3" max="3" width="10.625" customWidth="1"/>
    <col min="5" max="5" width="11.375" customWidth="1"/>
    <col min="6" max="6" width="12" customWidth="1"/>
    <col min="7" max="7" width="13.375" customWidth="1"/>
    <col min="8" max="8" width="15" customWidth="1"/>
    <col min="12" max="12" width="12" bestFit="1" customWidth="1"/>
  </cols>
  <sheetData>
    <row r="4" spans="3:22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>
      <c r="C5" s="2">
        <v>1</v>
      </c>
      <c r="D5" s="12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>
      <c r="C6" s="2">
        <v>2</v>
      </c>
      <c r="D6" s="13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>
      <c r="C7" s="2">
        <v>3</v>
      </c>
      <c r="D7" s="13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>
      <c r="C8" s="2">
        <v>4</v>
      </c>
      <c r="D8" s="14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>
      <c r="C9" s="15" t="s">
        <v>57</v>
      </c>
      <c r="D9" s="16"/>
      <c r="E9" s="16"/>
      <c r="F9" s="16"/>
      <c r="G9" s="16"/>
      <c r="H9" s="17"/>
    </row>
    <row r="10" spans="3:22">
      <c r="C10" s="2">
        <v>5</v>
      </c>
      <c r="D10" s="12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>
      <c r="C11" s="2">
        <v>6</v>
      </c>
      <c r="D11" s="13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>
      <c r="C12" s="2">
        <v>7</v>
      </c>
      <c r="D12" s="13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>
      <c r="C13" s="2">
        <v>8</v>
      </c>
      <c r="D13" s="14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>
      <c r="C14" s="2">
        <v>9</v>
      </c>
      <c r="D14" s="12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>
      <c r="C15" s="2">
        <v>10</v>
      </c>
      <c r="D15" s="13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>
      <c r="C16" s="2">
        <v>11</v>
      </c>
      <c r="D16" s="13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>
      <c r="C17" s="2">
        <v>12</v>
      </c>
      <c r="D17" s="14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>
      <c r="C18" s="2">
        <v>13</v>
      </c>
      <c r="D18" s="12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>
      <c r="C19" s="2">
        <v>14</v>
      </c>
      <c r="D19" s="13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>
      <c r="C20" s="2">
        <v>15</v>
      </c>
      <c r="D20" s="13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>
      <c r="C21" s="2">
        <v>16</v>
      </c>
      <c r="D21" s="14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>
      <c r="C22" s="2">
        <v>17</v>
      </c>
      <c r="D22" s="12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>
      <c r="C23" s="2">
        <v>18</v>
      </c>
      <c r="D23" s="13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>
      <c r="C24" s="2">
        <v>19</v>
      </c>
      <c r="D24" s="13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>
      <c r="C25" s="2">
        <v>20</v>
      </c>
      <c r="D25" s="14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>
      <c r="U27" t="s">
        <v>52</v>
      </c>
      <c r="V27" t="s">
        <v>51</v>
      </c>
    </row>
    <row r="28" spans="2:22">
      <c r="U28" t="s">
        <v>53</v>
      </c>
      <c r="V28">
        <f>SUM(V5:V25)</f>
        <v>30755.555555551622</v>
      </c>
    </row>
    <row r="29" spans="2:22" ht="18">
      <c r="E29" s="3" t="s">
        <v>48</v>
      </c>
      <c r="U29">
        <f>20*19</f>
        <v>380</v>
      </c>
    </row>
    <row r="30" spans="2:22">
      <c r="E30">
        <f>SQRT((V28/U29))</f>
        <v>8.9964255409917957</v>
      </c>
    </row>
    <row r="32" spans="2:22">
      <c r="B32">
        <v>0.95</v>
      </c>
    </row>
    <row r="33" spans="1:9" ht="18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>
      <c r="C37">
        <f>B33*E30</f>
        <v>18.829518657295829</v>
      </c>
    </row>
    <row r="86" spans="6:9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opLeftCell="B1" workbookViewId="0">
      <selection activeCell="K32" sqref="K32"/>
    </sheetView>
  </sheetViews>
  <sheetFormatPr defaultRowHeight="14.25"/>
  <cols>
    <col min="3" max="3" width="23.25" customWidth="1"/>
    <col min="4" max="4" width="21.25" customWidth="1"/>
    <col min="5" max="5" width="19.625" customWidth="1"/>
    <col min="6" max="6" width="14.625" customWidth="1"/>
    <col min="7" max="7" width="18.75" customWidth="1"/>
    <col min="8" max="8" width="16.75" customWidth="1"/>
  </cols>
  <sheetData>
    <row r="2" spans="3:22">
      <c r="V2" s="8" t="s">
        <v>71</v>
      </c>
    </row>
    <row r="5" spans="3:22" ht="15">
      <c r="C5" s="6" t="s">
        <v>58</v>
      </c>
      <c r="D5" s="6" t="s">
        <v>59</v>
      </c>
      <c r="E5" s="6" t="s">
        <v>60</v>
      </c>
      <c r="F5" s="6" t="s">
        <v>61</v>
      </c>
      <c r="G5" s="6" t="s">
        <v>62</v>
      </c>
      <c r="H5" s="6" t="s">
        <v>63</v>
      </c>
      <c r="J5" s="1" t="s">
        <v>70</v>
      </c>
    </row>
    <row r="6" spans="3:22" ht="18">
      <c r="C6" s="5" t="s">
        <v>64</v>
      </c>
      <c r="D6">
        <v>5.3</v>
      </c>
      <c r="E6" s="1">
        <v>2.02</v>
      </c>
      <c r="F6" s="1">
        <v>1.01</v>
      </c>
      <c r="G6" s="1">
        <v>1.01</v>
      </c>
      <c r="H6" s="1">
        <f>E6*F6*G6</f>
        <v>2.0606019999999998</v>
      </c>
      <c r="J6" s="1">
        <f>D6 / H6</f>
        <v>2.5720638920082579</v>
      </c>
      <c r="N6">
        <f>J6</f>
        <v>2.5720638920082579</v>
      </c>
      <c r="O6" s="4" t="s">
        <v>55</v>
      </c>
      <c r="P6">
        <f>C28</f>
        <v>0.11219445521836882</v>
      </c>
    </row>
    <row r="7" spans="3:22" ht="15">
      <c r="C7" s="5" t="s">
        <v>65</v>
      </c>
      <c r="D7" s="1">
        <v>0.1</v>
      </c>
      <c r="E7" s="1">
        <v>0.01</v>
      </c>
      <c r="F7" s="1">
        <v>0.01</v>
      </c>
      <c r="G7" s="1">
        <v>0.01</v>
      </c>
      <c r="H7" s="1">
        <f>C23</f>
        <v>5.1004999999999995E-2</v>
      </c>
      <c r="O7" s="7"/>
    </row>
    <row r="8" spans="3:22" ht="15">
      <c r="O8" s="7"/>
    </row>
    <row r="9" spans="3:22" ht="15">
      <c r="C9" s="6" t="s">
        <v>66</v>
      </c>
      <c r="D9" s="6" t="s">
        <v>59</v>
      </c>
      <c r="E9" s="6" t="s">
        <v>67</v>
      </c>
      <c r="F9" s="6" t="s">
        <v>68</v>
      </c>
      <c r="G9" s="6" t="s">
        <v>63</v>
      </c>
      <c r="J9" s="1" t="s">
        <v>70</v>
      </c>
      <c r="O9" s="7"/>
    </row>
    <row r="10" spans="3:22" ht="18">
      <c r="C10" s="5" t="s">
        <v>64</v>
      </c>
      <c r="D10" s="1">
        <v>100</v>
      </c>
      <c r="E10" s="1">
        <v>1.9870000000000001</v>
      </c>
      <c r="F10" s="1">
        <v>3.5950000000000002</v>
      </c>
      <c r="G10" s="1">
        <f>3.14 * ((E10*E10)/4) * F10</f>
        <v>11.142029030675003</v>
      </c>
      <c r="J10" s="1">
        <f>D10 / G10</f>
        <v>8.9750259781850374</v>
      </c>
      <c r="N10">
        <f>J10</f>
        <v>8.9750259781850374</v>
      </c>
      <c r="O10" s="4" t="s">
        <v>55</v>
      </c>
      <c r="P10">
        <f>D28</f>
        <v>0.205053014757067</v>
      </c>
    </row>
    <row r="11" spans="3:22" ht="15">
      <c r="C11" s="5" t="s">
        <v>65</v>
      </c>
      <c r="D11" s="1">
        <v>1</v>
      </c>
      <c r="E11" s="1">
        <v>0.01</v>
      </c>
      <c r="F11" s="1">
        <v>0.01</v>
      </c>
      <c r="G11" s="1">
        <f>D23</f>
        <v>0.14314238715000002</v>
      </c>
      <c r="O11" s="7"/>
    </row>
    <row r="12" spans="3:22" ht="15">
      <c r="O12" s="7"/>
    </row>
    <row r="13" spans="3:22" ht="15">
      <c r="C13" s="6" t="s">
        <v>69</v>
      </c>
      <c r="D13" s="6" t="s">
        <v>59</v>
      </c>
      <c r="E13" s="6" t="s">
        <v>63</v>
      </c>
      <c r="J13" s="1" t="s">
        <v>70</v>
      </c>
      <c r="O13" s="7"/>
    </row>
    <row r="14" spans="3:22" ht="18">
      <c r="C14" s="5" t="s">
        <v>64</v>
      </c>
      <c r="D14" s="1">
        <v>81.45</v>
      </c>
      <c r="E14" s="1">
        <v>7.5</v>
      </c>
      <c r="J14" s="1">
        <f>D14/E14</f>
        <v>10.860000000000001</v>
      </c>
      <c r="N14">
        <f>J14</f>
        <v>10.860000000000001</v>
      </c>
      <c r="O14" s="4" t="s">
        <v>55</v>
      </c>
      <c r="P14">
        <f>E28</f>
        <v>0.15146666666666669</v>
      </c>
    </row>
    <row r="15" spans="3:22">
      <c r="C15" s="5" t="s">
        <v>65</v>
      </c>
      <c r="D15" s="1">
        <v>0.05</v>
      </c>
      <c r="E15" s="1">
        <v>0.1</v>
      </c>
    </row>
    <row r="22" spans="3:5">
      <c r="C22" t="s">
        <v>75</v>
      </c>
      <c r="D22" t="s">
        <v>76</v>
      </c>
    </row>
    <row r="23" spans="3:5">
      <c r="C23">
        <f xml:space="preserve"> H6 * ((E7/E6)+(F7/F6)+(G7/G6))</f>
        <v>5.1004999999999995E-2</v>
      </c>
      <c r="D23">
        <f xml:space="preserve"> G10 * ((2*(E11/E10))+(F11/F10))</f>
        <v>0.14314238715000002</v>
      </c>
    </row>
    <row r="27" spans="3:5">
      <c r="C27" t="s">
        <v>72</v>
      </c>
      <c r="D27" t="s">
        <v>73</v>
      </c>
      <c r="E27" t="s">
        <v>74</v>
      </c>
    </row>
    <row r="28" spans="3:5">
      <c r="C28">
        <f xml:space="preserve"> J6 * ((D7/D6) + (H7/H6))</f>
        <v>0.11219445521836882</v>
      </c>
      <c r="D28">
        <f xml:space="preserve"> J10 * ((D11/D10) + (G11/G10))</f>
        <v>0.205053014757067</v>
      </c>
      <c r="E28">
        <f xml:space="preserve"> J14 * ((D15/D14) + (E15/E14))</f>
        <v>0.15146666666666669</v>
      </c>
    </row>
  </sheetData>
  <hyperlinks>
    <hyperlink ref="V2" r:id="rId1" xr:uid="{B06EE10C-4440-44D9-A301-8268578A2A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F668-E5BC-4EB9-AD60-591AB6212B16}">
  <dimension ref="B2:AG35"/>
  <sheetViews>
    <sheetView tabSelected="1" topLeftCell="F10" workbookViewId="0">
      <selection activeCell="H35" sqref="H35"/>
    </sheetView>
  </sheetViews>
  <sheetFormatPr defaultRowHeight="14.25"/>
  <cols>
    <col min="4" max="4" width="16.375" customWidth="1"/>
    <col min="5" max="5" width="15.25" customWidth="1"/>
    <col min="6" max="6" width="15.625" customWidth="1"/>
    <col min="7" max="7" width="17.625" customWidth="1"/>
    <col min="8" max="8" width="17.125" customWidth="1"/>
    <col min="9" max="9" width="16.125" customWidth="1"/>
    <col min="15" max="15" width="17.375" customWidth="1"/>
    <col min="18" max="18" width="17.25" customWidth="1"/>
  </cols>
  <sheetData>
    <row r="2" spans="4:33">
      <c r="AG2" t="s">
        <v>91</v>
      </c>
    </row>
    <row r="6" spans="4:33">
      <c r="D6" s="1" t="s">
        <v>83</v>
      </c>
      <c r="E6" s="1" t="s">
        <v>84</v>
      </c>
      <c r="F6" s="1" t="s">
        <v>77</v>
      </c>
      <c r="G6" s="1" t="s">
        <v>78</v>
      </c>
      <c r="H6" s="1" t="s">
        <v>79</v>
      </c>
      <c r="I6" s="1" t="s">
        <v>80</v>
      </c>
      <c r="O6" t="s">
        <v>81</v>
      </c>
      <c r="R6" t="s">
        <v>82</v>
      </c>
    </row>
    <row r="7" spans="4:33">
      <c r="D7" s="9">
        <v>4.99</v>
      </c>
      <c r="E7" s="9">
        <v>0.88600000000000001</v>
      </c>
      <c r="F7" s="9">
        <v>5.86</v>
      </c>
      <c r="G7" s="9">
        <f>O7</f>
        <v>5.8760000000000003</v>
      </c>
      <c r="H7" s="9">
        <v>0.75</v>
      </c>
      <c r="I7" s="9">
        <f>R7</f>
        <v>0.75240639891082362</v>
      </c>
      <c r="O7" s="18">
        <f>D7+E7</f>
        <v>5.8760000000000003</v>
      </c>
      <c r="P7" t="s">
        <v>85</v>
      </c>
      <c r="R7">
        <f>1/((1/D7)+(1/E7))</f>
        <v>0.75240639891082362</v>
      </c>
      <c r="S7" t="s">
        <v>85</v>
      </c>
    </row>
    <row r="8" spans="4:33">
      <c r="D8" s="9">
        <v>5.58</v>
      </c>
      <c r="E8" s="9">
        <v>1.718</v>
      </c>
      <c r="F8" s="9">
        <v>7.28</v>
      </c>
      <c r="G8" s="9">
        <f>O8</f>
        <v>7.298</v>
      </c>
      <c r="H8" s="9">
        <v>1.3120000000000001</v>
      </c>
      <c r="I8" s="9">
        <f>R8</f>
        <v>1.3135708413263907</v>
      </c>
      <c r="O8">
        <f>D8+E8</f>
        <v>7.298</v>
      </c>
      <c r="P8" t="s">
        <v>85</v>
      </c>
      <c r="R8">
        <f>1/((1/D8)+(1/E8))</f>
        <v>1.3135708413263907</v>
      </c>
      <c r="S8" t="s">
        <v>85</v>
      </c>
    </row>
    <row r="9" spans="4:33">
      <c r="R9">
        <f>(D8*E8)/(D8+E8)</f>
        <v>1.3135708413263907</v>
      </c>
    </row>
    <row r="13" spans="4:33">
      <c r="D13" s="1" t="s">
        <v>89</v>
      </c>
      <c r="E13" s="1">
        <v>1.4999999999999999E-2</v>
      </c>
    </row>
    <row r="14" spans="4:33">
      <c r="D14" s="1" t="s">
        <v>90</v>
      </c>
      <c r="E14" s="1">
        <v>2</v>
      </c>
    </row>
    <row r="16" spans="4:33" ht="18.75" customHeight="1">
      <c r="D16" s="1" t="s">
        <v>86</v>
      </c>
      <c r="E16" s="1" t="s">
        <v>87</v>
      </c>
      <c r="F16" s="1" t="s">
        <v>92</v>
      </c>
      <c r="G16" s="1" t="s">
        <v>88</v>
      </c>
    </row>
    <row r="17" spans="4:15" ht="19.5" customHeight="1">
      <c r="D17" s="1">
        <v>1</v>
      </c>
      <c r="E17" s="1">
        <v>2.78</v>
      </c>
      <c r="F17" s="1">
        <v>1.6100000000000001E-4</v>
      </c>
      <c r="G17" s="1">
        <f>E17/F17</f>
        <v>17267.080745341613</v>
      </c>
      <c r="N17" t="s">
        <v>21</v>
      </c>
      <c r="O17">
        <f>E17/G17</f>
        <v>1.6100000000000001E-4</v>
      </c>
    </row>
    <row r="18" spans="4:15" ht="19.5" customHeight="1">
      <c r="D18" s="1">
        <v>2</v>
      </c>
      <c r="E18" s="1">
        <v>3.7</v>
      </c>
      <c r="F18" s="1">
        <v>2.1499999999999999E-4</v>
      </c>
      <c r="G18" s="1">
        <f t="shared" ref="G18:G26" si="0">E18/F18</f>
        <v>17209.302325581397</v>
      </c>
    </row>
    <row r="19" spans="4:15" ht="19.5" customHeight="1">
      <c r="D19" s="1">
        <v>3</v>
      </c>
      <c r="E19" s="1">
        <v>4.63</v>
      </c>
      <c r="F19" s="1">
        <v>2.7099999999999997E-4</v>
      </c>
      <c r="G19" s="1">
        <f t="shared" si="0"/>
        <v>17084.870848708488</v>
      </c>
    </row>
    <row r="20" spans="4:15" ht="19.5" customHeight="1">
      <c r="D20" s="1">
        <v>4</v>
      </c>
      <c r="E20" s="1">
        <v>5.55</v>
      </c>
      <c r="F20" s="1">
        <v>3.21E-4</v>
      </c>
      <c r="G20" s="1">
        <f t="shared" si="0"/>
        <v>17289.719626168226</v>
      </c>
    </row>
    <row r="21" spans="4:15" ht="19.5" customHeight="1">
      <c r="D21" s="1">
        <v>5</v>
      </c>
      <c r="E21" s="1">
        <v>6.49</v>
      </c>
      <c r="F21" s="1">
        <v>3.7599999999999998E-4</v>
      </c>
      <c r="G21" s="1">
        <f t="shared" si="0"/>
        <v>17260.638297872341</v>
      </c>
    </row>
    <row r="22" spans="4:15" ht="19.5" customHeight="1">
      <c r="D22" s="1">
        <v>6</v>
      </c>
      <c r="E22" s="1">
        <v>7.41</v>
      </c>
      <c r="F22" s="1">
        <v>4.2499999999999998E-4</v>
      </c>
      <c r="G22" s="1">
        <f t="shared" si="0"/>
        <v>17435.294117647059</v>
      </c>
    </row>
    <row r="23" spans="4:15" ht="19.5" customHeight="1">
      <c r="D23" s="1">
        <v>7</v>
      </c>
      <c r="E23" s="1">
        <v>8.33</v>
      </c>
      <c r="F23" s="1">
        <v>4.8200000000000001E-4</v>
      </c>
      <c r="G23" s="1">
        <f t="shared" si="0"/>
        <v>17282.157676348546</v>
      </c>
    </row>
    <row r="24" spans="4:15" ht="19.5" customHeight="1">
      <c r="D24" s="1">
        <v>8</v>
      </c>
      <c r="E24" s="1">
        <v>9.26</v>
      </c>
      <c r="F24" s="1">
        <v>5.3600000000000002E-4</v>
      </c>
      <c r="G24" s="1">
        <f t="shared" si="0"/>
        <v>17276.119402985074</v>
      </c>
    </row>
    <row r="25" spans="4:15" ht="19.5" customHeight="1">
      <c r="D25" s="1">
        <v>9</v>
      </c>
      <c r="E25" s="1">
        <v>10.220000000000001</v>
      </c>
      <c r="F25" s="1">
        <v>5.9299999999999999E-4</v>
      </c>
      <c r="G25" s="1">
        <f t="shared" si="0"/>
        <v>17234.401349072516</v>
      </c>
    </row>
    <row r="26" spans="4:15" ht="19.5" customHeight="1">
      <c r="D26" s="1">
        <v>10</v>
      </c>
      <c r="E26" s="1">
        <v>11.12</v>
      </c>
      <c r="F26" s="1">
        <v>6.4300000000000002E-4</v>
      </c>
      <c r="G26" s="1">
        <f t="shared" si="0"/>
        <v>17293.93468118196</v>
      </c>
    </row>
    <row r="32" spans="4:15">
      <c r="D32" s="1" t="s">
        <v>93</v>
      </c>
      <c r="E32" s="11"/>
      <c r="F32" s="10" t="s">
        <v>94</v>
      </c>
    </row>
    <row r="33" spans="2:9">
      <c r="B33" t="s">
        <v>95</v>
      </c>
      <c r="D33" s="1">
        <f>ABS(F8-G8)</f>
        <v>1.7999999999999794E-2</v>
      </c>
      <c r="E33" s="11" t="s">
        <v>85</v>
      </c>
      <c r="F33" s="10">
        <f>(D33/G8)* 100%</f>
        <v>2.4664291586735808E-3</v>
      </c>
      <c r="G33" t="s">
        <v>96</v>
      </c>
      <c r="H33" s="1" t="s">
        <v>99</v>
      </c>
      <c r="I33" s="1"/>
    </row>
    <row r="34" spans="2:9">
      <c r="B34" t="s">
        <v>97</v>
      </c>
      <c r="D34" s="1">
        <f>ABS(E19-H34)</f>
        <v>13.370000000000001</v>
      </c>
      <c r="E34" s="11" t="s">
        <v>101</v>
      </c>
      <c r="F34" s="10">
        <f>(D34/H34)*100%</f>
        <v>0.74277777777777787</v>
      </c>
      <c r="G34" t="s">
        <v>96</v>
      </c>
      <c r="H34" s="1">
        <v>18</v>
      </c>
      <c r="I34" s="1" t="s">
        <v>100</v>
      </c>
    </row>
    <row r="35" spans="2:9">
      <c r="B35" t="s">
        <v>98</v>
      </c>
      <c r="D35" s="1">
        <f>ABS(F21-I35)</f>
        <v>3.7599999999999998E-4</v>
      </c>
      <c r="E35" s="11" t="s">
        <v>102</v>
      </c>
      <c r="F35" s="10">
        <f>(D35/H35)*100%</f>
        <v>1</v>
      </c>
      <c r="G35" t="s">
        <v>96</v>
      </c>
      <c r="H35" s="1">
        <f>E21/G21</f>
        <v>3.7599999999999998E-4</v>
      </c>
      <c r="I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Cw0</vt:lpstr>
      <vt:lpstr>Cw3</vt:lpstr>
      <vt:lpstr>Cw4</vt:lpstr>
      <vt:lpstr>Cw5</vt:lpstr>
      <vt:lpstr>Cw1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2025-02-02T08:24:24Z</dcterms:modified>
</cp:coreProperties>
</file>