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rmrm\Downloads\"/>
    </mc:Choice>
  </mc:AlternateContent>
  <xr:revisionPtr revIDLastSave="0" documentId="13_ncr:1_{22F4602B-6048-4EBC-A179-DC85DC00CC2D}" xr6:coauthVersionLast="47" xr6:coauthVersionMax="47" xr10:uidLastSave="{00000000-0000-0000-0000-000000000000}"/>
  <bookViews>
    <workbookView xWindow="-108" yWindow="-108" windowWidth="23256" windowHeight="12456" activeTab="5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  <sheet name="Cw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6" l="1"/>
  <c r="R25" i="6"/>
  <c r="R24" i="6"/>
  <c r="P25" i="6"/>
  <c r="AC9" i="6"/>
  <c r="AD9" i="6"/>
  <c r="AE9" i="6"/>
  <c r="AF9" i="6"/>
  <c r="AB9" i="6"/>
  <c r="AC7" i="6"/>
  <c r="AD7" i="6"/>
  <c r="AE7" i="6"/>
  <c r="AF7" i="6"/>
  <c r="E24" i="6"/>
  <c r="C24" i="6"/>
  <c r="P34" i="6"/>
  <c r="N9" i="6"/>
  <c r="O9" i="6"/>
  <c r="P9" i="6"/>
  <c r="Q9" i="6"/>
  <c r="M9" i="6"/>
  <c r="N6" i="6"/>
  <c r="O6" i="6"/>
  <c r="P6" i="6"/>
  <c r="Q6" i="6"/>
  <c r="M6" i="6"/>
  <c r="X5" i="6"/>
  <c r="Y5" i="6" s="1"/>
  <c r="Y4" i="6"/>
  <c r="E6" i="6"/>
  <c r="F6" i="6"/>
  <c r="G6" i="6"/>
  <c r="H6" i="6"/>
  <c r="D6" i="6"/>
  <c r="R9" i="5"/>
  <c r="R8" i="5"/>
  <c r="I7" i="5"/>
  <c r="G7" i="5"/>
  <c r="O7" i="5"/>
  <c r="R7" i="5"/>
  <c r="S6" i="6" l="1"/>
  <c r="AD3" i="6" s="1"/>
  <c r="AD5" i="6" s="1"/>
  <c r="AB3" i="6"/>
  <c r="AB5" i="6" s="1"/>
  <c r="AE3" i="6"/>
  <c r="AE5" i="6" s="1"/>
  <c r="AC3" i="6"/>
  <c r="AC5" i="6" s="1"/>
  <c r="S9" i="6"/>
  <c r="S12" i="6" s="1"/>
  <c r="AF3" i="6"/>
  <c r="AF5" i="6" s="1"/>
  <c r="I12" i="6"/>
  <c r="H6" i="4"/>
  <c r="J6" i="4" s="1"/>
  <c r="N6" i="4" s="1"/>
  <c r="G10" i="4"/>
  <c r="J10" i="4" s="1"/>
  <c r="J14" i="4"/>
  <c r="N14" i="4" s="1"/>
  <c r="D35" i="5"/>
  <c r="F35" i="5" s="1"/>
  <c r="D34" i="5"/>
  <c r="F34" i="5" s="1"/>
  <c r="G18" i="5"/>
  <c r="G19" i="5"/>
  <c r="G20" i="5"/>
  <c r="G21" i="5"/>
  <c r="H35" i="5" s="1"/>
  <c r="G22" i="5"/>
  <c r="G23" i="5"/>
  <c r="G24" i="5"/>
  <c r="G25" i="5"/>
  <c r="G26" i="5"/>
  <c r="G17" i="5"/>
  <c r="O17" i="5" s="1"/>
  <c r="I8" i="5"/>
  <c r="O8" i="5"/>
  <c r="G8" i="5" s="1"/>
  <c r="P24" i="6" l="1"/>
  <c r="AB7" i="6"/>
  <c r="E7" i="6"/>
  <c r="E8" i="6" s="1"/>
  <c r="I14" i="6"/>
  <c r="F7" i="6"/>
  <c r="F8" i="6" s="1"/>
  <c r="H7" i="6"/>
  <c r="H8" i="6" s="1"/>
  <c r="G7" i="6"/>
  <c r="G8" i="6" s="1"/>
  <c r="D7" i="6"/>
  <c r="D8" i="6" s="1"/>
  <c r="C23" i="4"/>
  <c r="D23" i="4"/>
  <c r="E28" i="4"/>
  <c r="P14" i="4" s="1"/>
  <c r="N10" i="4"/>
  <c r="D33" i="5"/>
  <c r="F33" i="5" s="1"/>
  <c r="H86" i="3"/>
  <c r="I86" i="3" s="1"/>
  <c r="I13" i="6" l="1"/>
  <c r="I15" i="6"/>
  <c r="G11" i="4"/>
  <c r="D28" i="4" s="1"/>
  <c r="P10" i="4" s="1"/>
  <c r="H7" i="4"/>
  <c r="C28" i="4" s="1"/>
  <c r="P6" i="4" s="1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l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<sst xmlns="http://schemas.openxmlformats.org/spreadsheetml/2006/main" count="179" uniqueCount="139">
  <si>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</si>
  <si>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</si>
  <si>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</si>
  <si>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</si>
  <si>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</si>
  <si>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</si>
  <si>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</si>
  <si>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</si>
  <si>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</si>
  <si>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</si>
  <si>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</si>
  <si>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</si>
  <si>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</si>
  <si>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</si>
  <si>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</si>
  <si>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</si>
  <si>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</si>
  <si>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</si>
  <si>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</si>
  <si>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</si>
  <si>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</si>
  <si>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</si>
  <si>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</si>
  <si>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</si>
  <si>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</si>
  <si>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</si>
  <si>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</si>
  <si>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</si>
  <si>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</si>
  <si>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</si>
  <si>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</si>
  <si>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</si>
  <si>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</si>
  <si>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</si>
  <si>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</si>
  <si>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</si>
  <si>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</si>
  <si>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</si>
  <si>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</si>
  <si>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</si>
  <si>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</si>
  <si>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</si>
  <si>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</si>
  <si>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</si>
  <si>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</si>
  <si>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</si>
  <si>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</si>
  <si>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</si>
  <si>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</si>
  <si>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</si>
  <si>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</si>
  <si>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</si>
  <si>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</si>
  <si>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</si>
  <si>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</si>
  <si>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</si>
  <si>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</si>
  <si>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</si>
  <si>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</si>
  <si>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</si>
  <si>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</si>
  <si>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</si>
  <si>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</si>
  <si>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</si>
  <si>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</si>
  <si>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</si>
  <si>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</si>
  <si>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</si>
  <si>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</si>
  <si>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</si>
  <si>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</si>
  <si>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</si>
  <si>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</si>
  <si>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</si>
  <si>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</si>
  <si>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</si>
  <si>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</si>
  <si>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</si>
  <si>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</si>
  <si>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</si>
  <si>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</si>
  <si>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</si>
  <si>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</si>
  <si>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</si>
  <si>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</si>
  <si>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</si>
  <si>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</si>
  <si>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</si>
  <si>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</si>
  <si>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</si>
  <si>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</si>
  <si>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</si>
  <si>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</si>
  <si>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</si>
  <si>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</si>
  <si>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</si>
  <si>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</si>
  <si>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</si>
  <si>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</si>
  <si>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</si>
  <si>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</si>
  <si>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</si>
  <si>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</si>
  <si>
    <t>Numer pomiaru (i)</t>
  </si>
  <si>
    <t>L1</t>
  </si>
  <si>
    <t>L2</t>
  </si>
  <si>
    <t>ϕi</t>
  </si>
  <si>
    <t>ϕi - `ϕ</t>
  </si>
  <si>
    <t>(ϕi - `ϕ)^2</t>
  </si>
  <si>
    <t>180 =  π⸱rad</t>
  </si>
  <si>
    <t>`ϕ</t>
  </si>
  <si>
    <t>deg</t>
  </si>
  <si>
    <t>rad</t>
  </si>
  <si>
    <t>S(`ϕ)</t>
  </si>
  <si>
    <t>`y = 180 - `ϕ</t>
  </si>
  <si>
    <t xml:space="preserve">`y = S(`ϕ) </t>
  </si>
  <si>
    <t>L0A</t>
  </si>
  <si>
    <t>β1</t>
  </si>
  <si>
    <t>L0B</t>
  </si>
  <si>
    <t>B</t>
  </si>
  <si>
    <t>β2</t>
  </si>
  <si>
    <t>`β1</t>
  </si>
  <si>
    <t>`β2</t>
  </si>
  <si>
    <t>min</t>
  </si>
  <si>
    <t>n=</t>
  </si>
  <si>
    <t>Stopnie na radiany</t>
  </si>
  <si>
    <t>Stopnie</t>
  </si>
  <si>
    <t>Rad</t>
  </si>
  <si>
    <t>stop</t>
  </si>
  <si>
    <t>σ`B1</t>
  </si>
  <si>
    <t>σ`B2</t>
  </si>
  <si>
    <t>na rad</t>
  </si>
  <si>
    <t>σ(min)</t>
  </si>
  <si>
    <t>(n)</t>
  </si>
  <si>
    <t>bi-`b</t>
  </si>
  <si>
    <t>(bi-`b)^2</t>
  </si>
  <si>
    <t>bi2-`b2</t>
  </si>
  <si>
    <t>(bi2-`b2)^2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</si>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</sst>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2" fontId="0" fillId="0" borderId="0" xfId="0" applyNumberFormat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  <c:pt idx="0">
                  <c:v>2.78</c:v>
                </c:pt>
                <c:pt idx="1">
                  <c:v>3.7</c:v>
                </c:pt>
                <c:pt idx="2">
                  <c:v>4.63</c:v>
                </c:pt>
                <c:pt idx="3">
                  <c:v>5.55</c:v>
                </c:pt>
                <c:pt idx="4">
                  <c:v>6.49</c:v>
                </c:pt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2.1499999999999999E-4</c:v>
                </c:pt>
                <c:pt idx="2">
                  <c:v>2.7099999999999997E-4</c:v>
                </c:pt>
                <c:pt idx="3">
                  <c:v>3.21E-4</c:v>
                </c:pt>
                <c:pt idx="4">
                  <c:v>3.7599999999999998E-4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4" x14ac:dyDescent="0.3"/>
  <sheetData>
    <row r="2" spans="2:19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3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 x14ac:dyDescent="0.3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3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3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3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3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3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3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 x14ac:dyDescent="0.3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3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3">
      <c r="E13" t="s">
        <v>27</v>
      </c>
      <c r="F13">
        <f>SUM(F3:F12)</f>
        <v>22.400000000000002</v>
      </c>
    </row>
    <row r="14" spans="2:19" x14ac:dyDescent="0.3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3">
      <c r="C17" t="s">
        <v>29</v>
      </c>
    </row>
    <row r="18" spans="2:13" x14ac:dyDescent="0.3">
      <c r="C18" t="s">
        <v>33</v>
      </c>
    </row>
    <row r="20" spans="2:13" x14ac:dyDescent="0.3">
      <c r="C20" t="s">
        <v>30</v>
      </c>
      <c r="D20">
        <v>0.999</v>
      </c>
    </row>
    <row r="21" spans="2:13" x14ac:dyDescent="0.3">
      <c r="D21" t="s">
        <v>36</v>
      </c>
      <c r="F21" t="s">
        <v>35</v>
      </c>
      <c r="H21">
        <f>4.781 * 0.5</f>
        <v>2.3904999999999998</v>
      </c>
    </row>
    <row r="22" spans="2:13" x14ac:dyDescent="0.3">
      <c r="C22" t="s">
        <v>34</v>
      </c>
      <c r="D22" t="s">
        <v>37</v>
      </c>
    </row>
    <row r="24" spans="2:13" x14ac:dyDescent="0.3">
      <c r="B24" t="s">
        <v>31</v>
      </c>
      <c r="C24">
        <f xml:space="preserve"> 2.252 *0.5</f>
        <v>1.1259999999999999</v>
      </c>
    </row>
    <row r="25" spans="2:13" x14ac:dyDescent="0.3">
      <c r="B25" t="s">
        <v>56</v>
      </c>
    </row>
    <row r="28" spans="2:13" x14ac:dyDescent="0.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 x14ac:dyDescent="0.3">
      <c r="C29">
        <v>5.8000000000000003E-2</v>
      </c>
      <c r="E29">
        <f>2*E28</f>
        <v>3.4641016151377544</v>
      </c>
    </row>
    <row r="30" spans="2:13" x14ac:dyDescent="0.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F33" sqref="F33"/>
    </sheetView>
  </sheetViews>
  <sheetFormatPr defaultRowHeight="14.4" x14ac:dyDescent="0.3"/>
  <cols>
    <col min="5" max="5" width="9.44140625" bestFit="1" customWidth="1"/>
  </cols>
  <sheetData>
    <row r="5" spans="5:25" x14ac:dyDescent="0.3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3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3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3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3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3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3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3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3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3">
      <c r="Y28">
        <f>(N28-$E$33)^2</f>
        <v>30098144.025008153</v>
      </c>
    </row>
    <row r="29" spans="5:25" x14ac:dyDescent="0.3">
      <c r="L29" t="s">
        <v>18</v>
      </c>
    </row>
    <row r="30" spans="5:25" x14ac:dyDescent="0.3">
      <c r="L30">
        <v>7</v>
      </c>
      <c r="P30">
        <f>1/(L30*(L30-1))</f>
        <v>2.3809523809523808E-2</v>
      </c>
      <c r="Y30" t="s">
        <v>20</v>
      </c>
    </row>
    <row r="31" spans="5:25" x14ac:dyDescent="0.3">
      <c r="Y31">
        <f>SUM(Y7:Y28)</f>
        <v>84427511.105919182</v>
      </c>
    </row>
    <row r="32" spans="5:25" x14ac:dyDescent="0.3">
      <c r="E32" t="s">
        <v>16</v>
      </c>
      <c r="F32" t="s">
        <v>17</v>
      </c>
      <c r="Q32">
        <f>P30*Y31</f>
        <v>2010178.8358552186</v>
      </c>
    </row>
    <row r="33" spans="5:6" x14ac:dyDescent="0.3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workbookViewId="0">
      <selection activeCell="E29" sqref="E29"/>
    </sheetView>
  </sheetViews>
  <sheetFormatPr defaultRowHeight="14.4" x14ac:dyDescent="0.3"/>
  <cols>
    <col min="3" max="3" width="10.5546875" customWidth="1"/>
    <col min="5" max="5" width="11.44140625" customWidth="1"/>
    <col min="6" max="6" width="12" customWidth="1"/>
    <col min="7" max="7" width="13.44140625" customWidth="1"/>
    <col min="8" max="8" width="15" customWidth="1"/>
    <col min="12" max="12" width="12" bestFit="1" customWidth="1"/>
  </cols>
  <sheetData>
    <row r="4" spans="3:22" x14ac:dyDescent="0.3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 x14ac:dyDescent="0.3">
      <c r="C5" s="2">
        <v>1</v>
      </c>
      <c r="D5" s="14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 x14ac:dyDescent="0.3">
      <c r="C6" s="2">
        <v>2</v>
      </c>
      <c r="D6" s="15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 x14ac:dyDescent="0.3">
      <c r="C7" s="2">
        <v>3</v>
      </c>
      <c r="D7" s="15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 x14ac:dyDescent="0.3">
      <c r="C8" s="2">
        <v>4</v>
      </c>
      <c r="D8" s="16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 x14ac:dyDescent="0.3">
      <c r="C9" s="17" t="s">
        <v>57</v>
      </c>
      <c r="D9" s="18"/>
      <c r="E9" s="18"/>
      <c r="F9" s="18"/>
      <c r="G9" s="18"/>
      <c r="H9" s="19"/>
    </row>
    <row r="10" spans="3:22" x14ac:dyDescent="0.3">
      <c r="C10" s="2">
        <v>5</v>
      </c>
      <c r="D10" s="14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 x14ac:dyDescent="0.3">
      <c r="C11" s="2">
        <v>6</v>
      </c>
      <c r="D11" s="15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 x14ac:dyDescent="0.3">
      <c r="C12" s="2">
        <v>7</v>
      </c>
      <c r="D12" s="15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 x14ac:dyDescent="0.3">
      <c r="C13" s="2">
        <v>8</v>
      </c>
      <c r="D13" s="16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 x14ac:dyDescent="0.3">
      <c r="C14" s="2">
        <v>9</v>
      </c>
      <c r="D14" s="14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 x14ac:dyDescent="0.3">
      <c r="C15" s="2">
        <v>10</v>
      </c>
      <c r="D15" s="15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 x14ac:dyDescent="0.3">
      <c r="C16" s="2">
        <v>11</v>
      </c>
      <c r="D16" s="15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 x14ac:dyDescent="0.3">
      <c r="C17" s="2">
        <v>12</v>
      </c>
      <c r="D17" s="16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 x14ac:dyDescent="0.3">
      <c r="C18" s="2">
        <v>13</v>
      </c>
      <c r="D18" s="14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 x14ac:dyDescent="0.3">
      <c r="C19" s="2">
        <v>14</v>
      </c>
      <c r="D19" s="15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 x14ac:dyDescent="0.3">
      <c r="C20" s="2">
        <v>15</v>
      </c>
      <c r="D20" s="15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 x14ac:dyDescent="0.3">
      <c r="C21" s="2">
        <v>16</v>
      </c>
      <c r="D21" s="16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 x14ac:dyDescent="0.3">
      <c r="C22" s="2">
        <v>17</v>
      </c>
      <c r="D22" s="14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 x14ac:dyDescent="0.3">
      <c r="C23" s="2">
        <v>18</v>
      </c>
      <c r="D23" s="15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 x14ac:dyDescent="0.3">
      <c r="C24" s="2">
        <v>19</v>
      </c>
      <c r="D24" s="15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 x14ac:dyDescent="0.3">
      <c r="C25" s="2">
        <v>20</v>
      </c>
      <c r="D25" s="16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 x14ac:dyDescent="0.3">
      <c r="U27" t="s">
        <v>52</v>
      </c>
      <c r="V27" t="s">
        <v>51</v>
      </c>
    </row>
    <row r="28" spans="2:22" x14ac:dyDescent="0.3">
      <c r="U28" t="s">
        <v>53</v>
      </c>
      <c r="V28">
        <f>SUM(V5:V25)</f>
        <v>30755.555555551622</v>
      </c>
    </row>
    <row r="29" spans="2:22" ht="18" x14ac:dyDescent="0.35">
      <c r="E29" s="3" t="s">
        <v>48</v>
      </c>
      <c r="U29">
        <f>20*19</f>
        <v>380</v>
      </c>
    </row>
    <row r="30" spans="2:22" x14ac:dyDescent="0.3">
      <c r="E30">
        <f>SQRT((V28/U29))</f>
        <v>8.9964255409917957</v>
      </c>
    </row>
    <row r="32" spans="2:22" x14ac:dyDescent="0.3">
      <c r="B32">
        <v>0.95</v>
      </c>
    </row>
    <row r="33" spans="1:9" ht="18" x14ac:dyDescent="0.35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 x14ac:dyDescent="0.3">
      <c r="C37">
        <f>B33*E30</f>
        <v>18.829518657295829</v>
      </c>
    </row>
    <row r="86" spans="6:9" x14ac:dyDescent="0.3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opLeftCell="B1" workbookViewId="0">
      <selection activeCell="K32" sqref="K32"/>
    </sheetView>
  </sheetViews>
  <sheetFormatPr defaultRowHeight="14.4" x14ac:dyDescent="0.3"/>
  <cols>
    <col min="3" max="3" width="23.33203125" customWidth="1"/>
    <col min="4" max="4" width="21.33203125" customWidth="1"/>
    <col min="5" max="5" width="19.5546875" customWidth="1"/>
    <col min="6" max="6" width="14.5546875" customWidth="1"/>
    <col min="7" max="7" width="18.6640625" customWidth="1"/>
    <col min="8" max="8" width="16.6640625" customWidth="1"/>
  </cols>
  <sheetData>
    <row r="2" spans="3:22" x14ac:dyDescent="0.3">
      <c r="V2" s="8" t="s">
        <v>71</v>
      </c>
    </row>
    <row r="5" spans="3:22" x14ac:dyDescent="0.3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 x14ac:dyDescent="0.35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.6" x14ac:dyDescent="0.3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.6" x14ac:dyDescent="0.3">
      <c r="O8" s="7"/>
    </row>
    <row r="9" spans="3:22" ht="15.6" x14ac:dyDescent="0.3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 x14ac:dyDescent="0.35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.6" x14ac:dyDescent="0.3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.6" x14ac:dyDescent="0.3">
      <c r="O12" s="7"/>
    </row>
    <row r="13" spans="3:22" ht="15.6" x14ac:dyDescent="0.3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 x14ac:dyDescent="0.35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 x14ac:dyDescent="0.3">
      <c r="C15" s="5" t="s">
        <v>65</v>
      </c>
      <c r="D15" s="1">
        <v>0.05</v>
      </c>
      <c r="E15" s="1">
        <v>0.1</v>
      </c>
    </row>
    <row r="22" spans="3:5" x14ac:dyDescent="0.3">
      <c r="C22" t="s">
        <v>75</v>
      </c>
      <c r="D22" t="s">
        <v>76</v>
      </c>
    </row>
    <row r="23" spans="3:5" x14ac:dyDescent="0.3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 x14ac:dyDescent="0.3">
      <c r="C27" t="s">
        <v>72</v>
      </c>
      <c r="D27" t="s">
        <v>73</v>
      </c>
      <c r="E27" t="s">
        <v>74</v>
      </c>
    </row>
    <row r="28" spans="3:5" x14ac:dyDescent="0.3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topLeftCell="F10" workbookViewId="0">
      <selection activeCell="H35" sqref="H35"/>
    </sheetView>
  </sheetViews>
  <sheetFormatPr defaultRowHeight="14.4" x14ac:dyDescent="0.3"/>
  <cols>
    <col min="4" max="4" width="16.44140625" customWidth="1"/>
    <col min="5" max="5" width="15.33203125" customWidth="1"/>
    <col min="6" max="6" width="15.5546875" customWidth="1"/>
    <col min="7" max="7" width="17.5546875" customWidth="1"/>
    <col min="8" max="8" width="17.109375" customWidth="1"/>
    <col min="9" max="9" width="16.109375" customWidth="1"/>
    <col min="15" max="15" width="17.44140625" customWidth="1"/>
    <col min="18" max="18" width="17.33203125" customWidth="1"/>
  </cols>
  <sheetData>
    <row r="2" spans="4:33" x14ac:dyDescent="0.3">
      <c r="AG2" t="s">
        <v>91</v>
      </c>
    </row>
    <row r="6" spans="4:33" x14ac:dyDescent="0.3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 x14ac:dyDescent="0.3">
      <c r="D7" s="9">
        <v>4.99</v>
      </c>
      <c r="E7" s="9">
        <v>0.88600000000000001</v>
      </c>
      <c r="F7" s="9">
        <v>5.86</v>
      </c>
      <c r="G7" s="9">
        <f>O7</f>
        <v>5.8760000000000003</v>
      </c>
      <c r="H7" s="9">
        <v>0.75</v>
      </c>
      <c r="I7" s="9">
        <f>R7</f>
        <v>0.75240639891082362</v>
      </c>
      <c r="O7" s="12">
        <f>D7+E7</f>
        <v>5.8760000000000003</v>
      </c>
      <c r="P7" t="s">
        <v>85</v>
      </c>
      <c r="R7">
        <f>1/((1/D7)+(1/E7))</f>
        <v>0.75240639891082362</v>
      </c>
      <c r="S7" t="s">
        <v>85</v>
      </c>
    </row>
    <row r="8" spans="4:33" x14ac:dyDescent="0.3">
      <c r="D8" s="9">
        <v>5.58</v>
      </c>
      <c r="E8" s="9">
        <v>1.718</v>
      </c>
      <c r="F8" s="9">
        <v>7.28</v>
      </c>
      <c r="G8" s="9">
        <f>O8</f>
        <v>7.298</v>
      </c>
      <c r="H8" s="9">
        <v>1.3120000000000001</v>
      </c>
      <c r="I8" s="9">
        <f>R8</f>
        <v>1.3135708413263907</v>
      </c>
      <c r="O8">
        <f>D8+E8</f>
        <v>7.298</v>
      </c>
      <c r="P8" t="s">
        <v>85</v>
      </c>
      <c r="R8">
        <f>1/((1/D8)+(1/E8))</f>
        <v>1.3135708413263907</v>
      </c>
      <c r="S8" t="s">
        <v>85</v>
      </c>
    </row>
    <row r="9" spans="4:33" x14ac:dyDescent="0.3">
      <c r="R9">
        <f>(D8*E8)/(D8+E8)</f>
        <v>1.3135708413263907</v>
      </c>
    </row>
    <row r="13" spans="4:33" x14ac:dyDescent="0.3">
      <c r="D13" s="1" t="s">
        <v>89</v>
      </c>
      <c r="E13" s="1">
        <v>1.4999999999999999E-2</v>
      </c>
    </row>
    <row r="14" spans="4:33" x14ac:dyDescent="0.3">
      <c r="D14" s="1" t="s">
        <v>90</v>
      </c>
      <c r="E14" s="1">
        <v>2</v>
      </c>
    </row>
    <row r="16" spans="4:33" ht="18.75" customHeight="1" x14ac:dyDescent="0.3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 x14ac:dyDescent="0.3">
      <c r="D17" s="1">
        <v>1</v>
      </c>
      <c r="E17" s="1">
        <v>2.78</v>
      </c>
      <c r="F17" s="1">
        <v>1.6100000000000001E-4</v>
      </c>
      <c r="G17" s="1">
        <f>E17/F17</f>
        <v>17267.080745341613</v>
      </c>
      <c r="N17" t="s">
        <v>21</v>
      </c>
      <c r="O17">
        <f>E17/G17</f>
        <v>1.6100000000000001E-4</v>
      </c>
    </row>
    <row r="18" spans="4:15" ht="19.5" customHeight="1" x14ac:dyDescent="0.3">
      <c r="D18" s="1">
        <v>2</v>
      </c>
      <c r="E18" s="1">
        <v>3.7</v>
      </c>
      <c r="F18" s="1">
        <v>2.1499999999999999E-4</v>
      </c>
      <c r="G18" s="1">
        <f t="shared" ref="G18:G26" si="0">E18/F18</f>
        <v>17209.302325581397</v>
      </c>
    </row>
    <row r="19" spans="4:15" ht="19.5" customHeight="1" x14ac:dyDescent="0.3">
      <c r="D19" s="1">
        <v>3</v>
      </c>
      <c r="E19" s="1">
        <v>4.63</v>
      </c>
      <c r="F19" s="1">
        <v>2.7099999999999997E-4</v>
      </c>
      <c r="G19" s="1">
        <f t="shared" si="0"/>
        <v>17084.870848708488</v>
      </c>
    </row>
    <row r="20" spans="4:15" ht="19.5" customHeight="1" x14ac:dyDescent="0.3">
      <c r="D20" s="1">
        <v>4</v>
      </c>
      <c r="E20" s="1">
        <v>5.55</v>
      </c>
      <c r="F20" s="1">
        <v>3.21E-4</v>
      </c>
      <c r="G20" s="1">
        <f t="shared" si="0"/>
        <v>17289.719626168226</v>
      </c>
    </row>
    <row r="21" spans="4:15" ht="19.5" customHeight="1" x14ac:dyDescent="0.3">
      <c r="D21" s="1">
        <v>5</v>
      </c>
      <c r="E21" s="1">
        <v>6.49</v>
      </c>
      <c r="F21" s="1">
        <v>3.7599999999999998E-4</v>
      </c>
      <c r="G21" s="1">
        <f t="shared" si="0"/>
        <v>17260.638297872341</v>
      </c>
    </row>
    <row r="22" spans="4:15" ht="19.5" customHeight="1" x14ac:dyDescent="0.3">
      <c r="D22" s="1">
        <v>6</v>
      </c>
      <c r="E22" s="1">
        <v>7.41</v>
      </c>
      <c r="F22" s="1">
        <v>4.2499999999999998E-4</v>
      </c>
      <c r="G22" s="1">
        <f t="shared" si="0"/>
        <v>17435.294117647059</v>
      </c>
    </row>
    <row r="23" spans="4:15" ht="19.5" customHeight="1" x14ac:dyDescent="0.3">
      <c r="D23" s="1">
        <v>7</v>
      </c>
      <c r="E23" s="1">
        <v>8.33</v>
      </c>
      <c r="F23" s="1">
        <v>4.8200000000000001E-4</v>
      </c>
      <c r="G23" s="1">
        <f t="shared" si="0"/>
        <v>17282.157676348546</v>
      </c>
    </row>
    <row r="24" spans="4:15" ht="19.5" customHeight="1" x14ac:dyDescent="0.3">
      <c r="D24" s="1">
        <v>8</v>
      </c>
      <c r="E24" s="1">
        <v>9.26</v>
      </c>
      <c r="F24" s="1">
        <v>5.3600000000000002E-4</v>
      </c>
      <c r="G24" s="1">
        <f t="shared" si="0"/>
        <v>17276.119402985074</v>
      </c>
    </row>
    <row r="25" spans="4:15" ht="19.5" customHeight="1" x14ac:dyDescent="0.3">
      <c r="D25" s="1">
        <v>9</v>
      </c>
      <c r="E25" s="1">
        <v>10.220000000000001</v>
      </c>
      <c r="F25" s="1">
        <v>5.9299999999999999E-4</v>
      </c>
      <c r="G25" s="1">
        <f t="shared" si="0"/>
        <v>17234.401349072516</v>
      </c>
    </row>
    <row r="26" spans="4:15" ht="19.5" customHeight="1" x14ac:dyDescent="0.3">
      <c r="D26" s="1">
        <v>10</v>
      </c>
      <c r="E26" s="1">
        <v>11.12</v>
      </c>
      <c r="F26" s="1">
        <v>6.4300000000000002E-4</v>
      </c>
      <c r="G26" s="1">
        <f t="shared" si="0"/>
        <v>17293.93468118196</v>
      </c>
    </row>
    <row r="32" spans="4:15" x14ac:dyDescent="0.3">
      <c r="D32" s="1" t="s">
        <v>93</v>
      </c>
      <c r="E32" s="11"/>
      <c r="F32" s="10" t="s">
        <v>94</v>
      </c>
    </row>
    <row r="33" spans="2:9" x14ac:dyDescent="0.3">
      <c r="B33" t="s">
        <v>95</v>
      </c>
      <c r="D33" s="1">
        <f>ABS(F8-G8)</f>
        <v>1.7999999999999794E-2</v>
      </c>
      <c r="E33" s="11" t="s">
        <v>85</v>
      </c>
      <c r="F33" s="10">
        <f>(D33/G8)* 100%</f>
        <v>2.4664291586735808E-3</v>
      </c>
      <c r="G33" t="s">
        <v>96</v>
      </c>
      <c r="H33" s="1" t="s">
        <v>99</v>
      </c>
      <c r="I33" s="1"/>
    </row>
    <row r="34" spans="2:9" x14ac:dyDescent="0.3">
      <c r="B34" t="s">
        <v>97</v>
      </c>
      <c r="D34" s="1">
        <f>ABS(E19-H34)</f>
        <v>13.370000000000001</v>
      </c>
      <c r="E34" s="11" t="s">
        <v>101</v>
      </c>
      <c r="F34" s="10">
        <f>(D34/H34)*100%</f>
        <v>0.74277777777777787</v>
      </c>
      <c r="G34" t="s">
        <v>96</v>
      </c>
      <c r="H34" s="1">
        <v>18</v>
      </c>
      <c r="I34" s="1" t="s">
        <v>100</v>
      </c>
    </row>
    <row r="35" spans="2:9" x14ac:dyDescent="0.3">
      <c r="B35" t="s">
        <v>98</v>
      </c>
      <c r="D35" s="1">
        <f>ABS(F21-I35)</f>
        <v>3.7599999999999998E-4</v>
      </c>
      <c r="E35" s="11" t="s">
        <v>102</v>
      </c>
      <c r="F35" s="10">
        <f>(D35/H35)*100%</f>
        <v>1</v>
      </c>
      <c r="G35" t="s">
        <v>96</v>
      </c>
      <c r="H35" s="1">
        <f>E21/G21</f>
        <v>3.7599999999999998E-4</v>
      </c>
      <c r="I3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2B5-01A0-4EB1-9F5D-8D6D788ED658}">
  <dimension ref="C2:AF34"/>
  <sheetViews>
    <sheetView tabSelected="1" topLeftCell="I6" workbookViewId="0">
      <selection activeCell="S8" sqref="S8"/>
    </sheetView>
  </sheetViews>
  <sheetFormatPr defaultRowHeight="14.4" x14ac:dyDescent="0.3"/>
  <cols>
    <col min="3" max="3" width="18" customWidth="1"/>
    <col min="12" max="12" width="18.33203125" customWidth="1"/>
  </cols>
  <sheetData>
    <row r="2" spans="3:32" x14ac:dyDescent="0.3">
      <c r="AB2" t="s">
        <v>134</v>
      </c>
    </row>
    <row r="3" spans="3:32" x14ac:dyDescent="0.3">
      <c r="C3" s="1" t="s">
        <v>103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L3" s="1" t="s">
        <v>103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/>
      <c r="X3" t="s">
        <v>125</v>
      </c>
      <c r="AB3">
        <f>M6-$S$6</f>
        <v>0</v>
      </c>
      <c r="AC3">
        <f t="shared" ref="AC3:AE3" si="0">N6-$S$6</f>
        <v>0</v>
      </c>
      <c r="AD3">
        <f>O6-$S$6</f>
        <v>0</v>
      </c>
      <c r="AE3">
        <f t="shared" si="0"/>
        <v>0</v>
      </c>
      <c r="AF3">
        <f>Q6-$S$6</f>
        <v>0</v>
      </c>
    </row>
    <row r="4" spans="3:32" x14ac:dyDescent="0.3">
      <c r="C4" s="1" t="s">
        <v>104</v>
      </c>
      <c r="D4" s="1"/>
      <c r="E4" s="1"/>
      <c r="F4" s="1"/>
      <c r="G4" s="1"/>
      <c r="H4" s="1"/>
      <c r="L4" s="1" t="s">
        <v>116</v>
      </c>
      <c r="M4" s="1"/>
      <c r="N4" s="1"/>
      <c r="O4" s="1"/>
      <c r="P4" s="1"/>
      <c r="Q4" s="1"/>
      <c r="R4" s="1"/>
      <c r="W4" t="s">
        <v>126</v>
      </c>
      <c r="X4">
        <v>90</v>
      </c>
      <c r="Y4">
        <f>X4*0.01745329</f>
        <v>1.5707960999999999</v>
      </c>
      <c r="Z4" t="s">
        <v>112</v>
      </c>
      <c r="AB4" t="s">
        <v>135</v>
      </c>
    </row>
    <row r="5" spans="3:32" x14ac:dyDescent="0.3">
      <c r="C5" s="1" t="s">
        <v>105</v>
      </c>
      <c r="D5" s="1"/>
      <c r="E5" s="1"/>
      <c r="F5" s="1"/>
      <c r="G5" s="1"/>
      <c r="H5" s="1"/>
      <c r="L5" s="1" t="s">
        <v>102</v>
      </c>
      <c r="M5" s="1"/>
      <c r="N5" s="1"/>
      <c r="O5" s="1"/>
      <c r="P5" s="1"/>
      <c r="Q5" s="1"/>
      <c r="R5" s="1"/>
      <c r="W5" t="s">
        <v>127</v>
      </c>
      <c r="X5">
        <f>3.14/6</f>
        <v>0.52333333333333332</v>
      </c>
      <c r="Y5">
        <f>X5*57.2957795</f>
        <v>29.984791271666666</v>
      </c>
      <c r="Z5" t="s">
        <v>128</v>
      </c>
      <c r="AB5">
        <f>AB3*AB3</f>
        <v>0</v>
      </c>
      <c r="AC5">
        <f t="shared" ref="AC5:AF5" si="1">AC3*AC3</f>
        <v>0</v>
      </c>
      <c r="AD5">
        <f t="shared" si="1"/>
        <v>0</v>
      </c>
      <c r="AE5">
        <f t="shared" si="1"/>
        <v>0</v>
      </c>
      <c r="AF5">
        <f t="shared" si="1"/>
        <v>0</v>
      </c>
    </row>
    <row r="6" spans="3:32" x14ac:dyDescent="0.3">
      <c r="C6" s="1" t="s">
        <v>106</v>
      </c>
      <c r="D6" s="1">
        <f>D5-D4</f>
        <v>0</v>
      </c>
      <c r="E6" s="1">
        <f t="shared" ref="E6:H6" si="2">E5-E4</f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L6" s="1" t="s">
        <v>117</v>
      </c>
      <c r="M6" s="1">
        <f>M4-M5</f>
        <v>0</v>
      </c>
      <c r="N6" s="1">
        <f t="shared" ref="N6:Q6" si="3">N4-N5</f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 t="s">
        <v>121</v>
      </c>
      <c r="S6" s="13">
        <f>(M6+N6+O6+P6+Q6)/5</f>
        <v>0</v>
      </c>
      <c r="AB6" t="s">
        <v>136</v>
      </c>
    </row>
    <row r="7" spans="3:32" x14ac:dyDescent="0.3">
      <c r="C7" s="1" t="s">
        <v>107</v>
      </c>
      <c r="D7" s="1">
        <f>D6-$I$12</f>
        <v>0</v>
      </c>
      <c r="E7" s="1">
        <f t="shared" ref="E7:H7" si="4">E6-$I$12</f>
        <v>0</v>
      </c>
      <c r="F7" s="1">
        <f t="shared" si="4"/>
        <v>0</v>
      </c>
      <c r="G7" s="1">
        <f t="shared" si="4"/>
        <v>0</v>
      </c>
      <c r="H7" s="1">
        <f t="shared" si="4"/>
        <v>0</v>
      </c>
      <c r="L7" s="1" t="s">
        <v>118</v>
      </c>
      <c r="M7" s="1"/>
      <c r="N7" s="1"/>
      <c r="O7" s="1"/>
      <c r="P7" s="1"/>
      <c r="Q7" s="1"/>
      <c r="R7" s="1"/>
      <c r="AB7">
        <f>M9-$S$9</f>
        <v>0</v>
      </c>
      <c r="AC7">
        <f t="shared" ref="AC7:AF7" si="5">N9-$S$9</f>
        <v>0</v>
      </c>
      <c r="AD7">
        <f t="shared" si="5"/>
        <v>0</v>
      </c>
      <c r="AE7">
        <f t="shared" si="5"/>
        <v>0</v>
      </c>
      <c r="AF7">
        <f t="shared" si="5"/>
        <v>0</v>
      </c>
    </row>
    <row r="8" spans="3:32" x14ac:dyDescent="0.3">
      <c r="C8" s="1" t="s">
        <v>108</v>
      </c>
      <c r="D8" s="1">
        <f>D7*D7</f>
        <v>0</v>
      </c>
      <c r="E8" s="1">
        <f t="shared" ref="E8:H8" si="6">E7*E7</f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L8" s="1" t="s">
        <v>119</v>
      </c>
      <c r="M8" s="1"/>
      <c r="N8" s="1"/>
      <c r="O8" s="1"/>
      <c r="P8" s="1"/>
      <c r="Q8" s="1"/>
      <c r="R8" s="1"/>
      <c r="S8" t="s">
        <v>138</v>
      </c>
      <c r="AB8" t="s">
        <v>137</v>
      </c>
    </row>
    <row r="9" spans="3:32" x14ac:dyDescent="0.3">
      <c r="H9" t="s">
        <v>109</v>
      </c>
      <c r="L9" s="1" t="s">
        <v>120</v>
      </c>
      <c r="M9" s="1">
        <f>M7-M8</f>
        <v>0</v>
      </c>
      <c r="N9" s="1">
        <f t="shared" ref="N9:Q9" si="7">N7-N8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 t="s">
        <v>122</v>
      </c>
      <c r="S9" s="13">
        <f>(M9+N9+O9+P9+Q9)/5</f>
        <v>0</v>
      </c>
      <c r="AB9">
        <f>AB7*AB7</f>
        <v>0</v>
      </c>
      <c r="AC9">
        <f t="shared" ref="AC9:AF9" si="8">AC7*AC7</f>
        <v>0</v>
      </c>
      <c r="AD9">
        <f t="shared" si="8"/>
        <v>0</v>
      </c>
      <c r="AE9">
        <f t="shared" si="8"/>
        <v>0</v>
      </c>
      <c r="AF9">
        <f t="shared" si="8"/>
        <v>0</v>
      </c>
    </row>
    <row r="12" spans="3:32" x14ac:dyDescent="0.3">
      <c r="C12" t="s">
        <v>110</v>
      </c>
      <c r="E12" t="s">
        <v>111</v>
      </c>
      <c r="G12" t="s">
        <v>112</v>
      </c>
      <c r="I12">
        <f>(1/H3)*(H6+D6+E6+F6+G6)</f>
        <v>0</v>
      </c>
      <c r="L12" t="s">
        <v>123</v>
      </c>
      <c r="O12" t="s">
        <v>111</v>
      </c>
      <c r="Q12" t="s">
        <v>112</v>
      </c>
      <c r="S12">
        <f>1/2*(S6+S9)</f>
        <v>0</v>
      </c>
    </row>
    <row r="13" spans="3:32" x14ac:dyDescent="0.3">
      <c r="C13" t="s">
        <v>113</v>
      </c>
      <c r="E13" t="s">
        <v>111</v>
      </c>
      <c r="G13" t="s">
        <v>112</v>
      </c>
      <c r="I13">
        <f>SQRT((1/(H3*(H3-1)))*(D8+E8+F8+G8+H8))</f>
        <v>0</v>
      </c>
    </row>
    <row r="14" spans="3:32" x14ac:dyDescent="0.3">
      <c r="C14" t="s">
        <v>114</v>
      </c>
      <c r="E14" t="s">
        <v>111</v>
      </c>
      <c r="G14" t="s">
        <v>112</v>
      </c>
      <c r="I14">
        <f>180-I12</f>
        <v>180</v>
      </c>
    </row>
    <row r="15" spans="3:32" x14ac:dyDescent="0.3">
      <c r="C15" t="s">
        <v>115</v>
      </c>
      <c r="E15" t="s">
        <v>111</v>
      </c>
      <c r="G15" t="s">
        <v>112</v>
      </c>
      <c r="I15">
        <f>SQRT((1/(H3*(H3-1)))*(D8+E8+F8+G8+H8))</f>
        <v>0</v>
      </c>
    </row>
    <row r="23" spans="3:18" x14ac:dyDescent="0.3">
      <c r="C23" t="s">
        <v>111</v>
      </c>
      <c r="E23" t="s">
        <v>112</v>
      </c>
    </row>
    <row r="24" spans="3:18" x14ac:dyDescent="0.3">
      <c r="C24" t="e">
        <f>(SIN(0.5*(N12+D14)))/(SIN(0.5*D14))</f>
        <v>#DIV/0!</v>
      </c>
      <c r="E24" t="e">
        <f>(SIN(0.5*(P12+F14)))/(SIN(0.5*F14))</f>
        <v>#DIV/0!</v>
      </c>
      <c r="O24" t="s">
        <v>129</v>
      </c>
      <c r="P24">
        <f>SQRT((1/(Q3*(Q3-1)))*(AB5+AC5+AD5+AE5+AF5))</f>
        <v>0</v>
      </c>
      <c r="Q24" t="s">
        <v>131</v>
      </c>
      <c r="R24">
        <f>P24*0.01745329</f>
        <v>0</v>
      </c>
    </row>
    <row r="25" spans="3:18" x14ac:dyDescent="0.3">
      <c r="O25" t="s">
        <v>130</v>
      </c>
      <c r="P25">
        <f>SQRT((1/(Q3*(Q3-1)))*(AB9+AC9+AD9+AE9+AF9))</f>
        <v>0</v>
      </c>
      <c r="Q25" t="s">
        <v>131</v>
      </c>
      <c r="R25">
        <f>P25*0.01745329</f>
        <v>0</v>
      </c>
    </row>
    <row r="28" spans="3:18" x14ac:dyDescent="0.3">
      <c r="C28" t="s">
        <v>124</v>
      </c>
      <c r="O28" t="s">
        <v>132</v>
      </c>
      <c r="P28">
        <f>SQRT((1/4)*(R24*R24)+(1/4)*(R25*R25))</f>
        <v>0</v>
      </c>
      <c r="R28" t="s">
        <v>131</v>
      </c>
    </row>
    <row r="29" spans="3:18" x14ac:dyDescent="0.3">
      <c r="C29" t="s">
        <v>124</v>
      </c>
    </row>
    <row r="34" spans="15:16" x14ac:dyDescent="0.3">
      <c r="O34" t="s">
        <v>133</v>
      </c>
      <c r="P34" t="e">
        <f>(ABS((SIN(P12/2))/(2*(SIN(F14/2)^2))))*(ABS(F15))+(ABS((COS((F14+P12)/2))/(2*SIN(F14/2))))*(ABS(S28))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Cw0</vt:lpstr>
      <vt:lpstr>Cw3</vt:lpstr>
      <vt:lpstr>Cw4</vt:lpstr>
      <vt:lpstr>Cw5</vt:lpstr>
      <vt:lpstr>Cw1</vt:lpstr>
      <vt:lpstr>Cw2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2025-02-15T16:30:12Z</dcterms:modified>
</cp:coreProperties>
</file>