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2570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H31" i="1"/>
  <c r="E4" i="1"/>
  <c r="E5" i="1"/>
  <c r="E6" i="1"/>
  <c r="E7" i="1"/>
  <c r="E8" i="1"/>
  <c r="E9" i="1"/>
  <c r="E10" i="1"/>
  <c r="E3" i="1"/>
  <c r="C14" i="1"/>
  <c r="B4" i="1"/>
  <c r="B5" i="1"/>
  <c r="B6" i="1"/>
  <c r="B7" i="1"/>
  <c r="B8" i="1"/>
  <c r="B9" i="1"/>
  <c r="B10" i="1"/>
  <c r="B3" i="1"/>
  <c r="F9" i="1"/>
  <c r="F6" i="1"/>
  <c r="F5" i="1"/>
  <c r="F4" i="1"/>
  <c r="F3" i="1"/>
  <c r="E13" i="1"/>
  <c r="C4" i="2" l="1"/>
  <c r="C5" i="2"/>
  <c r="C3" i="2"/>
  <c r="D5" i="2"/>
  <c r="D3" i="2"/>
  <c r="B5" i="2"/>
  <c r="B3" i="2"/>
  <c r="C2" i="2"/>
  <c r="D2" i="2"/>
  <c r="A5" i="2"/>
  <c r="A4" i="2"/>
  <c r="A3" i="2"/>
  <c r="B2" i="2"/>
  <c r="S14" i="1" l="1"/>
  <c r="M48" i="1" s="1"/>
  <c r="C22" i="1" l="1"/>
  <c r="A22" i="1"/>
  <c r="H22" i="1"/>
  <c r="G22" i="1" s="1"/>
  <c r="D22" i="1"/>
  <c r="P3" i="1"/>
  <c r="D6" i="1"/>
  <c r="C6" i="1"/>
  <c r="O3" i="1"/>
  <c r="A26" i="1" l="1"/>
  <c r="C3" i="1" l="1"/>
  <c r="A23" i="1" s="1"/>
  <c r="C10" i="1"/>
  <c r="A30" i="1" s="1"/>
  <c r="D10" i="1"/>
  <c r="C9" i="1"/>
  <c r="A29" i="1" s="1"/>
  <c r="C8" i="1"/>
  <c r="A28" i="1" s="1"/>
  <c r="D9" i="1"/>
  <c r="D8" i="1"/>
  <c r="Y28" i="1"/>
  <c r="X28" i="1"/>
  <c r="X27" i="1"/>
  <c r="Y26" i="1"/>
  <c r="X26" i="1"/>
  <c r="W26" i="1"/>
  <c r="Y25" i="1"/>
  <c r="X25" i="1"/>
  <c r="W25" i="1"/>
  <c r="Y24" i="1"/>
  <c r="X24" i="1"/>
  <c r="W24" i="1"/>
  <c r="Y23" i="1"/>
  <c r="X23" i="1"/>
  <c r="W23" i="1"/>
  <c r="C7" i="1"/>
  <c r="A27" i="1" s="1"/>
  <c r="C5" i="1"/>
  <c r="S13" i="1"/>
  <c r="M46" i="1" s="1"/>
  <c r="S12" i="1"/>
  <c r="S11" i="1"/>
  <c r="K48" i="1" s="1"/>
  <c r="S10" i="1"/>
  <c r="K46" i="1" s="1"/>
  <c r="S9" i="1"/>
  <c r="S8" i="1"/>
  <c r="I48" i="1" s="1"/>
  <c r="S7" i="1"/>
  <c r="S6" i="1"/>
  <c r="G46" i="1" s="1"/>
  <c r="S5" i="1"/>
  <c r="S4" i="1"/>
  <c r="S3" i="1"/>
  <c r="S2" i="1"/>
  <c r="R2" i="1"/>
  <c r="R3" i="1" s="1"/>
  <c r="C4" i="1"/>
  <c r="A24" i="1" s="1"/>
  <c r="B14" i="1"/>
  <c r="I43" i="1" l="1"/>
  <c r="G43" i="1"/>
  <c r="I45" i="1"/>
  <c r="G45" i="1"/>
  <c r="K43" i="1"/>
  <c r="M43" i="1"/>
  <c r="M45" i="1"/>
  <c r="K45" i="1"/>
  <c r="R4" i="1"/>
  <c r="H43" i="1"/>
  <c r="F43" i="1"/>
  <c r="G48" i="1"/>
  <c r="I46" i="1"/>
  <c r="A25" i="1"/>
  <c r="M6" i="1"/>
  <c r="H10" i="1"/>
  <c r="H6" i="1"/>
  <c r="M10" i="1"/>
  <c r="K3" i="1"/>
  <c r="R5" i="1" l="1"/>
  <c r="H45" i="1"/>
  <c r="F45" i="1"/>
  <c r="L43" i="1"/>
  <c r="J43" i="1"/>
  <c r="L44" i="1"/>
  <c r="I6" i="1"/>
  <c r="L47" i="1"/>
  <c r="I10" i="1"/>
  <c r="M5" i="1"/>
  <c r="M7" i="1"/>
  <c r="M8" i="1"/>
  <c r="M9" i="1"/>
  <c r="M4" i="1"/>
  <c r="M3" i="1"/>
  <c r="D3" i="1"/>
  <c r="D23" i="1" s="1"/>
  <c r="C23" i="1" s="1"/>
  <c r="L3" i="1"/>
  <c r="B22" i="1" s="1"/>
  <c r="D7" i="1"/>
  <c r="D5" i="1"/>
  <c r="D4" i="1"/>
  <c r="H4" i="1"/>
  <c r="A14" i="1"/>
  <c r="H44" i="1" l="1"/>
  <c r="I44" i="1" s="1"/>
  <c r="J4" i="1" s="1"/>
  <c r="B24" i="1" s="1"/>
  <c r="I4" i="1"/>
  <c r="R6" i="1"/>
  <c r="L45" i="1"/>
  <c r="M44" i="1" s="1"/>
  <c r="J6" i="1" s="1"/>
  <c r="B26" i="1" s="1"/>
  <c r="H26" i="1" s="1"/>
  <c r="G26" i="1" s="1"/>
  <c r="J45" i="1"/>
  <c r="D24" i="1"/>
  <c r="D25" i="1" s="1"/>
  <c r="D26" i="1" s="1"/>
  <c r="D27" i="1" s="1"/>
  <c r="D28" i="1" s="1"/>
  <c r="D29" i="1" s="1"/>
  <c r="D30" i="1" s="1"/>
  <c r="H3" i="1"/>
  <c r="H8" i="1"/>
  <c r="H5" i="1"/>
  <c r="H9" i="1"/>
  <c r="H7" i="1"/>
  <c r="F47" i="1" l="1"/>
  <c r="I7" i="1"/>
  <c r="R7" i="1"/>
  <c r="F46" i="1"/>
  <c r="H47" i="1"/>
  <c r="I8" i="1"/>
  <c r="J47" i="1"/>
  <c r="I9" i="1"/>
  <c r="J44" i="1"/>
  <c r="K44" i="1" s="1"/>
  <c r="J5" i="1" s="1"/>
  <c r="B25" i="1" s="1"/>
  <c r="H25" i="1" s="1"/>
  <c r="G25" i="1" s="1"/>
  <c r="I5" i="1"/>
  <c r="I3" i="1"/>
  <c r="F44" i="1"/>
  <c r="G44" i="1" s="1"/>
  <c r="J3" i="1" s="1"/>
  <c r="B23" i="1" s="1"/>
  <c r="H23" i="1" s="1"/>
  <c r="G23" i="1" s="1"/>
  <c r="C24" i="1"/>
  <c r="C25" i="1"/>
  <c r="C26" i="1" s="1"/>
  <c r="H24" i="1"/>
  <c r="G24" i="1" s="1"/>
  <c r="R8" i="1" l="1"/>
  <c r="F48" i="1"/>
  <c r="G47" i="1" s="1"/>
  <c r="J7" i="1" s="1"/>
  <c r="B27" i="1" s="1"/>
  <c r="H27" i="1" s="1"/>
  <c r="H46" i="1"/>
  <c r="C27" i="1"/>
  <c r="G27" i="1" l="1"/>
  <c r="R9" i="1"/>
  <c r="R10" i="1" s="1"/>
  <c r="H48" i="1"/>
  <c r="I47" i="1" s="1"/>
  <c r="J8" i="1" s="1"/>
  <c r="B28" i="1" s="1"/>
  <c r="H28" i="1" s="1"/>
  <c r="G28" i="1" s="1"/>
  <c r="C28" i="1"/>
  <c r="R11" i="1" l="1"/>
  <c r="J46" i="1"/>
  <c r="C29" i="1"/>
  <c r="R12" i="1" l="1"/>
  <c r="R13" i="1" s="1"/>
  <c r="J48" i="1"/>
  <c r="K47" i="1" s="1"/>
  <c r="J9" i="1" s="1"/>
  <c r="B29" i="1" s="1"/>
  <c r="H29" i="1" s="1"/>
  <c r="G29" i="1" s="1"/>
  <c r="C30" i="1"/>
  <c r="L46" i="1" l="1"/>
  <c r="R14" i="1"/>
  <c r="L48" i="1" l="1"/>
  <c r="M47" i="1" s="1"/>
  <c r="J10" i="1" s="1"/>
  <c r="B30" i="1" s="1"/>
  <c r="H30" i="1" s="1"/>
  <c r="G30" i="1" s="1"/>
  <c r="R15" i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</calcChain>
</file>

<file path=xl/sharedStrings.xml><?xml version="1.0" encoding="utf-8"?>
<sst xmlns="http://schemas.openxmlformats.org/spreadsheetml/2006/main" count="42" uniqueCount="34">
  <si>
    <t>Инж-изыс</t>
  </si>
  <si>
    <t>E[kpa]</t>
  </si>
  <si>
    <t>p[m]</t>
  </si>
  <si>
    <t>z[m]</t>
  </si>
  <si>
    <t>константы</t>
  </si>
  <si>
    <t>ГРУНТЫ</t>
  </si>
  <si>
    <t>бэта</t>
  </si>
  <si>
    <t>b[m]</t>
  </si>
  <si>
    <t>насыпь</t>
  </si>
  <si>
    <t>P[Kpa]</t>
  </si>
  <si>
    <t>Для таблицы</t>
  </si>
  <si>
    <t>Для графика</t>
  </si>
  <si>
    <t>сигма zq[kpa]</t>
  </si>
  <si>
    <t>hi</t>
  </si>
  <si>
    <t>ускор.с.п.</t>
  </si>
  <si>
    <t>Po[kpa]</t>
  </si>
  <si>
    <t>Эпселон(табличная)</t>
  </si>
  <si>
    <t>Альфа(табличная)</t>
  </si>
  <si>
    <t>По слоям</t>
  </si>
  <si>
    <t>сигма zp[kpa]</t>
  </si>
  <si>
    <t>Si</t>
  </si>
  <si>
    <t>0,5*сигма zq[kpa]</t>
  </si>
  <si>
    <t>вода</t>
  </si>
  <si>
    <t>h[m]</t>
  </si>
  <si>
    <t>гамма</t>
  </si>
  <si>
    <t>осадка[m]</t>
  </si>
  <si>
    <t>осадка[cm]</t>
  </si>
  <si>
    <t>епсел</t>
  </si>
  <si>
    <t>альфа(апроксимация)</t>
  </si>
  <si>
    <t>Интерполяция</t>
  </si>
  <si>
    <t>альфа(Интерполяция)</t>
  </si>
  <si>
    <t>ИНТЕРПОЛЯЦИЯ</t>
  </si>
  <si>
    <t>гамма[Н/m3]</t>
  </si>
  <si>
    <t>p[Т/м3]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</si>
</sst>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1" fillId="4" borderId="0" xfId="0" applyFont="1" applyFill="1"/>
    <xf numFmtId="0" fontId="1" fillId="0" borderId="0" xfId="0" applyFont="1" applyFill="1"/>
    <xf numFmtId="0" fontId="0" fillId="0" borderId="0" xfId="0" quotePrefix="1"/>
    <xf numFmtId="0" fontId="0" fillId="5" borderId="0" xfId="0" applyFill="1"/>
    <xf numFmtId="0" fontId="0" fillId="6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3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Лист1!$B$21</c:f>
              <c:strCache>
                <c:ptCount val="1"/>
                <c:pt idx="0">
                  <c:v>сигма zp[kpa]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Лист1!$B$22:$B$30</c:f>
              <c:numCache>
                <c:formatCode>General</c:formatCode>
                <c:ptCount val="9"/>
                <c:pt idx="0">
                  <c:v>160000</c:v>
                </c:pt>
                <c:pt idx="1">
                  <c:v>153419.8601398601</c:v>
                </c:pt>
                <c:pt idx="2">
                  <c:v>146008.39160839163</c:v>
                </c:pt>
                <c:pt idx="3">
                  <c:v>139832.16783216785</c:v>
                </c:pt>
                <c:pt idx="4">
                  <c:v>137506.01398601403</c:v>
                </c:pt>
                <c:pt idx="5">
                  <c:v>100245.03496503501</c:v>
                </c:pt>
                <c:pt idx="6">
                  <c:v>76360.839160839139</c:v>
                </c:pt>
                <c:pt idx="7">
                  <c:v>54189.090909090912</c:v>
                </c:pt>
                <c:pt idx="8">
                  <c:v>44492.30769230771</c:v>
                </c:pt>
              </c:numCache>
            </c:numRef>
          </c:xVal>
          <c:yVal>
            <c:numRef>
              <c:f>Лист1!$A$22:$A$30</c:f>
              <c:numCache>
                <c:formatCode>General</c:formatCode>
                <c:ptCount val="9"/>
                <c:pt idx="0">
                  <c:v>0</c:v>
                </c:pt>
                <c:pt idx="1">
                  <c:v>3.4000000000000057</c:v>
                </c:pt>
                <c:pt idx="2">
                  <c:v>4.7800000000000011</c:v>
                </c:pt>
                <c:pt idx="3">
                  <c:v>5.8799999999999955</c:v>
                </c:pt>
                <c:pt idx="4">
                  <c:v>6.2099999999999937</c:v>
                </c:pt>
                <c:pt idx="5">
                  <c:v>12.379999999999995</c:v>
                </c:pt>
                <c:pt idx="6">
                  <c:v>17.150000000000006</c:v>
                </c:pt>
                <c:pt idx="7">
                  <c:v>25.61</c:v>
                </c:pt>
                <c:pt idx="8">
                  <c:v>31.709999999999994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C1-4C72-8BCC-0753F784A610}"/>
            </c:ext>
          </c:extLst>
        </c:ser>
        <c:ser>
          <c:idx val="1"/>
          <c:order val="1"/>
          <c:tx>
            <c:strRef>
              <c:f>Лист1!$C$21</c:f>
              <c:strCache>
                <c:ptCount val="1"/>
                <c:pt idx="0">
                  <c:v>0,5*сигма zq[kpa]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Лист1!$C$22:$C$30</c:f>
              <c:numCache>
                <c:formatCode>General</c:formatCode>
                <c:ptCount val="9"/>
                <c:pt idx="0">
                  <c:v>0</c:v>
                </c:pt>
                <c:pt idx="1">
                  <c:v>29988.000000000051</c:v>
                </c:pt>
                <c:pt idx="2">
                  <c:v>42768.180000000008</c:v>
                </c:pt>
                <c:pt idx="3">
                  <c:v>53224.779999999955</c:v>
                </c:pt>
                <c:pt idx="4">
                  <c:v>56361.759999999937</c:v>
                </c:pt>
                <c:pt idx="5">
                  <c:v>118150.75999999994</c:v>
                </c:pt>
                <c:pt idx="6">
                  <c:v>163494.38000000003</c:v>
                </c:pt>
                <c:pt idx="7">
                  <c:v>241842.44</c:v>
                </c:pt>
                <c:pt idx="8">
                  <c:v>300725.73999999993</c:v>
                </c:pt>
              </c:numCache>
            </c:numRef>
          </c:xVal>
          <c:yVal>
            <c:numRef>
              <c:f>Лист1!$A$22:$A$30</c:f>
              <c:numCache>
                <c:formatCode>General</c:formatCode>
                <c:ptCount val="9"/>
                <c:pt idx="0">
                  <c:v>0</c:v>
                </c:pt>
                <c:pt idx="1">
                  <c:v>3.4000000000000057</c:v>
                </c:pt>
                <c:pt idx="2">
                  <c:v>4.7800000000000011</c:v>
                </c:pt>
                <c:pt idx="3">
                  <c:v>5.8799999999999955</c:v>
                </c:pt>
                <c:pt idx="4">
                  <c:v>6.2099999999999937</c:v>
                </c:pt>
                <c:pt idx="5">
                  <c:v>12.379999999999995</c:v>
                </c:pt>
                <c:pt idx="6">
                  <c:v>17.150000000000006</c:v>
                </c:pt>
                <c:pt idx="7">
                  <c:v>25.61</c:v>
                </c:pt>
                <c:pt idx="8">
                  <c:v>31.709999999999994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C1-4C72-8BCC-0753F784A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191544"/>
        <c:axId val="980192200"/>
      </c:scatterChart>
      <c:valAx>
        <c:axId val="98019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Сигма</a:t>
                </a:r>
                <a:r>
                  <a:rPr lang="en-US"/>
                  <a:t>[</a:t>
                </a:r>
                <a:r>
                  <a:rPr lang="ru-RU"/>
                  <a:t>кПа</a:t>
                </a:r>
                <a:r>
                  <a:rPr lang="en-US"/>
                  <a:t>]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0192200"/>
        <c:crosses val="autoZero"/>
        <c:crossBetween val="midCat"/>
      </c:valAx>
      <c:valAx>
        <c:axId val="98019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z[</a:t>
                </a:r>
                <a:r>
                  <a:rPr lang="ru-RU"/>
                  <a:t>м</a:t>
                </a:r>
                <a:r>
                  <a:rPr lang="en-US"/>
                  <a:t>]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019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альфа от эпселон</a:t>
            </a:r>
          </a:p>
          <a:p>
            <a:pPr>
              <a:defRPr/>
            </a:pPr>
            <a:r>
              <a:rPr lang="ru-RU"/>
              <a:t>(апроксимация)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Лист1!$R$2:$R$32</c:f>
              <c:numCache>
                <c:formatCode>General</c:formatCode>
                <c:ptCount val="3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  <c:pt idx="11">
                  <c:v>4.3999999999999995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5.6000000000000005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10.000000000000004</c:v>
                </c:pt>
                <c:pt idx="26">
                  <c:v>10.400000000000004</c:v>
                </c:pt>
                <c:pt idx="27">
                  <c:v>10.800000000000004</c:v>
                </c:pt>
                <c:pt idx="28">
                  <c:v>11.200000000000005</c:v>
                </c:pt>
                <c:pt idx="29">
                  <c:v>11.600000000000005</c:v>
                </c:pt>
                <c:pt idx="30">
                  <c:v>12.000000000000005</c:v>
                </c:pt>
              </c:numCache>
            </c:numRef>
          </c:cat>
          <c:val>
            <c:numRef>
              <c:f>Лист1!$S$2:$S$32</c:f>
              <c:numCache>
                <c:formatCode>General</c:formatCode>
                <c:ptCount val="31"/>
                <c:pt idx="0">
                  <c:v>1</c:v>
                </c:pt>
                <c:pt idx="1">
                  <c:v>0.97699999999999998</c:v>
                </c:pt>
                <c:pt idx="2">
                  <c:v>0.88100000000000001</c:v>
                </c:pt>
                <c:pt idx="3">
                  <c:v>0.755</c:v>
                </c:pt>
                <c:pt idx="4">
                  <c:v>0.66400000000000003</c:v>
                </c:pt>
                <c:pt idx="5">
                  <c:v>0.55000000000000004</c:v>
                </c:pt>
                <c:pt idx="6">
                  <c:v>0.47699999999999998</c:v>
                </c:pt>
                <c:pt idx="7">
                  <c:v>0.42</c:v>
                </c:pt>
                <c:pt idx="8">
                  <c:v>0.374</c:v>
                </c:pt>
                <c:pt idx="9">
                  <c:v>0.33700000000000002</c:v>
                </c:pt>
                <c:pt idx="10">
                  <c:v>0.30599999999999999</c:v>
                </c:pt>
                <c:pt idx="11">
                  <c:v>0.28000000000000003</c:v>
                </c:pt>
                <c:pt idx="12">
                  <c:v>0.25800000000000001</c:v>
                </c:pt>
                <c:pt idx="13">
                  <c:v>0.23899999999999999</c:v>
                </c:pt>
                <c:pt idx="14">
                  <c:v>0.223</c:v>
                </c:pt>
                <c:pt idx="15">
                  <c:v>0.20799999999999999</c:v>
                </c:pt>
                <c:pt idx="16">
                  <c:v>0.19600000000000001</c:v>
                </c:pt>
                <c:pt idx="17">
                  <c:v>0.185</c:v>
                </c:pt>
                <c:pt idx="18">
                  <c:v>0.17499999999999999</c:v>
                </c:pt>
                <c:pt idx="19">
                  <c:v>0.16600000000000001</c:v>
                </c:pt>
                <c:pt idx="20">
                  <c:v>0.158</c:v>
                </c:pt>
                <c:pt idx="21">
                  <c:v>0.15</c:v>
                </c:pt>
                <c:pt idx="22">
                  <c:v>0.14299999999999999</c:v>
                </c:pt>
                <c:pt idx="23">
                  <c:v>0.13700000000000001</c:v>
                </c:pt>
                <c:pt idx="24">
                  <c:v>0.13200000000000001</c:v>
                </c:pt>
                <c:pt idx="25">
                  <c:v>0.126</c:v>
                </c:pt>
                <c:pt idx="26">
                  <c:v>0.122</c:v>
                </c:pt>
                <c:pt idx="27">
                  <c:v>0.11700000000000001</c:v>
                </c:pt>
                <c:pt idx="28">
                  <c:v>0.113</c:v>
                </c:pt>
                <c:pt idx="29">
                  <c:v>0.109</c:v>
                </c:pt>
                <c:pt idx="30">
                  <c:v>0.106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1-4687-85A0-9E50A9BB2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733664"/>
        <c:axId val="312734080"/>
      </c:lineChart>
      <c:catAx>
        <c:axId val="31273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734080"/>
        <c:crosses val="autoZero"/>
        <c:auto val="1"/>
        <c:lblAlgn val="ctr"/>
        <c:lblOffset val="100"/>
        <c:noMultiLvlLbl val="0"/>
      </c:catAx>
      <c:valAx>
        <c:axId val="3127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73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</xdr:colOff>
      <xdr:row>16</xdr:row>
      <xdr:rowOff>3810</xdr:rowOff>
    </xdr:from>
    <xdr:to>
      <xdr:col>16</xdr:col>
      <xdr:colOff>0</xdr:colOff>
      <xdr:row>31</xdr:row>
      <xdr:rowOff>3810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257175</xdr:colOff>
      <xdr:row>1</xdr:row>
      <xdr:rowOff>19050</xdr:rowOff>
    </xdr:from>
    <xdr:to>
      <xdr:col>37</xdr:col>
      <xdr:colOff>333375</xdr:colOff>
      <xdr:row>34</xdr:row>
      <xdr:rowOff>47625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386796</xdr:colOff>
      <xdr:row>0</xdr:row>
      <xdr:rowOff>83820</xdr:rowOff>
    </xdr:from>
    <xdr:to>
      <xdr:col>14</xdr:col>
      <xdr:colOff>218300</xdr:colOff>
      <xdr:row>33</xdr:row>
      <xdr:rowOff>181870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D94F742-3F21-43AC-A7DC-76D981538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44396" y="83820"/>
          <a:ext cx="4708304" cy="61330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abSelected="1" workbookViewId="0">
      <selection activeCell="H35" sqref="H35"/>
    </sheetView>
  </sheetViews>
  <sheetFormatPr defaultRowHeight="15" x14ac:dyDescent="0.25"/>
  <cols>
    <col min="2" max="2" width="14" customWidth="1"/>
    <col min="3" max="3" width="17" customWidth="1"/>
    <col min="4" max="4" width="15.42578125" customWidth="1"/>
    <col min="6" max="6" width="9.28515625" customWidth="1"/>
    <col min="7" max="7" width="11.140625" customWidth="1"/>
    <col min="8" max="8" width="10.140625" customWidth="1"/>
    <col min="9" max="9" width="12.7109375" bestFit="1" customWidth="1"/>
    <col min="16" max="16" width="9" customWidth="1"/>
    <col min="17" max="17" width="3.140625" customWidth="1"/>
    <col min="20" max="20" width="3" customWidth="1"/>
  </cols>
  <sheetData>
    <row r="1" spans="1:20" x14ac:dyDescent="0.25">
      <c r="A1" s="7" t="s">
        <v>18</v>
      </c>
      <c r="B1" s="6" t="s">
        <v>0</v>
      </c>
      <c r="C1" s="6"/>
      <c r="D1" s="6"/>
      <c r="E1" s="6"/>
      <c r="H1" s="5" t="s">
        <v>10</v>
      </c>
      <c r="I1" s="5"/>
      <c r="J1" s="5"/>
      <c r="K1" s="5"/>
      <c r="L1" s="5"/>
      <c r="M1" s="5"/>
      <c r="O1" s="9" t="s">
        <v>22</v>
      </c>
      <c r="P1" s="9"/>
      <c r="Q1" s="5">
        <v>1</v>
      </c>
      <c r="R1" s="5" t="s">
        <v>16</v>
      </c>
      <c r="S1" s="5" t="s">
        <v>17</v>
      </c>
      <c r="T1" s="5"/>
    </row>
    <row r="2" spans="1:20" x14ac:dyDescent="0.25">
      <c r="A2" s="5" t="s">
        <v>5</v>
      </c>
      <c r="B2" s="2" t="s">
        <v>1</v>
      </c>
      <c r="C2" s="2" t="s">
        <v>3</v>
      </c>
      <c r="D2" s="2" t="s">
        <v>33</v>
      </c>
      <c r="E2" s="2" t="s">
        <v>32</v>
      </c>
      <c r="H2" s="2" t="s">
        <v>27</v>
      </c>
      <c r="I2" s="2" t="s">
        <v>28</v>
      </c>
      <c r="J2" s="2" t="s">
        <v>30</v>
      </c>
      <c r="K2" s="2" t="s">
        <v>14</v>
      </c>
      <c r="L2" s="2" t="s">
        <v>15</v>
      </c>
      <c r="M2" s="2" t="s">
        <v>13</v>
      </c>
      <c r="O2" s="2" t="s">
        <v>23</v>
      </c>
      <c r="P2" s="2" t="s">
        <v>24</v>
      </c>
      <c r="Q2" s="5">
        <v>2</v>
      </c>
      <c r="R2" s="8">
        <f>0</f>
        <v>0</v>
      </c>
      <c r="S2">
        <f>1</f>
        <v>1</v>
      </c>
      <c r="T2" s="5"/>
    </row>
    <row r="3" spans="1:20" x14ac:dyDescent="0.25">
      <c r="A3" s="2" t="s">
        <v>8</v>
      </c>
      <c r="B3" s="1">
        <f>F3*$E$13</f>
        <v>11000000</v>
      </c>
      <c r="C3" s="1">
        <f>130-126.6</f>
        <v>3.4000000000000057</v>
      </c>
      <c r="D3" s="1">
        <f>1.8</f>
        <v>1.8</v>
      </c>
      <c r="E3" s="3">
        <f>$D3*9.8*1000</f>
        <v>17640</v>
      </c>
      <c r="F3" s="1">
        <f>11</f>
        <v>11</v>
      </c>
      <c r="H3" s="3">
        <f t="shared" ref="H3:H10" si="0">2*C3/B$14</f>
        <v>0.4755244755244763</v>
      </c>
      <c r="I3" s="17">
        <f>-0.0002*($H3^4) + 0.0058*($H3^3)-0.0516*($H3^2)-0.0746*$H3+0.9781</f>
        <v>0.93157133194661734</v>
      </c>
      <c r="J3" s="16">
        <f>$G$44</f>
        <v>0.95887412587412568</v>
      </c>
      <c r="K3">
        <f>9.8</f>
        <v>9.8000000000000007</v>
      </c>
      <c r="L3">
        <f>$C$14-0</f>
        <v>160000</v>
      </c>
      <c r="M3">
        <f>$C3-0</f>
        <v>3.4000000000000057</v>
      </c>
      <c r="O3">
        <f>123.79</f>
        <v>123.79</v>
      </c>
      <c r="P3">
        <f>10</f>
        <v>10</v>
      </c>
      <c r="Q3" s="5">
        <v>3</v>
      </c>
      <c r="R3">
        <f>R2+0.4</f>
        <v>0.4</v>
      </c>
      <c r="S3">
        <f>0.977</f>
        <v>0.97699999999999998</v>
      </c>
      <c r="T3" s="5"/>
    </row>
    <row r="4" spans="1:20" x14ac:dyDescent="0.25">
      <c r="A4" s="4">
        <v>3</v>
      </c>
      <c r="B4" s="1">
        <f t="shared" ref="B4:B10" si="1">F4*$E$13</f>
        <v>7000000</v>
      </c>
      <c r="C4" s="1">
        <f>130-125.22</f>
        <v>4.7800000000000011</v>
      </c>
      <c r="D4" s="1">
        <f>1.89</f>
        <v>1.89</v>
      </c>
      <c r="E4" s="3">
        <f t="shared" ref="E4:E10" si="2">$D4*9.8*1000</f>
        <v>18522.000000000004</v>
      </c>
      <c r="F4" s="1">
        <f>7</f>
        <v>7</v>
      </c>
      <c r="H4" s="3">
        <f t="shared" si="0"/>
        <v>0.66853146853146861</v>
      </c>
      <c r="I4" s="17">
        <f t="shared" ref="I4:I10" si="3">-0.0002*($H4^4) + 0.0058*($H4^3)-0.0516*($H4^2)-0.0746*$H4+0.9781</f>
        <v>0.90685877127896419</v>
      </c>
      <c r="J4" s="16">
        <f>I44</f>
        <v>0.91255244755244758</v>
      </c>
      <c r="M4">
        <f>$C4-$C3</f>
        <v>1.3799999999999955</v>
      </c>
      <c r="Q4" s="5">
        <v>4</v>
      </c>
      <c r="R4">
        <f t="shared" ref="R4:R12" si="4">R3+0.4</f>
        <v>0.8</v>
      </c>
      <c r="S4">
        <f>0.881</f>
        <v>0.88100000000000001</v>
      </c>
      <c r="T4" s="5"/>
    </row>
    <row r="5" spans="1:20" x14ac:dyDescent="0.25">
      <c r="A5" s="4">
        <v>4</v>
      </c>
      <c r="B5" s="1">
        <f t="shared" si="1"/>
        <v>6100000</v>
      </c>
      <c r="C5" s="1">
        <f>130-124.12</f>
        <v>5.8799999999999955</v>
      </c>
      <c r="D5" s="1">
        <f>1.94</f>
        <v>1.94</v>
      </c>
      <c r="E5" s="3">
        <f t="shared" si="2"/>
        <v>19012</v>
      </c>
      <c r="F5" s="1">
        <f>6.1</f>
        <v>6.1</v>
      </c>
      <c r="H5" s="3">
        <f t="shared" si="0"/>
        <v>0.82237762237762169</v>
      </c>
      <c r="I5" s="17">
        <f t="shared" si="3"/>
        <v>0.88498764882450054</v>
      </c>
      <c r="J5" s="16">
        <f>K44</f>
        <v>0.87395104895104914</v>
      </c>
      <c r="M5">
        <f t="shared" ref="M5:M6" si="5">$C5-$C4</f>
        <v>1.0999999999999943</v>
      </c>
      <c r="Q5" s="5">
        <v>5</v>
      </c>
      <c r="R5">
        <f t="shared" si="4"/>
        <v>1.2000000000000002</v>
      </c>
      <c r="S5">
        <f>0.755</f>
        <v>0.755</v>
      </c>
      <c r="T5" s="5"/>
    </row>
    <row r="6" spans="1:20" x14ac:dyDescent="0.25">
      <c r="A6" s="11">
        <v>4</v>
      </c>
      <c r="B6" s="1">
        <f t="shared" si="1"/>
        <v>6100000</v>
      </c>
      <c r="C6" s="1">
        <f>130-123.79</f>
        <v>6.2099999999999937</v>
      </c>
      <c r="D6" s="1">
        <f>1.94</f>
        <v>1.94</v>
      </c>
      <c r="E6" s="3">
        <f t="shared" si="2"/>
        <v>19012</v>
      </c>
      <c r="F6" s="1">
        <f>6.1</f>
        <v>6.1</v>
      </c>
      <c r="H6" s="3">
        <f t="shared" si="0"/>
        <v>0.86853146853146757</v>
      </c>
      <c r="I6" s="17">
        <f t="shared" si="3"/>
        <v>0.87806945332493436</v>
      </c>
      <c r="J6" s="16">
        <f>M44</f>
        <v>0.85941258741258775</v>
      </c>
      <c r="M6">
        <f t="shared" si="5"/>
        <v>0.32999999999999829</v>
      </c>
      <c r="Q6" s="5">
        <v>6</v>
      </c>
      <c r="R6">
        <f t="shared" si="4"/>
        <v>1.6</v>
      </c>
      <c r="S6">
        <f>0.664</f>
        <v>0.66400000000000003</v>
      </c>
      <c r="T6" s="5"/>
    </row>
    <row r="7" spans="1:20" x14ac:dyDescent="0.25">
      <c r="A7" s="12">
        <v>5</v>
      </c>
      <c r="B7" s="1">
        <f t="shared" si="1"/>
        <v>4500000</v>
      </c>
      <c r="C7" s="1">
        <f>130-117.62</f>
        <v>12.379999999999995</v>
      </c>
      <c r="D7" s="1">
        <f>1.94</f>
        <v>1.94</v>
      </c>
      <c r="E7" s="3">
        <f t="shared" si="2"/>
        <v>19012</v>
      </c>
      <c r="F7" s="1">
        <v>4.5</v>
      </c>
      <c r="H7" s="3">
        <f t="shared" si="0"/>
        <v>1.7314685314685307</v>
      </c>
      <c r="I7" s="17">
        <f t="shared" si="3"/>
        <v>0.72254622925057843</v>
      </c>
      <c r="J7" s="16">
        <f>G47</f>
        <v>0.62653146853146879</v>
      </c>
      <c r="M7">
        <f>$C7-$C5</f>
        <v>6.5</v>
      </c>
      <c r="Q7" s="5">
        <v>7</v>
      </c>
      <c r="R7">
        <f t="shared" si="4"/>
        <v>2</v>
      </c>
      <c r="S7">
        <f>0.55</f>
        <v>0.55000000000000004</v>
      </c>
      <c r="T7" s="5"/>
    </row>
    <row r="8" spans="1:20" x14ac:dyDescent="0.25">
      <c r="A8" s="12">
        <v>4</v>
      </c>
      <c r="B8" s="1">
        <f t="shared" si="1"/>
        <v>6100000</v>
      </c>
      <c r="C8" s="1">
        <f>130-112.85</f>
        <v>17.150000000000006</v>
      </c>
      <c r="D8" s="1">
        <f>1.94</f>
        <v>1.94</v>
      </c>
      <c r="E8" s="3">
        <f t="shared" si="2"/>
        <v>19012</v>
      </c>
      <c r="F8" s="1">
        <v>6.1</v>
      </c>
      <c r="H8" s="3">
        <f t="shared" si="0"/>
        <v>2.3986013986013992</v>
      </c>
      <c r="I8" s="17">
        <f t="shared" si="3"/>
        <v>0.57571368246578891</v>
      </c>
      <c r="J8" s="16">
        <f>I47</f>
        <v>0.47725524475524461</v>
      </c>
      <c r="M8">
        <f>$C8-$C7</f>
        <v>4.7700000000000102</v>
      </c>
      <c r="Q8" s="5">
        <v>8</v>
      </c>
      <c r="R8">
        <f t="shared" si="4"/>
        <v>2.4</v>
      </c>
      <c r="S8">
        <f>0.477</f>
        <v>0.47699999999999998</v>
      </c>
      <c r="T8" s="5"/>
    </row>
    <row r="9" spans="1:20" x14ac:dyDescent="0.25">
      <c r="A9" s="12">
        <v>3</v>
      </c>
      <c r="B9" s="1">
        <f t="shared" si="1"/>
        <v>7000000</v>
      </c>
      <c r="C9" s="1">
        <f>130-104.39</f>
        <v>25.61</v>
      </c>
      <c r="D9" s="1">
        <f>1.89</f>
        <v>1.89</v>
      </c>
      <c r="E9" s="3">
        <f t="shared" si="2"/>
        <v>18522.000000000004</v>
      </c>
      <c r="F9" s="1">
        <f>7</f>
        <v>7</v>
      </c>
      <c r="H9" s="3">
        <f t="shared" si="0"/>
        <v>3.5818181818181816</v>
      </c>
      <c r="I9" s="17">
        <f t="shared" si="3"/>
        <v>0.28250480358445462</v>
      </c>
      <c r="J9" s="16">
        <f>K47</f>
        <v>0.33868181818181819</v>
      </c>
      <c r="M9">
        <f>$C9-$C8</f>
        <v>8.4599999999999937</v>
      </c>
      <c r="Q9" s="5">
        <v>9</v>
      </c>
      <c r="R9">
        <f t="shared" si="4"/>
        <v>2.8</v>
      </c>
      <c r="S9">
        <f>0.42</f>
        <v>0.42</v>
      </c>
      <c r="T9" s="5"/>
    </row>
    <row r="10" spans="1:20" x14ac:dyDescent="0.25">
      <c r="A10" s="12">
        <v>7</v>
      </c>
      <c r="B10" s="1">
        <f t="shared" si="1"/>
        <v>11200000</v>
      </c>
      <c r="C10" s="1">
        <f>130-98.29</f>
        <v>31.709999999999994</v>
      </c>
      <c r="D10" s="1">
        <f>1.97</f>
        <v>1.97</v>
      </c>
      <c r="E10" s="3">
        <f t="shared" si="2"/>
        <v>19306</v>
      </c>
      <c r="F10" s="1">
        <v>11.2</v>
      </c>
      <c r="H10" s="3">
        <f t="shared" si="0"/>
        <v>4.4349650349650336</v>
      </c>
      <c r="I10" s="17">
        <f t="shared" si="3"/>
        <v>6.0901867358512995E-2</v>
      </c>
      <c r="J10" s="16">
        <f>M47</f>
        <v>0.27807692307692317</v>
      </c>
      <c r="M10">
        <f>$C10-$C9</f>
        <v>6.0999999999999943</v>
      </c>
      <c r="Q10" s="5">
        <v>10</v>
      </c>
      <c r="R10">
        <f t="shared" si="4"/>
        <v>3.1999999999999997</v>
      </c>
      <c r="S10">
        <f>0.374</f>
        <v>0.374</v>
      </c>
      <c r="T10" s="5"/>
    </row>
    <row r="11" spans="1:20" x14ac:dyDescent="0.25">
      <c r="Q11" s="5">
        <v>11</v>
      </c>
      <c r="R11">
        <f t="shared" si="4"/>
        <v>3.5999999999999996</v>
      </c>
      <c r="S11">
        <f>0.337</f>
        <v>0.33700000000000002</v>
      </c>
      <c r="T11" s="5"/>
    </row>
    <row r="12" spans="1:20" x14ac:dyDescent="0.25">
      <c r="A12" s="5" t="s">
        <v>4</v>
      </c>
      <c r="B12" s="5" t="s">
        <v>4</v>
      </c>
      <c r="C12" s="5" t="s">
        <v>4</v>
      </c>
      <c r="Q12" s="5">
        <v>12</v>
      </c>
      <c r="R12">
        <f t="shared" si="4"/>
        <v>3.9999999999999996</v>
      </c>
      <c r="S12">
        <f>0.306</f>
        <v>0.30599999999999999</v>
      </c>
      <c r="T12" s="5"/>
    </row>
    <row r="13" spans="1:20" x14ac:dyDescent="0.25">
      <c r="A13" s="2" t="s">
        <v>6</v>
      </c>
      <c r="B13" s="2" t="s">
        <v>7</v>
      </c>
      <c r="C13" s="2" t="s">
        <v>9</v>
      </c>
      <c r="E13">
        <f>10^6</f>
        <v>1000000</v>
      </c>
      <c r="Q13" s="5">
        <v>13</v>
      </c>
      <c r="R13">
        <f>R12+0.4</f>
        <v>4.3999999999999995</v>
      </c>
      <c r="S13">
        <f>0.28</f>
        <v>0.28000000000000003</v>
      </c>
      <c r="T13" s="5"/>
    </row>
    <row r="14" spans="1:20" x14ac:dyDescent="0.25">
      <c r="A14" s="1">
        <f>0.8</f>
        <v>0.8</v>
      </c>
      <c r="B14" s="1">
        <f>14.3</f>
        <v>14.3</v>
      </c>
      <c r="C14" s="1">
        <f>160000</f>
        <v>160000</v>
      </c>
      <c r="Q14" s="5">
        <v>14</v>
      </c>
      <c r="R14">
        <f t="shared" ref="R14:R31" si="6">R13+0.4</f>
        <v>4.8</v>
      </c>
      <c r="S14" s="3">
        <f>0.258</f>
        <v>0.25800000000000001</v>
      </c>
      <c r="T14" s="5"/>
    </row>
    <row r="15" spans="1:20" x14ac:dyDescent="0.25">
      <c r="Q15" s="5">
        <v>15</v>
      </c>
      <c r="R15">
        <f t="shared" si="6"/>
        <v>5.2</v>
      </c>
      <c r="S15">
        <v>0.23899999999999999</v>
      </c>
      <c r="T15" s="5"/>
    </row>
    <row r="16" spans="1:20" x14ac:dyDescent="0.25">
      <c r="Q16" s="5">
        <v>16</v>
      </c>
      <c r="R16">
        <f t="shared" si="6"/>
        <v>5.6000000000000005</v>
      </c>
      <c r="S16">
        <v>0.223</v>
      </c>
      <c r="T16" s="5"/>
    </row>
    <row r="17" spans="1:26" x14ac:dyDescent="0.25">
      <c r="Q17" s="5">
        <v>17</v>
      </c>
      <c r="R17">
        <f t="shared" si="6"/>
        <v>6.0000000000000009</v>
      </c>
      <c r="S17">
        <v>0.20799999999999999</v>
      </c>
      <c r="T17" s="5"/>
    </row>
    <row r="18" spans="1:26" x14ac:dyDescent="0.25">
      <c r="Q18" s="5">
        <v>18</v>
      </c>
      <c r="R18">
        <f t="shared" si="6"/>
        <v>6.4000000000000012</v>
      </c>
      <c r="S18">
        <v>0.19600000000000001</v>
      </c>
      <c r="T18" s="5"/>
    </row>
    <row r="19" spans="1:26" x14ac:dyDescent="0.25">
      <c r="Q19" s="5">
        <v>19</v>
      </c>
      <c r="R19">
        <f t="shared" si="6"/>
        <v>6.8000000000000016</v>
      </c>
      <c r="S19">
        <v>0.185</v>
      </c>
      <c r="T19" s="5"/>
    </row>
    <row r="20" spans="1:26" x14ac:dyDescent="0.25">
      <c r="A20" s="5" t="s">
        <v>11</v>
      </c>
      <c r="B20" s="5"/>
      <c r="C20" s="5"/>
      <c r="D20" s="5"/>
      <c r="G20" s="5" t="s">
        <v>26</v>
      </c>
      <c r="H20" s="5" t="s">
        <v>25</v>
      </c>
      <c r="Q20" s="5">
        <v>20</v>
      </c>
      <c r="R20">
        <f t="shared" si="6"/>
        <v>7.200000000000002</v>
      </c>
      <c r="S20">
        <v>0.17499999999999999</v>
      </c>
      <c r="T20" s="5"/>
    </row>
    <row r="21" spans="1:26" x14ac:dyDescent="0.25">
      <c r="A21" s="2" t="s">
        <v>3</v>
      </c>
      <c r="B21" s="2" t="s">
        <v>19</v>
      </c>
      <c r="C21" s="13" t="s">
        <v>21</v>
      </c>
      <c r="D21" s="2" t="s">
        <v>12</v>
      </c>
      <c r="G21" s="2" t="s">
        <v>20</v>
      </c>
      <c r="H21" s="2" t="s">
        <v>20</v>
      </c>
      <c r="Q21" s="5">
        <v>21</v>
      </c>
      <c r="R21">
        <f t="shared" si="6"/>
        <v>7.6000000000000023</v>
      </c>
      <c r="S21">
        <v>0.16600000000000001</v>
      </c>
      <c r="T21" s="5"/>
    </row>
    <row r="22" spans="1:26" x14ac:dyDescent="0.25">
      <c r="A22" s="1">
        <f>0</f>
        <v>0</v>
      </c>
      <c r="B22">
        <f>$L$3</f>
        <v>160000</v>
      </c>
      <c r="C22">
        <f>0</f>
        <v>0</v>
      </c>
      <c r="D22">
        <f>0</f>
        <v>0</v>
      </c>
      <c r="G22" s="1">
        <f>$H22*100</f>
        <v>0</v>
      </c>
      <c r="H22" s="1">
        <f>0</f>
        <v>0</v>
      </c>
      <c r="Q22" s="5">
        <v>22</v>
      </c>
      <c r="R22">
        <f t="shared" si="6"/>
        <v>8.0000000000000018</v>
      </c>
      <c r="S22">
        <v>0.158</v>
      </c>
      <c r="T22" s="5"/>
      <c r="V22" s="5" t="s">
        <v>5</v>
      </c>
      <c r="W22" s="2" t="s">
        <v>1</v>
      </c>
      <c r="X22" s="2" t="s">
        <v>3</v>
      </c>
      <c r="Y22" s="2" t="s">
        <v>2</v>
      </c>
      <c r="Z22" s="3"/>
    </row>
    <row r="23" spans="1:26" x14ac:dyDescent="0.25">
      <c r="A23" s="1">
        <f t="shared" ref="A23:A30" si="7">C3</f>
        <v>3.4000000000000057</v>
      </c>
      <c r="B23">
        <f>$J3*$L$3</f>
        <v>153419.8601398601</v>
      </c>
      <c r="C23">
        <f t="shared" ref="C23:C30" si="8">0.5*($D23)</f>
        <v>29988.000000000051</v>
      </c>
      <c r="D23">
        <f>$E3*$M3+0</f>
        <v>59976.000000000102</v>
      </c>
      <c r="G23" s="1">
        <f t="shared" ref="G23:G30" si="9">$H23*100</f>
        <v>3.7936547234583653</v>
      </c>
      <c r="H23" s="1">
        <f t="shared" ref="H23:H30" si="10">$A$14*((B23*M3)/B3)</f>
        <v>3.7936547234583652E-2</v>
      </c>
      <c r="Q23" s="5">
        <v>23</v>
      </c>
      <c r="R23">
        <f t="shared" si="6"/>
        <v>8.4000000000000021</v>
      </c>
      <c r="S23">
        <v>0.15</v>
      </c>
      <c r="T23" s="5"/>
      <c r="V23" s="2" t="s">
        <v>8</v>
      </c>
      <c r="W23" s="1">
        <f>11000</f>
        <v>11000</v>
      </c>
      <c r="X23" s="1">
        <f>3.4</f>
        <v>3.4</v>
      </c>
      <c r="Y23" s="1">
        <f>1.8</f>
        <v>1.8</v>
      </c>
      <c r="Z23" s="3"/>
    </row>
    <row r="24" spans="1:26" x14ac:dyDescent="0.25">
      <c r="A24" s="1">
        <f t="shared" si="7"/>
        <v>4.7800000000000011</v>
      </c>
      <c r="B24">
        <f t="shared" ref="B24:B30" si="11">$J4*$L$3</f>
        <v>146008.39160839163</v>
      </c>
      <c r="C24">
        <f t="shared" si="8"/>
        <v>42768.180000000008</v>
      </c>
      <c r="D24">
        <f t="shared" ref="D24:D30" si="12">$E4*$M4+$D23</f>
        <v>85536.360000000015</v>
      </c>
      <c r="G24" s="1">
        <f t="shared" si="9"/>
        <v>2.302760919080912</v>
      </c>
      <c r="H24" s="1">
        <f t="shared" si="10"/>
        <v>2.3027609190809119E-2</v>
      </c>
      <c r="Q24" s="5">
        <v>24</v>
      </c>
      <c r="R24">
        <f t="shared" si="6"/>
        <v>8.8000000000000025</v>
      </c>
      <c r="S24">
        <v>0.14299999999999999</v>
      </c>
      <c r="T24" s="5"/>
      <c r="V24" s="4">
        <v>3</v>
      </c>
      <c r="W24" s="1">
        <f>7000</f>
        <v>7000</v>
      </c>
      <c r="X24" s="1">
        <f>130-125.22</f>
        <v>4.7800000000000011</v>
      </c>
      <c r="Y24" s="1">
        <f>1.89</f>
        <v>1.89</v>
      </c>
      <c r="Z24" s="3"/>
    </row>
    <row r="25" spans="1:26" x14ac:dyDescent="0.25">
      <c r="A25" s="1">
        <f t="shared" si="7"/>
        <v>5.8799999999999955</v>
      </c>
      <c r="B25">
        <f t="shared" si="11"/>
        <v>139832.16783216785</v>
      </c>
      <c r="C25">
        <f t="shared" si="8"/>
        <v>53224.779999999955</v>
      </c>
      <c r="D25">
        <f t="shared" si="12"/>
        <v>106449.55999999991</v>
      </c>
      <c r="G25" s="1">
        <f t="shared" si="9"/>
        <v>2.0172509457755261</v>
      </c>
      <c r="H25" s="1">
        <f t="shared" si="10"/>
        <v>2.0172509457755259E-2</v>
      </c>
      <c r="Q25" s="5">
        <v>25</v>
      </c>
      <c r="R25">
        <f t="shared" si="6"/>
        <v>9.2000000000000028</v>
      </c>
      <c r="S25">
        <v>0.13700000000000001</v>
      </c>
      <c r="T25" s="5"/>
      <c r="V25" s="4">
        <v>4</v>
      </c>
      <c r="W25" s="1">
        <f>6100</f>
        <v>6100</v>
      </c>
      <c r="X25" s="1">
        <f>130-124.12</f>
        <v>5.8799999999999955</v>
      </c>
      <c r="Y25" s="1">
        <f>1.94</f>
        <v>1.94</v>
      </c>
      <c r="Z25" s="3"/>
    </row>
    <row r="26" spans="1:26" x14ac:dyDescent="0.25">
      <c r="A26" s="9">
        <f t="shared" si="7"/>
        <v>6.2099999999999937</v>
      </c>
      <c r="B26">
        <f t="shared" si="11"/>
        <v>137506.01398601403</v>
      </c>
      <c r="C26">
        <f t="shared" si="8"/>
        <v>56361.759999999937</v>
      </c>
      <c r="D26">
        <f t="shared" si="12"/>
        <v>112723.51999999987</v>
      </c>
      <c r="G26" s="1">
        <f t="shared" si="9"/>
        <v>0.59510799495586109</v>
      </c>
      <c r="H26" s="1">
        <f t="shared" si="10"/>
        <v>5.9510799495586103E-3</v>
      </c>
      <c r="Q26" s="5">
        <v>26</v>
      </c>
      <c r="R26">
        <f t="shared" si="6"/>
        <v>9.6000000000000032</v>
      </c>
      <c r="S26">
        <v>0.13200000000000001</v>
      </c>
      <c r="T26" s="5"/>
      <c r="V26" s="4">
        <v>5</v>
      </c>
      <c r="W26" s="1">
        <f>4500</f>
        <v>4500</v>
      </c>
      <c r="X26" s="1">
        <f>130-117.62</f>
        <v>12.379999999999995</v>
      </c>
      <c r="Y26" s="1">
        <f>1.94</f>
        <v>1.94</v>
      </c>
      <c r="Z26" s="3"/>
    </row>
    <row r="27" spans="1:26" x14ac:dyDescent="0.25">
      <c r="A27" s="9">
        <f t="shared" si="7"/>
        <v>12.379999999999995</v>
      </c>
      <c r="B27">
        <f t="shared" si="11"/>
        <v>100245.03496503501</v>
      </c>
      <c r="C27">
        <f t="shared" si="8"/>
        <v>118150.75999999994</v>
      </c>
      <c r="D27">
        <f t="shared" si="12"/>
        <v>236301.51999999987</v>
      </c>
      <c r="G27" s="1">
        <f t="shared" si="9"/>
        <v>11.583870707070712</v>
      </c>
      <c r="H27" s="1">
        <f t="shared" si="10"/>
        <v>0.11583870707070712</v>
      </c>
      <c r="Q27" s="5">
        <v>27</v>
      </c>
      <c r="R27">
        <f t="shared" si="6"/>
        <v>10.000000000000004</v>
      </c>
      <c r="S27">
        <v>0.126</v>
      </c>
      <c r="T27" s="5"/>
      <c r="V27" s="4">
        <v>6</v>
      </c>
      <c r="W27" s="1"/>
      <c r="X27" s="1">
        <f>130-112.85</f>
        <v>17.150000000000006</v>
      </c>
      <c r="Y27" s="1"/>
      <c r="Z27" s="3"/>
    </row>
    <row r="28" spans="1:26" x14ac:dyDescent="0.25">
      <c r="A28" s="9">
        <f t="shared" si="7"/>
        <v>17.150000000000006</v>
      </c>
      <c r="B28">
        <f t="shared" si="11"/>
        <v>76360.839160839139</v>
      </c>
      <c r="C28">
        <f t="shared" si="8"/>
        <v>163494.38000000003</v>
      </c>
      <c r="D28">
        <f t="shared" si="12"/>
        <v>326988.76000000007</v>
      </c>
      <c r="G28" s="19">
        <f t="shared" si="9"/>
        <v>4.7769338071764391</v>
      </c>
      <c r="H28" s="19">
        <f t="shared" si="10"/>
        <v>4.7769338071764395E-2</v>
      </c>
      <c r="Q28" s="5">
        <v>28</v>
      </c>
      <c r="R28">
        <f>R27+0.4</f>
        <v>10.400000000000004</v>
      </c>
      <c r="S28">
        <v>0.122</v>
      </c>
      <c r="T28" s="5"/>
      <c r="V28" s="4">
        <v>7</v>
      </c>
      <c r="W28" s="1">
        <v>11200</v>
      </c>
      <c r="X28" s="1">
        <f>130-104.39</f>
        <v>25.61</v>
      </c>
      <c r="Y28" s="1">
        <f>1.97</f>
        <v>1.97</v>
      </c>
      <c r="Z28" s="3"/>
    </row>
    <row r="29" spans="1:26" x14ac:dyDescent="0.25">
      <c r="A29" s="9">
        <f t="shared" si="7"/>
        <v>25.61</v>
      </c>
      <c r="B29">
        <f t="shared" si="11"/>
        <v>54189.090909090912</v>
      </c>
      <c r="C29">
        <f t="shared" si="8"/>
        <v>241842.44</v>
      </c>
      <c r="D29">
        <f t="shared" si="12"/>
        <v>483684.88</v>
      </c>
      <c r="G29">
        <f t="shared" si="9"/>
        <v>5.2393109610389583</v>
      </c>
      <c r="H29">
        <f t="shared" si="10"/>
        <v>5.2393109610389579E-2</v>
      </c>
      <c r="Q29" s="5">
        <v>29</v>
      </c>
      <c r="R29">
        <f t="shared" si="6"/>
        <v>10.800000000000004</v>
      </c>
      <c r="S29">
        <v>0.11700000000000001</v>
      </c>
      <c r="T29" s="5"/>
    </row>
    <row r="30" spans="1:26" x14ac:dyDescent="0.25">
      <c r="A30" s="9">
        <f t="shared" si="7"/>
        <v>31.709999999999994</v>
      </c>
      <c r="B30">
        <f t="shared" si="11"/>
        <v>44492.30769230771</v>
      </c>
      <c r="C30">
        <f t="shared" si="8"/>
        <v>300725.73999999993</v>
      </c>
      <c r="D30">
        <f t="shared" si="12"/>
        <v>601451.47999999986</v>
      </c>
      <c r="G30">
        <f t="shared" si="9"/>
        <v>1.9385934065934056</v>
      </c>
      <c r="H30">
        <f t="shared" si="10"/>
        <v>1.9385934065934057E-2</v>
      </c>
      <c r="Q30" s="5">
        <v>30</v>
      </c>
      <c r="R30">
        <f t="shared" si="6"/>
        <v>11.200000000000005</v>
      </c>
      <c r="S30">
        <v>0.113</v>
      </c>
      <c r="T30" s="5"/>
    </row>
    <row r="31" spans="1:26" x14ac:dyDescent="0.25">
      <c r="G31" s="10">
        <f>SUM(G22:G27)</f>
        <v>20.292645290341376</v>
      </c>
      <c r="H31" s="10">
        <f>SUM(H22:H27)</f>
        <v>0.20292645290341377</v>
      </c>
      <c r="Q31" s="5">
        <v>31</v>
      </c>
      <c r="R31">
        <f t="shared" si="6"/>
        <v>11.600000000000005</v>
      </c>
      <c r="S31">
        <v>0.109</v>
      </c>
      <c r="T31" s="5"/>
    </row>
    <row r="32" spans="1:26" x14ac:dyDescent="0.25">
      <c r="Q32" s="5">
        <v>32</v>
      </c>
      <c r="R32">
        <f>R31+0.4</f>
        <v>12.000000000000005</v>
      </c>
      <c r="S32">
        <v>0.106</v>
      </c>
      <c r="T32" s="5"/>
    </row>
    <row r="33" spans="5:20" x14ac:dyDescent="0.25">
      <c r="Q33" s="5"/>
      <c r="R33" s="5"/>
      <c r="S33" s="5"/>
      <c r="T33" s="5"/>
    </row>
    <row r="42" spans="5:20" x14ac:dyDescent="0.25">
      <c r="E42" s="15"/>
      <c r="F42" s="15" t="s">
        <v>29</v>
      </c>
      <c r="G42" s="15"/>
      <c r="H42" s="15"/>
      <c r="I42" s="15"/>
      <c r="J42" s="15"/>
      <c r="K42" s="15"/>
      <c r="L42" s="15"/>
      <c r="M42" s="15"/>
      <c r="N42" s="15"/>
    </row>
    <row r="43" spans="5:20" x14ac:dyDescent="0.25">
      <c r="E43" s="15"/>
      <c r="F43" s="2">
        <f>R3</f>
        <v>0.4</v>
      </c>
      <c r="G43" s="2">
        <f>S3</f>
        <v>0.97699999999999998</v>
      </c>
      <c r="H43" s="1">
        <f>R3</f>
        <v>0.4</v>
      </c>
      <c r="I43" s="1">
        <f>S3</f>
        <v>0.97699999999999998</v>
      </c>
      <c r="J43" s="2">
        <f>R4</f>
        <v>0.8</v>
      </c>
      <c r="K43" s="2">
        <f>S4</f>
        <v>0.88100000000000001</v>
      </c>
      <c r="L43" s="1">
        <f>R4</f>
        <v>0.8</v>
      </c>
      <c r="M43" s="1">
        <f>S4</f>
        <v>0.88100000000000001</v>
      </c>
      <c r="N43" s="15"/>
    </row>
    <row r="44" spans="5:20" x14ac:dyDescent="0.25">
      <c r="E44" s="15"/>
      <c r="F44" s="2">
        <f>$H$3</f>
        <v>0.4755244755244763</v>
      </c>
      <c r="G44" s="14">
        <f>((G45-G43)/(F45-F43))*(F44-F43)+G43</f>
        <v>0.95887412587412568</v>
      </c>
      <c r="H44" s="1">
        <f>$H$4</f>
        <v>0.66853146853146861</v>
      </c>
      <c r="I44" s="5">
        <f>((I45-I43)/(H45-H43))*(H44-H43)+I43</f>
        <v>0.91255244755244758</v>
      </c>
      <c r="J44" s="2">
        <f>$H$5</f>
        <v>0.82237762237762169</v>
      </c>
      <c r="K44" s="14">
        <f>((K45-K43)/(J45-J43))*(J44-J43)+K43</f>
        <v>0.87395104895104914</v>
      </c>
      <c r="L44" s="1">
        <f>$H$6</f>
        <v>0.86853146853146757</v>
      </c>
      <c r="M44" s="5">
        <f>((M45-M43)/(L45-L43))*(L44-L43)+M43</f>
        <v>0.85941258741258775</v>
      </c>
      <c r="N44" s="15"/>
    </row>
    <row r="45" spans="5:20" x14ac:dyDescent="0.25">
      <c r="E45" s="15"/>
      <c r="F45" s="2">
        <f>R4</f>
        <v>0.8</v>
      </c>
      <c r="G45" s="2">
        <f>S4</f>
        <v>0.88100000000000001</v>
      </c>
      <c r="H45" s="1">
        <f>R4</f>
        <v>0.8</v>
      </c>
      <c r="I45" s="1">
        <f>S4</f>
        <v>0.88100000000000001</v>
      </c>
      <c r="J45" s="2">
        <f>R5</f>
        <v>1.2000000000000002</v>
      </c>
      <c r="K45" s="2">
        <f>S5</f>
        <v>0.755</v>
      </c>
      <c r="L45" s="1">
        <f>R5</f>
        <v>1.2000000000000002</v>
      </c>
      <c r="M45" s="1">
        <f>S5</f>
        <v>0.755</v>
      </c>
      <c r="N45" s="15"/>
    </row>
    <row r="46" spans="5:20" x14ac:dyDescent="0.25">
      <c r="E46" s="15"/>
      <c r="F46" s="1">
        <f>R6</f>
        <v>1.6</v>
      </c>
      <c r="G46" s="1">
        <f>S6</f>
        <v>0.66400000000000003</v>
      </c>
      <c r="H46" s="2">
        <f>R7</f>
        <v>2</v>
      </c>
      <c r="I46" s="2">
        <f>S7</f>
        <v>0.55000000000000004</v>
      </c>
      <c r="J46" s="1">
        <f>R10</f>
        <v>3.1999999999999997</v>
      </c>
      <c r="K46" s="1">
        <f>S10</f>
        <v>0.374</v>
      </c>
      <c r="L46" s="2">
        <f>R13</f>
        <v>4.3999999999999995</v>
      </c>
      <c r="M46" s="2">
        <f>S13</f>
        <v>0.28000000000000003</v>
      </c>
      <c r="N46" s="15"/>
    </row>
    <row r="47" spans="5:20" x14ac:dyDescent="0.25">
      <c r="E47" s="15"/>
      <c r="F47" s="1">
        <f>$H$7</f>
        <v>1.7314685314685307</v>
      </c>
      <c r="G47" s="5">
        <f>((G48-G46)/(F48-F46))*(F47-F46)+G46</f>
        <v>0.62653146853146879</v>
      </c>
      <c r="H47" s="2">
        <f>$H$8</f>
        <v>2.3986013986013992</v>
      </c>
      <c r="I47" s="14">
        <f>((I48-I46)/(H48-H46))*(H47-H46)+I46</f>
        <v>0.47725524475524461</v>
      </c>
      <c r="J47" s="1">
        <f>$H$9</f>
        <v>3.5818181818181816</v>
      </c>
      <c r="K47" s="5">
        <f>((K48-K46)/(J48-J46))*(J47-J46)+K46</f>
        <v>0.33868181818181819</v>
      </c>
      <c r="L47" s="2">
        <f>$H$10</f>
        <v>4.4349650349650336</v>
      </c>
      <c r="M47" s="14">
        <f>((M48-M46)/(L48-L46))*(L47-L46)+M46</f>
        <v>0.27807692307692317</v>
      </c>
      <c r="N47" s="15"/>
    </row>
    <row r="48" spans="5:20" x14ac:dyDescent="0.25">
      <c r="E48" s="15"/>
      <c r="F48" s="1">
        <f>R7</f>
        <v>2</v>
      </c>
      <c r="G48" s="1">
        <f>S7</f>
        <v>0.55000000000000004</v>
      </c>
      <c r="H48" s="2">
        <f>R8</f>
        <v>2.4</v>
      </c>
      <c r="I48" s="2">
        <f>S8</f>
        <v>0.47699999999999998</v>
      </c>
      <c r="J48" s="1">
        <f>R11</f>
        <v>3.5999999999999996</v>
      </c>
      <c r="K48" s="1">
        <f>S11</f>
        <v>0.33700000000000002</v>
      </c>
      <c r="L48" s="2">
        <f>R14</f>
        <v>4.8</v>
      </c>
      <c r="M48" s="2">
        <f>S14</f>
        <v>0.25800000000000001</v>
      </c>
      <c r="N48" s="15"/>
    </row>
    <row r="49" spans="5:14" x14ac:dyDescent="0.25">
      <c r="E49" s="15"/>
      <c r="F49" s="15"/>
      <c r="G49" s="15"/>
      <c r="H49" s="15"/>
      <c r="I49" s="15"/>
      <c r="J49" s="15"/>
      <c r="K49" s="15"/>
      <c r="L49" s="15"/>
      <c r="M49" s="15"/>
      <c r="N49" s="15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Y7" sqref="Y7"/>
    </sheetView>
  </sheetViews>
  <sheetFormatPr defaultRowHeight="15" x14ac:dyDescent="0.25"/>
  <sheetData>
    <row r="1" spans="1:4" x14ac:dyDescent="0.25">
      <c r="A1" s="18" t="s">
        <v>31</v>
      </c>
      <c r="B1" s="18"/>
    </row>
    <row r="2" spans="1:4" x14ac:dyDescent="0.25">
      <c r="B2" s="1">
        <f>1.4</f>
        <v>1.4</v>
      </c>
      <c r="C2" s="2">
        <f>1.6</f>
        <v>1.6</v>
      </c>
      <c r="D2" s="1">
        <f>B2+0.4</f>
        <v>1.7999999999999998</v>
      </c>
    </row>
    <row r="3" spans="1:4" x14ac:dyDescent="0.25">
      <c r="A3" s="1">
        <f>0.8</f>
        <v>0.8</v>
      </c>
      <c r="B3" s="9">
        <f>0.848</f>
        <v>0.84799999999999998</v>
      </c>
      <c r="C3">
        <f>((D3-B3)/(D$2-B$2))*(C$2-B$2)+B3</f>
        <v>0.85699999999999998</v>
      </c>
      <c r="D3" s="9">
        <f>0.866</f>
        <v>0.86599999999999999</v>
      </c>
    </row>
    <row r="4" spans="1:4" x14ac:dyDescent="0.25">
      <c r="A4" s="2">
        <f>1</f>
        <v>1</v>
      </c>
      <c r="C4">
        <f t="shared" ref="C4:C5" si="0">((D4-B4)/(D$2-B$2))*(C$2-B$2)+B4</f>
        <v>0</v>
      </c>
    </row>
    <row r="5" spans="1:4" x14ac:dyDescent="0.25">
      <c r="A5" s="1">
        <f>A3+0.4</f>
        <v>1.2000000000000002</v>
      </c>
      <c r="B5" s="9">
        <f>0.682</f>
        <v>0.68200000000000005</v>
      </c>
      <c r="C5">
        <f t="shared" si="0"/>
        <v>0.69950000000000001</v>
      </c>
      <c r="D5" s="9">
        <f>0.717</f>
        <v>0.71699999999999997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q V M + U c E U / C O j A A A A 9 Q A A A B I A H A B D b 2 5 m a W c v U G F j a 2 F n Z S 5 4 b W w g o h g A K K A U A A A A A A A A A A A A A A A A A A A A A A A A A A A A h Y + 9 D o I w H M R f h X S n r e h A y J 8 y u E p i N B r X p l R o h G L 6 Y X k 3 B x / J V x C j q J v j 3 e 8 u u b t f b 1 A M X R t d p L G q 1 z m a Y Y o i q U V f K V 3 n y L t j n K K C w Z q L E 6 9 l N I a 1 z Q a r c t Q 4 d 8 4 I C S H g M M e 9 q U l C 6 Y w c y t V W N L L j s d L W c S 0 k + r S q / y 3 E Y P 8 a w x K c L n B K x 0 l A J g 9 K p b 8 8 G d m T / p i w 9 K 3 z R j L j 4 8 0 O y C S B v C + w B 1 B L A w Q U A A I A C A C p U z 5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V M + U S i K R 7 g O A A A A E Q A A A B M A H A B G b 3 J t d W x h c y 9 T Z W N 0 a W 9 u M S 5 t I K I Y A C i g F A A A A A A A A A A A A A A A A A A A A A A A A A A A A C t O T S 7 J z M 9 T C I b Q h t Y A U E s B A i 0 A F A A C A A g A q V M + U c E U / C O j A A A A 9 Q A A A B I A A A A A A A A A A A A A A A A A A A A A A E N v b m Z p Z y 9 Q Y W N r Y W d l L n h t b F B L A Q I t A B Q A A g A I A K l T P l E P y u m r p A A A A O k A A A A T A A A A A A A A A A A A A A A A A O 8 A A A B b Q 2 9 u d G V u d F 9 U e X B l c 1 0 u e G 1 s U E s B A i 0 A F A A C A A g A q V M + U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g h l f G l p z p D p + 0 W c 4 W Z B a U A A A A A A g A A A A A A E G Y A A A A B A A A g A A A A y R V j 1 h Q 7 3 Q 8 g + z / l l K V F F v 0 2 c E u p q p O o 5 2 q R d G V i s b g A A A A A D o A A A A A C A A A g A A A A g e S v z A R Q h m x k m 0 H z / f Y B + T i 9 n m j y b M T K r T r U D t M r f 4 V Q A A A A Q I c e f J I E L x r G 4 q M 2 f I A 9 g V 4 x U p K T 8 0 c A h s P P C 1 e 1 s z q 4 8 E v E v I k d T E G m E o f v e R z L f j f W A h h S 5 9 k F / Q Z z W Z n 9 t q 2 W z e L Z w 5 0 p G / A K i o O X q z J A A A A A F o B 6 Y 5 c c r O U 6 E z Y U 7 E J + d u S b i K 1 y 6 X / C 7 4 9 l J n R p m h 2 + C U A n P D h K n i u f j g L S p h i m t P A v I w q E r x Z f w f I 8 b s 1 L P Q = = < / D a t a M a s h u p > 
</file>

<file path=customXml/itemProps1.xml><?xml version="1.0" encoding="utf-8"?>
<ds:datastoreItem xmlns:ds="http://schemas.openxmlformats.org/officeDocument/2006/customXml" ds:itemID="{ABF4FAE1-69D7-4EAE-8BD6-A15B908AD9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2020-10-23T11:06:32Z</dcterms:modified>
</cp:coreProperties>
</file>