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7765" yWindow="585" windowWidth="25830" windowHeight="18780"/>
  </bookViews>
  <sheets>
    <sheet sheetId="1" name="WERKBON" state="visible" r:id="rId4"/>
    <sheet sheetId="2" name="AFLEVERINGSBON" state="visible" r:id="rId5"/>
    <sheet sheetId="4" name="Lakkerij" state="visible" r:id="rId6"/>
    <sheet sheetId="3" name="Software" state="visible" r:id="rId7"/>
  </sheets>
  <definedNames>
    <definedName name="_xlnm.Print_Area" localSheetId="0">'WERKBON'!$A59:$M147</definedName>
    <definedName name="_xlnm.Print_Area" localSheetId="1">'AFLEVERINGSBON'!$A1:$O44</definedName>
    <definedName name="_xlnm.Print_Area" localSheetId="2">'Lakkerij'!$A1:$I61</definedName>
  </definedNames>
  <calcPr calcId="171027"/>
</workbook>
</file>

<file path=xl/sharedStrings.xml><?xml version="1.0" encoding="utf-8"?>
<sst xmlns="http://schemas.openxmlformats.org/spreadsheetml/2006/main" count="1573" uniqueCount="158">
  <si>
    <t>WERKBON</t>
  </si>
  <si>
    <t>Traditioneel inbouwrolluik</t>
  </si>
  <si>
    <t>PVC 42, ALU 42, ULTRA 42, ULTRA 52, PVC 55 &amp; ALU 55</t>
  </si>
  <si>
    <t>Facturatie</t>
  </si>
  <si>
    <t>Leveringsadres</t>
  </si>
  <si>
    <t xml:space="preserve">Klant: </t>
  </si>
  <si>
    <t>Aluplex</t>
  </si>
  <si>
    <t>Inkortmaat ALU 55 aangepast van -10 mm naar -8 mm</t>
  </si>
  <si>
    <t xml:space="preserve">Adres: </t>
  </si>
  <si>
    <t>Standplaats 55</t>
  </si>
  <si>
    <t>Inkortmaat ALU 42 &amp; ULTRA 42 aangepast van -8 mm naar -10 mm</t>
  </si>
  <si>
    <t>Duffel 2570</t>
  </si>
  <si>
    <t xml:space="preserve">BTW: </t>
  </si>
  <si>
    <t/>
  </si>
  <si>
    <t xml:space="preserve">Tel.: </t>
  </si>
  <si>
    <t>0472138506</t>
  </si>
  <si>
    <t xml:space="preserve">Prod. Nr: </t>
  </si>
  <si>
    <t>20240507-0995</t>
  </si>
  <si>
    <t xml:space="preserve">GSM: </t>
  </si>
  <si>
    <t xml:space="preserve">E-mail: </t>
  </si>
  <si>
    <t>volkaerts.kristof1@gmail.com</t>
  </si>
  <si>
    <t xml:space="preserve">Afhaling (J/N): </t>
  </si>
  <si>
    <t>N</t>
  </si>
  <si>
    <t>Klant verwittigen? (J/N)</t>
  </si>
  <si>
    <t xml:space="preserve">Referentie: </t>
  </si>
  <si>
    <t>test 2</t>
  </si>
  <si>
    <t>25/05/2024</t>
  </si>
  <si>
    <t>Rolluik 1</t>
  </si>
  <si>
    <t>Rolluik 2</t>
  </si>
  <si>
    <t>Rolluik 3</t>
  </si>
  <si>
    <t>Rolluik 4</t>
  </si>
  <si>
    <t>Rolluik 5</t>
  </si>
  <si>
    <t>Rolluik 6</t>
  </si>
  <si>
    <t>Rolluik 7</t>
  </si>
  <si>
    <t>Rolluik 8</t>
  </si>
  <si>
    <t>Rolluik 9</t>
  </si>
  <si>
    <t>Rolluik 10</t>
  </si>
  <si>
    <t xml:space="preserve">Aantal stuks: </t>
  </si>
  <si>
    <t xml:space="preserve">Type lamel: </t>
  </si>
  <si>
    <t>A42</t>
  </si>
  <si>
    <r>
      <rPr>
        <b/>
        <family val="2"/>
        <sz val="10"/>
        <rFont val="Arial"/>
      </rPr>
      <t>P</t>
    </r>
    <r>
      <rPr>
        <color indexed="55"/>
        <family val="2"/>
        <sz val="10"/>
        <rFont val="Arial"/>
      </rPr>
      <t>VC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 xml:space="preserve">, </t>
    </r>
    <r>
      <rPr>
        <b/>
        <family val="2"/>
        <sz val="10"/>
        <rFont val="Arial"/>
      </rPr>
      <t>A</t>
    </r>
    <r>
      <rPr>
        <color indexed="55"/>
        <family val="2"/>
        <sz val="10"/>
        <rFont val="Arial"/>
      </rPr>
      <t>LU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>,</t>
    </r>
    <r>
      <rPr>
        <b/>
        <family val="2"/>
        <sz val="10"/>
        <rFont val="Arial"/>
      </rPr>
      <t xml:space="preserve"> U</t>
    </r>
    <r>
      <rPr>
        <color indexed="55"/>
        <family val="2"/>
        <sz val="10"/>
        <rFont val="Arial"/>
      </rPr>
      <t>LTRA</t>
    </r>
    <r>
      <rPr>
        <b/>
        <family val="2"/>
        <sz val="10"/>
        <rFont val="Arial"/>
      </rPr>
      <t xml:space="preserve"> 42, U</t>
    </r>
    <r>
      <rPr>
        <color indexed="55"/>
        <family val="2"/>
        <sz val="10"/>
        <rFont val="Arial"/>
      </rPr>
      <t>LTRA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52, P</t>
    </r>
    <r>
      <rPr>
        <color indexed="55"/>
        <family val="2"/>
        <sz val="10"/>
        <rFont val="Arial"/>
      </rPr>
      <t xml:space="preserve">VC </t>
    </r>
    <r>
      <rPr>
        <b/>
        <family val="2"/>
        <sz val="10"/>
        <rFont val="Arial"/>
      </rPr>
      <t>55, A</t>
    </r>
    <r>
      <rPr>
        <color indexed="55"/>
        <family val="2"/>
        <sz val="10"/>
        <rFont val="Arial"/>
      </rPr>
      <t xml:space="preserve">LU </t>
    </r>
    <r>
      <rPr>
        <b/>
        <family val="2"/>
        <sz val="10"/>
        <rFont val="Arial"/>
      </rPr>
      <t>55</t>
    </r>
  </si>
  <si>
    <t xml:space="preserve">Kleur lamel: </t>
  </si>
  <si>
    <t>RAL 9006</t>
  </si>
  <si>
    <t>RAL Beige</t>
  </si>
  <si>
    <t>Open lamellen:</t>
  </si>
  <si>
    <t>1/2, 1/3, 1/4, …</t>
  </si>
  <si>
    <t xml:space="preserve">Gesloten lamellen: </t>
  </si>
  <si>
    <t>Kleur kast :</t>
  </si>
  <si>
    <t>Kleur onderlat:</t>
  </si>
  <si>
    <t>RAL 9016</t>
  </si>
  <si>
    <t>RAL 1015</t>
  </si>
  <si>
    <t>RAL 7016</t>
  </si>
  <si>
    <t>RAL 7035</t>
  </si>
  <si>
    <t>3005 STR</t>
  </si>
  <si>
    <t>9005 STR</t>
  </si>
  <si>
    <t>Breedte:</t>
  </si>
  <si>
    <t>Hoogte:</t>
  </si>
  <si>
    <t xml:space="preserve">As: </t>
  </si>
  <si>
    <t>Kast :</t>
  </si>
  <si>
    <t xml:space="preserve">Bediening: </t>
  </si>
  <si>
    <r>
      <t>L</t>
    </r>
    <r>
      <rPr>
        <color indexed="23"/>
        <family val="2"/>
        <sz val="8"/>
        <rFont val="Arial"/>
      </rPr>
      <t xml:space="preserve">int - </t>
    </r>
    <r>
      <rPr>
        <b/>
        <color indexed="8"/>
        <family val="2"/>
        <sz val="8"/>
        <rFont val="Arial"/>
      </rPr>
      <t>R</t>
    </r>
    <r>
      <rPr>
        <color indexed="23"/>
        <family val="2"/>
        <sz val="8"/>
        <rFont val="Arial"/>
      </rPr>
      <t xml:space="preserve">eductie - </t>
    </r>
    <r>
      <rPr>
        <b/>
        <color indexed="8"/>
        <family val="2"/>
        <sz val="8"/>
        <rFont val="Arial"/>
      </rPr>
      <t>M</t>
    </r>
    <r>
      <rPr>
        <color indexed="23"/>
        <family val="2"/>
        <sz val="8"/>
        <rFont val="Arial"/>
      </rPr>
      <t xml:space="preserve">otor   </t>
    </r>
  </si>
  <si>
    <t xml:space="preserve">Type motor: </t>
  </si>
  <si>
    <r>
      <t>G</t>
    </r>
    <r>
      <rPr>
        <color indexed="55"/>
        <family val="2"/>
        <sz val="8"/>
        <rFont val="Arial"/>
      </rPr>
      <t xml:space="preserve">aposa - </t>
    </r>
    <r>
      <rPr>
        <b/>
        <color indexed="8"/>
        <family val="2"/>
        <sz val="8"/>
        <rFont val="Arial"/>
      </rPr>
      <t>G</t>
    </r>
    <r>
      <rPr>
        <color indexed="23"/>
        <family val="2"/>
        <sz val="8"/>
        <rFont val="Arial"/>
      </rPr>
      <t xml:space="preserve">aposa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ense -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olus - Oximo </t>
    </r>
    <r>
      <rPr>
        <b/>
        <family val="2"/>
        <sz val="8"/>
        <rFont val="Arial"/>
      </rPr>
      <t>RTS</t>
    </r>
    <r>
      <rPr>
        <color indexed="23"/>
        <family val="2"/>
        <sz val="8"/>
        <rFont val="Arial"/>
      </rPr>
      <t xml:space="preserve"> - Oximo </t>
    </r>
    <r>
      <rPr>
        <b/>
        <family val="2"/>
        <sz val="8"/>
        <rFont val="Arial"/>
      </rPr>
      <t>IO</t>
    </r>
  </si>
  <si>
    <r>
      <t xml:space="preserve">Inbouw muurdoos : </t>
    </r>
    <r>
      <rPr>
        <b/>
        <color indexed="8"/>
        <family val="2"/>
        <sz val="10"/>
        <rFont val="Arial"/>
      </rPr>
      <t>J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</si>
  <si>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r>
      <t xml:space="preserve">Geleider :      </t>
    </r>
    <r>
      <rPr>
        <b/>
        <color indexed="8"/>
        <family val="2"/>
        <sz val="10"/>
        <rFont val="Arial"/>
      </rPr>
      <t xml:space="preserve">J 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</si>
  <si>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t>Type geleider :</t>
  </si>
  <si>
    <t>Lengte geleider = productiemaat</t>
  </si>
  <si>
    <r>
      <t xml:space="preserve">Afstandsbediening :   </t>
    </r>
    <r>
      <rPr>
        <color indexed="10"/>
        <family val="2"/>
        <sz val="8"/>
        <rFont val="Arial"/>
      </rPr>
      <t>(optie)</t>
    </r>
  </si>
  <si>
    <r>
      <t xml:space="preserve">Protocol :   </t>
    </r>
    <r>
      <rPr>
        <b/>
        <family val="2"/>
        <sz val="10"/>
        <rFont val="Arial"/>
      </rPr>
      <t xml:space="preserve">RTS </t>
    </r>
    <r>
      <rPr>
        <family val="2"/>
        <sz val="10"/>
        <rFont val="Arial"/>
      </rPr>
      <t xml:space="preserve">  of   </t>
    </r>
    <r>
      <rPr>
        <b/>
        <family val="2"/>
        <sz val="10"/>
        <rFont val="Arial"/>
      </rPr>
      <t>IO</t>
    </r>
  </si>
  <si>
    <t>Zender :</t>
  </si>
  <si>
    <r>
      <t>Nm motor</t>
    </r>
    <r>
      <rPr>
        <family val="2"/>
        <sz val="8"/>
        <rFont val="Arial"/>
      </rPr>
      <t xml:space="preserve"> (afhankelijk van type motor)</t>
    </r>
  </si>
  <si>
    <t>Oximo motor</t>
  </si>
  <si>
    <t>Gaposa &amp; Solus</t>
  </si>
  <si>
    <t>Gaposa Sense</t>
  </si>
  <si>
    <t>Hoogte lamel:</t>
  </si>
  <si>
    <t>Hoogte onderlat:</t>
  </si>
  <si>
    <t>Aanslagtop (J / N) :</t>
  </si>
  <si>
    <t>Verschijnt op werkbon en afleveringsbon :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</si>
  <si>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</si>
  <si>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</si>
  <si>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</si>
  <si>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</si>
  <si>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</si>
  <si>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</si>
  <si>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</si>
  <si>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</si>
  <si>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</si>
  <si>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</si>
  <si>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</si>
  <si>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</si>
  <si>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Klant:</t>
  </si>
  <si>
    <t xml:space="preserve">Ref.: </t>
  </si>
  <si>
    <t>PRODUCTIEBON</t>
  </si>
  <si>
    <t>TRADITIONEEL INBOUWROLLUIK</t>
  </si>
  <si>
    <t>Aantal colli's:</t>
  </si>
  <si>
    <t>08/08/2023: Inkortmaat ALU 42 &amp; ULTRA 42 aangepast: -10 mm ipv -8 mm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</si>
  <si>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</si>
  <si>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</si>
  <si>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</si>
  <si>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</si>
  <si>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</si>
  <si>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</si>
  <si>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</si>
  <si>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</si>
  <si>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</si>
  <si>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</si>
  <si>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</si>
  <si>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</si>
  <si>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</si>
  <si>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</si>
  <si>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</si>
  <si>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</si>
  <si>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</si>
  <si>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</si>
  <si>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Geleider</t>
  </si>
  <si>
    <t>ODL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</si>
  <si>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</si>
  <si>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</si>
  <si>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</si>
  <si>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</si>
  <si>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</si>
  <si>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</si>
  <si>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</si>
  <si>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</si>
  <si>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</si>
  <si>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 :</t>
  </si>
  <si>
    <t>DBM61</t>
  </si>
  <si>
    <t>ADRES            :</t>
  </si>
  <si>
    <t>TEL                  :</t>
  </si>
  <si>
    <t xml:space="preserve">FAX                  : </t>
  </si>
  <si>
    <t>Datum</t>
  </si>
  <si>
    <t>00/00/0000</t>
  </si>
  <si>
    <t xml:space="preserve">REF                  : </t>
  </si>
  <si>
    <t>KLEUR</t>
  </si>
  <si>
    <t>POEDER</t>
  </si>
  <si>
    <t>AXALTA</t>
  </si>
  <si>
    <t>(Poedercode)</t>
  </si>
  <si>
    <t>AE03054900520</t>
  </si>
  <si>
    <t>LINT</t>
  </si>
  <si>
    <t>Reductie</t>
  </si>
  <si>
    <t>Motor</t>
  </si>
  <si>
    <t>Gewicht:</t>
  </si>
  <si>
    <t>Kg / M²</t>
  </si>
  <si>
    <t>minus</t>
  </si>
  <si>
    <t>zaagmaat</t>
  </si>
  <si>
    <t>Lamel :</t>
  </si>
  <si>
    <t>Onderlat:</t>
  </si>
  <si>
    <t>mm</t>
  </si>
  <si>
    <t>Onderlat :</t>
  </si>
  <si>
    <t>As :</t>
  </si>
  <si>
    <t>Lamel:</t>
  </si>
  <si>
    <t>Inkortmaten</t>
  </si>
  <si>
    <t>PVC</t>
  </si>
  <si>
    <t>Gewicht :</t>
  </si>
  <si>
    <t>TRADI</t>
  </si>
  <si>
    <t>LINT / Koord</t>
  </si>
  <si>
    <t>ALU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</si>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</sst>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color indexed="10"/>
      <family val="2"/>
      <sz val="12"/>
      <name val="Arial"/>
    </font>
    <font>
      <b/>
      <u/>
      <family val="2"/>
      <sz val="10"/>
      <name val="Arial"/>
    </font>
    <font>
      <b/>
      <family val="2"/>
      <sz val="12"/>
      <name val="Arial"/>
    </font>
    <font>
      <b/>
      <family val="2"/>
      <sz val="10"/>
      <name val="Arial"/>
    </font>
    <font>
      <family val="2"/>
      <sz val="10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8"/>
      <name val="Arial"/>
    </font>
    <font>
      <color indexed="8"/>
      <family val="2"/>
      <sz val="10"/>
      <name val="Arial"/>
    </font>
    <font>
      <b/>
      <color indexed="8"/>
      <family val="2"/>
      <sz val="8"/>
      <name val="Arial"/>
    </font>
    <font>
      <b/>
      <family val="2"/>
      <sz val="8"/>
      <name val="Arial"/>
    </font>
    <font>
      <color indexed="55"/>
      <family val="2"/>
      <sz val="8"/>
      <name val="Arial"/>
    </font>
    <font>
      <b/>
      <color rgb="FFFF0000"/>
      <family val="2"/>
      <sz val="10"/>
      <name val="Arial"/>
    </font>
    <font>
      <color indexed="55"/>
      <family val="2"/>
      <sz val="10"/>
      <name val="Arial"/>
    </font>
    <font>
      <b/>
      <color indexed="10"/>
      <family val="2"/>
      <sz val="10"/>
      <name val="Arial"/>
    </font>
    <font>
      <color indexed="10"/>
      <family val="2"/>
      <sz val="10"/>
      <name val="Arial"/>
    </font>
    <font>
      <color indexed="23"/>
      <family val="2"/>
      <sz val="9"/>
      <name val="Arial"/>
    </font>
    <font>
      <i/>
      <color indexed="63"/>
      <family val="2"/>
      <sz val="8"/>
      <name val="Arial"/>
    </font>
    <font>
      <family val="2"/>
      <sz val="12"/>
      <name val="Arial"/>
    </font>
    <font>
      <color indexed="63"/>
      <family val="2"/>
      <sz val="12"/>
      <name val="Arial"/>
    </font>
    <font>
      <color indexed="63"/>
      <family val="2"/>
      <sz val="11"/>
      <name val="Arial"/>
    </font>
    <font>
      <b/>
      <family val="2"/>
      <sz val="11"/>
      <name val="Arial"/>
    </font>
    <font>
      <family val="2"/>
      <sz val="11"/>
      <name val="Arial"/>
    </font>
    <font>
      <color indexed="63"/>
      <family val="2"/>
      <sz val="10"/>
      <name val="Arial"/>
    </font>
    <font>
      <b/>
      <family val="2"/>
      <sz val="23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family val="2"/>
      <sz val="14"/>
      <name val="Arial"/>
    </font>
    <font>
      <b/>
      <u/>
      <color indexed="55"/>
      <family val="2"/>
      <sz val="10"/>
      <name val="Arial"/>
    </font>
    <font>
      <u/>
      <color indexed="23"/>
      <family val="2"/>
      <sz val="10"/>
      <name val="Arial"/>
    </font>
    <font>
      <u/>
      <color indexed="23"/>
      <family val="2"/>
      <sz val="12"/>
      <name val="Arial"/>
    </font>
    <font>
      <color indexed="23"/>
      <family val="2"/>
      <sz val="10"/>
      <name val="Arial"/>
    </font>
    <font>
      <b/>
      <family val="2"/>
      <sz val="16"/>
      <name val="Arial"/>
    </font>
    <font>
      <b/>
      <family val="2"/>
      <sz val="18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7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164" fontId="7" fillId="0" borderId="0" xfId="0" applyNumberFormat="1" applyFont="1"/>
    <xf numFmtId="0" fontId="8" fillId="0" borderId="0" xfId="0" applyFont="1"/>
    <xf numFmtId="0" fontId="7" fillId="3" borderId="8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right" vertical="center"/>
    </xf>
    <xf numFmtId="0" fontId="7" fillId="3" borderId="10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0" fontId="1" fillId="0" borderId="3" xfId="0" applyFont="1" applyBorder="1"/>
    <xf numFmtId="164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8" fillId="4" borderId="1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16" fontId="8" fillId="4" borderId="3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right"/>
    </xf>
    <xf numFmtId="12" fontId="8" fillId="4" borderId="3" xfId="0" applyNumberFormat="1" applyFont="1" applyFill="1" applyBorder="1" applyAlignment="1">
      <alignment horizontal="center"/>
    </xf>
    <xf numFmtId="12" fontId="8" fillId="2" borderId="15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" fillId="0" borderId="21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3" fontId="1" fillId="4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0" fontId="13" fillId="4" borderId="15" xfId="0" applyFont="1" applyFill="1" applyBorder="1" applyAlignment="1">
      <alignment horizontal="center"/>
    </xf>
    <xf numFmtId="0" fontId="13" fillId="0" borderId="0" xfId="0" applyFont="1"/>
    <xf numFmtId="3" fontId="1" fillId="2" borderId="15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3" borderId="21" xfId="0" applyFont="1" applyFill="1" applyBorder="1" applyAlignment="1">
      <alignment horizontal="right"/>
    </xf>
    <xf numFmtId="0" fontId="8" fillId="4" borderId="23" xfId="0" applyFont="1" applyFill="1" applyBorder="1" applyAlignment="1">
      <alignment horizontal="center"/>
    </xf>
    <xf numFmtId="0" fontId="13" fillId="0" borderId="21" xfId="0" applyFont="1" applyBorder="1" applyAlignment="1">
      <alignment horizontal="right"/>
    </xf>
    <xf numFmtId="0" fontId="17" fillId="0" borderId="0" xfId="0" applyFont="1" applyAlignment="1">
      <alignment horizontal="left"/>
    </xf>
    <xf numFmtId="0" fontId="8" fillId="2" borderId="15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18" fillId="0" borderId="21" xfId="0" applyFont="1" applyBorder="1" applyAlignment="1">
      <alignment horizontal="right"/>
    </xf>
    <xf numFmtId="3" fontId="8" fillId="2" borderId="15" xfId="0" applyNumberFormat="1" applyFont="1" applyFill="1" applyBorder="1" applyAlignment="1">
      <alignment horizontal="center"/>
    </xf>
    <xf numFmtId="3" fontId="8" fillId="2" borderId="23" xfId="0" applyNumberFormat="1" applyFont="1" applyFill="1" applyBorder="1" applyAlignment="1">
      <alignment horizontal="center"/>
    </xf>
    <xf numFmtId="0" fontId="19" fillId="5" borderId="21" xfId="0" applyFont="1" applyFill="1" applyBorder="1" applyAlignment="1">
      <alignment horizontal="right"/>
    </xf>
    <xf numFmtId="0" fontId="20" fillId="5" borderId="15" xfId="0" applyFont="1" applyFill="1" applyBorder="1" applyAlignment="1">
      <alignment horizontal="center"/>
    </xf>
    <xf numFmtId="0" fontId="20" fillId="5" borderId="2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1" fillId="5" borderId="2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22" fillId="0" borderId="0" xfId="0" applyFo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Alignment="1">
      <alignment horizontal="right"/>
    </xf>
    <xf numFmtId="49" fontId="8" fillId="4" borderId="33" xfId="0" applyNumberFormat="1" applyFont="1" applyFill="1" applyBorder="1" applyAlignment="1">
      <alignment horizontal="left"/>
    </xf>
    <xf numFmtId="49" fontId="1" fillId="4" borderId="34" xfId="0" applyNumberFormat="1" applyFont="1" applyFill="1" applyBorder="1" applyAlignment="1">
      <alignment horizontal="left"/>
    </xf>
    <xf numFmtId="49" fontId="1" fillId="4" borderId="35" xfId="0" applyNumberFormat="1" applyFont="1" applyFill="1" applyBorder="1" applyAlignment="1">
      <alignment horizontal="left"/>
    </xf>
    <xf numFmtId="49" fontId="8" fillId="4" borderId="36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49" fontId="8" fillId="4" borderId="37" xfId="0" applyNumberFormat="1" applyFont="1" applyFill="1" applyBorder="1" applyAlignment="1">
      <alignment horizontal="left"/>
    </xf>
    <xf numFmtId="49" fontId="1" fillId="4" borderId="38" xfId="0" applyNumberFormat="1" applyFont="1" applyFill="1" applyBorder="1" applyAlignment="1">
      <alignment horizontal="left"/>
    </xf>
    <xf numFmtId="49" fontId="1" fillId="4" borderId="39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5" borderId="15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14" fontId="2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center"/>
    </xf>
    <xf numFmtId="49" fontId="30" fillId="0" borderId="10" xfId="0" applyNumberFormat="1" applyFont="1" applyBorder="1" applyAlignment="1">
      <alignment horizont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7" fillId="0" borderId="40" xfId="0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49" fontId="7" fillId="0" borderId="43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/>
    </xf>
    <xf numFmtId="0" fontId="8" fillId="0" borderId="45" xfId="0" applyFont="1" applyBorder="1" applyAlignment="1">
      <alignment horizontal="right"/>
    </xf>
    <xf numFmtId="0" fontId="8" fillId="0" borderId="45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49" fontId="7" fillId="0" borderId="47" xfId="0" applyNumberFormat="1" applyFont="1" applyBorder="1" applyAlignment="1">
      <alignment horizontal="center" vertical="center"/>
    </xf>
    <xf numFmtId="49" fontId="8" fillId="0" borderId="43" xfId="0" applyNumberFormat="1" applyFont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48" xfId="0" applyFont="1" applyBorder="1" applyAlignment="1">
      <alignment horizontal="right"/>
    </xf>
    <xf numFmtId="0" fontId="8" fillId="0" borderId="48" xfId="0" applyFont="1" applyBorder="1" applyAlignment="1">
      <alignment horizontal="left"/>
    </xf>
    <xf numFmtId="0" fontId="36" fillId="0" borderId="0" xfId="0" applyFont="1"/>
    <xf numFmtId="0" fontId="7" fillId="0" borderId="0" xfId="0" applyFont="1" applyAlignment="1">
      <alignment horizontal="left"/>
    </xf>
    <xf numFmtId="0" fontId="37" fillId="0" borderId="0" xfId="0" applyFont="1" applyAlignment="1">
      <alignment horizontal="left" vertical="top"/>
    </xf>
    <xf numFmtId="0" fontId="16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39" fillId="0" borderId="0" xfId="0" applyFont="1"/>
    <xf numFmtId="0" fontId="4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1" fillId="0" borderId="0" xfId="0" applyFont="1"/>
    <xf numFmtId="0" fontId="4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3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45" fillId="5" borderId="2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0" fontId="28" fillId="0" borderId="0" xfId="0" applyFont="1"/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46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5" borderId="0" xfId="0" applyFont="1" applyFill="1"/>
    <xf numFmtId="3" fontId="8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4" fontId="7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1" fontId="7" fillId="3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3" fontId="8" fillId="8" borderId="0" xfId="0" applyNumberFormat="1" applyFont="1" applyFill="1" applyAlignment="1">
      <alignment horizontal="center"/>
    </xf>
    <xf numFmtId="3" fontId="1" fillId="5" borderId="0" xfId="0" applyNumberFormat="1" applyFont="1" applyFill="1"/>
    <xf numFmtId="3" fontId="8" fillId="8" borderId="0" xfId="0" applyNumberFormat="1" applyFont="1" applyFill="1"/>
    <xf numFmtId="3" fontId="1" fillId="5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0" fontId="7" fillId="3" borderId="0" xfId="0" applyFont="1" applyFill="1"/>
    <xf numFmtId="4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3" fontId="8" fillId="5" borderId="0" xfId="0" applyNumberFormat="1" applyFont="1" applyFill="1"/>
  </cellXfs>
  <cellStyles count="1">
    <cellStyle name="Normal" xfId="0" builtinId="0"/>
  </cellStyles>
  <dxfs count="81"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7"/>
  <sheetViews>
    <sheetView workbookViewId="0" zoomScale="100" zoomScaleNormal="100">
      <selection activeCell="B4" sqref="B4"/>
    </sheetView>
  </sheetViews>
  <sheetFormatPr defaultRowHeight="12.75" outlineLevelRow="0" outlineLevelCol="0" x14ac:dyDescent="0.2" customHeight="1"/>
  <cols>
    <col min="1" max="1" width="32" customWidth="1"/>
    <col min="2" max="3" width="10.7109375" customWidth="1"/>
    <col min="4" max="4" width="11.42578125" customWidth="1"/>
    <col min="5" max="8" width="10.7109375" customWidth="1"/>
    <col min="9" max="9" width="10.7109375" style="1" customWidth="1"/>
    <col min="10" max="11" width="10.7109375" customWidth="1"/>
    <col min="12" max="13" width="10.42578125" customWidth="1"/>
    <col min="17" max="17" width="12.7109375" customWidth="1"/>
  </cols>
  <sheetData>
    <row r="1" ht="18" customHeight="1" spans="1:15" s="2" customFormat="1" x14ac:dyDescent="0.25">
      <c r="A1" s="3" t="s">
        <v>0</v>
      </c>
      <c r="B1" s="3"/>
      <c r="C1" s="3"/>
      <c r="D1" s="3"/>
      <c r="E1" s="3"/>
      <c r="G1" s="4" t="s">
        <v>1</v>
      </c>
      <c r="H1" s="4"/>
      <c r="I1" s="4"/>
      <c r="J1" s="4"/>
      <c r="K1" s="4"/>
      <c r="L1" s="4"/>
      <c r="M1" s="5" t="s">
        <v>2</v>
      </c>
      <c r="O1" s="5"/>
    </row>
    <row r="2" ht="9.95" customHeight="1" spans="1:1" s="2" customFormat="1" x14ac:dyDescent="0.25">
      <c r="A2" s="6"/>
    </row>
    <row r="3" ht="15" customHeight="1" spans="1:12" s="2" customFormat="1" x14ac:dyDescent="0.25">
      <c r="A3" s="7" t="s">
        <v>3</v>
      </c>
      <c r="B3" s="8"/>
      <c r="C3" s="8"/>
      <c r="D3" s="8"/>
      <c r="E3" s="9"/>
      <c r="F3" s="10"/>
      <c r="G3" s="7" t="s">
        <v>4</v>
      </c>
      <c r="H3" s="8"/>
      <c r="I3" s="8"/>
      <c r="J3" s="8"/>
      <c r="K3" s="8"/>
      <c r="L3" s="9"/>
    </row>
    <row r="4" ht="15.75" customHeight="1" spans="1:18" s="11" customFormat="1" x14ac:dyDescent="0.25">
      <c r="A4" s="12" t="s">
        <v>5</v>
      </c>
      <c r="B4" s="13" t="s">
        <v>6</v>
      </c>
      <c r="C4" s="14"/>
      <c r="D4" s="14"/>
      <c r="E4" s="15"/>
      <c r="F4" s="16"/>
      <c r="G4" s="17" t="s">
        <v>5</v>
      </c>
      <c r="H4" s="18"/>
      <c r="I4" s="13">
        <f>IF(B4&gt;0,B4,"")</f>
      </c>
      <c r="J4" s="14"/>
      <c r="K4" s="14"/>
      <c r="L4" s="15"/>
      <c r="Q4" s="19">
        <v>44734</v>
      </c>
      <c r="R4" s="20" t="s">
        <v>7</v>
      </c>
    </row>
    <row r="5" ht="15.75" customHeight="1" spans="1:18" s="11" customFormat="1" x14ac:dyDescent="0.25">
      <c r="A5" s="21" t="s">
        <v>8</v>
      </c>
      <c r="B5" s="22" t="s">
        <v>9</v>
      </c>
      <c r="C5" s="23"/>
      <c r="D5" s="23"/>
      <c r="E5" s="24"/>
      <c r="F5" s="16"/>
      <c r="G5" s="25" t="s">
        <v>8</v>
      </c>
      <c r="H5" s="26"/>
      <c r="I5" s="22">
        <f>IF(B5&gt;0,B5,"")</f>
      </c>
      <c r="J5" s="23"/>
      <c r="K5" s="23"/>
      <c r="L5" s="24"/>
      <c r="Q5" s="19">
        <v>45146</v>
      </c>
      <c r="R5" s="20" t="s">
        <v>10</v>
      </c>
    </row>
    <row r="6" ht="15.75" customHeight="1" spans="1:12" s="11" customFormat="1" x14ac:dyDescent="0.25">
      <c r="A6" s="27"/>
      <c r="B6" s="22" t="s">
        <v>11</v>
      </c>
      <c r="C6" s="23"/>
      <c r="D6" s="23"/>
      <c r="E6" s="24"/>
      <c r="F6" s="16"/>
      <c r="G6" s="28"/>
      <c r="H6" s="29"/>
      <c r="I6" s="30">
        <f>IF(B6&gt;0,B6,"")</f>
      </c>
      <c r="J6" s="31"/>
      <c r="K6" s="31"/>
      <c r="L6" s="32"/>
    </row>
    <row r="7" ht="15.75" customHeight="1" spans="1:12" s="11" customFormat="1" x14ac:dyDescent="0.25">
      <c r="A7" s="21" t="s">
        <v>12</v>
      </c>
      <c r="B7" s="22" t="s">
        <v>13</v>
      </c>
      <c r="C7" s="23"/>
      <c r="D7" s="23"/>
      <c r="E7" s="24"/>
      <c r="F7" s="16"/>
      <c r="G7" s="33"/>
      <c r="H7" s="33"/>
      <c r="I7" s="33"/>
      <c r="J7" s="33"/>
      <c r="K7" s="33"/>
      <c r="L7" s="33"/>
    </row>
    <row r="8" ht="15.75" customHeight="1" spans="1:12" s="11" customFormat="1" x14ac:dyDescent="0.25">
      <c r="A8" s="21" t="s">
        <v>14</v>
      </c>
      <c r="B8" s="22" t="s">
        <v>15</v>
      </c>
      <c r="C8" s="23"/>
      <c r="D8" s="23"/>
      <c r="E8" s="24"/>
      <c r="F8" s="16"/>
      <c r="G8" s="34" t="s">
        <v>16</v>
      </c>
      <c r="H8" s="35"/>
      <c r="I8" s="36" t="s">
        <v>17</v>
      </c>
      <c r="J8" s="37"/>
      <c r="K8" s="37"/>
      <c r="L8" s="38"/>
    </row>
    <row r="9" ht="15.75" customHeight="1" spans="1:12" s="11" customFormat="1" x14ac:dyDescent="0.25">
      <c r="A9" s="21" t="s">
        <v>18</v>
      </c>
      <c r="B9" s="22"/>
      <c r="C9" s="23"/>
      <c r="D9" s="23"/>
      <c r="E9" s="24"/>
      <c r="F9" s="16"/>
      <c r="G9" s="33"/>
      <c r="H9" s="33"/>
      <c r="I9" s="33"/>
      <c r="J9" s="33"/>
      <c r="K9" s="33"/>
      <c r="L9" s="33"/>
    </row>
    <row r="10" ht="15.75" customHeight="1" spans="1:12" s="11" customFormat="1" x14ac:dyDescent="0.25">
      <c r="A10" s="39" t="s">
        <v>19</v>
      </c>
      <c r="B10" s="40" t="s">
        <v>20</v>
      </c>
      <c r="C10" s="41"/>
      <c r="D10" s="41"/>
      <c r="E10" s="42"/>
      <c r="F10" s="16"/>
      <c r="G10" s="34" t="s">
        <v>21</v>
      </c>
      <c r="H10" s="35"/>
      <c r="I10" s="43" t="s">
        <v>22</v>
      </c>
      <c r="J10" s="33"/>
      <c r="K10" s="16"/>
      <c r="L10" s="16"/>
    </row>
    <row r="11" ht="15.75" customHeight="1" spans="1:12" s="11" customFormat="1" x14ac:dyDescent="0.25">
      <c r="A11" s="16"/>
      <c r="B11" s="16"/>
      <c r="C11" s="16"/>
      <c r="D11" s="16"/>
      <c r="E11" s="16"/>
      <c r="F11" s="16"/>
      <c r="G11" s="33"/>
      <c r="H11" s="33"/>
      <c r="I11" s="33"/>
      <c r="J11" s="16"/>
      <c r="K11" s="44" t="s">
        <v>23</v>
      </c>
      <c r="L11" s="45"/>
    </row>
    <row r="12" ht="15.75" customHeight="1" spans="1:12" s="11" customFormat="1" x14ac:dyDescent="0.25">
      <c r="A12" s="46" t="s">
        <v>24</v>
      </c>
      <c r="B12" s="36" t="s">
        <v>25</v>
      </c>
      <c r="C12" s="37"/>
      <c r="D12" s="37"/>
      <c r="E12" s="38"/>
      <c r="F12" s="16"/>
      <c r="G12" s="34" t="str">
        <f>IF(I10="N","Leverdatum: ","Afhaaldatum: ")</f>
        <v>Leverdatum: </v>
      </c>
      <c r="H12" s="47"/>
      <c r="I12" s="48" t="s">
        <v>26</v>
      </c>
      <c r="J12" s="33"/>
      <c r="K12" s="49" t="s">
        <v>22</v>
      </c>
      <c r="L12" s="50"/>
    </row>
    <row r="13" ht="13.5" customHeight="1" spans="9:9" x14ac:dyDescent="0.25">
      <c r="I13" s="51"/>
    </row>
    <row r="14" ht="13.5" customHeight="1" spans="1:11" x14ac:dyDescent="0.25">
      <c r="A14" s="52"/>
      <c r="B14" s="53" t="s">
        <v>27</v>
      </c>
      <c r="C14" s="53" t="s">
        <v>28</v>
      </c>
      <c r="D14" s="53" t="s">
        <v>29</v>
      </c>
      <c r="E14" s="53" t="s">
        <v>30</v>
      </c>
      <c r="F14" s="53" t="s">
        <v>31</v>
      </c>
      <c r="G14" s="54" t="s">
        <v>32</v>
      </c>
      <c r="H14" s="53" t="s">
        <v>33</v>
      </c>
      <c r="I14" s="53" t="s">
        <v>34</v>
      </c>
      <c r="J14" s="53" t="s">
        <v>35</v>
      </c>
      <c r="K14" s="55" t="s">
        <v>36</v>
      </c>
    </row>
    <row r="15" spans="1:11" x14ac:dyDescent="0.25">
      <c r="A15" s="56" t="s">
        <v>37</v>
      </c>
      <c r="B15" s="57">
        <v>1</v>
      </c>
      <c r="C15" s="57">
        <v>1</v>
      </c>
      <c r="D15" s="57">
        <v>1</v>
      </c>
      <c r="E15" s="57">
        <v>1</v>
      </c>
      <c r="F15" s="57">
        <v>1</v>
      </c>
      <c r="G15" s="57">
        <v>1</v>
      </c>
      <c r="H15" s="57">
        <v>1</v>
      </c>
      <c r="I15" s="57">
        <v>1</v>
      </c>
      <c r="J15" s="57"/>
      <c r="K15" s="57"/>
    </row>
    <row r="16" spans="1:13" x14ac:dyDescent="0.25">
      <c r="A16" s="58" t="s">
        <v>38</v>
      </c>
      <c r="B16" s="59" t="s">
        <v>39</v>
      </c>
      <c r="C16" s="59" t="s">
        <v>39</v>
      </c>
      <c r="D16" s="59" t="s">
        <v>39</v>
      </c>
      <c r="E16" s="59" t="s">
        <v>39</v>
      </c>
      <c r="F16" s="59" t="s">
        <v>39</v>
      </c>
      <c r="G16" s="59" t="s">
        <v>39</v>
      </c>
      <c r="H16" s="59" t="s">
        <v>39</v>
      </c>
      <c r="I16" s="59" t="s">
        <v>39</v>
      </c>
      <c r="J16" s="59"/>
      <c r="K16" s="59"/>
      <c r="L16" s="51"/>
      <c r="M16" s="20" t="s">
        <v>40</v>
      </c>
    </row>
    <row r="17" spans="1:11" x14ac:dyDescent="0.25">
      <c r="A17" s="58" t="s">
        <v>41</v>
      </c>
      <c r="B17" s="59" t="s">
        <v>42</v>
      </c>
      <c r="C17" s="59" t="s">
        <v>43</v>
      </c>
      <c r="D17" s="59" t="s">
        <v>43</v>
      </c>
      <c r="E17" s="59" t="s">
        <v>43</v>
      </c>
      <c r="F17" s="59" t="s">
        <v>43</v>
      </c>
      <c r="G17" s="59" t="s">
        <v>43</v>
      </c>
      <c r="H17" s="59" t="s">
        <v>43</v>
      </c>
      <c r="I17" s="59" t="s">
        <v>43</v>
      </c>
      <c r="J17" s="59"/>
      <c r="K17" s="59"/>
    </row>
    <row r="18" spans="1:13" x14ac:dyDescent="0.25">
      <c r="A18" s="60" t="s">
        <v>44</v>
      </c>
      <c r="B18" s="61">
        <v>1</v>
      </c>
      <c r="C18" s="61">
        <v>1</v>
      </c>
      <c r="D18" s="61">
        <v>1</v>
      </c>
      <c r="E18" s="61">
        <v>1</v>
      </c>
      <c r="F18" s="61">
        <v>1</v>
      </c>
      <c r="G18" s="61">
        <v>1</v>
      </c>
      <c r="H18" s="61">
        <v>1</v>
      </c>
      <c r="I18" s="61">
        <v>1</v>
      </c>
      <c r="J18" s="61"/>
      <c r="K18" s="61"/>
      <c r="L18" s="51"/>
      <c r="M18" s="20" t="s">
        <v>45</v>
      </c>
    </row>
    <row r="19" spans="1:12" x14ac:dyDescent="0.25">
      <c r="A19" s="60" t="s">
        <v>46</v>
      </c>
      <c r="B19" s="62" t="str">
        <f>IF(ISBLANK(B18), " ", IF(B18=0, 1, 1-B18))</f>
        <v> </v>
      </c>
      <c r="C19" s="62" t="str">
        <f t="shared" ref="C19:K19" si="0">IF(ISBLANK(C18), " ", IF(C18=0, 1, 1-C18))</f>
        <v> </v>
      </c>
      <c r="D19" s="62" t="str">
        <f t="shared" si="0"/>
        <v> </v>
      </c>
      <c r="E19" s="62" t="str">
        <f t="shared" si="0"/>
        <v> </v>
      </c>
      <c r="F19" s="62" t="str">
        <f t="shared" si="0"/>
        <v> </v>
      </c>
      <c r="G19" s="62" t="str">
        <f t="shared" si="0"/>
        <v> </v>
      </c>
      <c r="H19" s="62" t="str">
        <f t="shared" si="0"/>
        <v> </v>
      </c>
      <c r="I19" s="62" t="str">
        <f t="shared" si="0"/>
        <v> </v>
      </c>
      <c r="J19" s="62" t="str">
        <f t="shared" si="0"/>
        <v> </v>
      </c>
      <c r="K19" s="62" t="str">
        <f t="shared" si="0"/>
        <v> </v>
      </c>
      <c r="L19" s="63"/>
    </row>
    <row r="20" ht="13.5" customHeight="1" hidden="1" spans="1:12" x14ac:dyDescent="0.25">
      <c r="A20" s="64" t="s">
        <v>47</v>
      </c>
      <c r="B20" s="65"/>
      <c r="C20" s="65"/>
      <c r="D20" s="65"/>
      <c r="E20" s="65"/>
      <c r="F20" s="65"/>
      <c r="G20" s="65"/>
      <c r="H20" s="65"/>
      <c r="I20" s="65"/>
      <c r="J20" s="65"/>
      <c r="K20" s="66"/>
      <c r="L20" s="51"/>
    </row>
    <row r="21" spans="1:13" x14ac:dyDescent="0.25">
      <c r="A21" s="58" t="s">
        <v>48</v>
      </c>
      <c r="B21" s="67" t="s">
        <v>42</v>
      </c>
      <c r="C21" s="67" t="s">
        <v>42</v>
      </c>
      <c r="D21" s="67" t="s">
        <v>49</v>
      </c>
      <c r="E21" s="67" t="s">
        <v>50</v>
      </c>
      <c r="F21" s="67" t="s">
        <v>51</v>
      </c>
      <c r="G21" s="67" t="s">
        <v>52</v>
      </c>
      <c r="H21" s="67" t="s">
        <v>53</v>
      </c>
      <c r="I21" s="67" t="s">
        <v>54</v>
      </c>
      <c r="J21" s="67"/>
      <c r="K21" s="67"/>
      <c r="M21" s="51"/>
    </row>
    <row r="22" spans="1:12" x14ac:dyDescent="0.25">
      <c r="A22" s="58" t="s">
        <v>55</v>
      </c>
      <c r="B22" s="68">
        <v>1500</v>
      </c>
      <c r="C22" s="68">
        <v>1500</v>
      </c>
      <c r="D22" s="68">
        <v>1500</v>
      </c>
      <c r="E22" s="68">
        <v>1500</v>
      </c>
      <c r="F22" s="68">
        <v>1500</v>
      </c>
      <c r="G22" s="68">
        <v>1500</v>
      </c>
      <c r="H22" s="68">
        <v>1500</v>
      </c>
      <c r="I22" s="68">
        <v>1500</v>
      </c>
      <c r="J22" s="68"/>
      <c r="K22" s="68"/>
      <c r="L22" s="69"/>
    </row>
    <row r="23" spans="1:12" x14ac:dyDescent="0.25">
      <c r="A23" s="58" t="s">
        <v>56</v>
      </c>
      <c r="B23" s="68">
        <v>2500</v>
      </c>
      <c r="C23" s="68">
        <v>2500</v>
      </c>
      <c r="D23" s="68">
        <v>2500</v>
      </c>
      <c r="E23" s="68">
        <v>2500</v>
      </c>
      <c r="F23" s="68">
        <v>2500</v>
      </c>
      <c r="G23" s="68">
        <v>2500</v>
      </c>
      <c r="H23" s="68">
        <v>2500</v>
      </c>
      <c r="I23" s="68">
        <v>2500</v>
      </c>
      <c r="J23" s="68"/>
      <c r="K23" s="68"/>
      <c r="L23" s="69"/>
    </row>
    <row r="24" spans="1:12" x14ac:dyDescent="0.25">
      <c r="A24" s="58" t="s">
        <v>57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1"/>
    </row>
    <row r="25" hidden="1" spans="1:12" x14ac:dyDescent="0.25">
      <c r="A25" s="64" t="s">
        <v>58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51"/>
    </row>
    <row r="26" spans="1:13" x14ac:dyDescent="0.25">
      <c r="A26" s="58" t="s">
        <v>59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51"/>
      <c r="M26" s="74" t="s">
        <v>60</v>
      </c>
    </row>
    <row r="27" spans="1:16" x14ac:dyDescent="0.25">
      <c r="A27" s="58" t="s">
        <v>61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51"/>
      <c r="M27" s="74" t="s">
        <v>62</v>
      </c>
      <c r="N27" s="75"/>
      <c r="P27" s="76"/>
    </row>
    <row r="28" spans="1:11" x14ac:dyDescent="0.25">
      <c r="A28" s="77">
        <f>IF(B26="M","Schakelaar :  O=opb.  I=inb.  G=geen",IF(B26="L","Lintoproller :  O = opbouw   I = inbouw",IF(B26="","",IF(B26="K","Koordoproller: O = opbouw I = inbouw",IF(B26="R","Lintoproller : O = Opbouw   I = Inbouw",IF(B26="V","",IF(B26="","")))))))</f>
      </c>
      <c r="B28" s="73"/>
      <c r="C28" s="73"/>
      <c r="D28" s="73"/>
      <c r="E28" s="73"/>
      <c r="F28" s="73"/>
      <c r="G28" s="73"/>
      <c r="H28" s="73"/>
      <c r="I28" s="73"/>
      <c r="J28" s="73"/>
      <c r="K28" s="78"/>
    </row>
    <row r="29" spans="1:11" x14ac:dyDescent="0.25">
      <c r="A29" s="79" t="s">
        <v>63</v>
      </c>
      <c r="B29" s="73"/>
      <c r="C29" s="73"/>
      <c r="D29" s="73"/>
      <c r="E29" s="73"/>
      <c r="F29" s="73"/>
      <c r="G29" s="73"/>
      <c r="H29" s="73"/>
      <c r="I29" s="73"/>
      <c r="J29" s="73"/>
      <c r="K29" s="78"/>
    </row>
    <row r="30" spans="1:13" x14ac:dyDescent="0.25">
      <c r="A30" s="79" t="s">
        <v>64</v>
      </c>
      <c r="B30" s="73"/>
      <c r="C30" s="73"/>
      <c r="D30" s="73"/>
      <c r="E30" s="73"/>
      <c r="F30" s="73"/>
      <c r="G30" s="73"/>
      <c r="H30" s="73"/>
      <c r="I30" s="73"/>
      <c r="J30" s="73"/>
      <c r="K30" s="78"/>
      <c r="L30" s="51"/>
      <c r="M30" s="80">
        <f>IF(B30="J","Wijzigt niets aan de breedte van het rolluik!   -   Zelf de speling &amp; afg. breedte berekenen!","")</f>
      </c>
    </row>
    <row r="31" spans="1:17" x14ac:dyDescent="0.25">
      <c r="A31" s="64" t="s">
        <v>65</v>
      </c>
      <c r="B31" s="81" t="str">
        <f>IF(B30="j","27 x 40",IF(B30="n","",IF(B30=""," ")))</f>
        <v> </v>
      </c>
      <c r="C31" s="81" t="str">
        <f t="shared" ref="C31:K31" si="1">IF(C30="j","27 x 40",IF(C30="n","",IF(C30=""," ")))</f>
        <v> </v>
      </c>
      <c r="D31" s="81" t="str">
        <f t="shared" si="1"/>
        <v> </v>
      </c>
      <c r="E31" s="81" t="str">
        <f t="shared" si="1"/>
        <v> </v>
      </c>
      <c r="F31" s="81" t="str">
        <f t="shared" si="1"/>
        <v> </v>
      </c>
      <c r="G31" s="81" t="str">
        <f t="shared" si="1"/>
        <v> </v>
      </c>
      <c r="H31" s="81" t="str">
        <f t="shared" si="1"/>
        <v> </v>
      </c>
      <c r="I31" s="81" t="str">
        <f t="shared" si="1"/>
        <v> </v>
      </c>
      <c r="J31" s="81" t="str">
        <f t="shared" si="1"/>
        <v> </v>
      </c>
      <c r="K31" s="82" t="str">
        <f t="shared" si="1"/>
        <v> </v>
      </c>
      <c r="L31" s="51"/>
      <c r="M31" s="83">
        <f>IF(B30="J","Mini lamellen:   U   of   F   of   F120   of   V   of   R
Tradi lamellen:   27 x 40   of   27 x 75","")</f>
      </c>
      <c r="N31" s="83"/>
      <c r="O31" s="83"/>
      <c r="P31" s="83"/>
      <c r="Q31" s="83"/>
    </row>
    <row r="32" spans="1:17" x14ac:dyDescent="0.25">
      <c r="A32" s="84" t="s">
        <v>66</v>
      </c>
      <c r="B32" s="85" t="str">
        <f t="shared" ref="B32:K32" si="2">IF(B30="j",B23,IF(B30="n","",IF(B30=""," ")))</f>
        <v> </v>
      </c>
      <c r="C32" s="85" t="str">
        <f t="shared" si="2"/>
        <v> </v>
      </c>
      <c r="D32" s="85" t="str">
        <f t="shared" si="2"/>
        <v> </v>
      </c>
      <c r="E32" s="85" t="str">
        <f t="shared" si="2"/>
        <v> </v>
      </c>
      <c r="F32" s="85" t="str">
        <f t="shared" si="2"/>
        <v> </v>
      </c>
      <c r="G32" s="85" t="str">
        <f t="shared" si="2"/>
        <v> </v>
      </c>
      <c r="H32" s="85" t="str">
        <f t="shared" si="2"/>
        <v> </v>
      </c>
      <c r="I32" s="85" t="str">
        <f t="shared" si="2"/>
        <v> </v>
      </c>
      <c r="J32" s="85" t="str">
        <f t="shared" si="2"/>
        <v> </v>
      </c>
      <c r="K32" s="86" t="str">
        <f t="shared" si="2"/>
        <v> </v>
      </c>
      <c r="M32" s="83"/>
      <c r="N32" s="83"/>
      <c r="O32" s="83"/>
      <c r="P32" s="83"/>
      <c r="Q32" s="83"/>
    </row>
    <row r="33" spans="1:11" x14ac:dyDescent="0.25">
      <c r="A33" s="87" t="s">
        <v>67</v>
      </c>
      <c r="B33" s="88"/>
      <c r="C33" s="88"/>
      <c r="D33" s="88"/>
      <c r="E33" s="88"/>
      <c r="F33" s="88"/>
      <c r="G33" s="88"/>
      <c r="H33" s="88"/>
      <c r="I33" s="88"/>
      <c r="J33" s="88"/>
      <c r="K33" s="89"/>
    </row>
    <row r="34" spans="1:11" x14ac:dyDescent="0.25">
      <c r="A34" s="58" t="s">
        <v>68</v>
      </c>
      <c r="B34" s="90">
        <f t="shared" ref="B34:K34" si="3">IF(B27="IO","IO",IF(B27="RTS","RTS",IF(B27="GS","GS","")))</f>
      </c>
      <c r="C34" s="90">
        <f t="shared" si="3"/>
      </c>
      <c r="D34" s="90">
        <f t="shared" si="3"/>
      </c>
      <c r="E34" s="90">
        <f t="shared" si="3"/>
      </c>
      <c r="F34" s="90">
        <f t="shared" si="3"/>
      </c>
      <c r="G34" s="90">
        <f t="shared" si="3"/>
      </c>
      <c r="H34" s="90">
        <f t="shared" si="3"/>
      </c>
      <c r="I34" s="90">
        <f t="shared" si="3"/>
      </c>
      <c r="J34" s="90">
        <f t="shared" si="3"/>
      </c>
      <c r="K34" s="91">
        <f t="shared" si="3"/>
      </c>
    </row>
    <row r="35" ht="12.75" customHeight="1" spans="1:22" x14ac:dyDescent="0.25">
      <c r="A35" s="64" t="s">
        <v>69</v>
      </c>
      <c r="B35" s="90">
        <f>IF(B34="RTS","T1",IF(B34="IO","S1",IF(B34="GS","H1",IF(B34="",""))))</f>
      </c>
      <c r="C35" s="90">
        <f t="shared" ref="C35:K35" si="4">IF(C34="RTS","T1",IF(C34="IO","S1",IF(C34="GS","H1",IF(C34="",""))))</f>
      </c>
      <c r="D35" s="90">
        <f t="shared" si="4"/>
      </c>
      <c r="E35" s="90">
        <f t="shared" si="4"/>
      </c>
      <c r="F35" s="90">
        <f t="shared" si="4"/>
      </c>
      <c r="G35" s="90">
        <f t="shared" si="4"/>
      </c>
      <c r="H35" s="90">
        <f t="shared" si="4"/>
      </c>
      <c r="I35" s="90">
        <f t="shared" si="4"/>
      </c>
      <c r="J35" s="90">
        <f t="shared" si="4"/>
      </c>
      <c r="K35" s="91">
        <f t="shared" si="4"/>
      </c>
      <c r="L35" s="51"/>
      <c r="M35" s="92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</c>
      <c r="N35" s="92"/>
      <c r="O35" s="92"/>
      <c r="P35" s="92"/>
      <c r="Q35" s="92"/>
      <c r="R35" s="92"/>
      <c r="S35" s="92"/>
      <c r="T35" s="92"/>
      <c r="U35" s="92"/>
      <c r="V35" s="93"/>
    </row>
    <row r="36" spans="1:22" x14ac:dyDescent="0.25">
      <c r="A36" s="94" t="s">
        <v>70</v>
      </c>
      <c r="B36" s="88"/>
      <c r="C36" s="88"/>
      <c r="D36" s="88"/>
      <c r="E36" s="88"/>
      <c r="F36" s="88"/>
      <c r="G36" s="88"/>
      <c r="H36" s="88"/>
      <c r="I36" s="88"/>
      <c r="J36" s="88"/>
      <c r="K36" s="89"/>
      <c r="M36" s="92"/>
      <c r="N36" s="92"/>
      <c r="O36" s="92"/>
      <c r="P36" s="92"/>
      <c r="Q36" s="92"/>
      <c r="R36" s="92"/>
      <c r="S36" s="92"/>
      <c r="T36" s="92"/>
      <c r="U36" s="92"/>
      <c r="V36" s="93"/>
    </row>
    <row r="37" spans="1:22" x14ac:dyDescent="0.25">
      <c r="A37" s="94" t="s">
        <v>71</v>
      </c>
      <c r="B37" s="95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7" s="95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7" s="95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7" s="95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7" s="95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7" s="95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7" s="95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7" s="95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7" s="95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7" s="96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7" s="92"/>
      <c r="N37" s="92"/>
      <c r="O37" s="92"/>
      <c r="P37" s="92"/>
      <c r="Q37" s="92"/>
      <c r="R37" s="92"/>
      <c r="S37" s="92"/>
      <c r="T37" s="92"/>
      <c r="U37" s="92"/>
      <c r="V37" s="93"/>
    </row>
    <row r="38" spans="1:22" x14ac:dyDescent="0.25">
      <c r="A38" s="94" t="s">
        <v>72</v>
      </c>
      <c r="B38" s="95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</c>
      <c r="C38" s="95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</c>
      <c r="D38" s="95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</c>
      <c r="E38" s="95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</c>
      <c r="F38" s="95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</c>
      <c r="G38" s="95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</c>
      <c r="H38" s="95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</c>
      <c r="I38" s="95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</c>
      <c r="J38" s="95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</c>
      <c r="K38" s="96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</c>
      <c r="M38" s="93"/>
      <c r="N38" s="93"/>
      <c r="O38" s="93"/>
      <c r="P38" s="93"/>
      <c r="Q38" s="93"/>
      <c r="R38" s="93"/>
      <c r="S38" s="93"/>
      <c r="T38" s="93"/>
      <c r="U38" s="93"/>
      <c r="V38" s="93"/>
    </row>
    <row r="39" spans="1:22" x14ac:dyDescent="0.25">
      <c r="A39" s="97" t="s">
        <v>73</v>
      </c>
      <c r="B39" s="98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9" s="95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9" s="95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9" s="95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9" s="95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9" s="95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9" s="95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9" s="95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9" s="95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9" s="96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9" s="93"/>
      <c r="N39" s="93"/>
      <c r="O39" s="93"/>
      <c r="P39" s="93"/>
      <c r="Q39" s="93"/>
      <c r="R39" s="93"/>
      <c r="S39" s="93"/>
      <c r="T39" s="93"/>
      <c r="U39" s="93"/>
      <c r="V39" s="93"/>
    </row>
    <row r="40" spans="1:22" x14ac:dyDescent="0.25">
      <c r="A40" s="97" t="s">
        <v>74</v>
      </c>
      <c r="B40" s="99">
        <f>Software!Q7</f>
      </c>
      <c r="C40" s="99">
        <f>Software!Q13</f>
      </c>
      <c r="D40" s="99">
        <f>Software!Q19</f>
      </c>
      <c r="E40" s="99">
        <f>Software!Q25</f>
      </c>
      <c r="F40" s="99">
        <f>Software!Q31</f>
      </c>
      <c r="G40" s="99">
        <f>Software!Q37</f>
      </c>
      <c r="H40" s="99">
        <f>Software!Q43</f>
      </c>
      <c r="I40" s="99">
        <f>Software!Q49</f>
      </c>
      <c r="J40" s="99">
        <f>Software!Q55</f>
      </c>
      <c r="K40" s="100">
        <f>Software!Q61</f>
      </c>
      <c r="M40" s="93"/>
      <c r="N40" s="93"/>
      <c r="O40" s="93"/>
      <c r="P40" s="93"/>
      <c r="Q40" s="93"/>
      <c r="R40" s="93"/>
      <c r="S40" s="93"/>
      <c r="T40" s="93"/>
      <c r="U40" s="93"/>
      <c r="V40" s="93"/>
    </row>
    <row r="41" spans="1:22" x14ac:dyDescent="0.25">
      <c r="A41" s="97" t="s">
        <v>75</v>
      </c>
      <c r="B41" s="100">
        <f>Software!Q5</f>
      </c>
      <c r="C41" s="99">
        <f>Software!Q11</f>
      </c>
      <c r="D41" s="99">
        <f>Software!Q17</f>
      </c>
      <c r="E41" s="99">
        <f>Software!Q23</f>
      </c>
      <c r="F41" s="99">
        <f>Software!Q29</f>
      </c>
      <c r="G41" s="99">
        <f>Software!Q35</f>
      </c>
      <c r="H41" s="99">
        <f>Software!Q41</f>
      </c>
      <c r="I41" s="99">
        <f>Software!Q47</f>
      </c>
      <c r="J41" s="99">
        <f>Software!Q53</f>
      </c>
      <c r="K41" s="100">
        <f>Software!Q59</f>
      </c>
      <c r="M41" s="93"/>
      <c r="N41" s="93"/>
      <c r="O41" s="93"/>
      <c r="P41" s="93"/>
      <c r="Q41" s="93"/>
      <c r="R41" s="93"/>
      <c r="S41" s="93"/>
      <c r="T41" s="93"/>
      <c r="U41" s="93"/>
      <c r="V41" s="93"/>
    </row>
    <row r="42" ht="13.5" customHeight="1" spans="1:11" x14ac:dyDescent="0.25">
      <c r="A42" s="101" t="s">
        <v>76</v>
      </c>
      <c r="B42" s="102"/>
      <c r="C42" s="102"/>
      <c r="D42" s="102"/>
      <c r="E42" s="102"/>
      <c r="F42" s="102"/>
      <c r="G42" s="102"/>
      <c r="H42" s="102"/>
      <c r="I42" s="102"/>
      <c r="J42" s="102"/>
      <c r="K42" s="103"/>
    </row>
    <row r="43" ht="0.95" customHeight="1" spans="2:11" x14ac:dyDescent="0.25">
      <c r="B43" s="104"/>
      <c r="C43" s="104"/>
      <c r="D43" s="104"/>
      <c r="E43" s="104"/>
      <c r="F43" s="104"/>
      <c r="G43" s="105"/>
      <c r="H43" s="104"/>
      <c r="I43" s="104"/>
      <c r="J43" s="104"/>
      <c r="K43" s="104"/>
    </row>
    <row r="44" ht="13.5" customHeight="1" spans="1:9" x14ac:dyDescent="0.25">
      <c r="A44" s="106" t="s">
        <v>77</v>
      </c>
      <c r="B44" s="107" t="s">
        <v>78</v>
      </c>
      <c r="C44" s="108"/>
      <c r="D44" s="109"/>
      <c r="E44" s="107" t="s">
        <v>79</v>
      </c>
      <c r="F44" s="108"/>
      <c r="G44" s="109"/>
      <c r="I44" s="51"/>
    </row>
    <row r="45" spans="1:9" x14ac:dyDescent="0.25">
      <c r="A45" s="110" t="s">
        <v>80</v>
      </c>
      <c r="B45" s="111"/>
      <c r="C45" s="112"/>
      <c r="D45" s="113"/>
      <c r="E45" s="111"/>
      <c r="F45" s="112"/>
      <c r="G45" s="113"/>
      <c r="I45" s="51"/>
    </row>
    <row r="46" ht="15" customHeight="1" spans="1:11" x14ac:dyDescent="0.25">
      <c r="A46" s="110" t="s">
        <v>81</v>
      </c>
      <c r="B46" s="114"/>
      <c r="C46" s="115"/>
      <c r="D46" s="116"/>
      <c r="E46" s="114"/>
      <c r="F46" s="115"/>
      <c r="G46" s="116"/>
      <c r="J46" s="117"/>
      <c r="K46" s="117"/>
    </row>
    <row r="47" spans="1:7" x14ac:dyDescent="0.25">
      <c r="A47" s="110" t="s">
        <v>82</v>
      </c>
      <c r="B47" s="114"/>
      <c r="C47" s="115"/>
      <c r="D47" s="116"/>
      <c r="E47" s="114"/>
      <c r="F47" s="115"/>
      <c r="G47" s="116"/>
    </row>
    <row r="48" ht="15" customHeight="1" spans="1:10" x14ac:dyDescent="0.25">
      <c r="A48" s="110" t="s">
        <v>83</v>
      </c>
      <c r="B48" s="114"/>
      <c r="C48" s="115"/>
      <c r="D48" s="116"/>
      <c r="E48" s="114"/>
      <c r="F48" s="115"/>
      <c r="G48" s="116"/>
      <c r="J48" s="118"/>
    </row>
    <row r="49" ht="13.5" customHeight="1" spans="1:7" x14ac:dyDescent="0.25">
      <c r="A49" s="110" t="s">
        <v>84</v>
      </c>
      <c r="B49" s="119"/>
      <c r="C49" s="120"/>
      <c r="D49" s="121"/>
      <c r="E49" s="119"/>
      <c r="F49" s="120"/>
      <c r="G49" s="121"/>
    </row>
    <row r="50" spans="1:7" x14ac:dyDescent="0.25">
      <c r="A50" s="110" t="s">
        <v>85</v>
      </c>
      <c r="B50" s="111"/>
      <c r="C50" s="112"/>
      <c r="D50" s="113"/>
      <c r="E50" s="111"/>
      <c r="F50" s="112"/>
      <c r="G50" s="113"/>
    </row>
    <row r="51" spans="1:7" x14ac:dyDescent="0.25">
      <c r="A51" s="110" t="s">
        <v>86</v>
      </c>
      <c r="B51" s="114"/>
      <c r="C51" s="115"/>
      <c r="D51" s="116"/>
      <c r="E51" s="114"/>
      <c r="F51" s="115"/>
      <c r="G51" s="116"/>
    </row>
    <row r="52" spans="1:7" x14ac:dyDescent="0.25">
      <c r="A52" s="110" t="s">
        <v>87</v>
      </c>
      <c r="B52" s="114"/>
      <c r="C52" s="115"/>
      <c r="D52" s="116"/>
      <c r="E52" s="114"/>
      <c r="F52" s="115"/>
      <c r="G52" s="116"/>
    </row>
    <row r="53" spans="1:7" x14ac:dyDescent="0.25">
      <c r="A53" s="110" t="s">
        <v>88</v>
      </c>
      <c r="B53" s="114"/>
      <c r="C53" s="115"/>
      <c r="D53" s="116"/>
      <c r="E53" s="114"/>
      <c r="F53" s="115"/>
      <c r="G53" s="116"/>
    </row>
    <row r="54" ht="13.5" customHeight="1" spans="1:7" x14ac:dyDescent="0.25">
      <c r="A54" s="110" t="s">
        <v>89</v>
      </c>
      <c r="B54" s="119"/>
      <c r="C54" s="120"/>
      <c r="D54" s="121"/>
      <c r="E54" s="119"/>
      <c r="F54" s="120"/>
      <c r="G54" s="121"/>
    </row>
    <row r="55" spans="1:7" x14ac:dyDescent="0.25">
      <c r="A55" s="110"/>
      <c r="B55" s="122"/>
      <c r="C55" s="122"/>
      <c r="D55" s="122"/>
      <c r="E55" s="122"/>
      <c r="F55" s="122"/>
      <c r="G55" s="122"/>
    </row>
    <row r="56" spans="1:9" s="123" customFormat="1" x14ac:dyDescent="0.25">
      <c r="A56" s="124"/>
      <c r="B56" s="125"/>
      <c r="C56" s="125"/>
      <c r="D56" s="125"/>
      <c r="E56" s="125"/>
      <c r="F56" s="125"/>
      <c r="G56" s="125"/>
      <c r="I56" s="126"/>
    </row>
    <row r="57" spans="1:9" s="123" customFormat="1" x14ac:dyDescent="0.25">
      <c r="A57" s="124"/>
      <c r="B57" s="125"/>
      <c r="C57" s="125"/>
      <c r="D57" s="125"/>
      <c r="E57" s="125"/>
      <c r="F57" s="125"/>
      <c r="G57" s="125"/>
      <c r="I57" s="126"/>
    </row>
    <row r="60" ht="15.75" customHeight="1" spans="1:13" x14ac:dyDescent="0.25">
      <c r="A60" s="127" t="s">
        <v>90</v>
      </c>
      <c r="B60" s="128">
        <f>IF(B4&gt;0,B4,"")</f>
      </c>
      <c r="C60" s="129"/>
      <c r="D60" s="129"/>
      <c r="E60" s="130"/>
      <c r="F60" s="131">
        <f>IF(I8&lt;&gt;"","Prod. Nr:  "&amp;I8,"")</f>
      </c>
      <c r="G60" s="132"/>
      <c r="H60" s="133"/>
      <c r="I60" s="134" t="str">
        <f>IF(G12="Afhaaldatum: ","Afhaaldatum: ","Leverdatum: ")</f>
        <v>Leverdatum: </v>
      </c>
      <c r="J60" s="134"/>
      <c r="K60" s="135">
        <f>IF(I12&gt;0,I12,"")</f>
      </c>
      <c r="L60" s="136"/>
      <c r="M60" s="137"/>
    </row>
    <row r="61" spans="1:12" x14ac:dyDescent="0.25">
      <c r="A61" s="138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75" customHeight="1" spans="1:13" x14ac:dyDescent="0.25">
      <c r="A62" s="127" t="s">
        <v>91</v>
      </c>
      <c r="B62" s="128">
        <f>IF(B12&gt;0,B12,"")</f>
      </c>
      <c r="C62" s="129"/>
      <c r="D62" s="129"/>
      <c r="E62" s="129"/>
      <c r="F62" s="129"/>
      <c r="G62" s="130"/>
      <c r="H62" s="16"/>
      <c r="I62" s="139" t="s">
        <v>92</v>
      </c>
      <c r="J62" s="139"/>
      <c r="K62" s="139" t="s">
        <v>93</v>
      </c>
      <c r="L62" s="139"/>
      <c r="M62" s="139"/>
    </row>
    <row r="64" ht="15.75" customHeight="1" spans="1:26" s="140" customFormat="1" x14ac:dyDescent="0.25">
      <c r="A64" s="141">
        <f>IF($B$15&gt;0,$B$14,"")</f>
      </c>
      <c r="B64" s="142"/>
      <c r="C64" s="143">
        <f>IF($B$15&gt;0,"Zaagmaat","")</f>
      </c>
      <c r="D64" s="143">
        <f>IF($B$15&gt;0,"Kleur","")</f>
      </c>
      <c r="E64" s="143">
        <f>IF($B$15&gt;0,"Open","")</f>
      </c>
      <c r="F64" s="143">
        <f>IF($B$15&gt;0,"Gesloten","")</f>
      </c>
      <c r="G64" s="143">
        <f>IF($B$15&gt;0,"Bediening","")</f>
      </c>
      <c r="H64" s="143"/>
      <c r="I64" s="144">
        <f>IF($B$15&gt;0,"Afgewerkte maten (B x H):","")</f>
      </c>
      <c r="J64" s="144"/>
      <c r="K64" s="144"/>
      <c r="L64" s="145" t="str">
        <f>IF($B$22&gt;0,$B$22," ")</f>
        <v> </v>
      </c>
      <c r="M64" s="145" t="str">
        <f>IF($B$23&gt;0,$B$23," ")</f>
        <v> 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" customHeight="1" spans="1:8" x14ac:dyDescent="0.25">
      <c r="A65" s="118">
        <f>IF($B$15&gt;0,"Aantal:","")</f>
      </c>
      <c r="B65" s="146" t="str">
        <f>IF(B15&gt;0,B15," ")</f>
        <v> </v>
      </c>
      <c r="C65" s="117"/>
      <c r="D65" s="117"/>
      <c r="E65" s="117"/>
      <c r="F65" s="117"/>
      <c r="G65" s="146">
        <f>IF(B$27="GS","Gaposa","")</f>
      </c>
      <c r="H65" s="146"/>
    </row>
    <row r="66" ht="15" customHeight="1" spans="1:13" x14ac:dyDescent="0.25">
      <c r="A66" s="118">
        <f>IF($B$15&gt;0,"Lamel:","")</f>
      </c>
      <c r="B66" s="147">
        <f>IF($B$16="P55","PVC 55",IF($B$16="A55","ALU 55",IF($B$16="P42","PVC 42",IF($B$16="A42","ALU 42",IF($B$16="U42","ULTRA 42",IF($B$16="U52","ULTRA 52",""))))))</f>
      </c>
      <c r="C66" s="145" t="str">
        <f>IF(Software!D5&gt;0,Software!D5," ")</f>
        <v> </v>
      </c>
      <c r="D66" s="146" t="str">
        <f>IF(B17&gt;0,B17," ")</f>
        <v> </v>
      </c>
      <c r="E66" s="145" t="str">
        <f>IF(B23&gt;0,B23/B40*B18," ")</f>
        <v> </v>
      </c>
      <c r="F66" s="148" t="str">
        <f>IF(B23&gt;0,(B23-B41)/B40*B19," ")</f>
        <v> </v>
      </c>
      <c r="G66" s="149">
        <f>IF(B$26="L","lint",IF(B$26="K","koord",IF(B$26="V","veeras",IF(B$26="R","reductie",IF(B$27="G","Gaposa",IF(B$27="S","Solus",IF(B$27="RTS","Oximo RTS",IF(B$27="IO","Oximo IO",""))))))))&amp;IF(B$27="GS","Sense","")</f>
      </c>
      <c r="H66" s="149">
        <f>IF(B$27="G",B$38,IF(B$27="S",B$38,IF(B$27="RTS",B$37,IF(B$27="IO",B$37,IF(B$27="GS",B$39,IF(B$27="",""))))))</f>
      </c>
      <c r="I66" s="149">
        <f>IF(B45&gt;0,"Opmerking :","")</f>
      </c>
      <c r="J66" s="149"/>
      <c r="K66" s="149"/>
      <c r="L66" s="149"/>
      <c r="M66" s="149"/>
    </row>
    <row r="67" ht="15" customHeight="1" spans="1:13" x14ac:dyDescent="0.25">
      <c r="A67" s="118">
        <f>IF($B$15&gt;0,"Onderlat:","")</f>
      </c>
      <c r="B67" s="147">
        <f>Software!S5</f>
      </c>
      <c r="C67" s="145" t="str">
        <f>IF(Software!D6&gt;0,Software!D6," ")</f>
        <v> </v>
      </c>
      <c r="D67" s="146" t="str">
        <f>IF(B21&gt;0,B21," ")</f>
        <v> </v>
      </c>
      <c r="E67" s="117"/>
      <c r="F67" s="117"/>
      <c r="G67" s="150"/>
      <c r="H67" s="150"/>
      <c r="I67" s="146" t="str">
        <f>IF(B45&gt;0,B45,IF(B45=""," "))</f>
        <v> </v>
      </c>
      <c r="J67" s="146"/>
      <c r="K67" s="146"/>
      <c r="L67" s="146"/>
      <c r="M67" s="146"/>
    </row>
    <row r="68" ht="15" customHeight="1" spans="1:13" x14ac:dyDescent="0.25">
      <c r="A68" s="118">
        <f>IF($B$42&lt;&gt;"","Aanslagtop:","")</f>
      </c>
      <c r="B68" s="145"/>
      <c r="D68" s="145">
        <f>IF($B$42="N","NEE",IF($B$42="J","JA",""))</f>
      </c>
      <c r="E68" s="117"/>
      <c r="F68" s="117"/>
      <c r="G68" s="149">
        <f>IF(B$34="RTS","Afstandsbediening",IF(B$34="IO","Afstandsbediening",IF(B$34="GS","Afstandsbediening",IF(B$34="",""))))</f>
      </c>
      <c r="H68" s="149"/>
      <c r="I68" s="146" t="str">
        <f>IF(E45&gt;0,E45,IF(E45=""," "))</f>
        <v> </v>
      </c>
      <c r="J68" s="146"/>
      <c r="K68" s="146"/>
      <c r="L68" s="146"/>
      <c r="M68" s="146"/>
    </row>
    <row r="69" ht="15" customHeight="1" spans="1:12" x14ac:dyDescent="0.25">
      <c r="A69" s="118">
        <f>IF($B$24&gt;0,"As:","")</f>
      </c>
      <c r="B69" s="146" t="str">
        <f>IF(B24&gt;0,"8K"&amp;B24," ")</f>
        <v> </v>
      </c>
      <c r="C69" s="145" t="str">
        <f>IF(B24&gt;1,Software!D7," ")</f>
        <v> </v>
      </c>
      <c r="D69" s="146">
        <f>IF($B$24&gt;0,"-","")</f>
      </c>
      <c r="E69" s="117"/>
      <c r="F69" s="117"/>
      <c r="G69" s="149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</c>
      <c r="H69" s="149"/>
      <c r="K69" s="151"/>
      <c r="L69" s="151"/>
    </row>
    <row r="70" ht="15" customHeight="1" spans="1:12" x14ac:dyDescent="0.25">
      <c r="A70" s="118">
        <f>IF($B$30="J","Geleider:","")</f>
      </c>
      <c r="B70" s="146" t="str">
        <f>IF(B31&gt;0,B31," ")</f>
        <v> </v>
      </c>
      <c r="C70" s="145">
        <f>IF(B23&gt;0,B32,"")</f>
      </c>
      <c r="D70" s="146">
        <f>IF($B$30="j",$B$21,IF($B$30="N","",IF($B$30="","","")))</f>
      </c>
      <c r="E70" s="117"/>
      <c r="F70" s="117"/>
      <c r="G70" s="152">
        <f>IF(B$34="J","",IF(B$28="","",IF(B$28="o","Opbouw",IF(B$28="i","Inbouw",IF(B$28="g","Geen")))))</f>
      </c>
      <c r="H70" s="153">
        <f>IF(B$27="IO","",IF(B$34="RTS","",IF(B$26="L","oproller",IF(B$26="K","oproller",IF(B$26="R","oproller",IF(B$26="V","",IF(B$26="M","schakelaar",IF(B$26="",""))))))))</f>
      </c>
      <c r="I70" s="153">
        <f>IF(B$29="","",IF(B$29="J","+ muurdoos",IF(B$29="N","")))</f>
      </c>
      <c r="J70" s="153"/>
      <c r="K70" s="117"/>
      <c r="L70" s="117"/>
    </row>
    <row r="71" ht="9.95" customHeight="1" spans="1:12" x14ac:dyDescent="0.25">
      <c r="A71" s="117"/>
      <c r="B71" s="117"/>
      <c r="C71" s="117"/>
      <c r="D71" s="117"/>
      <c r="E71" s="117"/>
      <c r="F71" s="117"/>
      <c r="G71" s="117"/>
      <c r="H71" s="117"/>
      <c r="I71" s="151"/>
      <c r="J71" s="151"/>
      <c r="K71" s="151"/>
      <c r="L71" s="151"/>
    </row>
    <row r="72" ht="15.75" customHeight="1" spans="1:26" s="140" customFormat="1" x14ac:dyDescent="0.25">
      <c r="A72" s="141">
        <f>IF($C$15&gt;0,$C$14,"")</f>
      </c>
      <c r="B72" s="142"/>
      <c r="C72" s="143">
        <f>IF($C$15&gt;0,"Zaagmaat","")</f>
      </c>
      <c r="D72" s="143">
        <f>IF($C$15&gt;0,"Kleur","")</f>
      </c>
      <c r="E72" s="143">
        <f>IF($C$15&gt;0,"Open","")</f>
      </c>
      <c r="F72" s="143">
        <f>IF($C$15&gt;0,"Gesloten","")</f>
      </c>
      <c r="G72" s="143">
        <f>IF($C$15&gt;0,"Bediening","")</f>
      </c>
      <c r="H72" s="143"/>
      <c r="I72" s="144">
        <f>IF($C$15&gt;0,"Afgewerkte maten (B x H):","")</f>
      </c>
      <c r="J72" s="144"/>
      <c r="K72" s="144"/>
      <c r="L72" s="145" t="str">
        <f>IF($C$22&gt;0,$C$22," ")</f>
        <v> </v>
      </c>
      <c r="M72" s="145" t="str">
        <f>IF($C$23&gt;0,$C$23," ")</f>
        <v> 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" customHeight="1" spans="1:10" x14ac:dyDescent="0.25">
      <c r="A73" s="118">
        <f>IF($C$15&gt;0,"Aantal:","")</f>
      </c>
      <c r="B73" s="146" t="str">
        <f>IF(C15&gt;0,C15," ")</f>
        <v> </v>
      </c>
      <c r="C73" s="117"/>
      <c r="D73" s="117"/>
      <c r="E73" s="117"/>
      <c r="F73" s="117"/>
      <c r="G73" s="146">
        <f>IF(C$27="GS","Gaposa","")</f>
      </c>
      <c r="H73" s="146"/>
      <c r="I73" s="150"/>
      <c r="J73" s="150"/>
    </row>
    <row r="74" ht="15" customHeight="1" spans="1:13" x14ac:dyDescent="0.25">
      <c r="A74" s="118">
        <f>IF($C$15&gt;0,"Lamel:","")</f>
      </c>
      <c r="B74" s="147">
        <f>IF($C$16="P55","PVC 55",IF($C$16="A55","ALU 55",IF($C$16="P42","PVC 42",IF($C$16="A42","ALU 42",IF($C$16="U42","ULTRA 42",IF($C$16="U52","ULTRA 52",""))))))</f>
      </c>
      <c r="C74" s="145" t="str">
        <f>IF(Software!D11&gt;0,Software!D11," ")</f>
        <v> </v>
      </c>
      <c r="D74" s="146" t="str">
        <f>IF(C17&gt;0,C17," ")</f>
        <v> </v>
      </c>
      <c r="E74" s="145" t="str">
        <f>IF(C23&gt;0,C23/C40*C18," ")</f>
        <v> </v>
      </c>
      <c r="F74" s="148" t="str">
        <f>IF(C23&gt;0,(C23-C41)/C40*C19," ")</f>
        <v> </v>
      </c>
      <c r="G74" s="149">
        <f>IF(C$26="L","lint",IF(C$26="K","koord",IF(C$26="V","veeras",IF(C$26="R","reductie",IF(C$27="G","Gaposa",IF(C$27="S","Solus",IF(C$27="RTS","Oximo RTS",IF(C$27="IO","Oximo IO",""))))))))&amp;IF(C$27="GS","Sense","")</f>
      </c>
      <c r="H74" s="149">
        <f>IF(C$27="G",C$38,IF(C$27="S",C$38,IF(C$27="RTS",C$37,IF(C$27="IO",C$37,IF(C$27="GS",C$39,IF(C$27="",""))))))</f>
      </c>
      <c r="I74" s="149">
        <f>IF(B46&gt;0,"Opmerking :","")</f>
      </c>
      <c r="J74" s="149"/>
      <c r="K74" s="149"/>
      <c r="L74" s="149"/>
      <c r="M74" s="149"/>
    </row>
    <row r="75" ht="15" customHeight="1" spans="1:13" x14ac:dyDescent="0.25">
      <c r="A75" s="118">
        <f>IF($C$15&gt;0,"Onderlat:","")</f>
      </c>
      <c r="B75" s="147">
        <f>Software!S11</f>
      </c>
      <c r="C75" s="145" t="str">
        <f>IF(Software!D12&gt;0,Software!D12," ")</f>
        <v> </v>
      </c>
      <c r="D75" s="146" t="str">
        <f>IF(C21&gt;0,C21," ")</f>
        <v> </v>
      </c>
      <c r="E75" s="117"/>
      <c r="F75" s="117"/>
      <c r="G75" s="150"/>
      <c r="H75" s="150"/>
      <c r="I75" s="146" t="str">
        <f>IF(B46&gt;0,B46,IF(B46=""," "))</f>
        <v> </v>
      </c>
      <c r="J75" s="146"/>
      <c r="K75" s="146"/>
      <c r="L75" s="146"/>
      <c r="M75" s="146"/>
    </row>
    <row r="76" ht="15" customHeight="1" spans="1:13" x14ac:dyDescent="0.25">
      <c r="A76" s="118">
        <f>IF($C$42&lt;&gt;"","Aanslagtop:","")</f>
      </c>
      <c r="B76" s="145"/>
      <c r="D76" s="145">
        <f>IF($C$42="N","NEE",IF($C$42="J","JA",""))</f>
      </c>
      <c r="E76" s="117"/>
      <c r="F76" s="117"/>
      <c r="G76" s="149">
        <f>IF(C$34="RTS","Afstandsbediening",IF(C$34="IO","Afstandsbediening",IF(C$34="GS","Afstandsbediening",IF(C$34="",""))))</f>
      </c>
      <c r="H76" s="149"/>
      <c r="I76" s="146" t="str">
        <f>IF(E46&gt;0,E46,IF(E46=""," "))</f>
        <v> </v>
      </c>
      <c r="J76" s="146"/>
      <c r="K76" s="146"/>
      <c r="L76" s="146"/>
      <c r="M76" s="146"/>
    </row>
    <row r="77" ht="15" customHeight="1" spans="1:12" x14ac:dyDescent="0.25">
      <c r="A77" s="118">
        <f>IF($C$24&gt;0,"As:","")</f>
      </c>
      <c r="B77" s="146" t="str">
        <f>IF(C24&gt;0,C24," ")</f>
        <v> </v>
      </c>
      <c r="C77" s="145" t="str">
        <f>IF(C24&gt;1,Software!D13," ")</f>
        <v> </v>
      </c>
      <c r="D77" s="146">
        <f>IF($C$24&gt;0,"-","")</f>
      </c>
      <c r="E77" s="117"/>
      <c r="F77" s="117"/>
      <c r="G77" s="149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77" s="149"/>
      <c r="K77" s="151"/>
      <c r="L77" s="151"/>
    </row>
    <row r="78" ht="15" customHeight="1" spans="1:12" x14ac:dyDescent="0.25">
      <c r="A78" s="118">
        <f>IF($C$30="J","Geleider:","")</f>
      </c>
      <c r="B78" s="146" t="str">
        <f>IF(C31&gt;0,C31," ")</f>
        <v> </v>
      </c>
      <c r="C78" s="145" t="str">
        <f>IF(C23&gt;0,C32," ")</f>
        <v> </v>
      </c>
      <c r="D78" s="146">
        <f>IF($C$30="j",$C$21,IF($C$30="N","",IF($C$30="","","")))</f>
      </c>
      <c r="E78" s="117"/>
      <c r="F78" s="117"/>
      <c r="G78" s="152">
        <f>IF(C$34="J","",IF(C$28="","",IF(C$28="o","Opbouw",IF(C$28="i","Inbouw",IF(C$28="g","Geen")))))</f>
      </c>
      <c r="H78" s="153">
        <f>IF(C$27="IO","",IF(C$34="RTS","",IF(C$26="L","oproller",IF(C$26="K","oproller",IF(C$26="R","oproller",IF(C$26="V","",IF(C$26="M","schakelaar",IF(C$26="",""))))))))</f>
      </c>
      <c r="I78" s="153">
        <f>IF(C$29="","",IF(C$29="J","+ muurdoos",IF(C$29="N","")))</f>
      </c>
      <c r="J78" s="153"/>
      <c r="K78" s="117"/>
      <c r="L78" s="117"/>
    </row>
    <row r="79" ht="9.95" customHeight="1" spans="1:12" x14ac:dyDescent="0.25">
      <c r="A79" s="117"/>
      <c r="B79" s="117"/>
      <c r="C79" s="117"/>
      <c r="D79" s="117"/>
      <c r="E79" s="117"/>
      <c r="F79" s="117"/>
      <c r="G79" s="117"/>
      <c r="H79" s="117"/>
      <c r="I79" s="151"/>
      <c r="J79" s="151"/>
      <c r="K79" s="151"/>
      <c r="L79" s="151"/>
    </row>
    <row r="80" ht="15.75" customHeight="1" spans="1:26" s="154" customFormat="1" x14ac:dyDescent="0.25">
      <c r="A80" s="141">
        <f>IF($D$15&gt;0,$D$14,"")</f>
      </c>
      <c r="B80" s="142"/>
      <c r="C80" s="143">
        <f>IF($D$15&gt;0,"Zaagmaat","")</f>
      </c>
      <c r="D80" s="143">
        <f>IF($D$15&gt;0,"Kleur","")</f>
      </c>
      <c r="E80" s="143">
        <f>IF($D$15&gt;0,"Open","")</f>
      </c>
      <c r="F80" s="143">
        <f>IF($D$15&gt;0,"Gesloten","")</f>
      </c>
      <c r="G80" s="143">
        <f>IF($D$15&gt;0,"Bediening","")</f>
      </c>
      <c r="H80" s="143"/>
      <c r="I80" s="144">
        <f>IF($D$15&gt;0,"Afgewerkte maten (B x H):","")</f>
      </c>
      <c r="J80" s="144"/>
      <c r="K80" s="144"/>
      <c r="L80" s="145" t="str">
        <f>IF($D$22&gt;0,$D$22," ")</f>
        <v> </v>
      </c>
      <c r="M80" s="145" t="str">
        <f>IF($D$23&gt;0,$D$23," ")</f>
        <v> </v>
      </c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</row>
    <row r="81" ht="15" customHeight="1" spans="1:10" x14ac:dyDescent="0.25">
      <c r="A81" s="118">
        <f>IF($D$15&gt;0,"Aantal:","")</f>
      </c>
      <c r="B81" s="146" t="str">
        <f>IF(D15&gt;0,D15," ")</f>
        <v> </v>
      </c>
      <c r="C81" s="117"/>
      <c r="D81" s="117"/>
      <c r="E81" s="117"/>
      <c r="F81" s="117"/>
      <c r="G81" s="146">
        <f>IF(D$27="GS","Gaposa","")</f>
      </c>
      <c r="H81" s="146"/>
      <c r="I81" s="150"/>
      <c r="J81" s="150"/>
    </row>
    <row r="82" ht="15" customHeight="1" spans="1:13" x14ac:dyDescent="0.25">
      <c r="A82" s="118">
        <f>IF($D$15&gt;0,"Lamel:","")</f>
      </c>
      <c r="B82" s="147">
        <f>IF($D$16="P55","PVC 55",IF($D$16="A55","ALU 55",IF($D$16="P42","PVC 42",IF($D$16="A42","ALU 42",IF($D$16="U42","ULTRA 42",IF($D$16="U52","ULTRA 52",""))))))</f>
      </c>
      <c r="C82" s="145" t="str">
        <f>IF(Software!D17&gt;0,Software!D17," ")</f>
        <v> </v>
      </c>
      <c r="D82" s="146" t="str">
        <f>IF(D17&gt;0,D17," ")</f>
        <v> </v>
      </c>
      <c r="E82" s="145" t="str">
        <f>IF(D23&gt;0,D23/D40*D18," ")</f>
        <v> </v>
      </c>
      <c r="F82" s="148" t="str">
        <f>IF(D23&gt;0,(D23-D41)/D40*D19," ")</f>
        <v> </v>
      </c>
      <c r="G82" s="149">
        <f>IF(D$26="L","lint",IF(D$26="K","koord",IF(D$26="V","veeras",IF(D$26="R","reductie",IF(D$27="G","Gaposa",IF(D$27="S","Solus",IF(D$27="RTS","Oximo RTS",IF(D$27="IO","Oximo IO",""))))))))&amp;IF(D$27="GS","Sense","")</f>
      </c>
      <c r="H82" s="149">
        <f>IF(D$27="G",D$38,IF(D$27="S",D$38,IF(D$27="RTS",D$37,IF(D$27="IO",D$37,IF(D$27="GS",D$39,IF(D$27="",""))))))</f>
      </c>
      <c r="I82" s="149">
        <f>IF(B47&gt;0,"Opmerking :","")</f>
      </c>
      <c r="J82" s="149"/>
      <c r="K82" s="149"/>
      <c r="L82" s="149"/>
      <c r="M82" s="149"/>
    </row>
    <row r="83" ht="15" customHeight="1" spans="1:13" x14ac:dyDescent="0.25">
      <c r="A83" s="118">
        <f>IF($D$15&gt;0,"Onderlat:","")</f>
      </c>
      <c r="B83" s="147">
        <f>Software!S17</f>
      </c>
      <c r="C83" s="145" t="str">
        <f>IF(Software!D18&gt;0,Software!D18," ")</f>
        <v> </v>
      </c>
      <c r="D83" s="146" t="str">
        <f>IF(D21&gt;0,D21," ")</f>
        <v> </v>
      </c>
      <c r="E83" s="117"/>
      <c r="F83" s="117"/>
      <c r="G83" s="150"/>
      <c r="H83" s="150"/>
      <c r="I83" s="146" t="str">
        <f>IF(B47&gt;0,B47,IF(B47=""," "))</f>
        <v> </v>
      </c>
      <c r="J83" s="146"/>
      <c r="K83" s="146"/>
      <c r="L83" s="146"/>
      <c r="M83" s="146"/>
    </row>
    <row r="84" ht="15" customHeight="1" spans="1:13" x14ac:dyDescent="0.25">
      <c r="A84" s="118">
        <f>IF($D$42&lt;&gt;"","Aanslagtop:","")</f>
      </c>
      <c r="B84" s="145"/>
      <c r="D84" s="145">
        <f>IF($D$42="N","NEE",IF($D$42="J","JA",""))</f>
      </c>
      <c r="E84" s="117"/>
      <c r="F84" s="117"/>
      <c r="G84" s="149">
        <f>IF(D$34="RTS","Afstandsbediening",IF(D$34="IO","Afstandsbediening",IF(D$34="GS","Afstandsbediening",IF(D$34="",""))))</f>
      </c>
      <c r="H84" s="149"/>
      <c r="I84" s="146" t="str">
        <f>IF(E47&gt;0,E47,IF(E47=""," "))</f>
        <v> </v>
      </c>
      <c r="J84" s="146"/>
      <c r="K84" s="146"/>
      <c r="L84" s="146"/>
      <c r="M84" s="146"/>
    </row>
    <row r="85" ht="15" customHeight="1" spans="1:12" x14ac:dyDescent="0.25">
      <c r="A85" s="118">
        <f>IF($D$24&gt;0,"As:","")</f>
      </c>
      <c r="B85" s="146" t="str">
        <f>IF(D24&gt;0,D24," ")</f>
        <v> </v>
      </c>
      <c r="C85" s="145" t="str">
        <f>IF(D24&gt;1,Software!D19," ")</f>
        <v> </v>
      </c>
      <c r="D85" s="146">
        <f>IF($D$24&gt;0,"-","")</f>
      </c>
      <c r="E85" s="117"/>
      <c r="F85" s="117"/>
      <c r="G85" s="149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85" s="149"/>
      <c r="K85" s="151"/>
      <c r="L85" s="151"/>
    </row>
    <row r="86" ht="15" customHeight="1" spans="1:12" x14ac:dyDescent="0.25">
      <c r="A86" s="118">
        <f>IF($D$30="J","Geleider:","")</f>
      </c>
      <c r="B86" s="146" t="str">
        <f>IF(D31&gt;0,D31," ")</f>
        <v> </v>
      </c>
      <c r="C86" s="145" t="str">
        <f>IF(D23&gt;0,D32," ")</f>
        <v> </v>
      </c>
      <c r="D86" s="146">
        <f>IF($D$30="j",$D$21,IF($D$30="N","",IF($D$30="","","")))</f>
      </c>
      <c r="E86" s="117"/>
      <c r="F86" s="117"/>
      <c r="G86" s="152">
        <f>IF(D$34="J","",IF(D$28="","",IF(D$28="o","Opbouw",IF(D$28="i","Inbouw",IF(D$28="g","Geen")))))</f>
      </c>
      <c r="H86" s="153">
        <f>IF(D$27="IO","",IF(D$34="RTS","",IF(D$26="L","oproller",IF(D$26="K","oproller",IF(D$26="R","oproller",IF(D$26="V","",IF(D$26="M","schakelaar",IF(D$26="",""))))))))</f>
      </c>
      <c r="I86" s="153">
        <f>IF(D$29="","",IF(D$29="J","+ muurdoos",IF(D$29="N","")))</f>
      </c>
      <c r="J86" s="153"/>
      <c r="K86" s="117"/>
      <c r="L86" s="117"/>
    </row>
    <row r="87" ht="9.95" customHeight="1" spans="1:12" x14ac:dyDescent="0.25">
      <c r="A87" s="117"/>
      <c r="B87" s="117"/>
      <c r="C87" s="117"/>
      <c r="D87" s="117"/>
      <c r="E87" s="117"/>
      <c r="F87" s="117"/>
      <c r="G87" s="117"/>
      <c r="H87" s="117"/>
      <c r="I87" s="151"/>
      <c r="J87" s="151"/>
      <c r="K87" s="151"/>
      <c r="L87" s="151"/>
    </row>
    <row r="88" ht="15.75" customHeight="1" spans="1:26" s="154" customFormat="1" x14ac:dyDescent="0.25">
      <c r="A88" s="141">
        <f>IF($E$15&gt;0,$E$14,"")</f>
      </c>
      <c r="B88" s="142"/>
      <c r="C88" s="143">
        <f>IF($E$15&gt;0,"Zaagmaat","")</f>
      </c>
      <c r="D88" s="143">
        <f>IF($E$15&gt;0,"Kleur","")</f>
      </c>
      <c r="E88" s="143">
        <f>IF($E$15&gt;0,"Open","")</f>
      </c>
      <c r="F88" s="143">
        <f>IF($E$15&gt;0,"Gesloten","")</f>
      </c>
      <c r="G88" s="143">
        <f>IF($E$15&gt;0,"Bediening","")</f>
      </c>
      <c r="H88" s="143"/>
      <c r="I88" s="144">
        <f>IF($E$15&gt;0,"Afgewerkte maten (B x H):","")</f>
      </c>
      <c r="J88" s="144"/>
      <c r="K88" s="144"/>
      <c r="L88" s="145" t="str">
        <f>IF($E$22&gt;0,$E$22," ")</f>
        <v> </v>
      </c>
      <c r="M88" s="145" t="str">
        <f>IF($E$23&gt;0,$E$23," ")</f>
        <v> </v>
      </c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</row>
    <row r="89" ht="15" customHeight="1" spans="1:10" x14ac:dyDescent="0.25">
      <c r="A89" s="118">
        <f>IF($E$15&gt;0,"Aantal:","")</f>
      </c>
      <c r="B89" s="146" t="str">
        <f>IF(E15&gt;0,E15," ")</f>
        <v> </v>
      </c>
      <c r="C89" s="117"/>
      <c r="D89" s="117"/>
      <c r="E89" s="117"/>
      <c r="F89" s="117"/>
      <c r="G89" s="146">
        <f>IF(E$27="GS","Gaposa","")</f>
      </c>
      <c r="H89" s="146"/>
      <c r="I89" s="150"/>
      <c r="J89" s="150"/>
    </row>
    <row r="90" ht="15" customHeight="1" spans="1:13" x14ac:dyDescent="0.25">
      <c r="A90" s="118">
        <f>IF($E$15&gt;0,"Lamel:","")</f>
      </c>
      <c r="B90" s="147">
        <f>IF($E$16="P55","PVC 55",IF($E$16="A55","ALU 55",IF($E$16="P42","PVC 42",IF($E$16="A42","ALU 42",IF($E$16="U42","ULTRA 42",IF($E$16="U52","ULTRA 52",""))))))</f>
      </c>
      <c r="C90" s="145" t="str">
        <f>IF(Software!D23&gt;0,Software!D23," ")</f>
        <v> </v>
      </c>
      <c r="D90" s="146" t="str">
        <f>IF(E17&gt;0,E17," ")</f>
        <v> </v>
      </c>
      <c r="E90" s="145" t="str">
        <f>IF(E23&gt;0,E23/E40*E18," ")</f>
        <v> </v>
      </c>
      <c r="F90" s="148" t="str">
        <f>IF(E23&gt;0,(E23-E41)/E40*E19," ")</f>
        <v> </v>
      </c>
      <c r="G90" s="149">
        <f>IF(E$26="L","lint",IF(E$26="K","koord",IF(E$26="V","veeras",IF(E$26="R","reductie",IF(E$27="G","Gaposa",IF(E$27="S","Solus",IF(E$27="RTS","Oximo RTS",IF(E$27="IO","Oximo IO",""))))))))&amp;IF(E$27="GS","Sense","")</f>
      </c>
      <c r="H90" s="149">
        <f>IF(E$27="G",E$38,IF(E$27="S",E$38,IF(E$27="RTS",E$37,IF(E$27="IO",E$37,IF(E$27="GS",E$39,IF(E$27="",""))))))</f>
      </c>
      <c r="I90" s="149">
        <f>IF(B48&gt;0,"Opmerking :","")</f>
      </c>
      <c r="J90" s="149"/>
      <c r="K90" s="149"/>
      <c r="L90" s="149"/>
      <c r="M90" s="149"/>
    </row>
    <row r="91" ht="15" customHeight="1" spans="1:13" x14ac:dyDescent="0.25">
      <c r="A91" s="118">
        <f>IF($E$15&gt;0,"Onderlat:","")</f>
      </c>
      <c r="B91" s="147">
        <f>Software!S23</f>
      </c>
      <c r="C91" s="145" t="str">
        <f>IF(Software!D24&gt;0,Software!D24," ")</f>
        <v> </v>
      </c>
      <c r="D91" s="146" t="str">
        <f>IF(E21&gt;0,E21," ")</f>
        <v> </v>
      </c>
      <c r="E91" s="117"/>
      <c r="F91" s="117"/>
      <c r="G91" s="150"/>
      <c r="H91" s="150"/>
      <c r="I91" s="146" t="str">
        <f>IF(B48&gt;0,B48,IF(B48=""," "))</f>
        <v> </v>
      </c>
      <c r="J91" s="146"/>
      <c r="K91" s="146"/>
      <c r="L91" s="146"/>
      <c r="M91" s="146"/>
    </row>
    <row r="92" ht="15" customHeight="1" spans="1:13" x14ac:dyDescent="0.25">
      <c r="A92" s="118">
        <f>IF($E$42&lt;&gt;"","Aanslagtop:","")</f>
      </c>
      <c r="B92" s="145"/>
      <c r="D92" s="145">
        <f>IF($E$42="N","NEE",IF($E$42="J","JA",""))</f>
      </c>
      <c r="E92" s="117"/>
      <c r="F92" s="117"/>
      <c r="G92" s="149">
        <f>IF(E$34="RTS","Afstandsbediening",IF(E$34="IO","Afstandsbediening",IF(E$34="GS","Afstandsbediening",IF(E$34="",""))))</f>
      </c>
      <c r="H92" s="149"/>
      <c r="I92" s="146" t="str">
        <f>IF(E48&gt;0,E48,IF(E48=""," "))</f>
        <v> </v>
      </c>
      <c r="J92" s="146"/>
      <c r="K92" s="146"/>
      <c r="L92" s="146"/>
      <c r="M92" s="146"/>
    </row>
    <row r="93" ht="15" customHeight="1" spans="1:12" x14ac:dyDescent="0.25">
      <c r="A93" s="118">
        <f>IF($E$24&gt;0,"As:","")</f>
      </c>
      <c r="B93" s="146" t="str">
        <f>IF(E24&gt;0,E24," ")</f>
        <v> </v>
      </c>
      <c r="C93" s="145" t="str">
        <f>IF(E24&gt;1,Software!D25," ")</f>
        <v> </v>
      </c>
      <c r="D93" s="146">
        <f>IF($E$24&gt;0,"-","")</f>
      </c>
      <c r="E93" s="117"/>
      <c r="F93" s="117"/>
      <c r="G93" s="149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93" s="149"/>
      <c r="K93" s="151"/>
      <c r="L93" s="151"/>
    </row>
    <row r="94" ht="15" customHeight="1" spans="1:12" x14ac:dyDescent="0.25">
      <c r="A94" s="118">
        <f>IF($E$30="J","Geleider:","")</f>
      </c>
      <c r="B94" s="146" t="str">
        <f>IF(E31&gt;0,E31," ")</f>
        <v> </v>
      </c>
      <c r="C94" s="145" t="str">
        <f>IF(E23&gt;0,E32," ")</f>
        <v> </v>
      </c>
      <c r="D94" s="146">
        <f>IF($E$30="j",$E$21,IF($E$30="N","",IF($E$30="","","")))</f>
      </c>
      <c r="E94" s="117"/>
      <c r="F94" s="117"/>
      <c r="G94" s="152">
        <f>IF(E$34="J","",IF(E$28="","",IF(E$28="o","Opbouw",IF(E$28="i","Inbouw",IF(E$28="g","Geen")))))</f>
      </c>
      <c r="H94" s="153">
        <f>IF(E$27="IO","",IF(E$34="RTS","",IF(E$26="L","oproller",IF(E$26="K","oproller",IF(E$26="R","oproller",IF(E$26="V","",IF(E$26="M","schakelaar",IF(E$26="",""))))))))</f>
      </c>
      <c r="I94" s="153">
        <f>IF(E$29="","",IF(E$29="J","+ muurdoos",IF(E$29="N","")))</f>
      </c>
      <c r="J94" s="153"/>
      <c r="K94" s="117"/>
      <c r="L94" s="117"/>
    </row>
    <row r="95" ht="9.95" customHeight="1" spans="1:12" x14ac:dyDescent="0.25">
      <c r="A95" s="117"/>
      <c r="B95" s="117"/>
      <c r="C95" s="117"/>
      <c r="D95" s="117"/>
      <c r="E95" s="117"/>
      <c r="F95" s="117"/>
      <c r="G95" s="117"/>
      <c r="H95" s="117"/>
      <c r="I95" s="151"/>
      <c r="J95" s="151"/>
      <c r="K95" s="151"/>
      <c r="L95" s="151"/>
    </row>
    <row r="96" ht="15.75" customHeight="1" spans="1:26" s="154" customFormat="1" x14ac:dyDescent="0.25">
      <c r="A96" s="141">
        <f>IF($F$15&gt;0,$F$14,"")</f>
      </c>
      <c r="B96" s="142"/>
      <c r="C96" s="143">
        <f>IF($F$15&gt;0,"Zaagmaat","")</f>
      </c>
      <c r="D96" s="143">
        <f>IF($F$15&gt;0,"Kleur","")</f>
      </c>
      <c r="E96" s="143">
        <f>IF($F$15&gt;0,"Open","")</f>
      </c>
      <c r="F96" s="143">
        <f>IF($F$15&gt;0,"Gesloten","")</f>
      </c>
      <c r="G96" s="143">
        <f>IF($F$15&gt;0,"Bediening","")</f>
      </c>
      <c r="H96" s="143"/>
      <c r="I96" s="144">
        <f>IF($F$15&gt;0,"Afgewerkte maten (B x H):","")</f>
      </c>
      <c r="J96" s="144"/>
      <c r="K96" s="144"/>
      <c r="L96" s="145" t="str">
        <f>IF($F$22&gt;0,$F$22," ")</f>
        <v> </v>
      </c>
      <c r="M96" s="145" t="str">
        <f>IF($F$23&gt;0,$F$23," ")</f>
        <v> </v>
      </c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</row>
    <row r="97" ht="15" customHeight="1" spans="1:10" x14ac:dyDescent="0.25">
      <c r="A97" s="118">
        <f>IF($F$15&gt;0,"Aantal:","")</f>
      </c>
      <c r="B97" s="146" t="str">
        <f>IF(F15&gt;0,F15," ")</f>
        <v> </v>
      </c>
      <c r="C97" s="117"/>
      <c r="D97" s="117"/>
      <c r="E97" s="117"/>
      <c r="F97" s="117"/>
      <c r="G97" s="146">
        <f>IF(F$27="GS","Gaposa","")</f>
      </c>
      <c r="H97" s="146"/>
      <c r="I97" s="150"/>
      <c r="J97" s="150"/>
    </row>
    <row r="98" ht="15" customHeight="1" spans="1:13" x14ac:dyDescent="0.25">
      <c r="A98" s="118">
        <f>IF($F$15&gt;0,"Lamel:","")</f>
      </c>
      <c r="B98" s="147">
        <f>IF($F$16="P55","PVC 55",IF($F$16="A55","ALU 55",IF($F$16="P42","PVC 42",IF($F$16="A42","ALU 42",IF($F$16="U42","ULTRA 42",IF($F$16="U52","ULTRA 52",""))))))</f>
      </c>
      <c r="C98" s="145" t="str">
        <f>IF(Software!D29&gt;0,Software!D29," ")</f>
        <v> </v>
      </c>
      <c r="D98" s="146" t="str">
        <f>IF(F17&gt;0,F17," ")</f>
        <v> </v>
      </c>
      <c r="E98" s="145" t="str">
        <f>IF(F23&gt;0,F23/F40*F18," ")</f>
        <v> </v>
      </c>
      <c r="F98" s="148" t="str">
        <f>IF(F23&gt;0,(F23-F41)/F40*F19," ")</f>
        <v> </v>
      </c>
      <c r="G98" s="149">
        <f>IF(F$26="L","lint",IF(F$26="K","koord",IF(F$26="V","veeras",IF(F$26="R","reductie",IF(F$27="G","Gaposa",IF(F$27="S","Solus",IF(F$27="RTS","Oximo RTS",IF(F$27="IO","Oximo IO",""))))))))&amp;IF(F$27="GS","Sense","")</f>
      </c>
      <c r="H98" s="149">
        <f>IF(F$27="G",F$38,IF(F$27="S",F$38,IF(F$27="RTS",F$37,IF(F$27="IO",F$37,IF(F$27="GS",F$39,IF(F$27="",""))))))</f>
      </c>
      <c r="I98" s="149">
        <f>IF(B49&gt;0,"Opmerking :","")</f>
      </c>
      <c r="J98" s="149"/>
      <c r="K98" s="149"/>
      <c r="L98" s="149"/>
      <c r="M98" s="149"/>
    </row>
    <row r="99" ht="15" customHeight="1" spans="1:13" x14ac:dyDescent="0.25">
      <c r="A99" s="118">
        <f>IF($F$15&gt;0,"Onderlat:","")</f>
      </c>
      <c r="B99" s="147">
        <f>Software!S29</f>
      </c>
      <c r="C99" s="145" t="str">
        <f>IF(Software!D30&gt;0,Software!D30," ")</f>
        <v> </v>
      </c>
      <c r="D99" s="146" t="str">
        <f>IF(F21&gt;0,F21," ")</f>
        <v> </v>
      </c>
      <c r="E99" s="117"/>
      <c r="F99" s="117"/>
      <c r="G99" s="150"/>
      <c r="H99" s="150"/>
      <c r="I99" s="146" t="str">
        <f>IF(B49&gt;0,B49,IF(B49=""," "))</f>
        <v> </v>
      </c>
      <c r="J99" s="146"/>
      <c r="K99" s="146"/>
      <c r="L99" s="146"/>
      <c r="M99" s="146"/>
    </row>
    <row r="100" ht="15" customHeight="1" spans="1:13" x14ac:dyDescent="0.25">
      <c r="A100" s="118">
        <f>IF($F$42&lt;&gt;"","Aanslagtop:","")</f>
      </c>
      <c r="B100" s="145"/>
      <c r="D100" s="145">
        <f>IF($F$42="N","NEE",IF($F$42="J","JA",""))</f>
      </c>
      <c r="E100" s="117"/>
      <c r="F100" s="117"/>
      <c r="G100" s="149">
        <f>IF(F$34="RTS","Afstandsbediening",IF(F$34="IO","Afstandsbediening",IF(F$34="GS","Afstandsbediening",IF(F$34="",""))))</f>
      </c>
      <c r="H100" s="149"/>
      <c r="I100" s="146" t="str">
        <f>IF(E49&gt;0,E49,IF(E49=""," "))</f>
        <v> </v>
      </c>
      <c r="J100" s="146"/>
      <c r="K100" s="146"/>
      <c r="L100" s="146"/>
      <c r="M100" s="146"/>
    </row>
    <row r="101" ht="15" customHeight="1" spans="1:12" x14ac:dyDescent="0.25">
      <c r="A101" s="118">
        <f>IF($F$24&gt;0,"As:","")</f>
      </c>
      <c r="B101" s="146" t="str">
        <f>IF(F24&gt;0,F24," ")</f>
        <v> </v>
      </c>
      <c r="C101" s="145" t="str">
        <f>IF(F24&gt;1,Software!D31," ")</f>
        <v> </v>
      </c>
      <c r="D101" s="146">
        <f>IF($F$24&gt;0,"-","")</f>
      </c>
      <c r="E101" s="117"/>
      <c r="F101" s="117"/>
      <c r="G101" s="149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1" s="149"/>
      <c r="K101" s="151"/>
      <c r="L101" s="151"/>
    </row>
    <row r="102" ht="15" customHeight="1" spans="1:12" x14ac:dyDescent="0.25">
      <c r="A102" s="118">
        <f>IF($F$30="J","Geleider:","")</f>
      </c>
      <c r="B102" s="146" t="str">
        <f>IF(F31&gt;0,F31," ")</f>
        <v> </v>
      </c>
      <c r="C102" s="145" t="str">
        <f>IF(F23&gt;0,F32," ")</f>
        <v> </v>
      </c>
      <c r="D102" s="146">
        <f>IF($F$30="j",$F$21,IF($F$30="N","",IF($F$30="","","")))</f>
      </c>
      <c r="E102" s="117"/>
      <c r="F102" s="117"/>
      <c r="G102" s="152">
        <f>IF(F$34="J","",IF(F$28="","",IF(F$28="o","Opbouw",IF(F$28="i","Inbouw",IF(F$28="g","Geen")))))</f>
      </c>
      <c r="H102" s="153">
        <f>IF(F$27="IO","",IF(F$34="RTS","",IF(F$26="L","oproller",IF(F$26="K","oproller",IF(F$26="R","oproller",IF(F$26="V","",IF(F$26="M","schakelaar",IF(F$26="",""))))))))</f>
      </c>
      <c r="I102" s="153">
        <f>IF(F$29="","",IF(F$29="J","+ muurdoos",IF(F$29="N","")))</f>
      </c>
      <c r="J102" s="153"/>
      <c r="K102" s="117"/>
      <c r="L102" s="117"/>
    </row>
    <row r="103" ht="9.95" customHeight="1" spans="1:12" x14ac:dyDescent="0.25">
      <c r="A103" s="117"/>
      <c r="B103" s="117"/>
      <c r="C103" s="117"/>
      <c r="D103" s="117"/>
      <c r="E103" s="117"/>
      <c r="F103" s="117"/>
      <c r="G103" s="117"/>
      <c r="H103" s="117"/>
      <c r="I103" s="151"/>
      <c r="J103" s="151"/>
      <c r="K103" s="151"/>
      <c r="L103" s="151"/>
    </row>
    <row r="104" ht="15.75" customHeight="1" spans="1:13" s="155" customFormat="1" x14ac:dyDescent="0.25">
      <c r="A104" s="141">
        <f>IF($G$15&gt;0,$G$14,"")</f>
      </c>
      <c r="B104" s="142"/>
      <c r="C104" s="143">
        <f>IF($G$15&gt;0,"Zaagmaat","")</f>
      </c>
      <c r="D104" s="143">
        <f>IF($G$15&gt;0,"Kleur","")</f>
      </c>
      <c r="E104" s="143">
        <f>IF($G$15&gt;0,"Open","")</f>
      </c>
      <c r="F104" s="143">
        <f>IF($G$15&gt;0,"Gesloten","")</f>
      </c>
      <c r="G104" s="143">
        <f>IF($G$15&gt;0,"Bediening","")</f>
      </c>
      <c r="H104" s="143"/>
      <c r="I104" s="144">
        <f>IF($G$15&gt;0,"Afgewerkte maten (B x H):","")</f>
      </c>
      <c r="J104" s="144"/>
      <c r="K104" s="144"/>
      <c r="L104" s="145" t="str">
        <f>IF($G$22&gt;0,$G$22," ")</f>
        <v> </v>
      </c>
      <c r="M104" s="145" t="str">
        <f>IF($G$23&gt;0,$G$23," ")</f>
        <v> </v>
      </c>
    </row>
    <row r="105" ht="15" customHeight="1" spans="1:10" x14ac:dyDescent="0.25">
      <c r="A105" s="118">
        <f>IF($G$15&gt;0,"Aantal:","")</f>
      </c>
      <c r="B105" s="146" t="str">
        <f>IF(G15&gt;0,G15," ")</f>
        <v> </v>
      </c>
      <c r="C105" s="117"/>
      <c r="D105" s="117"/>
      <c r="E105" s="117"/>
      <c r="F105" s="117"/>
      <c r="G105" s="146">
        <f>IF(G$27="GS","Gaposa","")</f>
      </c>
      <c r="H105" s="146"/>
      <c r="I105" s="150"/>
      <c r="J105" s="150"/>
    </row>
    <row r="106" ht="15" customHeight="1" spans="1:13" x14ac:dyDescent="0.25">
      <c r="A106" s="118">
        <f>IF($G$15&gt;0,"Lamel:","")</f>
      </c>
      <c r="B106" s="147">
        <f>IF($G$16="P55","PVC 55",IF($G$16="A55","ALU 55",IF($G$16="P42","PVC 42",IF($G$16="A42","ALU 42",IF($G$16="U42","ULTRA 42",IF($G$16="U52","ULTRA 52",""))))))</f>
      </c>
      <c r="C106" s="145" t="str">
        <f>IF(Software!D35&gt;0,Software!D35," ")</f>
        <v> </v>
      </c>
      <c r="D106" s="146" t="str">
        <f>IF(G17&gt;0,G17," ")</f>
        <v> </v>
      </c>
      <c r="E106" s="145" t="str">
        <f>IF(G23&gt;0,G23/G40*G18," ")</f>
        <v> </v>
      </c>
      <c r="F106" s="148" t="str">
        <f>IF(G23&gt;0,(G23-G41)/G40*G19," ")</f>
        <v> </v>
      </c>
      <c r="G106" s="149">
        <f>IF(G$26="L","lint",IF(G$26="K","koord",IF(G$26="V","veeras",IF(G$26="R","reductie",IF(G$27="G","Gaposa",IF(G$27="S","Solus",IF(G$27="RTS","Oximo RTS",IF(G$27="IO","Oximo IO",""))))))))&amp;IF(G$27="GS","Sense","")</f>
      </c>
      <c r="H106" s="149">
        <f>IF(G$27="G",G$38,IF(G$27="S",G$38,IF(G$27="RTS",G$37,IF(G$27="IO",G$37,IF(G$27="GS",G$39,IF(G$27="",""))))))</f>
      </c>
      <c r="I106" s="149">
        <f>IF(B50&gt;0,"Opmerking :","")</f>
      </c>
      <c r="J106" s="149"/>
      <c r="K106" s="149"/>
      <c r="L106" s="149"/>
      <c r="M106" s="149"/>
    </row>
    <row r="107" ht="15" customHeight="1" spans="1:13" x14ac:dyDescent="0.25">
      <c r="A107" s="118">
        <f>IF($G$15&gt;0,"Onderlat:","")</f>
      </c>
      <c r="B107" s="147">
        <f>Software!S35</f>
      </c>
      <c r="C107" s="145" t="str">
        <f>IF(Software!D36&gt;0,Software!D36," ")</f>
        <v> </v>
      </c>
      <c r="D107" s="146" t="str">
        <f>IF(G21&gt;0,G21," ")</f>
        <v> </v>
      </c>
      <c r="E107" s="117"/>
      <c r="F107" s="117"/>
      <c r="G107" s="150"/>
      <c r="H107" s="150"/>
      <c r="I107" s="146" t="str">
        <f>IF(B50&gt;0,B50,IF(B50=""," "))</f>
        <v> </v>
      </c>
      <c r="J107" s="146"/>
      <c r="K107" s="146"/>
      <c r="L107" s="146"/>
      <c r="M107" s="146"/>
    </row>
    <row r="108" ht="15" customHeight="1" spans="1:13" x14ac:dyDescent="0.25">
      <c r="A108" s="118">
        <f>IF($G$42&lt;&gt;"","Aanslagtop:","")</f>
      </c>
      <c r="B108" s="145"/>
      <c r="D108" s="145">
        <f>IF($G$42="N","NEE",IF($G$42="J","JA",""))</f>
      </c>
      <c r="E108" s="117"/>
      <c r="F108" s="117"/>
      <c r="G108" s="149">
        <f>IF(G$34="RTS","Afstandsbediening",IF(G$34="IO","Afstandsbediening",IF(G$34="GS","Afstandsbediening",IF(G$34="",""))))</f>
      </c>
      <c r="H108" s="149"/>
      <c r="I108" s="146" t="str">
        <f>IF(E50&gt;0,E50,IF(E50=""," "))</f>
        <v> </v>
      </c>
      <c r="J108" s="146"/>
      <c r="K108" s="146"/>
      <c r="L108" s="146"/>
      <c r="M108" s="146"/>
    </row>
    <row r="109" ht="15" customHeight="1" spans="1:12" x14ac:dyDescent="0.25">
      <c r="A109" s="118">
        <f>IF($G$24&gt;0,"As:","")</f>
      </c>
      <c r="B109" s="146" t="str">
        <f>IF(G24&gt;0,G24," ")</f>
        <v> </v>
      </c>
      <c r="C109" s="145" t="str">
        <f>IF(G24&gt;1,Software!D37," ")</f>
        <v> </v>
      </c>
      <c r="D109" s="146">
        <f>IF($G$24&gt;0,"-","")</f>
      </c>
      <c r="E109" s="117"/>
      <c r="F109" s="117"/>
      <c r="G109" s="149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09" s="149"/>
      <c r="K109" s="151"/>
      <c r="L109" s="151"/>
    </row>
    <row r="110" ht="15" customHeight="1" spans="1:12" x14ac:dyDescent="0.25">
      <c r="A110" s="118">
        <f>IF($G$30="J","Geleider:","")</f>
      </c>
      <c r="B110" s="146" t="str">
        <f>IF(G31&gt;0,G31," ")</f>
        <v> </v>
      </c>
      <c r="C110" s="145" t="str">
        <f>IF(G23&gt;0,G32," ")</f>
        <v> </v>
      </c>
      <c r="D110" s="146">
        <f>IF($G$30="j",$G$21,IF($G$30="N","",IF($G$30="","","")))</f>
      </c>
      <c r="E110" s="117"/>
      <c r="F110" s="117"/>
      <c r="G110" s="152">
        <f>IF(G$34="J","",IF(G$28="","",IF(G$28="o","Opbouw",IF(G$28="i","Inbouw",IF(G$28="g","Geen")))))</f>
      </c>
      <c r="H110" s="153">
        <f>IF(G$27="IO","",IF(G$34="RTS","",IF(G$26="L","oproller",IF(G$26="K","oproller",IF(G$26="R","oproller",IF(G$26="V","",IF(G$26="M","schakelaar",IF(G$26="",""))))))))</f>
      </c>
      <c r="I110" s="153">
        <f>IF(G$29="","",IF(G$29="J","+ muurdoos",IF(G$29="N","")))</f>
      </c>
      <c r="J110" s="153"/>
      <c r="K110" s="117"/>
      <c r="L110" s="117"/>
    </row>
    <row r="111" ht="9.95" customHeight="1" spans="1:12" x14ac:dyDescent="0.25">
      <c r="A111" s="117"/>
      <c r="B111" s="117"/>
      <c r="C111" s="117"/>
      <c r="D111" s="117"/>
      <c r="E111" s="117"/>
      <c r="F111" s="117"/>
      <c r="G111" s="117"/>
      <c r="H111" s="117"/>
      <c r="I111" s="151"/>
      <c r="J111" s="151"/>
      <c r="K111" s="151"/>
      <c r="L111" s="151"/>
    </row>
    <row r="112" ht="15.75" customHeight="1" spans="1:13" s="51" customFormat="1" x14ac:dyDescent="0.25">
      <c r="A112" s="141">
        <f>IF($H$15&gt;0,$H$14,"")</f>
      </c>
      <c r="B112" s="142"/>
      <c r="C112" s="143">
        <f>IF($H$15&gt;0,"Zaagmaat","")</f>
      </c>
      <c r="D112" s="143">
        <f>IF($H$15&gt;0,"Kleur","")</f>
      </c>
      <c r="E112" s="143">
        <f>IF($H$15&gt;0,"Open","")</f>
      </c>
      <c r="F112" s="143">
        <f>IF($H$15&gt;0,"Gesloten","")</f>
      </c>
      <c r="G112" s="143">
        <f>IF($H$15&gt;0,"Bediening","")</f>
      </c>
      <c r="H112" s="143"/>
      <c r="I112" s="144">
        <f>IF($H$15&gt;0,"Afgewerkte maten (B x H):","")</f>
      </c>
      <c r="J112" s="144"/>
      <c r="K112" s="144"/>
      <c r="L112" s="145" t="str">
        <f>IF($H$22&gt;0,$H$22," ")</f>
        <v> </v>
      </c>
      <c r="M112" s="145" t="str">
        <f>IF($H$23&gt;0,$H$23," ")</f>
        <v> </v>
      </c>
    </row>
    <row r="113" ht="15" customHeight="1" spans="1:10" x14ac:dyDescent="0.25">
      <c r="A113" s="118">
        <f>IF($H$15&gt;0,"Aantal:","")</f>
      </c>
      <c r="B113" s="146" t="str">
        <f>IF(H15&gt;0,H15," ")</f>
        <v> </v>
      </c>
      <c r="C113" s="117"/>
      <c r="D113" s="117"/>
      <c r="E113" s="117"/>
      <c r="F113" s="117"/>
      <c r="G113" s="146">
        <f>IF(H$27="GS","Gaposa","")</f>
      </c>
      <c r="H113" s="146"/>
      <c r="I113" s="150"/>
      <c r="J113" s="150"/>
    </row>
    <row r="114" ht="15" customHeight="1" spans="1:13" x14ac:dyDescent="0.25">
      <c r="A114" s="118">
        <f>IF($H$15&gt;0,"Lamel:","")</f>
      </c>
      <c r="B114" s="147">
        <f>IF($H$16="P55","PVC 55",IF($H$16="A55","ALU 55",IF($H$16="P42","PVC 42",IF($H$16="A42","ALU 42",IF($H$16="U42","ULTRA 42",IF($H$16="U52","ULTRA 52",""))))))</f>
      </c>
      <c r="C114" s="145" t="str">
        <f>IF(Software!D41&gt;0,Software!D41," ")</f>
        <v> </v>
      </c>
      <c r="D114" s="146" t="str">
        <f>IF(H17&gt;0,H17," ")</f>
        <v> </v>
      </c>
      <c r="E114" s="145" t="str">
        <f>IF(H23&gt;0,H23/H40*H18," ")</f>
        <v> </v>
      </c>
      <c r="F114" s="148" t="str">
        <f>IF(H23&gt;0,(H23-H41)/H40*H19," ")</f>
        <v> </v>
      </c>
      <c r="G114" s="149">
        <f>IF(H$26="L","lint",IF(H$26="K","koord",IF(H$26="V","veeras",IF(H$26="R","reductie",IF(H$27="G","Gaposa",IF(H$27="S","Solus",IF(H$27="RTS","Oximo RTS",IF(H$27="IO","Oximo IO",""))))))))&amp;IF(H$27="GS","Sense","")</f>
      </c>
      <c r="H114" s="149">
        <f>IF(H$27="G",H$38,IF(H$27="S",H$38,IF(H$27="RTS",H$37,IF(H$27="IO",H$37,IF(H$27="GS",H$39,IF(H$27="",""))))))</f>
      </c>
      <c r="I114" s="149">
        <f>IF(B51&gt;0,"Opmerking :","")</f>
      </c>
      <c r="J114" s="149"/>
      <c r="K114" s="149"/>
      <c r="L114" s="149"/>
      <c r="M114" s="149"/>
    </row>
    <row r="115" ht="15" customHeight="1" spans="1:13" x14ac:dyDescent="0.25">
      <c r="A115" s="118">
        <f>IF($H$15&gt;0,"Onderlat:","")</f>
      </c>
      <c r="B115" s="147">
        <f>Software!S41</f>
      </c>
      <c r="C115" s="145" t="str">
        <f>IF(Software!D42&gt;0,Software!D42," ")</f>
        <v> </v>
      </c>
      <c r="D115" s="146" t="str">
        <f>IF(H21&gt;0,H21," ")</f>
        <v> </v>
      </c>
      <c r="E115" s="117"/>
      <c r="F115" s="117"/>
      <c r="G115" s="150"/>
      <c r="H115" s="150"/>
      <c r="I115" s="146" t="str">
        <f>IF(B51&gt;0,B51,IF(B51=""," "))</f>
        <v> </v>
      </c>
      <c r="J115" s="146"/>
      <c r="K115" s="146"/>
      <c r="L115" s="146"/>
      <c r="M115" s="146"/>
    </row>
    <row r="116" ht="15" customHeight="1" spans="1:13" x14ac:dyDescent="0.25">
      <c r="A116" s="118">
        <f>IF($H$42&lt;&gt;"","Aanslagtop:","")</f>
      </c>
      <c r="B116" s="145"/>
      <c r="D116" s="145">
        <f>IF($H$42="N","NEE",IF($H$42="J","JA",""))</f>
      </c>
      <c r="E116" s="117"/>
      <c r="F116" s="117"/>
      <c r="G116" s="149">
        <f>IF(H$34="RTS","Afstandsbediening",IF(H$34="IO","Afstandsbediening",IF(H$34="GS","Afstandsbediening",IF(H$34="",""))))</f>
      </c>
      <c r="H116" s="149"/>
      <c r="I116" s="146" t="str">
        <f>IF(E51&gt;0,E51,IF(E51=""," "))</f>
        <v> </v>
      </c>
      <c r="J116" s="146"/>
      <c r="K116" s="146"/>
      <c r="L116" s="146"/>
      <c r="M116" s="146"/>
    </row>
    <row r="117" ht="15" customHeight="1" spans="1:12" x14ac:dyDescent="0.25">
      <c r="A117" s="118">
        <f>IF($H$24&gt;0,"As:","")</f>
      </c>
      <c r="B117" s="146" t="str">
        <f>IF(H24&gt;0,H24," ")</f>
        <v> </v>
      </c>
      <c r="C117" s="145" t="str">
        <f>IF(H24&gt;1,Software!D43," ")</f>
        <v> </v>
      </c>
      <c r="D117" s="146">
        <f>IF($H$24&gt;0,"-","")</f>
      </c>
      <c r="E117" s="117"/>
      <c r="F117" s="117"/>
      <c r="G117" s="149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</c>
      <c r="H117" s="149"/>
      <c r="K117" s="151"/>
      <c r="L117" s="151"/>
    </row>
    <row r="118" ht="15" customHeight="1" spans="1:12" x14ac:dyDescent="0.25">
      <c r="A118" s="118">
        <f>IF($H$30="J","Geleider:","")</f>
      </c>
      <c r="B118" s="146" t="str">
        <f>IF(H31&gt;0,H31," ")</f>
        <v> </v>
      </c>
      <c r="C118" s="145" t="str">
        <f>IF(H23&gt;0,H32," ")</f>
        <v> </v>
      </c>
      <c r="D118" s="146">
        <f>IF($H$30="j",$H$21,IF($H$30="N","",IF($H$30="","","")))</f>
      </c>
      <c r="E118" s="117"/>
      <c r="F118" s="117"/>
      <c r="G118" s="152">
        <f>IF(H$34="J","",IF(H$28="","",IF(H$28="o","Opbouw",IF(H$28="i","Inbouw",IF(H$28="g","Geen")))))</f>
      </c>
      <c r="H118" s="153">
        <f>IF(H$27="IO","",IF(H$34="RTS","",IF(H$26="L","oproller",IF(H$26="K","oproller",IF(H$26="R","oproller",IF(H$26="V","",IF(H$26="M","schakelaar",IF(H$26="",""))))))))</f>
      </c>
      <c r="I118" s="153">
        <f>IF(H$29="","",IF(H$29="J","+ muurdoos",IF(H$29="N","")))</f>
      </c>
      <c r="J118" s="153"/>
      <c r="K118" s="117"/>
      <c r="L118" s="117"/>
    </row>
    <row r="119" ht="9.95" customHeight="1" spans="1:12" x14ac:dyDescent="0.25">
      <c r="A119" s="117"/>
      <c r="B119" s="117"/>
      <c r="C119" s="117"/>
      <c r="D119" s="117"/>
      <c r="E119" s="117"/>
      <c r="F119" s="117"/>
      <c r="G119" s="117"/>
      <c r="H119" s="117"/>
      <c r="I119" s="151"/>
      <c r="J119" s="151"/>
      <c r="K119" s="151"/>
      <c r="L119" s="151"/>
    </row>
    <row r="120" ht="15.75" customHeight="1" spans="1:13" s="51" customFormat="1" x14ac:dyDescent="0.25">
      <c r="A120" s="141">
        <f>IF($I$15&gt;0,$I$14,"")</f>
      </c>
      <c r="B120" s="142"/>
      <c r="C120" s="143">
        <f>IF($I$15&gt;0,"Zaagmaat","")</f>
      </c>
      <c r="D120" s="143">
        <f>IF($I$15&gt;0,"Kleur","")</f>
      </c>
      <c r="E120" s="143">
        <f>IF($I$15&gt;0,"Open","")</f>
      </c>
      <c r="F120" s="143">
        <f>IF($I$15&gt;0,"Gesloten","")</f>
      </c>
      <c r="G120" s="143">
        <f>IF($I$15&gt;0,"Bediening","")</f>
      </c>
      <c r="H120" s="143"/>
      <c r="I120" s="144">
        <f>IF($I$15&gt;0,"Afgewerkte maten (B x H):","")</f>
      </c>
      <c r="J120" s="144"/>
      <c r="K120" s="144"/>
      <c r="L120" s="145" t="str">
        <f>IF($I$22&gt;0,$I$22," ")</f>
        <v> </v>
      </c>
      <c r="M120" s="145" t="str">
        <f>IF($I$23&gt;0,$I$23," ")</f>
        <v> </v>
      </c>
    </row>
    <row r="121" ht="15" customHeight="1" spans="1:10" x14ac:dyDescent="0.25">
      <c r="A121" s="118">
        <f>IF($I$15&gt;0,"Aantal:","")</f>
      </c>
      <c r="B121" s="146" t="str">
        <f>IF(I15&gt;0,I15," ")</f>
        <v> </v>
      </c>
      <c r="C121" s="117"/>
      <c r="D121" s="117"/>
      <c r="E121" s="117"/>
      <c r="F121" s="117"/>
      <c r="G121" s="146">
        <f>IF(I$27="GS","Gaposa","")</f>
      </c>
      <c r="H121" s="146"/>
      <c r="I121" s="150"/>
      <c r="J121" s="150"/>
    </row>
    <row r="122" ht="15" customHeight="1" spans="1:13" x14ac:dyDescent="0.25">
      <c r="A122" s="118">
        <f>IF($I$15&gt;0,"Lamel:","")</f>
      </c>
      <c r="B122" s="147">
        <f>IF($I$16="P55","PVC 55",IF($I$16="A55","ALU 55",IF($I$16="P42","PVC 42",IF($I$16="A42","ALU 42",IF($I$16="U42","ULTRA 42",IF($I$16="U52","ULTRA 52",""))))))</f>
      </c>
      <c r="C122" s="145" t="str">
        <f>IF(Software!D47&gt;0,Software!D47," ")</f>
        <v> </v>
      </c>
      <c r="D122" s="146" t="str">
        <f>IF(I17&gt;0,I17," ")</f>
        <v> </v>
      </c>
      <c r="E122" s="145" t="str">
        <f>IF(I23&gt;0,I23/I40*I18," ")</f>
        <v> </v>
      </c>
      <c r="F122" s="148" t="str">
        <f>IF(I23&gt;0,(I23-I41)/I40*I19," ")</f>
        <v> </v>
      </c>
      <c r="G122" s="149">
        <f>IF(I$26="L","lint",IF(I$26="K","koord",IF(I$26="V","veeras",IF(I$26="R","reductie",IF(I$27="G","Gaposa",IF(I$27="S","Solus",IF(I$27="RTS","Oximo RTS",IF(I$27="IO","Oximo IO",""))))))))&amp;IF(I$27="GS","Sense","")</f>
      </c>
      <c r="H122" s="149">
        <f>IF(I$27="G",I$38,IF(I$27="S",I$38,IF(I$27="RTS",I$37,IF(I$27="IO",I$37,IF(I$27="GS",I$39,IF(I$27="",""))))))</f>
      </c>
      <c r="I122" s="149">
        <f>IF(B52&gt;0,"Opmerking :","")</f>
      </c>
      <c r="J122" s="149"/>
      <c r="K122" s="149"/>
      <c r="L122" s="149"/>
      <c r="M122" s="149"/>
    </row>
    <row r="123" ht="15" customHeight="1" spans="1:13" x14ac:dyDescent="0.25">
      <c r="A123" s="118">
        <f>IF($I$15&gt;0,"Onderlat:","")</f>
      </c>
      <c r="B123" s="147">
        <f>Software!S47</f>
      </c>
      <c r="C123" s="145" t="str">
        <f>IF(Software!D48&gt;0,Software!D48," ")</f>
        <v> </v>
      </c>
      <c r="D123" s="146" t="str">
        <f>IF(I21&gt;0,I21," ")</f>
        <v> </v>
      </c>
      <c r="E123" s="117"/>
      <c r="F123" s="117"/>
      <c r="G123" s="150"/>
      <c r="H123" s="150"/>
      <c r="I123" s="146" t="str">
        <f>IF(B52&gt;0,B52,IF(B52=""," "))</f>
        <v> </v>
      </c>
      <c r="J123" s="146"/>
      <c r="K123" s="146"/>
      <c r="L123" s="146"/>
      <c r="M123" s="146"/>
    </row>
    <row r="124" ht="15" customHeight="1" spans="1:13" x14ac:dyDescent="0.25">
      <c r="A124" s="118">
        <f>IF($I$42&lt;&gt;"","Aanslagtop:","")</f>
      </c>
      <c r="B124" s="145"/>
      <c r="D124" s="145">
        <f>IF($I$42="N","NEE",IF($I$42="J","JA",""))</f>
      </c>
      <c r="E124" s="117"/>
      <c r="F124" s="117"/>
      <c r="G124" s="149">
        <f>IF(I$34="RTS","Afstandsbediening",IF(I$34="IO","Afstandsbediening",IF(I$34="GS","Afstandsbediening",IF(I$34="",""))))</f>
      </c>
      <c r="H124" s="149"/>
      <c r="I124" s="146" t="str">
        <f>IF(E52&gt;0,E52,IF(E52=""," "))</f>
        <v> </v>
      </c>
      <c r="J124" s="146"/>
      <c r="K124" s="146"/>
      <c r="L124" s="146"/>
      <c r="M124" s="146"/>
    </row>
    <row r="125" ht="15" customHeight="1" spans="1:12" x14ac:dyDescent="0.25">
      <c r="A125" s="118">
        <f>IF($I$24&gt;0,"As:","")</f>
      </c>
      <c r="B125" s="146" t="str">
        <f>IF(I24&gt;0,I24," ")</f>
        <v> </v>
      </c>
      <c r="C125" s="145" t="str">
        <f>IF(I24&gt;1,Software!D49," ")</f>
        <v> </v>
      </c>
      <c r="D125" s="146">
        <f>IF($I$24&gt;0,"-","")</f>
      </c>
      <c r="E125" s="117"/>
      <c r="F125" s="117"/>
      <c r="G125" s="149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</c>
      <c r="H125" s="149"/>
      <c r="K125" s="151"/>
      <c r="L125" s="151"/>
    </row>
    <row r="126" ht="15" customHeight="1" spans="1:12" x14ac:dyDescent="0.25">
      <c r="A126" s="118">
        <f>IF($I$30="J","Geleider:","")</f>
      </c>
      <c r="B126" s="146" t="str">
        <f>IF(I31&gt;0,I31," ")</f>
        <v> </v>
      </c>
      <c r="C126" s="145" t="str">
        <f>IF(I23&gt;0,I32," ")</f>
        <v> </v>
      </c>
      <c r="D126" s="146">
        <f>IF($I$30="j",$I$21,IF($I$30="N","",IF($I$30="","","")))</f>
      </c>
      <c r="E126" s="117"/>
      <c r="F126" s="117"/>
      <c r="G126" s="152">
        <f>IF(I$34="J","",IF(I$28="","",IF(I$28="o","Opbouw",IF(I$28="i","Inbouw",IF(I$28="g","Geen")))))</f>
      </c>
      <c r="H126" s="153">
        <f>IF(I$27="IO","",IF(I$34="RTS","",IF(I$26="L","oproller",IF(I$26="K","oproller",IF(I$26="R","oproller",IF(I$26="V","",IF(I$26="M","schakelaar",IF(I$26="",""))))))))</f>
      </c>
      <c r="I126" s="153">
        <f>IF(I$29="","",IF(I$29="J","+ muurdoos",IF(I$29="N","")))</f>
      </c>
      <c r="J126" s="153"/>
      <c r="K126" s="117"/>
      <c r="L126" s="117"/>
    </row>
    <row r="127" ht="9.95" customHeight="1" spans="1:12" x14ac:dyDescent="0.25">
      <c r="A127" s="117"/>
      <c r="B127" s="117"/>
      <c r="C127" s="117"/>
      <c r="D127" s="117"/>
      <c r="E127" s="117"/>
      <c r="F127" s="117"/>
      <c r="G127" s="117"/>
      <c r="H127" s="117"/>
      <c r="I127" s="151"/>
      <c r="J127" s="151"/>
      <c r="K127" s="151"/>
      <c r="L127" s="151"/>
    </row>
    <row r="128" ht="15.75" customHeight="1" spans="1:13" s="51" customFormat="1" x14ac:dyDescent="0.25">
      <c r="A128" s="141">
        <f>IF($J$15&gt;0,$J$14,"")</f>
      </c>
      <c r="B128" s="142"/>
      <c r="C128" s="143">
        <f>IF($J$15&gt;0,"Zaagmaat","")</f>
      </c>
      <c r="D128" s="143">
        <f>IF($J$15&gt;0,"Kleur","")</f>
      </c>
      <c r="E128" s="143">
        <f>IF($J$15&gt;0,"Open","")</f>
      </c>
      <c r="F128" s="143">
        <f>IF($J$15&gt;0,"Gesloten","")</f>
      </c>
      <c r="G128" s="143">
        <f>IF($J$15&gt;0,"Bediening","")</f>
      </c>
      <c r="H128" s="143"/>
      <c r="I128" s="144">
        <f>IF($J$15&gt;0,"Afgewerkte maten (B x H):","")</f>
      </c>
      <c r="J128" s="144"/>
      <c r="K128" s="144"/>
      <c r="L128" s="145" t="str">
        <f>IF($J$22&gt;0,$J$22," ")</f>
        <v> </v>
      </c>
      <c r="M128" s="145" t="str">
        <f>IF($J$23&gt;0,$J$23," ")</f>
        <v> </v>
      </c>
    </row>
    <row r="129" ht="15" customHeight="1" spans="1:10" x14ac:dyDescent="0.25">
      <c r="A129" s="118">
        <f>IF($J$15&gt;0,"Aantal:","")</f>
      </c>
      <c r="B129" s="146" t="str">
        <f>IF(J15&gt;0,J15," ")</f>
        <v> </v>
      </c>
      <c r="C129" s="117"/>
      <c r="D129" s="117"/>
      <c r="E129" s="117"/>
      <c r="F129" s="117"/>
      <c r="G129" s="146">
        <f>IF(J$27="GS","Gaposa","")</f>
      </c>
      <c r="H129" s="146"/>
      <c r="I129" s="150"/>
      <c r="J129" s="150"/>
    </row>
    <row r="130" ht="15" customHeight="1" spans="1:13" x14ac:dyDescent="0.25">
      <c r="A130" s="118">
        <f>IF($J$15&gt;0,"Lamel:","")</f>
      </c>
      <c r="B130" s="147">
        <f>IF($J$16="P55","PVC 55",IF($J$16="A55","ALU 55",IF($J$16="P42","PVC 42",IF($J$16="A42","ALU 42",IF($J$16="U42","ULTRA 42",IF($J$16="U52","ULTRA 52",""))))))</f>
      </c>
      <c r="C130" s="145" t="str">
        <f>IF(Software!D53&gt;0,Software!D53," ")</f>
        <v> </v>
      </c>
      <c r="D130" s="146" t="str">
        <f>IF(J17&gt;0,J17," ")</f>
        <v> </v>
      </c>
      <c r="E130" s="145" t="str">
        <f>IF(J23&gt;0,J23/J40*J18," ")</f>
        <v> </v>
      </c>
      <c r="F130" s="148" t="str">
        <f>IF(J23&gt;0,(J23-J41)/J40*J19," ")</f>
        <v> </v>
      </c>
      <c r="G130" s="149">
        <f>IF(J$26="L","lint",IF(J$26="K","koord",IF(J$26="V","veeras",IF(J$26="R","reductie",IF(J$27="G","Gaposa",IF(J$27="S","Solus",IF(J$27="RTS","Oximo RTS",IF(J$27="IO","Oximo IO",""))))))))&amp;IF(J$27="GS","Sense","")</f>
      </c>
      <c r="H130" s="149">
        <f>IF(J$27="G",J$38,IF(J$27="S",J$38,IF(J$27="RTS",J$37,IF(J$27="IO",J$37,IF(J$27="GS",J$39,IF(J$27="",""))))))</f>
      </c>
      <c r="I130" s="149">
        <f>IF(B53&gt;0,"Opmerking :","")</f>
      </c>
      <c r="J130" s="149"/>
      <c r="K130" s="149"/>
      <c r="L130" s="149"/>
      <c r="M130" s="149"/>
    </row>
    <row r="131" ht="15" customHeight="1" spans="1:13" x14ac:dyDescent="0.25">
      <c r="A131" s="118">
        <f>IF($J$15&gt;0,"Onderlat:","")</f>
      </c>
      <c r="B131" s="147">
        <f>Software!S53</f>
      </c>
      <c r="C131" s="145" t="str">
        <f>IF(Software!D54&gt;0,Software!D54," ")</f>
        <v> </v>
      </c>
      <c r="D131" s="146" t="str">
        <f>IF(J21&gt;0,J21," ")</f>
        <v> </v>
      </c>
      <c r="E131" s="117"/>
      <c r="F131" s="117"/>
      <c r="G131" s="150"/>
      <c r="H131" s="150"/>
      <c r="I131" s="146" t="str">
        <f>IF(B53&gt;0,B53,IF(B53=""," "))</f>
        <v> </v>
      </c>
      <c r="J131" s="146"/>
      <c r="K131" s="146"/>
      <c r="L131" s="146"/>
      <c r="M131" s="146"/>
    </row>
    <row r="132" ht="15" customHeight="1" spans="1:13" x14ac:dyDescent="0.25">
      <c r="A132" s="118">
        <f>IF($J$42&lt;&gt;"","Aanslagtop:","")</f>
      </c>
      <c r="B132" s="145"/>
      <c r="D132" s="145">
        <f>IF($J$42="N","NEE",IF($J$42="J","JA",""))</f>
      </c>
      <c r="E132" s="117"/>
      <c r="F132" s="117"/>
      <c r="G132" s="149">
        <f>IF(J$34="RTS","Afstandsbediening",IF(J$34="IO","Afstandsbediening",IF(J$34="GS","Afstandsbediening",IF(J$34="",""))))</f>
      </c>
      <c r="H132" s="149"/>
      <c r="I132" s="146" t="str">
        <f>IF(E53&gt;0,E53,IF(E53=""," "))</f>
        <v> </v>
      </c>
      <c r="J132" s="146"/>
      <c r="K132" s="146"/>
      <c r="L132" s="146"/>
      <c r="M132" s="146"/>
    </row>
    <row r="133" ht="15" customHeight="1" spans="1:12" x14ac:dyDescent="0.25">
      <c r="A133" s="118">
        <f>IF($J$24&gt;0,"As:","")</f>
      </c>
      <c r="B133" s="146" t="str">
        <f>IF(J24&gt;0,J24," ")</f>
        <v> </v>
      </c>
      <c r="C133" s="145" t="str">
        <f>IF(J24&gt;1,Software!D55," ")</f>
        <v> </v>
      </c>
      <c r="D133" s="146">
        <f>IF($J$24&gt;0,"-","")</f>
      </c>
      <c r="E133" s="117"/>
      <c r="F133" s="117"/>
      <c r="G133" s="149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</c>
      <c r="H133" s="149"/>
      <c r="K133" s="151"/>
      <c r="L133" s="151"/>
    </row>
    <row r="134" ht="15" customHeight="1" spans="1:12" x14ac:dyDescent="0.25">
      <c r="A134" s="118">
        <f>IF($J$30="J","Geleider:","")</f>
      </c>
      <c r="B134" s="146" t="str">
        <f>IF(J31&gt;0,J31," ")</f>
        <v> </v>
      </c>
      <c r="C134" s="145" t="str">
        <f>IF(J23&gt;0,J32," ")</f>
        <v> </v>
      </c>
      <c r="D134" s="146">
        <f>IF($J$30="j",$J$21,IF($J$30="N","",IF($J$30="","","")))</f>
      </c>
      <c r="E134" s="117"/>
      <c r="F134" s="117"/>
      <c r="G134" s="152">
        <f>IF(J$34="J","",IF(J$28="","",IF(J$28="o","Opbouw",IF(J$28="i","Inbouw",IF(J$28="g","Geen")))))</f>
      </c>
      <c r="H134" s="153">
        <f>IF(J$27="IO","",IF(J$34="RTS","",IF(J$26="L","oproller",IF(J$26="K","oproller",IF(J$26="R","oproller",IF(J$26="V","",IF(J$26="M","schakelaar",IF(J$26="",""))))))))</f>
      </c>
      <c r="I134" s="153">
        <f>IF(J$29="","",IF(J$29="J","+ muurdoos",IF(J$29="N","")))</f>
      </c>
      <c r="J134" s="153"/>
      <c r="K134" s="117"/>
      <c r="L134" s="117"/>
    </row>
    <row r="135" ht="9.95" customHeight="1" spans="1:12" x14ac:dyDescent="0.25">
      <c r="A135" s="117"/>
      <c r="B135" s="117"/>
      <c r="C135" s="117"/>
      <c r="D135" s="117"/>
      <c r="E135" s="117"/>
      <c r="F135" s="117"/>
      <c r="G135" s="117"/>
      <c r="H135" s="117"/>
      <c r="I135" s="151"/>
      <c r="J135" s="151"/>
      <c r="K135" s="151"/>
      <c r="L135" s="151"/>
    </row>
    <row r="136" ht="15.75" customHeight="1" spans="1:13" s="51" customFormat="1" x14ac:dyDescent="0.25">
      <c r="A136" s="141">
        <f>IF($K$15&gt;0,$K$14,"")</f>
      </c>
      <c r="B136" s="142"/>
      <c r="C136" s="143">
        <f>IF($K$15&gt;0,"Zaagmaat","")</f>
      </c>
      <c r="D136" s="143">
        <f>IF($K$15&gt;0,"Kleur","")</f>
      </c>
      <c r="E136" s="143">
        <f>IF($K$15&gt;0,"Open","")</f>
      </c>
      <c r="F136" s="143">
        <f>IF($K$15&gt;0,"Gesloten","")</f>
      </c>
      <c r="G136" s="143">
        <f>IF($K$15&gt;0,"Bediening","")</f>
      </c>
      <c r="H136" s="143"/>
      <c r="I136" s="144">
        <f>IF($K$15&gt;0,"Afgewerkte maten (B x H):","")</f>
      </c>
      <c r="J136" s="144"/>
      <c r="K136" s="144"/>
      <c r="L136" s="145" t="str">
        <f>IF($K$22&gt;0,$K$22," ")</f>
        <v> </v>
      </c>
      <c r="M136" s="145" t="str">
        <f>IF($K$23&gt;0,$K$23," ")</f>
        <v> </v>
      </c>
    </row>
    <row r="137" ht="15" customHeight="1" spans="1:10" x14ac:dyDescent="0.25">
      <c r="A137" s="118">
        <f>IF($K$15&gt;0,"Aantal:","")</f>
      </c>
      <c r="B137" s="146" t="str">
        <f>IF(K15&gt;0,K15," ")</f>
        <v> </v>
      </c>
      <c r="C137" s="117"/>
      <c r="D137" s="117"/>
      <c r="E137" s="117"/>
      <c r="F137" s="117"/>
      <c r="G137" s="146">
        <f>IF(K$27="GS","Gaposa","")</f>
      </c>
      <c r="H137" s="146"/>
      <c r="I137" s="150"/>
      <c r="J137" s="150"/>
    </row>
    <row r="138" ht="15" customHeight="1" spans="1:13" x14ac:dyDescent="0.25">
      <c r="A138" s="118">
        <f>IF($K$15&gt;0,"Lamel:","")</f>
      </c>
      <c r="B138" s="147">
        <f>IF($K$16="P55","PVC 55",IF($K$16="A55","ALU 55",IF($K$16="P42","PVC 42",IF($K$16="A42","ALU 42",IF($K$16="U42","ULTRA 42",IF($K$16="U52","ULTRA 52",""))))))</f>
      </c>
      <c r="C138" s="145" t="str">
        <f>IF(Software!D59&gt;0,Software!D59," ")</f>
        <v> </v>
      </c>
      <c r="D138" s="146" t="str">
        <f>IF(K17&gt;0,K17," ")</f>
        <v> </v>
      </c>
      <c r="E138" s="145" t="str">
        <f>IF(K23&gt;0,K23/K40*K18," ")</f>
        <v> </v>
      </c>
      <c r="F138" s="148" t="str">
        <f>IF(K23&gt;0,(K23-K41)/K40*K19," ")</f>
        <v> </v>
      </c>
      <c r="G138" s="149">
        <f>IF(K$26="L","lint",IF(K$26="K","koord",IF(K$26="V","veeras",IF(K$26="R","reductie",IF(K$27="G","Gaposa",IF(K$27="S","Solus",IF(K$27="RTS","Oximo RTS",IF(K$27="IO","Oximo IO",""))))))))&amp;IF(K$27="GS","Sense","")</f>
      </c>
      <c r="H138" s="149">
        <f>IF(K$27="G",K$38,IF(K$27="S",K$38,IF(K$27="RTS",K$37,IF(K$27="IO",K$37,IF(K$27="GS",K$39,IF(K$27="",""))))))</f>
      </c>
      <c r="I138" s="149">
        <f>IF(B54&gt;0,"Opmerking :","")</f>
      </c>
      <c r="J138" s="149"/>
      <c r="K138" s="149"/>
      <c r="L138" s="149"/>
      <c r="M138" s="149"/>
    </row>
    <row r="139" ht="15" customHeight="1" spans="1:13" x14ac:dyDescent="0.25">
      <c r="A139" s="118">
        <f>IF($K$15&gt;0,"Onderlat:","")</f>
      </c>
      <c r="B139" s="147">
        <f>Software!S59</f>
      </c>
      <c r="C139" s="145" t="str">
        <f>IF(Software!D60&gt;0,Software!D60," ")</f>
        <v> </v>
      </c>
      <c r="D139" s="146" t="str">
        <f>IF(K21&gt;0,K21," ")</f>
        <v> </v>
      </c>
      <c r="E139" s="117"/>
      <c r="F139" s="117"/>
      <c r="G139" s="150"/>
      <c r="H139" s="150"/>
      <c r="I139" s="146" t="str">
        <f>IF(B54&gt;0,B54,IF(B54=""," "))</f>
        <v> </v>
      </c>
      <c r="J139" s="146"/>
      <c r="K139" s="146"/>
      <c r="L139" s="146"/>
      <c r="M139" s="146"/>
    </row>
    <row r="140" ht="15" customHeight="1" spans="1:13" x14ac:dyDescent="0.25">
      <c r="A140" s="118">
        <f>IF($K$42&lt;&gt;"","Aanslagtop:","")</f>
      </c>
      <c r="B140" s="145"/>
      <c r="D140" s="145">
        <f>IF($K$42="N","NEE",IF($K$42="J","JA",""))</f>
      </c>
      <c r="E140" s="117"/>
      <c r="F140" s="117"/>
      <c r="G140" s="149">
        <f>IF(K$34="RTS","Afstandsbediening",IF(K$34="IO","Afstandsbediening",IF(K$34="GS","Afstandsbediening",IF(K$34="",""))))</f>
      </c>
      <c r="H140" s="149"/>
      <c r="I140" s="146" t="str">
        <f>IF(E54&gt;0,E54,IF(E54=""," "))</f>
        <v> </v>
      </c>
      <c r="J140" s="146"/>
      <c r="K140" s="146"/>
      <c r="L140" s="146"/>
      <c r="M140" s="146"/>
    </row>
    <row r="141" ht="15" customHeight="1" spans="1:12" x14ac:dyDescent="0.25">
      <c r="A141" s="118">
        <f>IF($K$24&gt;0,"As:","")</f>
      </c>
      <c r="B141" s="146" t="str">
        <f>IF(K24&gt;0,K24," ")</f>
        <v> </v>
      </c>
      <c r="C141" s="145" t="str">
        <f>IF(K24&gt;1,Software!D61," ")</f>
        <v> </v>
      </c>
      <c r="D141" s="146">
        <f>IF($K$24&gt;0,"-","")</f>
      </c>
      <c r="E141" s="117"/>
      <c r="F141" s="117"/>
      <c r="G141" s="149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</c>
      <c r="H141" s="149"/>
      <c r="K141" s="151"/>
      <c r="L141" s="151"/>
    </row>
    <row r="142" ht="15" customHeight="1" spans="1:12" x14ac:dyDescent="0.25">
      <c r="A142" s="118">
        <f>IF($K$30="J","Geleider:","")</f>
      </c>
      <c r="B142" s="146" t="str">
        <f>IF(K31&gt;0,K31," ")</f>
        <v> </v>
      </c>
      <c r="C142" s="145" t="str">
        <f>IF(K23&gt;0,K32," ")</f>
        <v> </v>
      </c>
      <c r="D142" s="146">
        <f>IF($K$30="j",$K$21,IF($K$30="N","",IF($K$30="","","")))</f>
      </c>
      <c r="E142" s="117"/>
      <c r="F142" s="117"/>
      <c r="G142" s="152">
        <f>IF(K$34="J","",IF(K$28="","",IF(K$28="o","Opbouw",IF(K$28="i","Inbouw",IF(K$28="g","Geen")))))</f>
      </c>
      <c r="H142" s="153">
        <f>IF(K$27="IO","",IF(K$34="RTS","",IF(K$26="L","oproller",IF(K$26="K","oproller",IF(K$26="R","oproller",IF(K$26="V","",IF(K$26="M","schakelaar",IF(K$26="",""))))))))</f>
      </c>
      <c r="I142" s="153">
        <f>IF(K$29="","",IF(K$29="J","+ muurdoos",IF(K$29="N","")))</f>
      </c>
      <c r="J142" s="153"/>
      <c r="K142" s="117"/>
      <c r="L142" s="117"/>
    </row>
    <row r="143" ht="15" customHeight="1" spans="1:12" x14ac:dyDescent="0.25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17"/>
      <c r="L143" s="117"/>
    </row>
    <row r="144" ht="12.75" customHeight="1" spans="1:10" x14ac:dyDescent="0.25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</row>
    <row r="145" ht="12.75" customHeight="1" spans="1:10" x14ac:dyDescent="0.25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</row>
    <row r="146" ht="12.75" customHeight="1" spans="1:13" x14ac:dyDescent="0.25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3" t="s">
        <v>94</v>
      </c>
      <c r="L146" s="3"/>
      <c r="M146" s="16"/>
    </row>
    <row r="147" ht="12.75" customHeight="1" spans="1:13" x14ac:dyDescent="0.25">
      <c r="A147" s="157" t="s">
        <v>95</v>
      </c>
      <c r="B147" s="156"/>
      <c r="C147" s="156"/>
      <c r="D147" s="156"/>
      <c r="E147" s="156"/>
      <c r="F147" s="156"/>
      <c r="G147" s="156"/>
      <c r="H147" s="156"/>
      <c r="I147" s="156"/>
      <c r="J147" s="156"/>
      <c r="K147" s="3"/>
      <c r="L147" s="3"/>
      <c r="M147" s="158"/>
    </row>
  </sheetData>
  <mergeCells count="155">
    <mergeCell ref="A1:E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M31:Q32"/>
    <mergeCell ref="M35:U37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B60:E60"/>
    <mergeCell ref="F60:H60"/>
    <mergeCell ref="I60:J60"/>
    <mergeCell ref="K60:M60"/>
    <mergeCell ref="B62:G62"/>
    <mergeCell ref="I62:J62"/>
    <mergeCell ref="K62:M62"/>
    <mergeCell ref="G64:H64"/>
    <mergeCell ref="I64:K64"/>
    <mergeCell ref="G65:H65"/>
    <mergeCell ref="I66:M66"/>
    <mergeCell ref="I67:M67"/>
    <mergeCell ref="G68:H68"/>
    <mergeCell ref="I68:M68"/>
    <mergeCell ref="G69:H69"/>
    <mergeCell ref="I70:J70"/>
    <mergeCell ref="I71:L71"/>
    <mergeCell ref="G72:H72"/>
    <mergeCell ref="I72:K72"/>
    <mergeCell ref="G73:H73"/>
    <mergeCell ref="I74:M74"/>
    <mergeCell ref="I75:M75"/>
    <mergeCell ref="G76:H76"/>
    <mergeCell ref="I76:M76"/>
    <mergeCell ref="G77:H77"/>
    <mergeCell ref="I78:J78"/>
    <mergeCell ref="I79:L79"/>
    <mergeCell ref="G80:H80"/>
    <mergeCell ref="I80:K80"/>
    <mergeCell ref="G81:H81"/>
    <mergeCell ref="I82:M82"/>
    <mergeCell ref="I83:M83"/>
    <mergeCell ref="G84:H84"/>
    <mergeCell ref="I84:M84"/>
    <mergeCell ref="G85:H85"/>
    <mergeCell ref="I86:J86"/>
    <mergeCell ref="I87:L87"/>
    <mergeCell ref="G88:H88"/>
    <mergeCell ref="I88:K88"/>
    <mergeCell ref="G89:H89"/>
    <mergeCell ref="I90:M90"/>
    <mergeCell ref="I91:M91"/>
    <mergeCell ref="G92:H92"/>
    <mergeCell ref="I92:M92"/>
    <mergeCell ref="G93:H93"/>
    <mergeCell ref="I94:J94"/>
    <mergeCell ref="I95:L95"/>
    <mergeCell ref="G96:H96"/>
    <mergeCell ref="I96:K96"/>
    <mergeCell ref="G97:H97"/>
    <mergeCell ref="I98:M98"/>
    <mergeCell ref="I99:M99"/>
    <mergeCell ref="G100:H100"/>
    <mergeCell ref="I100:M100"/>
    <mergeCell ref="G101:H101"/>
    <mergeCell ref="I102:J102"/>
    <mergeCell ref="I103:L103"/>
    <mergeCell ref="G104:H104"/>
    <mergeCell ref="I104:K104"/>
    <mergeCell ref="G105:H105"/>
    <mergeCell ref="I106:M106"/>
    <mergeCell ref="I107:M107"/>
    <mergeCell ref="G108:H108"/>
    <mergeCell ref="I108:M108"/>
    <mergeCell ref="G109:H109"/>
    <mergeCell ref="I110:J110"/>
    <mergeCell ref="I111:L111"/>
    <mergeCell ref="G112:H112"/>
    <mergeCell ref="I112:K112"/>
    <mergeCell ref="G113:H113"/>
    <mergeCell ref="I114:M114"/>
    <mergeCell ref="I115:M115"/>
    <mergeCell ref="G116:H116"/>
    <mergeCell ref="I116:M116"/>
    <mergeCell ref="G117:H117"/>
    <mergeCell ref="I118:J118"/>
    <mergeCell ref="I119:L119"/>
    <mergeCell ref="G120:H120"/>
    <mergeCell ref="I120:K120"/>
    <mergeCell ref="G121:H121"/>
    <mergeCell ref="I122:M122"/>
    <mergeCell ref="I123:M123"/>
    <mergeCell ref="G124:H124"/>
    <mergeCell ref="I124:M124"/>
    <mergeCell ref="G125:H125"/>
    <mergeCell ref="I126:J126"/>
    <mergeCell ref="I127:L127"/>
    <mergeCell ref="G128:H128"/>
    <mergeCell ref="I128:K128"/>
    <mergeCell ref="G129:H129"/>
    <mergeCell ref="I130:M130"/>
    <mergeCell ref="I131:M131"/>
    <mergeCell ref="G132:H132"/>
    <mergeCell ref="I132:M132"/>
    <mergeCell ref="G133:H133"/>
    <mergeCell ref="I134:J134"/>
    <mergeCell ref="I135:L135"/>
    <mergeCell ref="G136:H136"/>
    <mergeCell ref="I136:K136"/>
    <mergeCell ref="G137:H137"/>
    <mergeCell ref="I138:M138"/>
    <mergeCell ref="I139:M139"/>
    <mergeCell ref="G140:H140"/>
    <mergeCell ref="I140:M140"/>
    <mergeCell ref="G141:H141"/>
    <mergeCell ref="I142:J142"/>
    <mergeCell ref="K146:L147"/>
  </mergeCells>
  <conditionalFormatting sqref="A64">
    <cfRule type="expression" dxfId="0" priority="80">
      <formula>$B$15&gt;0</formula>
    </cfRule>
  </conditionalFormatting>
  <conditionalFormatting sqref="A72">
    <cfRule type="expression" dxfId="1" priority="73">
      <formula>$C$15&gt;0</formula>
    </cfRule>
  </conditionalFormatting>
  <conditionalFormatting sqref="A80">
    <cfRule type="expression" dxfId="2" priority="69">
      <formula>$D$15&gt;0</formula>
    </cfRule>
  </conditionalFormatting>
  <conditionalFormatting sqref="A88">
    <cfRule type="expression" dxfId="3" priority="65">
      <formula>$E$15&gt;0</formula>
    </cfRule>
  </conditionalFormatting>
  <conditionalFormatting sqref="A96">
    <cfRule type="expression" dxfId="4" priority="61">
      <formula>$F$15&gt;0</formula>
    </cfRule>
  </conditionalFormatting>
  <conditionalFormatting sqref="A104">
    <cfRule type="expression" dxfId="5" priority="57">
      <formula>$G$15&gt;0</formula>
    </cfRule>
  </conditionalFormatting>
  <conditionalFormatting sqref="A112">
    <cfRule type="expression" dxfId="6" priority="53">
      <formula>$H$15&gt;0</formula>
    </cfRule>
  </conditionalFormatting>
  <conditionalFormatting sqref="A120">
    <cfRule type="expression" dxfId="7" priority="49">
      <formula>$I$15&gt;0</formula>
    </cfRule>
  </conditionalFormatting>
  <conditionalFormatting sqref="A128">
    <cfRule type="expression" dxfId="8" priority="45">
      <formula>$J$15&gt;0</formula>
    </cfRule>
  </conditionalFormatting>
  <conditionalFormatting sqref="A136">
    <cfRule type="expression" dxfId="9" priority="41">
      <formula>$K$15&gt;0</formula>
    </cfRule>
  </conditionalFormatting>
  <conditionalFormatting sqref="B65">
    <cfRule type="expression" dxfId="10" priority="10">
      <formula>$B$15&gt;1</formula>
    </cfRule>
  </conditionalFormatting>
  <conditionalFormatting sqref="B73">
    <cfRule type="expression" dxfId="11" priority="1">
      <formula>$C$15&gt;1</formula>
    </cfRule>
  </conditionalFormatting>
  <conditionalFormatting sqref="B81">
    <cfRule type="expression" dxfId="12" priority="2">
      <formula>$D$15&gt;1</formula>
    </cfRule>
  </conditionalFormatting>
  <conditionalFormatting sqref="B89">
    <cfRule type="expression" dxfId="13" priority="3">
      <formula>$E$15&gt;1</formula>
    </cfRule>
  </conditionalFormatting>
  <conditionalFormatting sqref="B97">
    <cfRule type="expression" dxfId="14" priority="4">
      <formula>$F$15&gt;1</formula>
    </cfRule>
  </conditionalFormatting>
  <conditionalFormatting sqref="B105">
    <cfRule type="expression" dxfId="15" priority="5">
      <formula>$G$15&gt;1</formula>
    </cfRule>
  </conditionalFormatting>
  <conditionalFormatting sqref="B113">
    <cfRule type="expression" dxfId="16" priority="6">
      <formula>$H$15&gt;1</formula>
    </cfRule>
  </conditionalFormatting>
  <conditionalFormatting sqref="B121">
    <cfRule type="expression" dxfId="17" priority="7">
      <formula>$I$15&gt;1</formula>
    </cfRule>
  </conditionalFormatting>
  <conditionalFormatting sqref="B129">
    <cfRule type="expression" dxfId="18" priority="8">
      <formula>$J$15&gt;1</formula>
    </cfRule>
  </conditionalFormatting>
  <conditionalFormatting sqref="B137">
    <cfRule type="expression" dxfId="19" priority="9">
      <formula>$K$15&gt;1</formula>
    </cfRule>
  </conditionalFormatting>
  <conditionalFormatting sqref="B64:H64">
    <cfRule type="expression" dxfId="20" priority="83">
      <formula>$B$15&gt;0</formula>
    </cfRule>
  </conditionalFormatting>
  <conditionalFormatting sqref="B72:H72">
    <cfRule type="expression" dxfId="21" priority="76">
      <formula>$C$15&gt;0</formula>
    </cfRule>
  </conditionalFormatting>
  <conditionalFormatting sqref="B80:H80">
    <cfRule type="expression" dxfId="22" priority="72">
      <formula>$D$15&gt;0</formula>
    </cfRule>
  </conditionalFormatting>
  <conditionalFormatting sqref="B88:H88">
    <cfRule type="expression" dxfId="23" priority="68">
      <formula>$E$15&gt;0</formula>
    </cfRule>
  </conditionalFormatting>
  <conditionalFormatting sqref="B96:H96">
    <cfRule type="expression" dxfId="24" priority="64">
      <formula>$F$15&gt;0</formula>
    </cfRule>
  </conditionalFormatting>
  <conditionalFormatting sqref="B104:H104">
    <cfRule type="expression" dxfId="25" priority="60">
      <formula>$G$15&gt;0</formula>
    </cfRule>
  </conditionalFormatting>
  <conditionalFormatting sqref="B112:H112">
    <cfRule type="expression" dxfId="26" priority="56">
      <formula>$H$15&gt;0</formula>
    </cfRule>
  </conditionalFormatting>
  <conditionalFormatting sqref="B120:H120">
    <cfRule type="expression" dxfId="27" priority="52">
      <formula>$I$15&gt;0</formula>
    </cfRule>
  </conditionalFormatting>
  <conditionalFormatting sqref="B128:H128">
    <cfRule type="expression" dxfId="28" priority="48">
      <formula>$J$15&gt;0</formula>
    </cfRule>
  </conditionalFormatting>
  <conditionalFormatting sqref="B136:H136">
    <cfRule type="expression" dxfId="29" priority="44">
      <formula>$K$15&gt;0</formula>
    </cfRule>
  </conditionalFormatting>
  <conditionalFormatting sqref="I64:K64">
    <cfRule type="expression" dxfId="30" priority="82">
      <formula>$B$15&gt;0</formula>
    </cfRule>
  </conditionalFormatting>
  <conditionalFormatting sqref="I72:K72">
    <cfRule type="expression" dxfId="31" priority="75">
      <formula>$C$15&gt;0</formula>
    </cfRule>
  </conditionalFormatting>
  <conditionalFormatting sqref="I80:K80">
    <cfRule type="expression" dxfId="32" priority="71">
      <formula>$D$15&gt;0</formula>
    </cfRule>
  </conditionalFormatting>
  <conditionalFormatting sqref="I88:K88">
    <cfRule type="expression" dxfId="33" priority="67">
      <formula>$E$15&gt;0</formula>
    </cfRule>
  </conditionalFormatting>
  <conditionalFormatting sqref="I96:K96">
    <cfRule type="expression" dxfId="34" priority="63">
      <formula>$F$15&gt;0</formula>
    </cfRule>
  </conditionalFormatting>
  <conditionalFormatting sqref="I104:K104">
    <cfRule type="expression" dxfId="35" priority="59">
      <formula>$G$15&gt;0</formula>
    </cfRule>
  </conditionalFormatting>
  <conditionalFormatting sqref="I112:K112">
    <cfRule type="expression" dxfId="36" priority="55">
      <formula>$H$15&gt;0</formula>
    </cfRule>
  </conditionalFormatting>
  <conditionalFormatting sqref="I120:K120">
    <cfRule type="expression" dxfId="37" priority="51">
      <formula>$I$15&gt;0</formula>
    </cfRule>
  </conditionalFormatting>
  <conditionalFormatting sqref="I128:K128">
    <cfRule type="expression" dxfId="38" priority="47">
      <formula>$J$15&gt;0</formula>
    </cfRule>
  </conditionalFormatting>
  <conditionalFormatting sqref="I136:K136">
    <cfRule type="expression" dxfId="39" priority="43">
      <formula>$K$15&gt;0</formula>
    </cfRule>
  </conditionalFormatting>
  <conditionalFormatting sqref="I66:M66">
    <cfRule type="expression" dxfId="40" priority="79">
      <formula>$B$45&gt;0</formula>
    </cfRule>
  </conditionalFormatting>
  <conditionalFormatting sqref="I67:M67">
    <cfRule type="expression" dxfId="41" priority="78">
      <formula>$B$45&gt;0</formula>
    </cfRule>
  </conditionalFormatting>
  <conditionalFormatting sqref="I68:M68">
    <cfRule type="expression" dxfId="42" priority="77">
      <formula>$E$45&gt;0</formula>
    </cfRule>
  </conditionalFormatting>
  <conditionalFormatting sqref="I74:M74">
    <cfRule type="expression" dxfId="43" priority="40">
      <formula>$B$46&gt;0</formula>
    </cfRule>
  </conditionalFormatting>
  <conditionalFormatting sqref="I75:M75">
    <cfRule type="expression" dxfId="44" priority="39">
      <formula>$B$46&gt;0</formula>
    </cfRule>
  </conditionalFormatting>
  <conditionalFormatting sqref="I76:M76">
    <cfRule type="expression" dxfId="45" priority="38">
      <formula>$E$46&gt;0</formula>
    </cfRule>
  </conditionalFormatting>
  <conditionalFormatting sqref="I82:M82">
    <cfRule type="expression" dxfId="46" priority="37">
      <formula>$B$47&gt;0</formula>
    </cfRule>
  </conditionalFormatting>
  <conditionalFormatting sqref="I83:M83">
    <cfRule type="expression" dxfId="47" priority="36">
      <formula>$B$47&gt;0</formula>
    </cfRule>
  </conditionalFormatting>
  <conditionalFormatting sqref="I84:M84">
    <cfRule type="expression" dxfId="48" priority="35">
      <formula>$E$47&gt;0</formula>
    </cfRule>
  </conditionalFormatting>
  <conditionalFormatting sqref="I90:M90">
    <cfRule type="expression" dxfId="49" priority="34">
      <formula>$B$48&gt;0</formula>
    </cfRule>
  </conditionalFormatting>
  <conditionalFormatting sqref="I91:M91">
    <cfRule type="expression" dxfId="50" priority="33">
      <formula>$B$48&gt;0</formula>
    </cfRule>
  </conditionalFormatting>
  <conditionalFormatting sqref="I92:M92">
    <cfRule type="expression" dxfId="51" priority="32">
      <formula>$E$48&gt;0</formula>
    </cfRule>
  </conditionalFormatting>
  <conditionalFormatting sqref="I98:M98">
    <cfRule type="expression" dxfId="52" priority="31">
      <formula>$B$49&gt;0</formula>
    </cfRule>
  </conditionalFormatting>
  <conditionalFormatting sqref="I99:M99">
    <cfRule type="expression" dxfId="53" priority="30">
      <formula>$B$49&gt;0</formula>
    </cfRule>
  </conditionalFormatting>
  <conditionalFormatting sqref="I100:M100">
    <cfRule type="expression" dxfId="54" priority="29">
      <formula>$E$49&gt;0</formula>
    </cfRule>
  </conditionalFormatting>
  <conditionalFormatting sqref="I106:M106">
    <cfRule type="expression" dxfId="55" priority="28">
      <formula>$B$50&gt;0</formula>
    </cfRule>
  </conditionalFormatting>
  <conditionalFormatting sqref="I107:M107">
    <cfRule type="expression" dxfId="56" priority="27">
      <formula>$B$50&gt;0</formula>
    </cfRule>
  </conditionalFormatting>
  <conditionalFormatting sqref="I108:M108">
    <cfRule type="expression" dxfId="57" priority="26">
      <formula>$E$50&gt;0</formula>
    </cfRule>
  </conditionalFormatting>
  <conditionalFormatting sqref="I114:M114">
    <cfRule type="expression" dxfId="58" priority="25">
      <formula>$B$51&gt;0</formula>
    </cfRule>
  </conditionalFormatting>
  <conditionalFormatting sqref="I115:M115">
    <cfRule type="expression" dxfId="59" priority="24">
      <formula>$B$51&gt;0</formula>
    </cfRule>
  </conditionalFormatting>
  <conditionalFormatting sqref="I116:M116">
    <cfRule type="expression" dxfId="60" priority="23">
      <formula>$E$51&gt;0</formula>
    </cfRule>
  </conditionalFormatting>
  <conditionalFormatting sqref="I122:M122">
    <cfRule type="expression" dxfId="61" priority="22">
      <formula>$B$52&gt;0</formula>
    </cfRule>
  </conditionalFormatting>
  <conditionalFormatting sqref="I123:M123">
    <cfRule type="expression" dxfId="62" priority="21">
      <formula>$B$52&gt;0</formula>
    </cfRule>
  </conditionalFormatting>
  <conditionalFormatting sqref="I124:M124">
    <cfRule type="expression" dxfId="63" priority="20">
      <formula>$E$52&gt;0</formula>
    </cfRule>
  </conditionalFormatting>
  <conditionalFormatting sqref="I130:M130">
    <cfRule type="expression" dxfId="64" priority="19">
      <formula>$B$53&gt;0</formula>
    </cfRule>
  </conditionalFormatting>
  <conditionalFormatting sqref="I131:M131">
    <cfRule type="expression" dxfId="65" priority="18">
      <formula>$B$53&gt;0</formula>
    </cfRule>
  </conditionalFormatting>
  <conditionalFormatting sqref="I132:M132">
    <cfRule type="expression" dxfId="66" priority="17">
      <formula>$E$53&gt;0</formula>
    </cfRule>
  </conditionalFormatting>
  <conditionalFormatting sqref="I138:M138">
    <cfRule type="expression" dxfId="67" priority="16">
      <formula>$B$54&gt;0</formula>
    </cfRule>
  </conditionalFormatting>
  <conditionalFormatting sqref="I139:M139">
    <cfRule type="expression" dxfId="68" priority="15">
      <formula>$B$54&gt;0</formula>
    </cfRule>
  </conditionalFormatting>
  <conditionalFormatting sqref="I140:M140">
    <cfRule type="expression" dxfId="69" priority="14">
      <formula>$E$54&gt;0</formula>
    </cfRule>
  </conditionalFormatting>
  <conditionalFormatting sqref="L64:M64">
    <cfRule type="expression" dxfId="70" priority="81">
      <formula>$B$15&gt;0</formula>
    </cfRule>
  </conditionalFormatting>
  <conditionalFormatting sqref="L72:M72">
    <cfRule type="expression" dxfId="71" priority="74">
      <formula>$C$15&gt;0</formula>
    </cfRule>
  </conditionalFormatting>
  <conditionalFormatting sqref="L80:M80">
    <cfRule type="expression" dxfId="72" priority="70">
      <formula>$D$15&gt;0</formula>
    </cfRule>
  </conditionalFormatting>
  <conditionalFormatting sqref="L88:M88">
    <cfRule type="expression" dxfId="73" priority="66">
      <formula>$E$15&gt;0</formula>
    </cfRule>
  </conditionalFormatting>
  <conditionalFormatting sqref="L96:M96">
    <cfRule type="expression" dxfId="74" priority="62">
      <formula>$F$15&gt;0</formula>
    </cfRule>
  </conditionalFormatting>
  <conditionalFormatting sqref="L104:M104">
    <cfRule type="expression" dxfId="75" priority="58">
      <formula>$G$15&gt;0</formula>
    </cfRule>
  </conditionalFormatting>
  <conditionalFormatting sqref="L112:M112">
    <cfRule type="expression" dxfId="76" priority="54">
      <formula>$H$15&gt;0</formula>
    </cfRule>
  </conditionalFormatting>
  <conditionalFormatting sqref="L120:M120">
    <cfRule type="expression" dxfId="77" priority="50">
      <formula>$I$15&gt;0</formula>
    </cfRule>
  </conditionalFormatting>
  <conditionalFormatting sqref="L128:M128">
    <cfRule type="expression" dxfId="78" priority="46">
      <formula>$J$15&gt;0</formula>
    </cfRule>
  </conditionalFormatting>
  <conditionalFormatting sqref="L136:M136">
    <cfRule type="expression" dxfId="79" priority="42">
      <formula>$K$15&gt;0</formula>
    </cfRule>
  </conditionalFormatting>
  <printOptions horizontalCentered="1"/>
  <pageMargins left="0.1968503937007874" right="0" top="0.5905511811023623" bottom="0.5905511811023623" header="0.5118110236220472" footer="0.5118110236220472"/>
  <pageSetup paperSize="9" orientation="portrait" horizontalDpi="300" verticalDpi="300" scale="60" fitToWidth="1" fitToHeight="1" firstPageNumber="1" useFirstPageNumber="1" copies="1"/>
  <headerFooter>
    <oddHeader>&amp;C&amp;D&amp;R&amp;T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ht="12.75" customHeight="1" x14ac:dyDescent="0.25"/>
    <row r="2" ht="12.75" customHeight="1" spans="5:15" x14ac:dyDescent="0.25">
      <c r="E2" t="s">
        <v>96</v>
      </c>
      <c r="H2" t="s">
        <v>97</v>
      </c>
      <c r="I2" s="159" t="s">
        <v>98</v>
      </c>
      <c r="J2" s="160" t="s">
        <v>99</v>
      </c>
      <c r="K2" s="161"/>
      <c r="L2" s="162" t="str">
        <f>IF(WERKBON!I10="J","AFHAALBON","LEVERINGSBON")</f>
        <v>LEVERINGSBON</v>
      </c>
      <c r="M2" s="163"/>
      <c r="N2" s="163"/>
      <c r="O2" s="164"/>
    </row>
    <row r="3" ht="12.75" customHeight="1" spans="5:15" x14ac:dyDescent="0.25">
      <c r="E3" t="s">
        <v>100</v>
      </c>
      <c r="H3" t="s">
        <v>101</v>
      </c>
      <c r="I3" s="159"/>
      <c r="J3" s="160" t="s">
        <v>102</v>
      </c>
      <c r="K3" s="161"/>
      <c r="L3" s="165"/>
      <c r="M3" s="166"/>
      <c r="N3" s="166"/>
      <c r="O3" s="167"/>
    </row>
    <row r="4" ht="12.75" customHeight="1" spans="5:15" x14ac:dyDescent="0.25">
      <c r="E4" t="s">
        <v>103</v>
      </c>
      <c r="H4" t="s">
        <v>104</v>
      </c>
      <c r="I4" s="160" t="s">
        <v>105</v>
      </c>
      <c r="J4" s="160"/>
      <c r="K4" s="161"/>
      <c r="L4" s="165"/>
      <c r="M4" s="166"/>
      <c r="N4" s="166"/>
      <c r="O4" s="167"/>
    </row>
    <row r="5" ht="12.75" customHeight="1" spans="9:15" x14ac:dyDescent="0.25">
      <c r="I5" s="160" t="s">
        <v>106</v>
      </c>
      <c r="J5" s="160"/>
      <c r="K5" s="161"/>
      <c r="L5" s="168"/>
      <c r="M5" s="169"/>
      <c r="N5" s="169"/>
      <c r="O5" s="170"/>
    </row>
    <row r="6" ht="12.75" customHeight="1" x14ac:dyDescent="0.25"/>
    <row r="7" ht="15" customHeight="1" spans="1:15" x14ac:dyDescent="0.25">
      <c r="A7" s="171" t="s">
        <v>107</v>
      </c>
      <c r="C7" s="117">
        <f>IF(WERKBON!I4&gt;0,WERKBON!I4,"")</f>
      </c>
      <c r="H7" s="171" t="s">
        <v>108</v>
      </c>
      <c r="I7" s="117">
        <f>IF(WERKBON!B4&gt;0,WERKBON!B4,"")</f>
      </c>
      <c r="M7" s="172" t="str">
        <f>IF(WERKBON!F10="J","Voorzien afhaling","Voorziene levering")</f>
        <v>Voorziene levering</v>
      </c>
      <c r="N7" s="172"/>
      <c r="O7" s="172"/>
    </row>
    <row r="8" ht="15" customHeight="1" spans="3:15" x14ac:dyDescent="0.25">
      <c r="C8" s="117">
        <f>IF(WERKBON!I5&gt;0,WERKBON!I5,"")</f>
      </c>
      <c r="I8" s="117">
        <f>IF(WERKBON!B5&gt;0,WERKBON!B5,"")</f>
      </c>
      <c r="M8" s="173">
        <f>IF(WERKBON!I12&gt;0,WERKBON!I12,"")</f>
      </c>
      <c r="N8" s="173"/>
      <c r="O8" s="173"/>
    </row>
    <row r="9" ht="15" customHeight="1" spans="3:15" x14ac:dyDescent="0.25">
      <c r="C9" s="117">
        <f>IF(WERKBON!I6&gt;0,WERKBON!I6,"")</f>
      </c>
      <c r="I9" s="117">
        <f>IF(WERKBON!B6&gt;0,WERKBON!B6,"")</f>
      </c>
      <c r="M9" s="173"/>
      <c r="N9" s="173"/>
      <c r="O9" s="173"/>
    </row>
    <row r="10" ht="15" customHeight="1" spans="9:9" x14ac:dyDescent="0.25">
      <c r="I10" s="117">
        <f>IF(WERKBON!B7&gt;0,WERKBON!B7,"")</f>
      </c>
    </row>
    <row r="11" ht="15" customHeight="1" spans="9:9" x14ac:dyDescent="0.25">
      <c r="I11" s="117">
        <f>IF(WERKBON!B8&gt;0,WERKBON!B8,"")</f>
      </c>
    </row>
    <row r="12" ht="15" customHeight="1" spans="1:9" x14ac:dyDescent="0.25">
      <c r="A12" s="174">
        <f>IF(WERKBON!I8&lt;&gt;"","Prod. Nr:","")</f>
      </c>
      <c r="B12" s="33">
        <f>IF(WERKBON!I8&lt;&gt;"",WERKBON!I8,"")</f>
      </c>
      <c r="C12" s="33"/>
      <c r="D12" s="33"/>
      <c r="E12" s="33"/>
      <c r="I12" s="117">
        <f>IF(WERKBON!B9&gt;0,WERKBON!B9,"")</f>
      </c>
    </row>
    <row r="13" ht="12.75" customHeight="1" spans="1:9" x14ac:dyDescent="0.25">
      <c r="A13" s="174"/>
      <c r="B13" s="33"/>
      <c r="C13" s="33"/>
      <c r="D13" s="33"/>
      <c r="E13" s="33"/>
      <c r="F13" s="33"/>
      <c r="I13" s="117">
        <f>IF(WERKBON!B10&gt;0,WERKBON!B10,"")</f>
      </c>
    </row>
    <row r="14" ht="12.75" customHeight="1" spans="1:2" x14ac:dyDescent="0.25">
      <c r="A14" s="174" t="s">
        <v>109</v>
      </c>
      <c r="B14" s="33">
        <f>IF(WERKBON!B12&gt;0,WERKBON!B12,"")</f>
      </c>
    </row>
    <row r="16" ht="12.75" customHeight="1" spans="1:7" s="20" customFormat="1" x14ac:dyDescent="0.25">
      <c r="A16" s="175" t="s">
        <v>1</v>
      </c>
      <c r="B16" s="175"/>
      <c r="D16" s="176"/>
      <c r="E16" s="177"/>
      <c r="F16" s="178">
        <f>IF(WERKBON!K12="J","Klant verwittigen","")</f>
      </c>
      <c r="G16" s="178"/>
    </row>
    <row r="18" ht="15" customHeight="1" spans="1:15" s="179" customFormat="1" x14ac:dyDescent="0.25">
      <c r="A18" s="180" t="s">
        <v>110</v>
      </c>
      <c r="B18" s="180" t="s">
        <v>111</v>
      </c>
      <c r="C18" s="180" t="s">
        <v>112</v>
      </c>
      <c r="D18" s="180" t="s">
        <v>113</v>
      </c>
      <c r="E18" s="180" t="s">
        <v>114</v>
      </c>
      <c r="F18" s="180" t="s">
        <v>115</v>
      </c>
      <c r="G18" s="180" t="s">
        <v>116</v>
      </c>
      <c r="H18" s="180"/>
      <c r="I18" s="180" t="s">
        <v>117</v>
      </c>
      <c r="J18" s="180"/>
      <c r="K18" s="180"/>
      <c r="L18" s="180"/>
      <c r="M18" s="180"/>
      <c r="N18" s="180"/>
      <c r="O18" s="180" t="s">
        <v>118</v>
      </c>
    </row>
    <row r="19" spans="2:3" x14ac:dyDescent="0.25">
      <c r="B19" s="69"/>
      <c r="C19" s="69"/>
    </row>
    <row r="20" ht="15.75" customHeight="1" spans="1:15" s="11" customFormat="1" x14ac:dyDescent="0.25">
      <c r="A20" s="181" t="str">
        <f>IF(WERKBON!B15&gt;0,WERKBON!B15," ")</f>
        <v> </v>
      </c>
      <c r="B20" s="182" t="str">
        <f>IF(WERKBON!B22&gt;0,WERKBON!B22," ")</f>
        <v> </v>
      </c>
      <c r="C20" s="182" t="str">
        <f>IF(WERKBON!B23&gt;0,WERKBON!B23," ")</f>
        <v> </v>
      </c>
      <c r="D20" s="183" t="str">
        <f>IF(WERKBON!$B$15&gt;0,WERKBON!$B$66," ")</f>
        <v> </v>
      </c>
      <c r="E20" s="184" t="str">
        <f>IF(WERKBON!B31&gt;0,WERKBON!B31," ")</f>
        <v> </v>
      </c>
      <c r="F20" s="184" t="str">
        <f>IF(WERKBON!B21&gt;0,WERKBON!B21," ")</f>
        <v> </v>
      </c>
      <c r="G20" s="184">
        <f>WERKBON!G65&amp;IF(WERKBON!G66&lt;&gt;""," "&amp;WERKBON!G66,"")</f>
      </c>
      <c r="H20" s="185">
        <f>WERKBON!G68</f>
      </c>
      <c r="I20" s="186" t="str">
        <f>WERKBON!I67</f>
        <v> </v>
      </c>
      <c r="J20" s="185"/>
      <c r="K20" s="185"/>
      <c r="L20" s="185"/>
      <c r="M20" s="185"/>
      <c r="N20" s="185"/>
      <c r="O20" s="187"/>
    </row>
    <row r="21" spans="1:15" x14ac:dyDescent="0.25">
      <c r="A21" s="188"/>
      <c r="B21" s="189"/>
      <c r="C21" s="189"/>
      <c r="D21" s="190" t="str">
        <f>IF(WERKBON!B17&gt;0,WERKBON!B17," ")</f>
        <v> </v>
      </c>
      <c r="E21" s="191" t="str">
        <f>IF(WERKBON!B32&gt;0,WERKBON!B32," ")</f>
        <v> </v>
      </c>
      <c r="F21" s="192">
        <f>WERKBON!G70</f>
      </c>
      <c r="G21" s="193">
        <f>WERKBON!H70</f>
      </c>
      <c r="H21" s="194">
        <f>WERKBON!G69</f>
      </c>
      <c r="I21" s="195" t="str">
        <f>WERKBON!I68</f>
        <v> </v>
      </c>
      <c r="J21" s="194"/>
      <c r="K21" s="194"/>
      <c r="L21" s="194"/>
      <c r="M21" s="194"/>
      <c r="N21" s="194"/>
      <c r="O21" s="196"/>
    </row>
    <row r="22" ht="15.75" customHeight="1" spans="1:15" s="11" customFormat="1" x14ac:dyDescent="0.25">
      <c r="A22" s="181" t="str">
        <f>IF(WERKBON!C15&gt;0,WERKBON!C15," ")</f>
        <v> </v>
      </c>
      <c r="B22" s="182" t="str">
        <f>IF(WERKBON!C22&gt;0,WERKBON!C22," ")</f>
        <v> </v>
      </c>
      <c r="C22" s="182" t="str">
        <f>IF(WERKBON!C23&gt;0,WERKBON!C23," ")</f>
        <v> </v>
      </c>
      <c r="D22" s="183" t="str">
        <f>IF(WERKBON!$C$15&gt;0,WERKBON!B74," ")</f>
        <v> </v>
      </c>
      <c r="E22" s="184" t="str">
        <f>IF(WERKBON!C31&gt;0,WERKBON!C31," ")</f>
        <v> </v>
      </c>
      <c r="F22" s="184" t="str">
        <f>IF(WERKBON!C21&gt;0,WERKBON!C21," ")</f>
        <v> </v>
      </c>
      <c r="G22" s="184">
        <f>WERKBON!G73&amp;IF(WERKBON!G74&lt;&gt;""," "&amp;WERKBON!G74,"")</f>
      </c>
      <c r="H22" s="185">
        <f>WERKBON!G76</f>
      </c>
      <c r="I22" s="186" t="str">
        <f>WERKBON!I75</f>
        <v> </v>
      </c>
      <c r="J22" s="185"/>
      <c r="K22" s="185"/>
      <c r="L22" s="185"/>
      <c r="M22" s="185"/>
      <c r="N22" s="185"/>
      <c r="O22" s="187"/>
    </row>
    <row r="23" spans="1:15" x14ac:dyDescent="0.25">
      <c r="A23" s="188"/>
      <c r="B23" s="189"/>
      <c r="C23" s="189"/>
      <c r="D23" s="190" t="str">
        <f>IF(WERKBON!C17&gt;0,WERKBON!C17," ")</f>
        <v> </v>
      </c>
      <c r="E23" s="191" t="str">
        <f>IF(WERKBON!C32&gt;0,WERKBON!C32," ")</f>
        <v> </v>
      </c>
      <c r="F23" s="192">
        <f>WERKBON!G78</f>
      </c>
      <c r="G23" s="193">
        <f>WERKBON!H78</f>
      </c>
      <c r="H23" s="194">
        <f>WERKBON!G77</f>
      </c>
      <c r="I23" s="195" t="str">
        <f>WERKBON!I76</f>
        <v> </v>
      </c>
      <c r="J23" s="194"/>
      <c r="K23" s="194"/>
      <c r="L23" s="194"/>
      <c r="M23" s="194"/>
      <c r="N23" s="194"/>
      <c r="O23" s="196"/>
    </row>
    <row r="24" ht="15.75" customHeight="1" spans="1:15" s="11" customFormat="1" x14ac:dyDescent="0.25">
      <c r="A24" s="181" t="str">
        <f>IF(WERKBON!D15&gt;0,WERKBON!D15," ")</f>
        <v> </v>
      </c>
      <c r="B24" s="182" t="str">
        <f>IF(WERKBON!D22&gt;0,WERKBON!D22," ")</f>
        <v> </v>
      </c>
      <c r="C24" s="182" t="str">
        <f>IF(WERKBON!D23&gt;0,WERKBON!D23," ")</f>
        <v> </v>
      </c>
      <c r="D24" s="183" t="str">
        <f>IF(WERKBON!$D$15&gt;0,WERKBON!B82," ")</f>
        <v> </v>
      </c>
      <c r="E24" s="184" t="str">
        <f>IF(WERKBON!D31&gt;0,WERKBON!D31," ")</f>
        <v> </v>
      </c>
      <c r="F24" s="184" t="str">
        <f>IF(WERKBON!D21&gt;0,WERKBON!D21," ")</f>
        <v> </v>
      </c>
      <c r="G24" s="184">
        <f>WERKBON!G81&amp;IF(WERKBON!G82&lt;&gt;""," "&amp;WERKBON!G82,"")</f>
      </c>
      <c r="H24" s="185">
        <f>WERKBON!G84</f>
      </c>
      <c r="I24" s="186" t="str">
        <f>WERKBON!I83</f>
        <v> </v>
      </c>
      <c r="J24" s="185"/>
      <c r="K24" s="185"/>
      <c r="L24" s="185"/>
      <c r="M24" s="185"/>
      <c r="N24" s="185"/>
      <c r="O24" s="187"/>
    </row>
    <row r="25" spans="1:15" x14ac:dyDescent="0.25">
      <c r="A25" s="188"/>
      <c r="B25" s="189"/>
      <c r="C25" s="189"/>
      <c r="D25" s="190" t="str">
        <f>IF(WERKBON!D17&gt;0,WERKBON!D17," ")</f>
        <v> </v>
      </c>
      <c r="E25" s="191" t="str">
        <f>IF(WERKBON!D32&gt;0,WERKBON!D32," ")</f>
        <v> </v>
      </c>
      <c r="F25" s="192">
        <f>WERKBON!G86</f>
      </c>
      <c r="G25" s="193">
        <f>WERKBON!H86</f>
      </c>
      <c r="H25" s="194">
        <f>WERKBON!G85</f>
      </c>
      <c r="I25" s="195" t="str">
        <f>WERKBON!I84</f>
        <v> </v>
      </c>
      <c r="J25" s="194"/>
      <c r="K25" s="194"/>
      <c r="L25" s="194"/>
      <c r="M25" s="194"/>
      <c r="N25" s="194"/>
      <c r="O25" s="196"/>
    </row>
    <row r="26" ht="15.75" customHeight="1" spans="1:15" s="11" customFormat="1" x14ac:dyDescent="0.25">
      <c r="A26" s="181" t="str">
        <f>IF(WERKBON!E15&gt;0,WERKBON!E15," ")</f>
        <v> </v>
      </c>
      <c r="B26" s="182" t="str">
        <f>IF(WERKBON!E22&gt;0,WERKBON!E22," ")</f>
        <v> </v>
      </c>
      <c r="C26" s="182" t="str">
        <f>IF(WERKBON!E23&gt;0,WERKBON!E23," ")</f>
        <v> </v>
      </c>
      <c r="D26" s="183" t="str">
        <f>IF(WERKBON!$E$15&gt;0,WERKBON!B90," ")</f>
        <v> </v>
      </c>
      <c r="E26" s="184" t="str">
        <f>IF(WERKBON!E31&gt;0,WERKBON!E31," ")</f>
        <v> </v>
      </c>
      <c r="F26" s="184" t="str">
        <f>IF(WERKBON!E21&gt;0,WERKBON!E21," ")</f>
        <v> </v>
      </c>
      <c r="G26" s="184">
        <f>WERKBON!G89&amp;IF(WERKBON!G90&lt;&gt;""," "&amp;WERKBON!G90,"")</f>
      </c>
      <c r="H26" s="185">
        <f>WERKBON!G92</f>
      </c>
      <c r="I26" s="186" t="str">
        <f>WERKBON!I91</f>
        <v> </v>
      </c>
      <c r="J26" s="185"/>
      <c r="K26" s="185"/>
      <c r="L26" s="185"/>
      <c r="M26" s="185"/>
      <c r="N26" s="185"/>
      <c r="O26" s="187"/>
    </row>
    <row r="27" spans="1:15" x14ac:dyDescent="0.25">
      <c r="A27" s="188"/>
      <c r="B27" s="189"/>
      <c r="C27" s="189"/>
      <c r="D27" s="190" t="str">
        <f>IF(WERKBON!E17&gt;0,WERKBON!E17," ")</f>
        <v> </v>
      </c>
      <c r="E27" s="191" t="str">
        <f>IF(WERKBON!E32&gt;0,WERKBON!E32," ")</f>
        <v> </v>
      </c>
      <c r="F27" s="192">
        <f>WERKBON!G94</f>
      </c>
      <c r="G27" s="193">
        <f>WERKBON!H94</f>
      </c>
      <c r="H27" s="194">
        <f>WERKBON!G93</f>
      </c>
      <c r="I27" s="195" t="str">
        <f>WERKBON!I92</f>
        <v> </v>
      </c>
      <c r="J27" s="194"/>
      <c r="K27" s="194"/>
      <c r="L27" s="194"/>
      <c r="M27" s="194"/>
      <c r="N27" s="194"/>
      <c r="O27" s="196"/>
    </row>
    <row r="28" ht="15.75" customHeight="1" spans="1:15" s="11" customFormat="1" x14ac:dyDescent="0.25">
      <c r="A28" s="181" t="str">
        <f>IF(WERKBON!F15&gt;0,WERKBON!F15," ")</f>
        <v> </v>
      </c>
      <c r="B28" s="182" t="str">
        <f>IF(WERKBON!F22&gt;0,WERKBON!F22," ")</f>
        <v> </v>
      </c>
      <c r="C28" s="182" t="str">
        <f>IF(WERKBON!F23&gt;0,WERKBON!F23," ")</f>
        <v> </v>
      </c>
      <c r="D28" s="183" t="str">
        <f>IF(WERKBON!$F$15&gt;0,WERKBON!B98," ")</f>
        <v> </v>
      </c>
      <c r="E28" s="184" t="str">
        <f>IF(WERKBON!F31&gt;0,WERKBON!F31," ")</f>
        <v> </v>
      </c>
      <c r="F28" s="184" t="str">
        <f>IF(WERKBON!F21&gt;0,WERKBON!F21," ")</f>
        <v> </v>
      </c>
      <c r="G28" s="184">
        <f>WERKBON!G97&amp;IF(WERKBON!G98&lt;&gt;""," "&amp;WERKBON!G98,"")</f>
      </c>
      <c r="H28" s="185">
        <f>WERKBON!G100</f>
      </c>
      <c r="I28" s="186" t="str">
        <f>WERKBON!I99</f>
        <v> </v>
      </c>
      <c r="J28" s="185"/>
      <c r="K28" s="185"/>
      <c r="L28" s="185"/>
      <c r="M28" s="185"/>
      <c r="N28" s="185"/>
      <c r="O28" s="187"/>
    </row>
    <row r="29" spans="1:15" x14ac:dyDescent="0.25">
      <c r="A29" s="188"/>
      <c r="B29" s="189"/>
      <c r="C29" s="189"/>
      <c r="D29" s="190" t="str">
        <f>IF(WERKBON!F17&gt;0,WERKBON!F17," ")</f>
        <v> </v>
      </c>
      <c r="E29" s="191" t="str">
        <f>IF(WERKBON!F32&gt;0,WERKBON!F32," ")</f>
        <v> </v>
      </c>
      <c r="F29" s="192">
        <f>WERKBON!G102</f>
      </c>
      <c r="G29" s="193">
        <f>WERKBON!H102</f>
      </c>
      <c r="H29" s="194">
        <f>WERKBON!G101</f>
      </c>
      <c r="I29" s="195" t="str">
        <f>WERKBON!I100</f>
        <v> </v>
      </c>
      <c r="J29" s="194"/>
      <c r="K29" s="194"/>
      <c r="L29" s="194"/>
      <c r="M29" s="194"/>
      <c r="N29" s="194"/>
      <c r="O29" s="196"/>
    </row>
    <row r="30" spans="1:15" s="175" customFormat="1" x14ac:dyDescent="0.25">
      <c r="A30" s="181" t="str">
        <f>IF(WERKBON!G15&gt;0,WERKBON!G15," ")</f>
        <v> </v>
      </c>
      <c r="B30" s="182" t="str">
        <f>IF(WERKBON!G22&gt;0,WERKBON!G22," ")</f>
        <v> </v>
      </c>
      <c r="C30" s="182" t="str">
        <f>IF(WERKBON!G23&gt;0,WERKBON!G23," ")</f>
        <v> </v>
      </c>
      <c r="D30" s="183" t="str">
        <f>IF(WERKBON!$G$15&gt;0,WERKBON!B106," ")</f>
        <v> </v>
      </c>
      <c r="E30" s="184" t="str">
        <f>IF(WERKBON!G31&gt;0,WERKBON!G31," ")</f>
        <v> </v>
      </c>
      <c r="F30" s="184" t="str">
        <f>IF(WERKBON!G21&gt;0,WERKBON!G21," ")</f>
        <v> </v>
      </c>
      <c r="G30" s="184">
        <f>WERKBON!G105&amp;IF(WERKBON!G106&lt;&gt;""," "&amp;WERKBON!G106,"")</f>
      </c>
      <c r="H30" s="185">
        <f>WERKBON!G108</f>
      </c>
      <c r="I30" s="186" t="str">
        <f>WERKBON!I107</f>
        <v> </v>
      </c>
      <c r="J30" s="185"/>
      <c r="K30" s="185"/>
      <c r="L30" s="185"/>
      <c r="M30" s="185"/>
      <c r="N30" s="185"/>
      <c r="O30" s="197"/>
    </row>
    <row r="31" spans="1:15" x14ac:dyDescent="0.25">
      <c r="A31" s="188"/>
      <c r="B31" s="189"/>
      <c r="C31" s="189"/>
      <c r="D31" s="190" t="str">
        <f>IF(WERKBON!G17&gt;0,WERKBON!G17," ")</f>
        <v> </v>
      </c>
      <c r="E31" s="191" t="str">
        <f>IF(WERKBON!G32&gt;0,WERKBON!G32," ")</f>
        <v> </v>
      </c>
      <c r="F31" s="192">
        <f>WERKBON!G110</f>
      </c>
      <c r="G31" s="193">
        <f>WERKBON!H110</f>
      </c>
      <c r="H31" s="194">
        <f>WERKBON!G109</f>
      </c>
      <c r="I31" s="195" t="str">
        <f>WERKBON!I108</f>
        <v> </v>
      </c>
      <c r="J31" s="194"/>
      <c r="K31" s="194"/>
      <c r="L31" s="194"/>
      <c r="M31" s="194"/>
      <c r="N31" s="194"/>
      <c r="O31" s="198"/>
    </row>
    <row r="32" spans="1:15" x14ac:dyDescent="0.25">
      <c r="A32" s="181" t="str">
        <f>IF(WERKBON!H15&gt;0,WERKBON!H15," ")</f>
        <v> </v>
      </c>
      <c r="B32" s="182" t="str">
        <f>IF(WERKBON!H22&gt;0,WERKBON!H22," ")</f>
        <v> </v>
      </c>
      <c r="C32" s="182" t="str">
        <f>IF(WERKBON!H23&gt;0,WERKBON!H23," ")</f>
        <v> </v>
      </c>
      <c r="D32" s="183" t="str">
        <f>IF(WERKBON!$H$15&gt;0,WERKBON!B114," ")</f>
        <v> </v>
      </c>
      <c r="E32" s="184" t="str">
        <f>IF(WERKBON!H31&gt;0,WERKBON!H31," ")</f>
        <v> </v>
      </c>
      <c r="F32" s="184" t="str">
        <f>IF(WERKBON!H21&gt;0,WERKBON!H21," ")</f>
        <v> </v>
      </c>
      <c r="G32" s="184">
        <f>WERKBON!G113&amp;IF(WERKBON!G114&lt;&gt;""," "&amp;WERKBON!G114,"")</f>
      </c>
      <c r="H32" s="185">
        <f>WERKBON!G116</f>
      </c>
      <c r="I32" s="186" t="str">
        <f>WERKBON!I115</f>
        <v> </v>
      </c>
      <c r="J32" s="185"/>
      <c r="K32" s="185"/>
      <c r="L32" s="185"/>
      <c r="M32" s="185"/>
      <c r="N32" s="185"/>
      <c r="O32" s="197"/>
    </row>
    <row r="33" spans="1:15" x14ac:dyDescent="0.25">
      <c r="A33" s="188"/>
      <c r="B33" s="189"/>
      <c r="C33" s="189"/>
      <c r="D33" s="190" t="str">
        <f>IF(WERKBON!H17&gt;0,WERKBON!H17," ")</f>
        <v> </v>
      </c>
      <c r="E33" s="191" t="str">
        <f>IF(WERKBON!H32&gt;0,WERKBON!H32," ")</f>
        <v> </v>
      </c>
      <c r="F33" s="192">
        <f>WERKBON!G118</f>
      </c>
      <c r="G33" s="193">
        <f>WERKBON!H118</f>
      </c>
      <c r="H33" s="194">
        <f>WERKBON!G117</f>
      </c>
      <c r="I33" s="195" t="str">
        <f>WERKBON!I116</f>
        <v> </v>
      </c>
      <c r="J33" s="194"/>
      <c r="K33" s="194"/>
      <c r="L33" s="194"/>
      <c r="M33" s="194"/>
      <c r="N33" s="194"/>
      <c r="O33" s="198"/>
    </row>
    <row r="34" spans="1:15" s="175" customFormat="1" x14ac:dyDescent="0.25">
      <c r="A34" s="181" t="str">
        <f>IF(WERKBON!I15&gt;0,WERKBON!I15," ")</f>
        <v> </v>
      </c>
      <c r="B34" s="182" t="str">
        <f>IF(WERKBON!I22&gt;0,WERKBON!I22," ")</f>
        <v> </v>
      </c>
      <c r="C34" s="182" t="str">
        <f>IF(WERKBON!I23&gt;0,WERKBON!I23," ")</f>
        <v> </v>
      </c>
      <c r="D34" s="183" t="str">
        <f>IF(WERKBON!$I$15&gt;0,WERKBON!B122," ")</f>
        <v> </v>
      </c>
      <c r="E34" s="184" t="str">
        <f>IF(WERKBON!I31&gt;0,WERKBON!I31," ")</f>
        <v> </v>
      </c>
      <c r="F34" s="199" t="str">
        <f>IF(WERKBON!I21&gt;0,WERKBON!I21," ")</f>
        <v> </v>
      </c>
      <c r="G34" s="199">
        <f>WERKBON!G121&amp;IF(WERKBON!G122&lt;&gt;""," "&amp;WERKBON!G122,"")</f>
      </c>
      <c r="H34" s="200">
        <f>WERKBON!G124</f>
      </c>
      <c r="I34" s="186" t="str">
        <f>WERKBON!I123</f>
        <v> </v>
      </c>
      <c r="J34" s="185"/>
      <c r="K34" s="185"/>
      <c r="L34" s="185"/>
      <c r="M34" s="185"/>
      <c r="N34" s="185"/>
      <c r="O34" s="197"/>
    </row>
    <row r="35" spans="1:15" x14ac:dyDescent="0.25">
      <c r="A35" s="188"/>
      <c r="B35" s="189"/>
      <c r="C35" s="189"/>
      <c r="D35" s="190" t="str">
        <f>IF(WERKBON!I17&gt;0,WERKBON!I17," ")</f>
        <v> </v>
      </c>
      <c r="E35" s="191" t="str">
        <f>IF(WERKBON!I32&gt;0,WERKBON!I32," ")</f>
        <v> </v>
      </c>
      <c r="F35" s="201">
        <f>WERKBON!G126</f>
      </c>
      <c r="G35" s="202">
        <f>WERKBON!H126</f>
      </c>
      <c r="H35" s="200">
        <f>WERKBON!G125</f>
      </c>
      <c r="I35" s="195" t="str">
        <f>WERKBON!I124</f>
        <v> </v>
      </c>
      <c r="J35" s="194"/>
      <c r="K35" s="194"/>
      <c r="L35" s="194"/>
      <c r="M35" s="194"/>
      <c r="N35" s="194"/>
      <c r="O35" s="198"/>
    </row>
    <row r="36" spans="1:15" s="175" customFormat="1" x14ac:dyDescent="0.25">
      <c r="A36" s="181" t="str">
        <f>IF(WERKBON!J15&gt;0,WERKBON!J15," ")</f>
        <v> </v>
      </c>
      <c r="B36" s="182" t="str">
        <f>IF(WERKBON!J22&gt;0,WERKBON!J22," ")</f>
        <v> </v>
      </c>
      <c r="C36" s="182" t="str">
        <f>IF(WERKBON!J23&gt;0,WERKBON!J23," ")</f>
        <v> </v>
      </c>
      <c r="D36" s="183" t="str">
        <f>IF(WERKBON!$J$15&gt;0,WERKBON!B130," ")</f>
        <v> </v>
      </c>
      <c r="E36" s="184" t="str">
        <f>IF(WERKBON!J31&gt;0,WERKBON!J31," ")</f>
        <v> </v>
      </c>
      <c r="F36" s="184" t="str">
        <f>IF(WERKBON!J21&gt;0,WERKBON!J21," ")</f>
        <v> </v>
      </c>
      <c r="G36" s="184">
        <f>WERKBON!G129&amp;IF(WERKBON!G130&lt;&gt;""," "&amp;WERKBON!G130,"")</f>
      </c>
      <c r="H36" s="185">
        <f>WERKBON!G132</f>
      </c>
      <c r="I36" s="186" t="str">
        <f>WERKBON!I131</f>
        <v> </v>
      </c>
      <c r="J36" s="185"/>
      <c r="K36" s="185"/>
      <c r="L36" s="185"/>
      <c r="M36" s="185"/>
      <c r="N36" s="185"/>
      <c r="O36" s="197"/>
    </row>
    <row r="37" spans="1:15" x14ac:dyDescent="0.25">
      <c r="A37" s="188"/>
      <c r="B37" s="189"/>
      <c r="C37" s="189"/>
      <c r="D37" s="190" t="str">
        <f>IF(WERKBON!J17&gt;0,WERKBON!J17," ")</f>
        <v> </v>
      </c>
      <c r="E37" s="191" t="str">
        <f>IF(WERKBON!J32&gt;0,WERKBON!J32," ")</f>
        <v> </v>
      </c>
      <c r="F37" s="192">
        <f>WERKBON!G134</f>
      </c>
      <c r="G37" s="193">
        <f>WERKBON!H134</f>
      </c>
      <c r="H37" s="194">
        <f>WERKBON!G133</f>
      </c>
      <c r="I37" s="195" t="str">
        <f>WERKBON!I132</f>
        <v> </v>
      </c>
      <c r="J37" s="194"/>
      <c r="K37" s="194"/>
      <c r="L37" s="194"/>
      <c r="M37" s="194"/>
      <c r="N37" s="194"/>
      <c r="O37" s="198"/>
    </row>
    <row r="38" spans="1:15" x14ac:dyDescent="0.25">
      <c r="A38" s="181" t="str">
        <f>IF(WERKBON!K15&gt;0,WERKBON!K15," ")</f>
        <v> </v>
      </c>
      <c r="B38" s="182" t="str">
        <f>IF(WERKBON!K22&gt;0,WERKBON!K22," ")</f>
        <v> </v>
      </c>
      <c r="C38" s="182" t="str">
        <f>IF(WERKBON!K23&gt;0,WERKBON!K23," ")</f>
        <v> </v>
      </c>
      <c r="D38" s="183" t="str">
        <f>IF(WERKBON!$K$15&gt;0,WERKBON!B138," ")</f>
        <v> </v>
      </c>
      <c r="E38" s="184" t="str">
        <f>IF(WERKBON!K31&gt;0,WERKBON!K31," ")</f>
        <v> </v>
      </c>
      <c r="F38" s="184" t="str">
        <f>IF(WERKBON!K21&gt;0,WERKBON!K21," ")</f>
        <v> </v>
      </c>
      <c r="G38" s="184">
        <f>WERKBON!G137&amp;IF(WERKBON!G138&lt;&gt;""," "&amp;WERKBON!G138,"")</f>
      </c>
      <c r="H38" s="185">
        <f>WERKBON!G140</f>
      </c>
      <c r="I38" s="186" t="str">
        <f>WERKBON!I139</f>
        <v> </v>
      </c>
      <c r="J38" s="185"/>
      <c r="K38" s="185"/>
      <c r="L38" s="185"/>
      <c r="M38" s="185"/>
      <c r="N38" s="185"/>
      <c r="O38" s="197"/>
    </row>
    <row r="39" spans="1:15" x14ac:dyDescent="0.25">
      <c r="A39" s="188"/>
      <c r="B39" s="189"/>
      <c r="C39" s="189"/>
      <c r="D39" s="190" t="str">
        <f>IF(WERKBON!K17&gt;0,WERKBON!K17," ")</f>
        <v> </v>
      </c>
      <c r="E39" s="191" t="str">
        <f>IF(WERKBON!K32&gt;0,WERKBON!K32," ")</f>
        <v> </v>
      </c>
      <c r="F39" s="192">
        <f>WERKBON!G142</f>
      </c>
      <c r="G39" s="193">
        <f>WERKBON!H142</f>
      </c>
      <c r="H39" s="194">
        <f>WERKBON!G141</f>
      </c>
      <c r="I39" s="195" t="str">
        <f>WERKBON!I140</f>
        <v> </v>
      </c>
      <c r="J39" s="194"/>
      <c r="K39" s="194"/>
      <c r="L39" s="194"/>
      <c r="M39" s="194"/>
      <c r="N39" s="194"/>
      <c r="O39" s="198"/>
    </row>
    <row r="40" spans="1:16" s="203" customFormat="1" x14ac:dyDescent="0.25">
      <c r="A40" s="76" t="s">
        <v>119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</row>
    <row r="41" spans="1:9" x14ac:dyDescent="0.25">
      <c r="A41" s="204" t="s">
        <v>94</v>
      </c>
      <c r="B41" s="51"/>
      <c r="C41" s="205"/>
      <c r="E41" s="51"/>
      <c r="F41" s="51"/>
      <c r="G41" s="51"/>
      <c r="H41" s="51"/>
      <c r="I41" s="204" t="s">
        <v>120</v>
      </c>
    </row>
    <row r="42" spans="3:3" x14ac:dyDescent="0.25">
      <c r="C42" s="205"/>
    </row>
    <row r="43" spans="3:3" x14ac:dyDescent="0.25">
      <c r="C43" s="205"/>
    </row>
    <row r="44" spans="1:11" x14ac:dyDescent="0.25">
      <c r="A44" t="str">
        <f>IF(WERKBON!I10="N","Leveringsdatum:","Afhaaldatum:")</f>
        <v>Leveringsdatum:</v>
      </c>
      <c r="K44" s="206" t="s">
        <v>121</v>
      </c>
    </row>
  </sheetData>
  <mergeCells count="71">
    <mergeCell ref="J2:K2"/>
    <mergeCell ref="L2:O5"/>
    <mergeCell ref="I2:I3"/>
    <mergeCell ref="J3:K3"/>
    <mergeCell ref="I4:K4"/>
    <mergeCell ref="I5:K5"/>
    <mergeCell ref="M7:O7"/>
    <mergeCell ref="M8:O9"/>
    <mergeCell ref="F16:G16"/>
    <mergeCell ref="I18:N18"/>
    <mergeCell ref="I20:N20"/>
    <mergeCell ref="A20:A21"/>
    <mergeCell ref="B20:B21"/>
    <mergeCell ref="C20:C21"/>
    <mergeCell ref="I21:N21"/>
    <mergeCell ref="O20:O21"/>
    <mergeCell ref="I22:N22"/>
    <mergeCell ref="A22:A23"/>
    <mergeCell ref="B22:B23"/>
    <mergeCell ref="C22:C23"/>
    <mergeCell ref="I23:N23"/>
    <mergeCell ref="O22:O23"/>
    <mergeCell ref="I24:N24"/>
    <mergeCell ref="A24:A25"/>
    <mergeCell ref="B24:B25"/>
    <mergeCell ref="C24:C25"/>
    <mergeCell ref="I25:N25"/>
    <mergeCell ref="O24:O25"/>
    <mergeCell ref="I26:N26"/>
    <mergeCell ref="A26:A27"/>
    <mergeCell ref="B26:B27"/>
    <mergeCell ref="C26:C27"/>
    <mergeCell ref="I27:N27"/>
    <mergeCell ref="O26:O27"/>
    <mergeCell ref="I28:N28"/>
    <mergeCell ref="A28:A29"/>
    <mergeCell ref="B28:B29"/>
    <mergeCell ref="C28:C29"/>
    <mergeCell ref="I29:N29"/>
    <mergeCell ref="O28:O29"/>
    <mergeCell ref="I30:N30"/>
    <mergeCell ref="A30:A31"/>
    <mergeCell ref="B30:B31"/>
    <mergeCell ref="C30:C31"/>
    <mergeCell ref="I31:N31"/>
    <mergeCell ref="O30:O31"/>
    <mergeCell ref="I32:N32"/>
    <mergeCell ref="A32:A33"/>
    <mergeCell ref="B32:B33"/>
    <mergeCell ref="C32:C33"/>
    <mergeCell ref="I33:N33"/>
    <mergeCell ref="O32:O33"/>
    <mergeCell ref="I34:N34"/>
    <mergeCell ref="A34:A35"/>
    <mergeCell ref="B34:B35"/>
    <mergeCell ref="C34:C35"/>
    <mergeCell ref="I35:N35"/>
    <mergeCell ref="O34:O35"/>
    <mergeCell ref="I36:N36"/>
    <mergeCell ref="A36:A37"/>
    <mergeCell ref="B36:B37"/>
    <mergeCell ref="C36:C37"/>
    <mergeCell ref="I37:N37"/>
    <mergeCell ref="O36:O37"/>
    <mergeCell ref="I38:N38"/>
    <mergeCell ref="A38:A39"/>
    <mergeCell ref="B38:B39"/>
    <mergeCell ref="C38:C39"/>
    <mergeCell ref="I39:N39"/>
    <mergeCell ref="O38:O39"/>
    <mergeCell ref="C41:C43"/>
  </mergeCells>
  <conditionalFormatting sqref="F16">
    <cfRule type="expression" dxfId="80" priority="1">
      <formula>$F$16="Klant verwittigen"</formula>
    </cfRule>
  </conditionalFormatting>
  <pageMargins left="0" right="0" top="0" bottom="0" header="0.5118110236220472" footer="0.5118110236220472"/>
  <pageSetup paperSize="9" orientation="landscape" horizontalDpi="4294967295" verticalDpi="300" scale="97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2"/>
  <sheetViews>
    <sheetView workbookViewId="0" zoomScale="85" zoomScaleNormal="85"/>
  </sheetViews>
  <sheetFormatPr defaultRowHeight="12.75" outlineLevelRow="0" outlineLevelCol="0" x14ac:dyDescent="0.2" customHeight="1"/>
  <cols>
    <col min="2" max="2" width="9.140625" style="51" customWidth="1"/>
    <col min="3" max="4" width="9.140625" customWidth="1"/>
    <col min="5" max="5" width="3.7109375" customWidth="1"/>
    <col min="7" max="7" width="9.140625" style="51" customWidth="1"/>
    <col min="8" max="8" width="9.140625" customWidth="1"/>
    <col min="10" max="10" width="3.7109375" customWidth="1"/>
    <col min="12" max="12" width="9.140625" style="51" customWidth="1"/>
    <col min="13" max="13" width="9.140625" customWidth="1"/>
    <col min="15" max="15" width="3.7109375" customWidth="1"/>
    <col min="16" max="17" width="9.140625" style="110" customWidth="1"/>
    <col min="18" max="18" width="9.140625" style="1" customWidth="1"/>
    <col min="19" max="19" width="9.140625" style="51" customWidth="1"/>
  </cols>
  <sheetData>
    <row r="1" ht="18" customHeight="1" spans="1:19" s="2" customFormat="1" x14ac:dyDescent="0.25">
      <c r="A1" s="243" t="s">
        <v>138</v>
      </c>
      <c r="B1" s="243"/>
      <c r="C1" s="243"/>
      <c r="D1" s="243"/>
      <c r="E1" s="244"/>
      <c r="F1" s="243" t="s">
        <v>139</v>
      </c>
      <c r="G1" s="243"/>
      <c r="H1" s="243"/>
      <c r="I1" s="243"/>
      <c r="J1" s="244"/>
      <c r="K1" s="243" t="s">
        <v>140</v>
      </c>
      <c r="L1" s="243"/>
      <c r="M1" s="243"/>
      <c r="N1" s="243"/>
      <c r="O1" s="244"/>
      <c r="P1" s="245"/>
      <c r="Q1" s="245"/>
      <c r="R1" s="246"/>
      <c r="S1" s="3"/>
    </row>
    <row r="2" spans="1:15" x14ac:dyDescent="0.25">
      <c r="A2" s="247"/>
      <c r="B2" s="140"/>
      <c r="C2" s="247"/>
      <c r="D2" s="247"/>
      <c r="E2" s="247"/>
      <c r="F2" s="248"/>
      <c r="G2" s="249"/>
      <c r="H2" s="249"/>
      <c r="I2" s="248"/>
      <c r="J2" s="248"/>
      <c r="K2" s="247"/>
      <c r="L2" s="140"/>
      <c r="M2" s="247"/>
      <c r="N2" s="247"/>
      <c r="O2" s="247"/>
    </row>
    <row r="3" spans="1:19" s="175" customFormat="1" x14ac:dyDescent="0.25">
      <c r="A3" s="250" t="s">
        <v>27</v>
      </c>
      <c r="B3" s="251"/>
      <c r="C3" s="250"/>
      <c r="D3" s="250"/>
      <c r="E3" s="250"/>
      <c r="F3" s="250" t="s">
        <v>27</v>
      </c>
      <c r="G3" s="251"/>
      <c r="H3" s="250"/>
      <c r="I3" s="250"/>
      <c r="J3" s="251"/>
      <c r="K3" s="250" t="s">
        <v>27</v>
      </c>
      <c r="L3" s="251"/>
      <c r="M3" s="250"/>
      <c r="N3" s="250"/>
      <c r="O3" s="250"/>
      <c r="P3" s="252" t="s">
        <v>141</v>
      </c>
      <c r="Q3" s="253">
        <f>IF(WERKBON!$B$16="P55",$G$66,IF(WERKBON!$B$16="A55",$G$121,IF(WERKBON!$B$16="P42",$G$176,IF(WERKBON!$B$16="A42",$G$231,IF(WERKBON!$B$16="U42",$G$286,IF(WERKBON!$B$16="U52",$G$341,""))))))</f>
      </c>
      <c r="R3" s="254" t="s">
        <v>142</v>
      </c>
      <c r="S3" s="255">
        <f>IF(WERKBON!$B$16="P55","PVC 55",IF(WERKBON!$B$16="A55","ALU 55",IF(WERKBON!$B$16="P42","PVC 42",IF(WERKBON!$B$16="A42","ALU 42",IF(WERKBON!$B$16="U42","ULTRA 42",IF(WERKBON!$B$16="U52","ULTRA 52",""))))))</f>
      </c>
    </row>
    <row r="4" spans="2:15" x14ac:dyDescent="0.25">
      <c r="B4" s="51" t="s">
        <v>111</v>
      </c>
      <c r="C4" s="51" t="s">
        <v>143</v>
      </c>
      <c r="D4" s="51" t="s">
        <v>144</v>
      </c>
      <c r="E4" s="247"/>
      <c r="G4" s="51" t="s">
        <v>111</v>
      </c>
      <c r="H4" s="51" t="s">
        <v>143</v>
      </c>
      <c r="I4" s="51" t="s">
        <v>144</v>
      </c>
      <c r="J4" s="248"/>
      <c r="L4" s="51" t="s">
        <v>111</v>
      </c>
      <c r="M4" s="51" t="s">
        <v>143</v>
      </c>
      <c r="N4" s="51" t="s">
        <v>144</v>
      </c>
      <c r="O4" s="247"/>
    </row>
    <row r="5" spans="1:19" x14ac:dyDescent="0.25">
      <c r="A5" t="s">
        <v>145</v>
      </c>
      <c r="B5" s="240">
        <f>IF(WERKBON!$B$16="P55",Software!B70,IF(WERKBON!$B$16="A55",Software!B125,IF(WERKBON!$B$16="P42",B180,IF(WERKBON!$B$16="A42",B235,IF(WERKBON!$B$16="U42",B290,IF(WERKBON!$B$16="U52",B345,0))))))</f>
        <v>0</v>
      </c>
      <c r="C5" s="240">
        <f>IF(WERKBON!$B$16="P55",Software!C70,IF(WERKBON!$B$16="A55",Software!C125,IF(WERKBON!$B$16="P42",C180,IF(WERKBON!$B$16="A42",C235,IF(WERKBON!$B$16="U42",C290,IF(WERKBON!$B$16="U52",C345,0))))))</f>
        <v>0</v>
      </c>
      <c r="D5" s="256" t="str">
        <f>IF(B5&lt;&gt;0,B5-C5," ")</f>
        <v> </v>
      </c>
      <c r="E5" s="247"/>
      <c r="F5" t="s">
        <v>145</v>
      </c>
      <c r="G5" s="240">
        <f>IF(WERKBON!$B$16="P55",Software!G70,IF(WERKBON!$B$16="A55",Software!G125,IF(WERKBON!$B$16="P42",G180,IF(WERKBON!$B$16="A42",G235,IF(WERKBON!$B$16="U42",G290,IF(WERKBON!$B$16="U52",G345,0))))))</f>
        <v>0</v>
      </c>
      <c r="H5" s="240">
        <f>IF(WERKBON!$B$16="P55",Software!H70,IF(WERKBON!$B$16="A55",Software!H125,IF(WERKBON!$B$16="P42",H180,IF(WERKBON!$B$16="A42",H235,IF(WERKBON!$B$16="U42",H290,IF(WERKBON!$B$16="U52",H345,0))))))</f>
        <v>0</v>
      </c>
      <c r="I5" s="256">
        <f>G5-H5</f>
        <v>0</v>
      </c>
      <c r="J5" s="248"/>
      <c r="K5" t="s">
        <v>145</v>
      </c>
      <c r="L5" s="240">
        <f>IF(WERKBON!$B$16="P55",Software!L70,IF(WERKBON!$B$16="A55",Software!L125,IF(WERKBON!$B$16="P42",L180,IF(WERKBON!$B$16="A42",L235,IF(WERKBON!$B$16="U42",L290,IF(WERKBON!$B$16="U52",L345,0))))))</f>
        <v>0</v>
      </c>
      <c r="M5" s="240">
        <f>IF(WERKBON!$B$16="P55",Software!M70,IF(WERKBON!$B$16="A55",Software!M125,IF(WERKBON!$B$16="P42",M180,IF(WERKBON!$B$16="A42",M235,IF(WERKBON!$B$16="U42",M290,IF(WERKBON!$B$16="U52",M345,0))))))</f>
        <v>0</v>
      </c>
      <c r="N5" s="256">
        <f>L5-M5</f>
        <v>0</v>
      </c>
      <c r="O5" s="247"/>
      <c r="P5" s="252" t="s">
        <v>146</v>
      </c>
      <c r="Q5" s="257">
        <f>IF(WERKBON!$B$16="P55",$N$66,IF(WERKBON!$B$16="A55",$N$121,IF(WERKBON!$B$16="P42",$N$176,IF(WERKBON!$B$16="A42",$N$231,IF(WERKBON!$B$16="U42",$N$286,IF(WERKBON!$B$16="U52",$N$341,""))))))</f>
      </c>
      <c r="R5" s="254" t="s">
        <v>147</v>
      </c>
      <c r="S5" s="255">
        <f>IF(WERKBON!$B$16="P55","Tradi",IF(WERKBON!$B$16="A55","Tradi",IF(WERKBON!$B$16="P42","Mini",IF(WERKBON!$B$16="A42","Mini",IF(WERKBON!$B$16="U42","Mini",IF(WERKBON!$B$16="U52","Mini",""))))))</f>
      </c>
    </row>
    <row r="6" spans="1:15" x14ac:dyDescent="0.25">
      <c r="A6" t="s">
        <v>148</v>
      </c>
      <c r="B6" s="240">
        <f>IF(WERKBON!$B$16="P55",Software!B71,IF(WERKBON!$B$16="A55",Software!B126,IF(WERKBON!$B$16="P42",B181,IF(WERKBON!$B$16="A42",B236,IF(WERKBON!$B$16="U42",B291,IF(WERKBON!$B$16="U52",B346,0))))))</f>
        <v>0</v>
      </c>
      <c r="C6" s="240">
        <f>IF(WERKBON!$B$16="P55",Software!C71,IF(WERKBON!$B$16="A55",Software!C126,IF(WERKBON!$B$16="P42",C181,IF(WERKBON!$B$16="A42",C236,IF(WERKBON!$B$16="U42",C291,IF(WERKBON!$B$16="U52",C346,0))))))</f>
        <v>0</v>
      </c>
      <c r="D6" s="256">
        <f>B6-C6</f>
        <v>0</v>
      </c>
      <c r="E6" s="247"/>
      <c r="F6" t="s">
        <v>148</v>
      </c>
      <c r="G6" s="240">
        <f>IF(WERKBON!$B$16="P55",Software!G71,IF(WERKBON!$B$16="A55",Software!G126,IF(WERKBON!$B$16="P42",G181,IF(WERKBON!$B$16="A42",G236,IF(WERKBON!$B$16="U42",G291,IF(WERKBON!$B$16="U52",G346,0))))))</f>
        <v>0</v>
      </c>
      <c r="H6" s="240">
        <f>IF(WERKBON!$B$16="P55",Software!H71,IF(WERKBON!$B$16="A55",Software!H126,IF(WERKBON!$B$16="P42",H181,IF(WERKBON!$B$16="A42",H236,IF(WERKBON!$B$16="U42",H291,IF(WERKBON!$B$16="U52",H346,0))))))</f>
        <v>0</v>
      </c>
      <c r="I6" s="256">
        <f>G6-H6</f>
        <v>0</v>
      </c>
      <c r="J6" s="248"/>
      <c r="K6" t="s">
        <v>148</v>
      </c>
      <c r="L6" s="240">
        <f>IF(WERKBON!$B$16="P55",Software!L71,IF(WERKBON!$B$16="A55",Software!L126,IF(WERKBON!$B$16="P42",L181,IF(WERKBON!$B$16="A42",L236,IF(WERKBON!$B$16="U42",L291,IF(WERKBON!$B$16="U52",L346,0))))))</f>
        <v>0</v>
      </c>
      <c r="M6" s="240">
        <f>IF(WERKBON!$B$16="P55",Software!M71,IF(WERKBON!$B$16="A55",Software!M126,IF(WERKBON!$B$16="P42",M181,IF(WERKBON!$B$16="A42",M236,IF(WERKBON!$B$16="U42",M291,IF(WERKBON!$B$16="U52",M346,0))))))</f>
        <v>0</v>
      </c>
      <c r="N6" s="256">
        <f>L6-M6</f>
        <v>0</v>
      </c>
      <c r="O6" s="247"/>
    </row>
    <row r="7" spans="1:18" x14ac:dyDescent="0.25">
      <c r="A7" t="s">
        <v>149</v>
      </c>
      <c r="B7" s="240">
        <f>B5</f>
        <v>0</v>
      </c>
      <c r="C7" s="51">
        <v>300</v>
      </c>
      <c r="D7" s="256">
        <f>B7+C7</f>
        <v>300</v>
      </c>
      <c r="E7" s="247"/>
      <c r="F7" t="s">
        <v>149</v>
      </c>
      <c r="G7" s="240">
        <f>G5</f>
        <v>0</v>
      </c>
      <c r="H7" s="51">
        <v>300</v>
      </c>
      <c r="I7" s="256">
        <f>G7+H7</f>
        <v>300</v>
      </c>
      <c r="J7" s="248"/>
      <c r="K7" t="s">
        <v>149</v>
      </c>
      <c r="L7" s="240">
        <f>L5</f>
        <v>0</v>
      </c>
      <c r="M7" s="51">
        <v>300</v>
      </c>
      <c r="N7" s="256">
        <f>L7+M7</f>
        <v>300</v>
      </c>
      <c r="O7" s="247"/>
      <c r="P7" s="252" t="s">
        <v>150</v>
      </c>
      <c r="Q7" s="257">
        <f>IF(WERKBON!$B$16="P55",D66,IF(WERKBON!$B$16="A55",D121,IF(WERKBON!$B$16="P42",D176,IF(WERKBON!$B$16="A42",D231,IF(WERKBON!$B$16="U42",D286,IF(WERKBON!$B$16="U52",D341,""))))))</f>
      </c>
      <c r="R7" s="254" t="s">
        <v>147</v>
      </c>
    </row>
    <row r="8" spans="1:19" x14ac:dyDescent="0.25">
      <c r="A8" s="247"/>
      <c r="B8" s="140"/>
      <c r="C8" s="247"/>
      <c r="D8" s="247"/>
      <c r="E8" s="247"/>
      <c r="F8" s="248"/>
      <c r="G8" s="249"/>
      <c r="H8" s="249"/>
      <c r="I8" s="248"/>
      <c r="J8" s="248"/>
      <c r="K8" s="247"/>
      <c r="L8" s="140"/>
      <c r="M8" s="247"/>
      <c r="N8" s="247"/>
      <c r="O8" s="247"/>
      <c r="P8" s="258"/>
      <c r="Q8" s="258"/>
      <c r="R8" s="259"/>
      <c r="S8" s="140"/>
    </row>
    <row r="9" spans="1:19" s="175" customFormat="1" x14ac:dyDescent="0.25">
      <c r="A9" s="250" t="s">
        <v>28</v>
      </c>
      <c r="B9" s="251"/>
      <c r="C9" s="250"/>
      <c r="D9" s="250"/>
      <c r="E9" s="250"/>
      <c r="F9" s="250" t="s">
        <v>28</v>
      </c>
      <c r="G9" s="251"/>
      <c r="H9" s="250"/>
      <c r="I9" s="250"/>
      <c r="J9" s="260"/>
      <c r="K9" s="250" t="s">
        <v>28</v>
      </c>
      <c r="L9" s="251"/>
      <c r="M9" s="250"/>
      <c r="N9" s="250"/>
      <c r="O9" s="250"/>
      <c r="P9" s="252" t="s">
        <v>141</v>
      </c>
      <c r="Q9" s="253">
        <f>IF(WERKBON!$C$16="P55",$G$66,IF(WERKBON!$C$16="A55",$G$121,IF(WERKBON!$C$16="P42",$G$176,IF(WERKBON!$C$16="A42",$G$231,IF(WERKBON!$C$16="U42",$G$286,IF(WERKBON!$C$16="U52",$G$341,""))))))</f>
      </c>
      <c r="R9" s="254" t="s">
        <v>142</v>
      </c>
      <c r="S9" s="255">
        <f>IF(WERKBON!$C$16="P55","PVC 55",IF(WERKBON!$C$16="A55","ALU 55",IF(WERKBON!$C$16="P42","PVC 42",IF(WERKBON!$C$16="A42","ALU 42",IF(WERKBON!$C$16="U42","ULTRA 42",IF(WERKBON!$C$16="U52","ULTRA 52",""))))))</f>
      </c>
    </row>
    <row r="10" spans="2:15" x14ac:dyDescent="0.25">
      <c r="B10" s="51" t="s">
        <v>111</v>
      </c>
      <c r="C10" s="51" t="s">
        <v>143</v>
      </c>
      <c r="D10" s="51" t="s">
        <v>144</v>
      </c>
      <c r="E10" s="247"/>
      <c r="G10" s="51" t="s">
        <v>111</v>
      </c>
      <c r="H10" s="51" t="s">
        <v>143</v>
      </c>
      <c r="I10" s="51" t="s">
        <v>144</v>
      </c>
      <c r="J10" s="248"/>
      <c r="L10" s="51" t="s">
        <v>111</v>
      </c>
      <c r="M10" s="51" t="s">
        <v>143</v>
      </c>
      <c r="N10" s="51" t="s">
        <v>144</v>
      </c>
      <c r="O10" s="247"/>
    </row>
    <row r="11" spans="1:19" x14ac:dyDescent="0.25">
      <c r="A11" t="s">
        <v>145</v>
      </c>
      <c r="B11" s="240">
        <f>IF(WERKBON!$C$16="P55",B75,IF(WERKBON!$C$16="A55",B130,IF(WERKBON!$C$16="P42",B185,IF(WERKBON!$C$16="A42",B240,IF(WERKBON!$C$16="U42",B295,IF(WERKBON!$C$16="U52",B350,0))))))</f>
        <v>0</v>
      </c>
      <c r="C11" s="240">
        <f>IF(WERKBON!$C$16="P55",C75,IF(WERKBON!$C$16="A55",C130,IF(WERKBON!$C$16="P42",C185,IF(WERKBON!$C$16="A42",C240,IF(WERKBON!$C$16="U42",C295,IF(WERKBON!$C$16="U52",C350,0))))))</f>
        <v>0</v>
      </c>
      <c r="D11" s="256">
        <f>B11-C11</f>
        <v>0</v>
      </c>
      <c r="E11" s="247"/>
      <c r="F11" t="s">
        <v>145</v>
      </c>
      <c r="G11" s="240">
        <f>IF(WERKBON!$C$16="P55",G75,IF(WERKBON!$C$16="A55",G130,IF(WERKBON!$C$16="P42",G185,IF(WERKBON!$C$16="A42",G240,IF(WERKBON!$C$16="U42",G295,IF(WERKBON!$C$16="U52",G350,0))))))</f>
        <v>0</v>
      </c>
      <c r="H11" s="240">
        <f>IF(WERKBON!$C$16="P55",H75,IF(WERKBON!$C$16="A55",H130,IF(WERKBON!$C$16="P42",H185,IF(WERKBON!$C$16="A42",H240,IF(WERKBON!$C$16="U42",H295,IF(WERKBON!$C$16="U52",H350,0))))))</f>
        <v>0</v>
      </c>
      <c r="I11" s="256">
        <f>G11-H11</f>
        <v>0</v>
      </c>
      <c r="J11" s="248"/>
      <c r="K11" t="s">
        <v>145</v>
      </c>
      <c r="L11" s="240">
        <f>IF(WERKBON!$C$16="P55",L75,IF(WERKBON!$C$16="A55",L130,IF(WERKBON!$C$16="P42",L185,IF(WERKBON!$C$16="A42",L240,IF(WERKBON!$C$16="U42",L295,IF(WERKBON!$C$16="U52",L350,0))))))</f>
        <v>0</v>
      </c>
      <c r="M11" s="240">
        <f>IF(WERKBON!$C$16="P55",M75,IF(WERKBON!$C$16="A55",M130,IF(WERKBON!$C$16="P42",M185,IF(WERKBON!$C$16="A42",M240,IF(WERKBON!$C$16="U42",M295,IF(WERKBON!$C$16="U52",M350,0))))))</f>
        <v>0</v>
      </c>
      <c r="N11" s="256">
        <f>L11-M11</f>
        <v>0</v>
      </c>
      <c r="O11" s="247"/>
      <c r="P11" s="252" t="s">
        <v>146</v>
      </c>
      <c r="Q11" s="257">
        <f>IF(WERKBON!$C$16="P55",$N$66,IF(WERKBON!$C$16="A55",$N$121,IF(WERKBON!$C$16="P42",$N$176,IF(WERKBON!$C$16="A42",$N$231,IF(WERKBON!$C$16="U42",$N$286,IF(WERKBON!$C$16="U52",$N$341,""))))))</f>
      </c>
      <c r="R11" s="254" t="s">
        <v>147</v>
      </c>
      <c r="S11" s="255">
        <f>IF(WERKBON!$C$16="P55","Tradi",IF(WERKBON!$C$16="A55","Tradi",IF(WERKBON!$C$16="P42","Mini",IF(WERKBON!$C$16="A42","Mini",IF(WERKBON!$C$16="U42","Mini",IF(WERKBON!$C$16="U52","Mini",""))))))</f>
      </c>
    </row>
    <row r="12" spans="1:15" x14ac:dyDescent="0.25">
      <c r="A12" t="s">
        <v>148</v>
      </c>
      <c r="B12" s="240">
        <f>IF(WERKBON!$C$16="P55",B76,IF(WERKBON!$C$16="A55",B131,IF(WERKBON!$C$16="P42",B186,IF(WERKBON!$C$16="A42",B241,IF(WERKBON!$C$16="U42",B296,IF(WERKBON!$C$16="U52",B351,0))))))</f>
        <v>0</v>
      </c>
      <c r="C12" s="240">
        <f>IF(WERKBON!$C$16="P55",C76,IF(WERKBON!$C$16="A55",C131,IF(WERKBON!$C$16="P42",C186,IF(WERKBON!$C$16="A42",C241,IF(WERKBON!$C$16="U42",C296,IF(WERKBON!$C$16="U52",C351,0))))))</f>
        <v>0</v>
      </c>
      <c r="D12" s="256">
        <f>B12-C12</f>
        <v>0</v>
      </c>
      <c r="E12" s="247"/>
      <c r="F12" t="s">
        <v>148</v>
      </c>
      <c r="G12" s="240">
        <f>IF(WERKBON!$C$16="P55",G76,IF(WERKBON!$C$16="A55",G131,IF(WERKBON!$C$16="P42",G186,IF(WERKBON!$C$16="A42",G241,IF(WERKBON!$C$16="U42",G296,IF(WERKBON!$C$16="U52",G351,0))))))</f>
        <v>0</v>
      </c>
      <c r="H12" s="240">
        <f>IF(WERKBON!$C$16="P55",H76,IF(WERKBON!$C$16="A55",H131,IF(WERKBON!$C$16="P42",H186,IF(WERKBON!$C$16="A42",H241,IF(WERKBON!$C$16="U42",H296,IF(WERKBON!$C$16="U52",H351,0))))))</f>
        <v>0</v>
      </c>
      <c r="I12" s="256">
        <f>G12-H12</f>
        <v>0</v>
      </c>
      <c r="J12" s="261"/>
      <c r="K12" t="s">
        <v>148</v>
      </c>
      <c r="L12" s="240">
        <f>IF(WERKBON!$C$16="P55",L76,IF(WERKBON!$C$16="A55",L131,IF(WERKBON!$C$16="P42",L186,IF(WERKBON!$C$16="A42",L241,IF(WERKBON!$C$16="U42",L296,IF(WERKBON!$C$16="U52",L351,0))))))</f>
        <v>0</v>
      </c>
      <c r="M12" s="240">
        <f>IF(WERKBON!$C$16="P55",M76,IF(WERKBON!$C$16="A55",M131,IF(WERKBON!$C$16="P42",M186,IF(WERKBON!$C$16="A42",M241,IF(WERKBON!$C$16="U42",M296,IF(WERKBON!$C$16="U52",M351,0))))))</f>
        <v>0</v>
      </c>
      <c r="N12" s="256">
        <f>L12-M12</f>
        <v>0</v>
      </c>
      <c r="O12" s="247"/>
    </row>
    <row r="13" spans="1:18" x14ac:dyDescent="0.25">
      <c r="A13" t="s">
        <v>149</v>
      </c>
      <c r="B13" s="240">
        <f>B11</f>
        <v>0</v>
      </c>
      <c r="C13" s="51">
        <f>C7</f>
        <v>300</v>
      </c>
      <c r="D13" s="256">
        <f>B13+C13</f>
        <v>300</v>
      </c>
      <c r="E13" s="247"/>
      <c r="F13" t="s">
        <v>149</v>
      </c>
      <c r="G13" s="240">
        <f>G11</f>
        <v>0</v>
      </c>
      <c r="H13" s="51">
        <f>H7</f>
        <v>300</v>
      </c>
      <c r="I13" s="256">
        <f>G13+H13</f>
        <v>300</v>
      </c>
      <c r="J13" s="247"/>
      <c r="K13" t="s">
        <v>149</v>
      </c>
      <c r="L13" s="240">
        <f>L11</f>
        <v>0</v>
      </c>
      <c r="M13" s="51">
        <f>M7</f>
        <v>300</v>
      </c>
      <c r="N13" s="256">
        <f>L13+M13</f>
        <v>300</v>
      </c>
      <c r="O13" s="247"/>
      <c r="P13" s="252" t="s">
        <v>150</v>
      </c>
      <c r="Q13" s="257">
        <f>IF(WERKBON!$C$16="P55",$D$66,IF(WERKBON!$C$16="A55",$D$121,IF(WERKBON!$C$16="P42",$D$176,IF(WERKBON!$C$16="A42",$D$231,IF(WERKBON!$C$16="U42",$D$286,IF(WERKBON!$C$16="U52",$D$341,""))))))</f>
      </c>
      <c r="R13" s="254" t="s">
        <v>147</v>
      </c>
    </row>
    <row r="14" spans="1:19" x14ac:dyDescent="0.25">
      <c r="A14" s="247"/>
      <c r="B14" s="140"/>
      <c r="C14" s="247"/>
      <c r="D14" s="247"/>
      <c r="E14" s="247"/>
      <c r="F14" s="247"/>
      <c r="G14" s="140"/>
      <c r="H14" s="247"/>
      <c r="I14" s="261"/>
      <c r="J14" s="261"/>
      <c r="K14" s="247"/>
      <c r="L14" s="140"/>
      <c r="M14" s="247"/>
      <c r="N14" s="247"/>
      <c r="O14" s="247"/>
      <c r="P14" s="258"/>
      <c r="Q14" s="258"/>
      <c r="R14" s="259"/>
      <c r="S14" s="140"/>
    </row>
    <row r="15" spans="1:19" s="175" customFormat="1" x14ac:dyDescent="0.25">
      <c r="A15" s="250" t="s">
        <v>29</v>
      </c>
      <c r="B15" s="251"/>
      <c r="C15" s="250"/>
      <c r="D15" s="250"/>
      <c r="E15" s="250"/>
      <c r="F15" s="250" t="s">
        <v>29</v>
      </c>
      <c r="G15" s="251"/>
      <c r="H15" s="250"/>
      <c r="I15" s="250"/>
      <c r="J15" s="262"/>
      <c r="K15" s="250" t="s">
        <v>29</v>
      </c>
      <c r="L15" s="251"/>
      <c r="M15" s="250"/>
      <c r="N15" s="250"/>
      <c r="O15" s="250"/>
      <c r="P15" s="252" t="s">
        <v>141</v>
      </c>
      <c r="Q15" s="253">
        <f>IF(WERKBON!$D$16="P55",$G$66,IF(WERKBON!$D$16="A55",$G$121,IF(WERKBON!$D$16="P42",$G$176,IF(WERKBON!$D$16="A42",$G$231,IF(WERKBON!$D$16="U42",$G$286,IF(WERKBON!$D$16="U52",$G$341,""))))))</f>
      </c>
      <c r="R15" s="254" t="s">
        <v>142</v>
      </c>
      <c r="S15" s="255">
        <f>IF(WERKBON!$D$16="P55","PVC 55",IF(WERKBON!$D$16="A55","ALU 55",IF(WERKBON!$D$16="P42","PVC 42",IF(WERKBON!$D$16="A42","ALU 42",IF(WERKBON!$D$16="U42","ULTRA 42",IF(WERKBON!$D$16="U52","ULTRA 52",""))))))</f>
      </c>
    </row>
    <row r="16" spans="2:15" x14ac:dyDescent="0.25">
      <c r="B16" s="51" t="s">
        <v>111</v>
      </c>
      <c r="C16" s="51" t="s">
        <v>143</v>
      </c>
      <c r="D16" s="51" t="s">
        <v>144</v>
      </c>
      <c r="E16" s="247"/>
      <c r="G16" s="51" t="s">
        <v>111</v>
      </c>
      <c r="H16" s="51" t="s">
        <v>143</v>
      </c>
      <c r="I16" s="51" t="s">
        <v>144</v>
      </c>
      <c r="J16" s="261"/>
      <c r="L16" s="51" t="s">
        <v>111</v>
      </c>
      <c r="M16" s="51" t="s">
        <v>143</v>
      </c>
      <c r="N16" s="51" t="s">
        <v>144</v>
      </c>
      <c r="O16" s="247"/>
    </row>
    <row r="17" spans="1:19" x14ac:dyDescent="0.25">
      <c r="A17" t="s">
        <v>145</v>
      </c>
      <c r="B17" s="240">
        <f>IF(WERKBON!$D$16="P55",B80,IF(WERKBON!$D$16="A55",B135,IF(WERKBON!$D$16="P42",B190,IF(WERKBON!$D$16="A42",B245,IF(WERKBON!$D$16="U42",B300,IF(WERKBON!$D$16="U52",B355,0))))))</f>
        <v>0</v>
      </c>
      <c r="C17" s="240">
        <f>IF(WERKBON!$D$16="P55",C80,IF(WERKBON!$D$16="A55",C135,IF(WERKBON!$D$16="P42",C190,IF(WERKBON!$D$16="A42",C245,IF(WERKBON!$D$16="U42",C300,IF(WERKBON!$D$16="U52",C355,0))))))</f>
        <v>0</v>
      </c>
      <c r="D17" s="256">
        <f>B17-C17</f>
        <v>0</v>
      </c>
      <c r="E17" s="247"/>
      <c r="F17" t="s">
        <v>145</v>
      </c>
      <c r="G17" s="240">
        <f>IF(WERKBON!$D$16="P55",G80,IF(WERKBON!$D$16="A55",G135,IF(WERKBON!$D$16="P42",G190,IF(WERKBON!$D$16="A42",G245,IF(WERKBON!$D$16="U42",G300,IF(WERKBON!$D$16="U52",G355,0))))))</f>
        <v>0</v>
      </c>
      <c r="H17" s="240">
        <f>IF(WERKBON!$D$16="P55",H80,IF(WERKBON!$D$16="A55",H135,IF(WERKBON!$D$16="P42",H190,IF(WERKBON!$D$16="A42",H245,IF(WERKBON!$D$16="U42",H300,IF(WERKBON!$D$16="U52",H355,0))))))</f>
        <v>0</v>
      </c>
      <c r="I17" s="256">
        <f>G17-H17</f>
        <v>0</v>
      </c>
      <c r="J17" s="261"/>
      <c r="K17" t="s">
        <v>145</v>
      </c>
      <c r="L17" s="240">
        <f>IF(WERKBON!$D$16="P55",L80,IF(WERKBON!$D$16="A55",L135,IF(WERKBON!$D$16="P42",L190,IF(WERKBON!$D$16="A42",L245,IF(WERKBON!$D$16="U42",L300,IF(WERKBON!$D$16="U52",L355,0))))))</f>
        <v>0</v>
      </c>
      <c r="M17" s="240">
        <f>IF(WERKBON!$D$16="P55",M80,IF(WERKBON!$D$16="A55",M135,IF(WERKBON!$D$16="P42",M190,IF(WERKBON!$D$16="A42",M245,IF(WERKBON!$D$16="U42",M300,IF(WERKBON!$D$16="U52",M355,0))))))</f>
        <v>0</v>
      </c>
      <c r="N17" s="256">
        <f>L17-M17</f>
        <v>0</v>
      </c>
      <c r="O17" s="247"/>
      <c r="P17" s="252" t="s">
        <v>146</v>
      </c>
      <c r="Q17" s="257">
        <f>IF(WERKBON!$D$16="P55",$N$66,IF(WERKBON!$D$16="A55",$N$121,IF(WERKBON!$D$16="P42",$N$176,IF(WERKBON!$D$16="A42",$N$231,IF(WERKBON!$D$16="U42",$N$286,IF(WERKBON!$D$16="U52",$N$341,""))))))</f>
      </c>
      <c r="R17" s="254" t="s">
        <v>147</v>
      </c>
      <c r="S17" s="255">
        <f>IF(WERKBON!$D$16="P55","Tradi",IF(WERKBON!$D$16="A55","Tradi",IF(WERKBON!$D$16="P42","Mini",IF(WERKBON!$D$16="A42","Mini",IF(WERKBON!$D$16="U42","Mini",IF(WERKBON!$D$16="U52","Mini",""))))))</f>
      </c>
    </row>
    <row r="18" spans="1:15" x14ac:dyDescent="0.25">
      <c r="A18" t="s">
        <v>148</v>
      </c>
      <c r="B18" s="240">
        <f>IF(WERKBON!$D$16="P55",B81,IF(WERKBON!$D$16="A55",B136,IF(WERKBON!$D$16="P42",B191,IF(WERKBON!$D$16="A42",B246,IF(WERKBON!$D$16="U42",B301,IF(WERKBON!$D$16="U52",B356,0))))))</f>
        <v>0</v>
      </c>
      <c r="C18" s="240">
        <f>IF(WERKBON!$D$16="P55",C81,IF(WERKBON!$D$16="A55",C136,IF(WERKBON!$D$16="P42",C191,IF(WERKBON!$D$16="A42",C246,IF(WERKBON!$D$16="U42",C301,IF(WERKBON!$D$16="U52",C356,0))))))</f>
        <v>0</v>
      </c>
      <c r="D18" s="256">
        <f>B18-C18</f>
        <v>0</v>
      </c>
      <c r="E18" s="247"/>
      <c r="F18" t="s">
        <v>148</v>
      </c>
      <c r="G18" s="240">
        <f>IF(WERKBON!$D$16="P55",G81,IF(WERKBON!$D$16="A55",G136,IF(WERKBON!$D$16="P42",G191,IF(WERKBON!$D$16="A42",G246,IF(WERKBON!$D$16="U42",G301,IF(WERKBON!$D$16="U52",G356,0))))))</f>
        <v>0</v>
      </c>
      <c r="H18" s="240">
        <f>IF(WERKBON!$D$16="P55",H81,IF(WERKBON!$D$16="A55",H136,IF(WERKBON!$D$16="P42",H191,IF(WERKBON!$D$16="A42",H246,IF(WERKBON!$D$16="U42",H301,IF(WERKBON!$D$16="U52",H356,0))))))</f>
        <v>0</v>
      </c>
      <c r="I18" s="256">
        <f>G18-H18</f>
        <v>0</v>
      </c>
      <c r="J18" s="247"/>
      <c r="K18" t="s">
        <v>148</v>
      </c>
      <c r="L18" s="240">
        <f>IF(WERKBON!$D$16="P55",L81,IF(WERKBON!$D$16="A55",L136,IF(WERKBON!$D$16="P42",L191,IF(WERKBON!$D$16="A42",L246,IF(WERKBON!$D$16="U42",L301,IF(WERKBON!$D$16="U52",L356,0))))))</f>
        <v>0</v>
      </c>
      <c r="M18" s="240">
        <f>IF(WERKBON!$D$16="P55",M81,IF(WERKBON!$D$16="A55",M136,IF(WERKBON!$D$16="P42",M191,IF(WERKBON!$D$16="A42",M246,IF(WERKBON!$D$16="U42",M301,IF(WERKBON!$D$16="U52",M356,0))))))</f>
        <v>0</v>
      </c>
      <c r="N18" s="256">
        <f>L18-M18</f>
        <v>0</v>
      </c>
      <c r="O18" s="247"/>
    </row>
    <row r="19" spans="1:18" x14ac:dyDescent="0.25">
      <c r="A19" t="s">
        <v>149</v>
      </c>
      <c r="B19" s="240">
        <f>B17</f>
        <v>0</v>
      </c>
      <c r="C19" s="51">
        <f>C7</f>
        <v>300</v>
      </c>
      <c r="D19" s="256">
        <f>B19+C19</f>
        <v>300</v>
      </c>
      <c r="E19" s="247"/>
      <c r="F19" t="s">
        <v>149</v>
      </c>
      <c r="G19" s="240">
        <f>G17</f>
        <v>0</v>
      </c>
      <c r="H19" s="51">
        <f>H7</f>
        <v>300</v>
      </c>
      <c r="I19" s="256">
        <f>G19+H19</f>
        <v>300</v>
      </c>
      <c r="J19" s="247"/>
      <c r="K19" t="s">
        <v>149</v>
      </c>
      <c r="L19" s="240">
        <f>L17</f>
        <v>0</v>
      </c>
      <c r="M19" s="51">
        <f>M7</f>
        <v>300</v>
      </c>
      <c r="N19" s="256">
        <f>L19+M19</f>
        <v>300</v>
      </c>
      <c r="O19" s="247"/>
      <c r="P19" s="252" t="s">
        <v>150</v>
      </c>
      <c r="Q19" s="257">
        <f>IF(WERKBON!$D$16="P55",$D$66,IF(WERKBON!$D$16="A55",$D$121,IF(WERKBON!$D$16="P42",$D$176,IF(WERKBON!$D$16="A42",$D$231,IF(WERKBON!$D$16="U42",$D$286,IF(WERKBON!$D$16="U52",$D$341,""))))))</f>
      </c>
      <c r="R19" s="254" t="s">
        <v>147</v>
      </c>
    </row>
    <row r="20" spans="1:19" x14ac:dyDescent="0.25">
      <c r="A20" s="247"/>
      <c r="B20" s="140"/>
      <c r="C20" s="247"/>
      <c r="D20" s="247"/>
      <c r="E20" s="247"/>
      <c r="F20" s="247"/>
      <c r="G20" s="140"/>
      <c r="H20" s="247"/>
      <c r="I20" s="247"/>
      <c r="J20" s="247"/>
      <c r="K20" s="247"/>
      <c r="L20" s="140"/>
      <c r="M20" s="247"/>
      <c r="N20" s="247"/>
      <c r="O20" s="247"/>
      <c r="P20" s="258"/>
      <c r="Q20" s="258"/>
      <c r="R20" s="259"/>
      <c r="S20" s="140"/>
    </row>
    <row r="21" spans="1:19" s="175" customFormat="1" x14ac:dyDescent="0.25">
      <c r="A21" s="250" t="s">
        <v>30</v>
      </c>
      <c r="B21" s="251"/>
      <c r="C21" s="250"/>
      <c r="D21" s="250"/>
      <c r="E21" s="250"/>
      <c r="F21" s="250" t="s">
        <v>30</v>
      </c>
      <c r="G21" s="251"/>
      <c r="H21" s="250"/>
      <c r="I21" s="250"/>
      <c r="J21" s="250"/>
      <c r="K21" s="250" t="s">
        <v>30</v>
      </c>
      <c r="L21" s="251"/>
      <c r="M21" s="250"/>
      <c r="N21" s="250"/>
      <c r="O21" s="250"/>
      <c r="P21" s="252" t="s">
        <v>141</v>
      </c>
      <c r="Q21" s="253">
        <f>IF(WERKBON!$E$16="P55",$G$66,IF(WERKBON!$E$16="A55",$G$121,IF(WERKBON!$E$16="P42",$G$176,IF(WERKBON!$E$16="A42",$G$231,IF(WERKBON!$E$16="U42",$G$286,IF(WERKBON!$E$16="U52",$G$341,""))))))</f>
      </c>
      <c r="R21" s="254" t="s">
        <v>142</v>
      </c>
      <c r="S21" s="255">
        <f>IF(WERKBON!$E$16="P55","PVC 55",IF(WERKBON!$E$16="A55","ALU 55",IF(WERKBON!$E$16="P42","PVC 42",IF(WERKBON!$E$16="A42","ALU 42",IF(WERKBON!$E$16="U42","ULTRA 42",IF(WERKBON!$E$16="U52","ULTRA 52",""))))))</f>
      </c>
    </row>
    <row r="22" spans="2:15" x14ac:dyDescent="0.25">
      <c r="B22" s="51" t="s">
        <v>111</v>
      </c>
      <c r="C22" s="51" t="s">
        <v>143</v>
      </c>
      <c r="D22" s="51" t="s">
        <v>144</v>
      </c>
      <c r="E22" s="247"/>
      <c r="G22" s="51" t="s">
        <v>111</v>
      </c>
      <c r="H22" s="51" t="s">
        <v>143</v>
      </c>
      <c r="I22" s="51" t="s">
        <v>144</v>
      </c>
      <c r="J22" s="247"/>
      <c r="L22" s="51" t="s">
        <v>111</v>
      </c>
      <c r="M22" s="51" t="s">
        <v>143</v>
      </c>
      <c r="N22" s="51" t="s">
        <v>144</v>
      </c>
      <c r="O22" s="247"/>
    </row>
    <row r="23" spans="1:19" x14ac:dyDescent="0.25">
      <c r="A23" t="s">
        <v>145</v>
      </c>
      <c r="B23" s="240">
        <f>IF(WERKBON!$E$16="P55",B85,IF(WERKBON!$E$16="A55",B140,IF(WERKBON!$E$16="P42",B195,IF(WERKBON!$E$16="A42",B250,IF(WERKBON!$E$16="U42",B305,IF(WERKBON!$E$16="U52",B360,0))))))</f>
        <v>0</v>
      </c>
      <c r="C23" s="240">
        <f>IF(WERKBON!$E$16="P55",C85,IF(WERKBON!$E$16="A55",C140,IF(WERKBON!$E$16="P42",C195,IF(WERKBON!$E$16="A42",C250,IF(WERKBON!$E$16="U42",C305,IF(WERKBON!$E$16="U52",C360,0))))))</f>
        <v>0</v>
      </c>
      <c r="D23" s="256">
        <f>B23-C23</f>
        <v>0</v>
      </c>
      <c r="E23" s="247"/>
      <c r="F23" t="s">
        <v>145</v>
      </c>
      <c r="G23" s="240">
        <f>IF(WERKBON!$E$16="P55",G85,IF(WERKBON!$E$16="A55",G140,IF(WERKBON!$E$16="P42",G195,IF(WERKBON!$E$16="A42",G250,IF(WERKBON!$E$16="U42",G305,IF(WERKBON!$E$16="U52",G360,0))))))</f>
        <v>0</v>
      </c>
      <c r="H23" s="240">
        <f>IF(WERKBON!$E$16="P55",H85,IF(WERKBON!$E$16="A55",H140,IF(WERKBON!$E$16="P42",H195,IF(WERKBON!$E$16="A42",H250,IF(WERKBON!$E$16="U42",H305,IF(WERKBON!$E$16="U52",H360,0))))))</f>
        <v>0</v>
      </c>
      <c r="I23" s="256">
        <f>G23-H23</f>
        <v>0</v>
      </c>
      <c r="J23" s="247"/>
      <c r="K23" t="s">
        <v>145</v>
      </c>
      <c r="L23" s="240">
        <f>IF(WERKBON!$E$16="P55",L85,IF(WERKBON!$E$16="A55",L140,IF(WERKBON!$E$16="P42",L195,IF(WERKBON!$E$16="A42",L250,IF(WERKBON!$E$16="U42",L305,IF(WERKBON!$E$16="U52",L360,0))))))</f>
        <v>0</v>
      </c>
      <c r="M23" s="240">
        <f>IF(WERKBON!$E$16="P55",M85,IF(WERKBON!$E$16="A55",M140,IF(WERKBON!$E$16="P42",M195,IF(WERKBON!$E$16="A42",M250,IF(WERKBON!$E$16="U42",M305,IF(WERKBON!$E$16="U52",M360,0))))))</f>
        <v>0</v>
      </c>
      <c r="N23" s="256">
        <f>L23-M23</f>
        <v>0</v>
      </c>
      <c r="O23" s="247"/>
      <c r="P23" s="252" t="s">
        <v>146</v>
      </c>
      <c r="Q23" s="257">
        <f>IF(WERKBON!$E$16="P55",$N$66,IF(WERKBON!$E$16="A55",$N$121,IF(WERKBON!$E$16="P42",$N$176,IF(WERKBON!$E$16="A42",$N$231,IF(WERKBON!$E$16="U42",$N$286,IF(WERKBON!$E$16="U52",$N$341,""))))))</f>
      </c>
      <c r="R23" s="254" t="s">
        <v>147</v>
      </c>
      <c r="S23" s="255">
        <f>IF(WERKBON!$E$16="P55","Tradi",IF(WERKBON!$E$16="A55","Tradi",IF(WERKBON!$E$16="P42","Mini",IF(WERKBON!$E$16="A42","Mini",IF(WERKBON!$E$16="U42","Mini",IF(WERKBON!$E$16="U52","Mini",""))))))</f>
      </c>
    </row>
    <row r="24" spans="1:15" x14ac:dyDescent="0.25">
      <c r="A24" t="s">
        <v>148</v>
      </c>
      <c r="B24" s="240">
        <f>IF(WERKBON!$E$16="P55",B86,IF(WERKBON!$E$16="A55",B141,IF(WERKBON!$E$16="P42",B196,IF(WERKBON!$E$16="A42",B251,IF(WERKBON!$E$16="U42",B306,IF(WERKBON!$E$16="U52",B361,0))))))</f>
        <v>0</v>
      </c>
      <c r="C24" s="240">
        <f>IF(WERKBON!$E$16="P55",C86,IF(WERKBON!$E$16="A55",C141,IF(WERKBON!$E$16="P42",C196,IF(WERKBON!$E$16="A42",C251,IF(WERKBON!$E$16="U42",C306,IF(WERKBON!$E$16="U52",C361,0))))))</f>
        <v>0</v>
      </c>
      <c r="D24" s="256">
        <f>B24-C24</f>
        <v>0</v>
      </c>
      <c r="E24" s="247"/>
      <c r="F24" t="s">
        <v>148</v>
      </c>
      <c r="G24" s="240">
        <f>IF(WERKBON!$E$16="P55",G86,IF(WERKBON!$E$16="A55",G141,IF(WERKBON!$E$16="P42",G196,IF(WERKBON!$E$16="A42",G251,IF(WERKBON!$E$16="U42",G306,IF(WERKBON!$E$16="U52",G361,0))))))</f>
        <v>0</v>
      </c>
      <c r="H24" s="240">
        <f>IF(WERKBON!$E$16="P55",H86,IF(WERKBON!$E$16="A55",H141,IF(WERKBON!$E$16="P42",H196,IF(WERKBON!$E$16="A42",H251,IF(WERKBON!$E$16="U42",H306,IF(WERKBON!$E$16="U52",H361,0))))))</f>
        <v>0</v>
      </c>
      <c r="I24" s="256">
        <f>G24-H24</f>
        <v>0</v>
      </c>
      <c r="J24" s="247"/>
      <c r="K24" t="s">
        <v>148</v>
      </c>
      <c r="L24" s="240">
        <f>IF(WERKBON!$E$16="P55",L86,IF(WERKBON!$E$16="A55",L141,IF(WERKBON!$E$16="P42",L196,IF(WERKBON!$E$16="A42",L251,IF(WERKBON!$E$16="U42",L306,IF(WERKBON!$E$16="U52",L361,0))))))</f>
        <v>0</v>
      </c>
      <c r="M24" s="240">
        <f>IF(WERKBON!$E$16="P55",M86,IF(WERKBON!$E$16="A55",M141,IF(WERKBON!$E$16="P42",M196,IF(WERKBON!$E$16="A42",M251,IF(WERKBON!$E$16="U42",M306,IF(WERKBON!$E$16="U52",M361,0))))))</f>
        <v>0</v>
      </c>
      <c r="N24" s="256">
        <f>L24-M24</f>
        <v>0</v>
      </c>
      <c r="O24" s="247"/>
    </row>
    <row r="25" spans="1:18" x14ac:dyDescent="0.25">
      <c r="A25" t="s">
        <v>149</v>
      </c>
      <c r="B25" s="240">
        <f>B23</f>
        <v>0</v>
      </c>
      <c r="C25" s="51">
        <f>C7</f>
        <v>300</v>
      </c>
      <c r="D25" s="256">
        <f>B25+C25</f>
        <v>300</v>
      </c>
      <c r="E25" s="247"/>
      <c r="F25" t="s">
        <v>149</v>
      </c>
      <c r="G25" s="240">
        <f>G23</f>
        <v>0</v>
      </c>
      <c r="H25" s="51">
        <f>H7</f>
        <v>300</v>
      </c>
      <c r="I25" s="256">
        <f>G25+H25</f>
        <v>300</v>
      </c>
      <c r="J25" s="247"/>
      <c r="K25" t="s">
        <v>149</v>
      </c>
      <c r="L25" s="240">
        <f>L23</f>
        <v>0</v>
      </c>
      <c r="M25" s="51">
        <f>M7</f>
        <v>300</v>
      </c>
      <c r="N25" s="256">
        <f>L25+M25</f>
        <v>300</v>
      </c>
      <c r="O25" s="247"/>
      <c r="P25" s="252" t="s">
        <v>150</v>
      </c>
      <c r="Q25" s="257">
        <f>IF(WERKBON!$E$16="P55",$D$66,IF(WERKBON!$E$16="A55",$D$121,IF(WERKBON!$E$16="P42",$D$176,IF(WERKBON!$E$16="A42",$D$231,IF(WERKBON!$E$16="U42",$D$286,IF(WERKBON!$E$16="U52",$D$341,""))))))</f>
      </c>
      <c r="R25" s="254" t="s">
        <v>147</v>
      </c>
    </row>
    <row r="26" spans="1:19" x14ac:dyDescent="0.25">
      <c r="A26" s="247"/>
      <c r="B26" s="140"/>
      <c r="C26" s="247"/>
      <c r="D26" s="247"/>
      <c r="E26" s="247"/>
      <c r="F26" s="247"/>
      <c r="G26" s="140"/>
      <c r="H26" s="247"/>
      <c r="I26" s="247"/>
      <c r="J26" s="247"/>
      <c r="K26" s="247"/>
      <c r="L26" s="140"/>
      <c r="M26" s="247"/>
      <c r="N26" s="247"/>
      <c r="O26" s="247"/>
      <c r="P26" s="258"/>
      <c r="Q26" s="258"/>
      <c r="R26" s="259"/>
      <c r="S26" s="140"/>
    </row>
    <row r="27" spans="1:19" s="175" customFormat="1" x14ac:dyDescent="0.25">
      <c r="A27" s="250" t="s">
        <v>31</v>
      </c>
      <c r="B27" s="251"/>
      <c r="C27" s="250"/>
      <c r="D27" s="250"/>
      <c r="E27" s="250"/>
      <c r="F27" s="250" t="s">
        <v>31</v>
      </c>
      <c r="G27" s="251"/>
      <c r="H27" s="250"/>
      <c r="I27" s="250"/>
      <c r="J27" s="250"/>
      <c r="K27" s="250" t="s">
        <v>31</v>
      </c>
      <c r="L27" s="251"/>
      <c r="M27" s="250"/>
      <c r="N27" s="250"/>
      <c r="O27" s="250"/>
      <c r="P27" s="252" t="s">
        <v>141</v>
      </c>
      <c r="Q27" s="253">
        <f>IF(WERKBON!$F$16="P55",$G$66,IF(WERKBON!$F$16="A55",$G$121,IF(WERKBON!$F$16="P42",$G$176,IF(WERKBON!$F$16="A42",$G$231,IF(WERKBON!$F$16="U42",$G$286,IF(WERKBON!$F$16="U52",$G$341,""))))))</f>
      </c>
      <c r="R27" s="254" t="s">
        <v>142</v>
      </c>
      <c r="S27" s="255">
        <f>IF(WERKBON!$F$16="P55","PVC 55",IF(WERKBON!$F$16="A55","ALU 55",IF(WERKBON!$F$16="P42","PVC 42",IF(WERKBON!$F$16="A42","ALU 42",IF(WERKBON!$F$16="U42","ULTRA 42",IF(WERKBON!$F$16="U52","ULTRA 52",""))))))</f>
      </c>
    </row>
    <row r="28" spans="2:15" x14ac:dyDescent="0.25">
      <c r="B28" s="51" t="s">
        <v>111</v>
      </c>
      <c r="C28" s="51" t="s">
        <v>143</v>
      </c>
      <c r="D28" s="51" t="s">
        <v>144</v>
      </c>
      <c r="E28" s="247"/>
      <c r="G28" s="51" t="s">
        <v>111</v>
      </c>
      <c r="H28" s="51" t="s">
        <v>143</v>
      </c>
      <c r="I28" s="51" t="s">
        <v>144</v>
      </c>
      <c r="J28" s="247"/>
      <c r="L28" s="51" t="s">
        <v>111</v>
      </c>
      <c r="M28" s="51" t="s">
        <v>143</v>
      </c>
      <c r="N28" s="51" t="s">
        <v>144</v>
      </c>
      <c r="O28" s="247"/>
    </row>
    <row r="29" spans="1:19" x14ac:dyDescent="0.25">
      <c r="A29" t="s">
        <v>145</v>
      </c>
      <c r="B29" s="240">
        <f>IF(WERKBON!$F$16="P55",B90,IF(WERKBON!$F$16="A55",B145,IF(WERKBON!$F$16="P42",B200,IF(WERKBON!$F$16="A42",B255,IF(WERKBON!$F$16="U42",B310,IF(WERKBON!$F$16="U52",B365,0))))))</f>
        <v>0</v>
      </c>
      <c r="C29" s="240">
        <f>IF(WERKBON!$F$16="P55",C90,IF(WERKBON!$F$16="A55",C145,IF(WERKBON!$F$16="P42",C200,IF(WERKBON!$F$16="A42",C255,IF(WERKBON!$F$16="U42",C310,IF(WERKBON!$F$16="U52",C365,0))))))</f>
        <v>0</v>
      </c>
      <c r="D29" s="256">
        <f>B29-C29</f>
        <v>0</v>
      </c>
      <c r="E29" s="247"/>
      <c r="F29" t="s">
        <v>145</v>
      </c>
      <c r="G29" s="240">
        <f>IF(WERKBON!$F$16="P55",G90,IF(WERKBON!$F$16="A55",G145,IF(WERKBON!$F$16="P42",G200,IF(WERKBON!$F$16="A42",G255,IF(WERKBON!$F$16="U42",G310,IF(WERKBON!$F$16="U52",G365,0))))))</f>
        <v>0</v>
      </c>
      <c r="H29" s="240">
        <f>IF(WERKBON!$F$16="P55",H90,IF(WERKBON!$F$16="A55",H145,IF(WERKBON!$F$16="P42",H200,IF(WERKBON!$F$16="A42",H255,IF(WERKBON!$F$16="U42",H310,IF(WERKBON!$F$16="U52",H365,0))))))</f>
        <v>0</v>
      </c>
      <c r="I29" s="256">
        <f>G29-H29</f>
        <v>0</v>
      </c>
      <c r="J29" s="247"/>
      <c r="K29" t="s">
        <v>145</v>
      </c>
      <c r="L29" s="240">
        <f>IF(WERKBON!$F$16="P55",L90,IF(WERKBON!$F$16="A55",L145,IF(WERKBON!$F$16="P42",L200,IF(WERKBON!$F$16="A42",L255,IF(WERKBON!$F$16="U42",L310,IF(WERKBON!$F$16="U52",L365,0))))))</f>
        <v>0</v>
      </c>
      <c r="M29" s="240">
        <f>IF(WERKBON!$F$16="P55",M90,IF(WERKBON!$F$16="A55",M145,IF(WERKBON!$F$16="P42",M200,IF(WERKBON!$F$16="A42",M255,IF(WERKBON!$F$16="U42",M310,IF(WERKBON!$F$16="U52",M365,0))))))</f>
        <v>0</v>
      </c>
      <c r="N29" s="256">
        <f>L29-M29</f>
        <v>0</v>
      </c>
      <c r="O29" s="247"/>
      <c r="P29" s="252" t="s">
        <v>146</v>
      </c>
      <c r="Q29" s="257">
        <f>IF(WERKBON!$F$16="P55",$N$66,IF(WERKBON!$F$16="A55",$N$121,IF(WERKBON!$F$16="P42",$N$176,IF(WERKBON!$F$16="A42",$N$231,IF(WERKBON!$F$16="U42",$N$286,IF(WERKBON!$F$16="U52",$N$341,""))))))</f>
      </c>
      <c r="R29" s="254" t="s">
        <v>147</v>
      </c>
      <c r="S29" s="255">
        <f>IF(WERKBON!$F$16="P55","Tradi",IF(WERKBON!$F$16="A55","Tradi",IF(WERKBON!$F$16="P42","Mini",IF(WERKBON!$F$16="A42","Mini",IF(WERKBON!$F$16="U42","Mini",IF(WERKBON!$F$16="U52","Mini",""))))))</f>
      </c>
    </row>
    <row r="30" spans="1:15" x14ac:dyDescent="0.25">
      <c r="A30" t="s">
        <v>148</v>
      </c>
      <c r="B30" s="240">
        <f>IF(WERKBON!$F$16="P55",B91,IF(WERKBON!$F$16="A55",B146,IF(WERKBON!$F$16="P42",B201,IF(WERKBON!$F$16="A42",B256,IF(WERKBON!$F$16="U42",B311,IF(WERKBON!$F$16="U52",B366,0))))))</f>
        <v>0</v>
      </c>
      <c r="C30" s="240">
        <f>IF(WERKBON!$F$16="P55",C91,IF(WERKBON!$F$16="A55",C146,IF(WERKBON!$F$16="P42",C201,IF(WERKBON!$F$16="A42",C256,IF(WERKBON!$F$16="U42",C311,IF(WERKBON!$F$16="U52",C366,0))))))</f>
        <v>0</v>
      </c>
      <c r="D30" s="256">
        <f>B30-C30</f>
        <v>0</v>
      </c>
      <c r="E30" s="247"/>
      <c r="F30" t="s">
        <v>148</v>
      </c>
      <c r="G30" s="240">
        <f>IF(WERKBON!$F$16="P55",G91,IF(WERKBON!$F$16="A55",G146,IF(WERKBON!$F$16="P42",G201,IF(WERKBON!$F$16="A42",G256,IF(WERKBON!$F$16="U42",G311,IF(WERKBON!$F$16="U52",G366,0))))))</f>
        <v>0</v>
      </c>
      <c r="H30" s="240">
        <f>IF(WERKBON!$F$16="P55",H91,IF(WERKBON!$F$16="A55",H146,IF(WERKBON!$F$16="P42",H201,IF(WERKBON!$F$16="A42",H256,IF(WERKBON!$F$16="U42",H311,IF(WERKBON!$F$16="U52",H366,0))))))</f>
        <v>0</v>
      </c>
      <c r="I30" s="256">
        <f>G30-H30</f>
        <v>0</v>
      </c>
      <c r="J30" s="247"/>
      <c r="K30" t="s">
        <v>148</v>
      </c>
      <c r="L30" s="240">
        <f>IF(WERKBON!$F$16="P55",L91,IF(WERKBON!$F$16="A55",L146,IF(WERKBON!$F$16="P42",L201,IF(WERKBON!$F$16="A42",L256,IF(WERKBON!$F$16="U42",L311,IF(WERKBON!$F$16="U52",L366,0))))))</f>
        <v>0</v>
      </c>
      <c r="M30" s="240">
        <f>IF(WERKBON!$F$16="P55",M91,IF(WERKBON!$F$16="A55",M146,IF(WERKBON!$F$16="P42",M201,IF(WERKBON!$F$16="A42",M256,IF(WERKBON!$F$16="U42",M311,IF(WERKBON!$F$16="U52",M366,0))))))</f>
        <v>0</v>
      </c>
      <c r="N30" s="256">
        <f>L30-M30</f>
        <v>0</v>
      </c>
      <c r="O30" s="247"/>
    </row>
    <row r="31" spans="1:18" x14ac:dyDescent="0.25">
      <c r="A31" t="s">
        <v>149</v>
      </c>
      <c r="B31" s="240">
        <f>B29</f>
        <v>0</v>
      </c>
      <c r="C31" s="51">
        <f>C7</f>
        <v>300</v>
      </c>
      <c r="D31" s="256">
        <f>B31+C31</f>
        <v>300</v>
      </c>
      <c r="E31" s="247"/>
      <c r="F31" t="s">
        <v>149</v>
      </c>
      <c r="G31" s="240">
        <f>G29</f>
        <v>0</v>
      </c>
      <c r="H31" s="51">
        <f>H7</f>
        <v>300</v>
      </c>
      <c r="I31" s="256">
        <f>G31+H31</f>
        <v>300</v>
      </c>
      <c r="J31" s="247"/>
      <c r="K31" t="s">
        <v>149</v>
      </c>
      <c r="L31" s="240">
        <f>L29</f>
        <v>0</v>
      </c>
      <c r="M31" s="51">
        <f>M7</f>
        <v>300</v>
      </c>
      <c r="N31" s="256">
        <f>L31+M31</f>
        <v>300</v>
      </c>
      <c r="O31" s="247"/>
      <c r="P31" s="252" t="s">
        <v>150</v>
      </c>
      <c r="Q31" s="257">
        <f>IF(WERKBON!$F$16="P55",$D$66,IF(WERKBON!$F$16="A55",$D$121,IF(WERKBON!$F$16="P42",$D$176,IF(WERKBON!$F$16="A42",$D$231,IF(WERKBON!$F$16="U42",$D$286,IF(WERKBON!$F$16="U52",$D$341,""))))))</f>
      </c>
      <c r="R31" s="254" t="s">
        <v>147</v>
      </c>
    </row>
    <row r="32" spans="1:19" x14ac:dyDescent="0.25">
      <c r="A32" s="247"/>
      <c r="B32" s="249"/>
      <c r="C32" s="249"/>
      <c r="D32" s="247"/>
      <c r="E32" s="247"/>
      <c r="F32" s="247"/>
      <c r="G32" s="249"/>
      <c r="H32" s="249"/>
      <c r="I32" s="263"/>
      <c r="J32" s="247"/>
      <c r="K32" s="247"/>
      <c r="L32" s="249"/>
      <c r="M32" s="249"/>
      <c r="N32" s="263"/>
      <c r="O32" s="247"/>
      <c r="P32" s="258"/>
      <c r="Q32" s="258"/>
      <c r="R32" s="259"/>
      <c r="S32" s="140"/>
    </row>
    <row r="33" spans="1:19" x14ac:dyDescent="0.25">
      <c r="A33" s="250" t="s">
        <v>32</v>
      </c>
      <c r="B33" s="251"/>
      <c r="C33" s="250"/>
      <c r="D33" s="250"/>
      <c r="E33" s="250"/>
      <c r="F33" s="250" t="s">
        <v>32</v>
      </c>
      <c r="G33" s="251"/>
      <c r="H33" s="250"/>
      <c r="I33" s="250"/>
      <c r="J33" s="250"/>
      <c r="K33" s="250" t="s">
        <v>32</v>
      </c>
      <c r="L33" s="251"/>
      <c r="M33" s="250"/>
      <c r="N33" s="250"/>
      <c r="O33" s="250"/>
      <c r="P33" s="252" t="s">
        <v>141</v>
      </c>
      <c r="Q33" s="253">
        <f>IF(WERKBON!$G$16="P55",$G$66,IF(WERKBON!$G$16="A55",$G$121,IF(WERKBON!$G$16="P42",$G$176,IF(WERKBON!$G$16="A42",$G$231,IF(WERKBON!$G$16="U42",$G$286,IF(WERKBON!$G$16="U52",$G$341,""))))))</f>
      </c>
      <c r="R33" s="254" t="s">
        <v>142</v>
      </c>
      <c r="S33" s="255">
        <f>IF(WERKBON!$G$16="P55","PVC 55",IF(WERKBON!$G$16="A55","ALU 55",IF(WERKBON!$G$16="P42","PVC 42",IF(WERKBON!$G$16="A42","ALU 42",IF(WERKBON!$G$16="U42","ULTRA 42",IF(WERKBON!$G$16="U52","ULTRA 52",""))))))</f>
      </c>
    </row>
    <row r="34" spans="2:19" s="175" customFormat="1" x14ac:dyDescent="0.25">
      <c r="B34" s="51" t="s">
        <v>111</v>
      </c>
      <c r="C34" s="51" t="s">
        <v>143</v>
      </c>
      <c r="D34" s="51" t="s">
        <v>144</v>
      </c>
      <c r="E34" s="247"/>
      <c r="G34" s="51" t="s">
        <v>111</v>
      </c>
      <c r="H34" s="51" t="s">
        <v>143</v>
      </c>
      <c r="I34" s="51" t="s">
        <v>144</v>
      </c>
      <c r="J34" s="248"/>
      <c r="L34" s="51" t="s">
        <v>111</v>
      </c>
      <c r="M34" s="51" t="s">
        <v>143</v>
      </c>
      <c r="N34" s="51" t="s">
        <v>144</v>
      </c>
      <c r="O34" s="247"/>
      <c r="P34" s="176"/>
      <c r="Q34" s="176"/>
      <c r="R34" s="204"/>
      <c r="S34" s="264"/>
    </row>
    <row r="35" spans="1:19" x14ac:dyDescent="0.25">
      <c r="A35" t="s">
        <v>145</v>
      </c>
      <c r="B35" s="240">
        <f>IF(WERKBON!$G$16="P55",B95,IF(WERKBON!$G$16="A55",B150,IF(WERKBON!$G$16="P42",B205,IF(WERKBON!$G$16="A42",B260,IF(WERKBON!$G$16="U42",B315,IF(WERKBON!$G$16="U52",B370,0))))))</f>
        <v>0</v>
      </c>
      <c r="C35" s="240">
        <f>IF(WERKBON!$G$16="P55",C95,IF(WERKBON!$G$16="A55",C150,IF(WERKBON!$G$16="P42",C205,IF(WERKBON!$G$16="A42",C260,IF(WERKBON!$G$16="U42",C315,IF(WERKBON!$G$16="U52",C370,0))))))</f>
        <v>0</v>
      </c>
      <c r="D35" s="256">
        <f>B35-C35</f>
        <v>0</v>
      </c>
      <c r="E35" s="247"/>
      <c r="F35" t="s">
        <v>145</v>
      </c>
      <c r="G35" s="240">
        <f>IF(WERKBON!$G$16="P55",G95,IF(WERKBON!$G$16="A55",G150,IF(WERKBON!$G$16="P42",G205,IF(WERKBON!$G$16="A42",G260,IF(WERKBON!$G$16="U42",G315,IF(WERKBON!$G$16="U52",G370,0))))))</f>
        <v>0</v>
      </c>
      <c r="H35" s="240">
        <f>IF(WERKBON!$G$16="P55",H95,IF(WERKBON!$G$16="A55",H150,IF(WERKBON!$G$16="P42",H205,IF(WERKBON!$G$16="A42",H260,IF(WERKBON!$G$16="U42",H315,IF(WERKBON!$G$16="U52",H370,0))))))</f>
        <v>0</v>
      </c>
      <c r="I35" s="256">
        <f>G35-H35</f>
        <v>0</v>
      </c>
      <c r="J35" s="248"/>
      <c r="K35" t="s">
        <v>145</v>
      </c>
      <c r="L35" s="240">
        <f>IF(WERKBON!$G$16="P55",L95,IF(WERKBON!$G$16="A55",L150,IF(WERKBON!$G$16="P42",L205,IF(WERKBON!$G$16="A42",L260,IF(WERKBON!$G$16="U42",L315,IF(WERKBON!$G$16="U52",L370,0))))))</f>
        <v>0</v>
      </c>
      <c r="M35" s="240">
        <f>IF(WERKBON!$G$16="P55",M95,IF(WERKBON!$G$16="A55",M150,IF(WERKBON!$G$16="P42",M205,IF(WERKBON!$G$16="A42",M260,IF(WERKBON!$G$16="U42",M315,IF(WERKBON!$G$16="U52",M370,0))))))</f>
        <v>0</v>
      </c>
      <c r="N35" s="256">
        <f>L35-M35</f>
        <v>0</v>
      </c>
      <c r="O35" s="247"/>
      <c r="P35" s="252" t="s">
        <v>146</v>
      </c>
      <c r="Q35" s="257">
        <f>IF(WERKBON!$G$16="P55",$N$66,IF(WERKBON!$G$16="A55",$N$121,IF(WERKBON!$G$16="P42",$N$176,IF(WERKBON!$G$16="A42",$N$231,IF(WERKBON!$G$16="U42",$N$286,IF(WERKBON!$G$16="U52",$N$341,""))))))</f>
      </c>
      <c r="R35" s="254" t="s">
        <v>147</v>
      </c>
      <c r="S35" s="255">
        <f>IF(WERKBON!$G$16="P55","Tradi",IF(WERKBON!$G$16="A55","Tradi",IF(WERKBON!$G$16="P42","Mini",IF(WERKBON!$G$16="A42","Mini",IF(WERKBON!$G$16="U42","Mini",IF(WERKBON!$G$16="U52","Mini",""))))))</f>
      </c>
    </row>
    <row r="36" spans="1:15" x14ac:dyDescent="0.25">
      <c r="A36" t="s">
        <v>148</v>
      </c>
      <c r="B36" s="240">
        <f>IF(WERKBON!$G$16="P55",B96,IF(WERKBON!$G$16="A55",B151,IF(WERKBON!$G$16="P42",B206,IF(WERKBON!$G$16="A42",B261,IF(WERKBON!$G$16="U42",B316,IF(WERKBON!$G$16="U52",B371,0))))))</f>
        <v>0</v>
      </c>
      <c r="C36" s="240">
        <f>IF(WERKBON!$G$16="P55",C96,IF(WERKBON!$G$16="A55",C151,IF(WERKBON!$G$16="P42",C206,IF(WERKBON!$G$16="A42",C261,IF(WERKBON!$G$16="U42",C316,IF(WERKBON!$G$16="U52",C371,0))))))</f>
        <v>0</v>
      </c>
      <c r="D36" s="256">
        <f>B36-C36</f>
        <v>0</v>
      </c>
      <c r="E36" s="247"/>
      <c r="F36" t="s">
        <v>148</v>
      </c>
      <c r="G36" s="240">
        <f>IF(WERKBON!$G$16="P55",G96,IF(WERKBON!$G$16="A55",G151,IF(WERKBON!$G$16="P42",G206,IF(WERKBON!$G$16="A42",G261,IF(WERKBON!$G$16="U42",G316,IF(WERKBON!$G$16="U52",G371,0))))))</f>
        <v>0</v>
      </c>
      <c r="H36" s="240">
        <f>IF(WERKBON!$G$16="P55",H96,IF(WERKBON!$G$16="A55",H151,IF(WERKBON!$G$16="P42",H206,IF(WERKBON!$G$16="A42",H261,IF(WERKBON!$G$16="U42",H316,IF(WERKBON!$G$16="U52",H371,0))))))</f>
        <v>0</v>
      </c>
      <c r="I36" s="256">
        <f>G36-H36</f>
        <v>0</v>
      </c>
      <c r="J36" s="248"/>
      <c r="K36" t="s">
        <v>148</v>
      </c>
      <c r="L36" s="240">
        <f>IF(WERKBON!$G$16="P55",L96,IF(WERKBON!$G$16="A55",L151,IF(WERKBON!$G$16="P42",L206,IF(WERKBON!$G$16="A42",L261,IF(WERKBON!$G$16="U42",L316,IF(WERKBON!$G$16="U52",L371,0))))))</f>
        <v>0</v>
      </c>
      <c r="M36" s="240">
        <f>IF(WERKBON!$G$16="P55",M96,IF(WERKBON!$G$16="A55",M151,IF(WERKBON!$G$16="P42",M206,IF(WERKBON!$G$16="A42",M261,IF(WERKBON!$G$16="U42",M316,IF(WERKBON!$G$16="U52",M371,0))))))</f>
        <v>0</v>
      </c>
      <c r="N36" s="256">
        <f>L36-M36</f>
        <v>0</v>
      </c>
      <c r="O36" s="247"/>
    </row>
    <row r="37" spans="1:18" x14ac:dyDescent="0.25">
      <c r="A37" t="s">
        <v>149</v>
      </c>
      <c r="B37" s="240">
        <f>B35</f>
        <v>0</v>
      </c>
      <c r="C37" s="51">
        <f>C13</f>
        <v>300</v>
      </c>
      <c r="D37" s="256">
        <f>B37+C37</f>
        <v>300</v>
      </c>
      <c r="E37" s="247"/>
      <c r="F37" t="s">
        <v>149</v>
      </c>
      <c r="G37" s="240">
        <f>G35</f>
        <v>0</v>
      </c>
      <c r="H37" s="51">
        <f>H13</f>
        <v>300</v>
      </c>
      <c r="I37" s="256">
        <f>G37+H37</f>
        <v>300</v>
      </c>
      <c r="J37" s="248"/>
      <c r="K37" t="s">
        <v>149</v>
      </c>
      <c r="L37" s="240">
        <f>L35</f>
        <v>0</v>
      </c>
      <c r="M37" s="51">
        <f>M13</f>
        <v>300</v>
      </c>
      <c r="N37" s="256">
        <f>L37+M37</f>
        <v>300</v>
      </c>
      <c r="O37" s="247"/>
      <c r="P37" s="252" t="s">
        <v>150</v>
      </c>
      <c r="Q37" s="257">
        <f>IF(WERKBON!$G$16="P55",$D$66,IF(WERKBON!$G$16="A55",$D$121,IF(WERKBON!$G$16="P42",$D$176,IF(WERKBON!$G$16="A42",$D$231,IF(WERKBON!$G$16="U42",$D$286,IF(WERKBON!$G$16="U52",$D$341,""))))))</f>
      </c>
      <c r="R37" s="254" t="s">
        <v>147</v>
      </c>
    </row>
    <row r="38" spans="1:19" x14ac:dyDescent="0.25">
      <c r="A38" s="247"/>
      <c r="B38" s="249"/>
      <c r="C38" s="249"/>
      <c r="D38" s="247"/>
      <c r="E38" s="247"/>
      <c r="F38" s="248"/>
      <c r="G38" s="249"/>
      <c r="H38" s="249"/>
      <c r="I38" s="263"/>
      <c r="J38" s="248"/>
      <c r="K38" s="247"/>
      <c r="L38" s="249"/>
      <c r="M38" s="249"/>
      <c r="N38" s="263"/>
      <c r="O38" s="247"/>
      <c r="P38" s="258"/>
      <c r="Q38" s="258"/>
      <c r="R38" s="259"/>
      <c r="S38" s="140"/>
    </row>
    <row r="39" spans="1:19" x14ac:dyDescent="0.25">
      <c r="A39" s="250" t="s">
        <v>33</v>
      </c>
      <c r="B39" s="251"/>
      <c r="C39" s="250"/>
      <c r="D39" s="250"/>
      <c r="E39" s="250"/>
      <c r="F39" s="250" t="s">
        <v>33</v>
      </c>
      <c r="G39" s="251"/>
      <c r="H39" s="250"/>
      <c r="I39" s="250"/>
      <c r="J39" s="260"/>
      <c r="K39" s="250" t="s">
        <v>33</v>
      </c>
      <c r="L39" s="251"/>
      <c r="M39" s="250"/>
      <c r="N39" s="250"/>
      <c r="O39" s="250"/>
      <c r="P39" s="252" t="s">
        <v>141</v>
      </c>
      <c r="Q39" s="253">
        <f>IF(WERKBON!$H$16="P55",$G$66,IF(WERKBON!$H$16="A55",$G$121,IF(WERKBON!$H$16="P42",$G$176,IF(WERKBON!$H$16="A42",$G$231,IF(WERKBON!$H$16="U42",$G$286,IF(WERKBON!$H$16="U52",$G$341,""))))))</f>
      </c>
      <c r="R39" s="254" t="s">
        <v>142</v>
      </c>
      <c r="S39" s="255">
        <f>IF(WERKBON!$H$16="P55","PVC 55",IF(WERKBON!$H$16="A55","ALU 55",IF(WERKBON!$H$16="P42","PVC 42",IF(WERKBON!$H$16="A42","ALU 42",IF(WERKBON!$H$16="U42","ULTRA 42",IF(WERKBON!$H$16="U52","ULTRA 52",""))))))</f>
      </c>
    </row>
    <row r="40" spans="2:15" x14ac:dyDescent="0.25">
      <c r="B40" s="51" t="s">
        <v>111</v>
      </c>
      <c r="C40" s="51" t="s">
        <v>143</v>
      </c>
      <c r="D40" s="51" t="s">
        <v>144</v>
      </c>
      <c r="E40" s="247"/>
      <c r="G40" s="51" t="s">
        <v>111</v>
      </c>
      <c r="H40" s="51" t="s">
        <v>143</v>
      </c>
      <c r="I40" s="51" t="s">
        <v>144</v>
      </c>
      <c r="J40" s="248"/>
      <c r="L40" s="51" t="s">
        <v>111</v>
      </c>
      <c r="M40" s="51" t="s">
        <v>143</v>
      </c>
      <c r="N40" s="51" t="s">
        <v>144</v>
      </c>
      <c r="O40" s="247"/>
    </row>
    <row r="41" spans="1:19" x14ac:dyDescent="0.25">
      <c r="A41" t="s">
        <v>145</v>
      </c>
      <c r="B41" s="240">
        <f>IF(WERKBON!$H$16="P55",B100,IF(WERKBON!$H$16="A55",B155,IF(WERKBON!$H$16="P42",B210,IF(WERKBON!$H$16="A42",B265,IF(WERKBON!$H$16="U42",B320,IF(WERKBON!$H$16="U52",B375,0))))))</f>
        <v>0</v>
      </c>
      <c r="C41" s="240">
        <f>IF(WERKBON!$H$16="P55",C100,IF(WERKBON!$H$16="A55",C155,IF(WERKBON!$H$16="P42",C210,IF(WERKBON!$H$16="A42",C265,IF(WERKBON!$H$16="U42",C320,IF(WERKBON!$H$16="U52",C375,0))))))</f>
        <v>0</v>
      </c>
      <c r="D41" s="256">
        <f>B41-C41</f>
        <v>0</v>
      </c>
      <c r="E41" s="247"/>
      <c r="F41" t="s">
        <v>145</v>
      </c>
      <c r="G41" s="240">
        <f>IF(WERKBON!$H$16="P55",G100,IF(WERKBON!$H$16="A55",G155,IF(WERKBON!$H$16="P42",G210,IF(WERKBON!$H$16="A42",G265,IF(WERKBON!$H$16="U42",G320,IF(WERKBON!$H$16="U52",G375,0))))))</f>
        <v>0</v>
      </c>
      <c r="H41" s="240">
        <f>IF(WERKBON!$H$16="P55",H100,IF(WERKBON!$H$16="A55",H155,IF(WERKBON!$H$16="P42",H210,IF(WERKBON!$H$16="A42",H265,IF(WERKBON!$H$16="U42",H320,IF(WERKBON!$H$16="U52",H375,0))))))</f>
        <v>0</v>
      </c>
      <c r="I41" s="256">
        <f>G41-H41</f>
        <v>0</v>
      </c>
      <c r="J41" s="248"/>
      <c r="K41" t="s">
        <v>145</v>
      </c>
      <c r="L41" s="240">
        <f>IF(WERKBON!$H$16="P55",L100,IF(WERKBON!$H$16="A55",L155,IF(WERKBON!$H$16="P42",L210,IF(WERKBON!$H$16="A42",L265,IF(WERKBON!$H$16="U42",L320,IF(WERKBON!$H$16="U52",L375,0))))))</f>
        <v>0</v>
      </c>
      <c r="M41" s="240">
        <f>IF(WERKBON!$H$16="P55",M100,IF(WERKBON!$H$16="A55",M155,IF(WERKBON!$H$16="P42",M210,IF(WERKBON!$H$16="A42",M265,IF(WERKBON!$H$16="U42",M320,IF(WERKBON!$H$16="U52",M375,0))))))</f>
        <v>0</v>
      </c>
      <c r="N41" s="256">
        <f>L41-M41</f>
        <v>0</v>
      </c>
      <c r="O41" s="247"/>
      <c r="P41" s="252" t="s">
        <v>146</v>
      </c>
      <c r="Q41" s="257">
        <f>IF(WERKBON!$H$16="P55",$N$66,IF(WERKBON!$H$16="A55",$N$121,IF(WERKBON!$H$16="P42",$N$176,IF(WERKBON!$H$16="A42",$N$231,IF(WERKBON!$H$16="U42",$N$286,IF(WERKBON!$H$16="U52",$N$341,""))))))</f>
      </c>
      <c r="R41" s="254" t="s">
        <v>147</v>
      </c>
      <c r="S41" s="255">
        <f>IF(WERKBON!$H$16="P55","Tradi",IF(WERKBON!$H$16="A55","Tradi",IF(WERKBON!$H$16="P42","Mini",IF(WERKBON!$H$16="A42","Mini",IF(WERKBON!$H$16="U42","Mini",IF(WERKBON!$H$16="U52","Mini",""))))))</f>
      </c>
    </row>
    <row r="42" spans="1:15" x14ac:dyDescent="0.25">
      <c r="A42" t="s">
        <v>148</v>
      </c>
      <c r="B42" s="240">
        <f>IF(WERKBON!$H$16="P55",B101,IF(WERKBON!$H$16="A55",B156,IF(WERKBON!$H$16="P42",B211,IF(WERKBON!$H$16="A42",B266,IF(WERKBON!$H$16="U42",B321,IF(WERKBON!$H$16="U52",B376,0))))))</f>
        <v>0</v>
      </c>
      <c r="C42" s="240">
        <f>IF(WERKBON!$H$16="P55",C101,IF(WERKBON!$H$16="A55",C156,IF(WERKBON!$H$16="P42",C211,IF(WERKBON!$H$16="A42",C266,IF(WERKBON!$H$16="U42",C321,IF(WERKBON!$H$16="U52",C376,0))))))</f>
        <v>0</v>
      </c>
      <c r="D42" s="256">
        <f>B42-C42</f>
        <v>0</v>
      </c>
      <c r="E42" s="247"/>
      <c r="F42" t="s">
        <v>148</v>
      </c>
      <c r="G42" s="240">
        <f>IF(WERKBON!$H$16="P55",G101,IF(WERKBON!$H$16="A55",G156,IF(WERKBON!$H$16="P42",G211,IF(WERKBON!$H$16="A42",G266,IF(WERKBON!$H$16="U42",G321,IF(WERKBON!$H$16="U52",G376,0))))))</f>
        <v>0</v>
      </c>
      <c r="H42" s="240">
        <f>IF(WERKBON!$H$16="P55",H101,IF(WERKBON!$H$16="A55",H156,IF(WERKBON!$H$16="P42",H211,IF(WERKBON!$H$16="A42",H266,IF(WERKBON!$H$16="U42",H321,IF(WERKBON!$H$16="U52",H376,0))))))</f>
        <v>0</v>
      </c>
      <c r="I42" s="256">
        <f>G42-H42</f>
        <v>0</v>
      </c>
      <c r="J42" s="261"/>
      <c r="K42" t="s">
        <v>148</v>
      </c>
      <c r="L42" s="240">
        <f>IF(WERKBON!$H$16="P55",L101,IF(WERKBON!$H$16="A55",L156,IF(WERKBON!$H$16="P42",L211,IF(WERKBON!$H$16="A42",L266,IF(WERKBON!$H$16="U42",L321,IF(WERKBON!$H$16="U52",L376,0))))))</f>
        <v>0</v>
      </c>
      <c r="M42" s="240">
        <f>IF(WERKBON!$H$16="P55",M101,IF(WERKBON!$H$16="A55",M156,IF(WERKBON!$H$16="P42",M211,IF(WERKBON!$H$16="A42",M266,IF(WERKBON!$H$16="U42",M321,IF(WERKBON!$H$16="U52",M376,0))))))</f>
        <v>0</v>
      </c>
      <c r="N42" s="256">
        <f>L42-M42</f>
        <v>0</v>
      </c>
      <c r="O42" s="247"/>
    </row>
    <row r="43" spans="1:18" x14ac:dyDescent="0.25">
      <c r="A43" t="s">
        <v>149</v>
      </c>
      <c r="B43" s="240">
        <f>B41</f>
        <v>0</v>
      </c>
      <c r="C43" s="51">
        <f>C19</f>
        <v>300</v>
      </c>
      <c r="D43" s="256">
        <f>B43+C43</f>
        <v>300</v>
      </c>
      <c r="E43" s="247"/>
      <c r="F43" t="s">
        <v>149</v>
      </c>
      <c r="G43" s="240">
        <f>G41</f>
        <v>0</v>
      </c>
      <c r="H43" s="51">
        <f>H19</f>
        <v>300</v>
      </c>
      <c r="I43" s="256">
        <f>G43+H43</f>
        <v>300</v>
      </c>
      <c r="J43" s="247"/>
      <c r="K43" t="s">
        <v>149</v>
      </c>
      <c r="L43" s="240">
        <f>L41</f>
        <v>0</v>
      </c>
      <c r="M43" s="51">
        <f>M19</f>
        <v>300</v>
      </c>
      <c r="N43" s="256">
        <f>L43+M43</f>
        <v>300</v>
      </c>
      <c r="O43" s="247"/>
      <c r="P43" s="252" t="s">
        <v>150</v>
      </c>
      <c r="Q43" s="257">
        <f>IF(WERKBON!$H$16="P55",$D$66,IF(WERKBON!$H$16="A55",$D$121,IF(WERKBON!$H$16="P42",$D$176,IF(WERKBON!$H$16="A42",$D$231,IF(WERKBON!$H$16="U42",$D$286,IF(WERKBON!$H$16="U52",$D$341,""))))))</f>
      </c>
      <c r="R43" s="254" t="s">
        <v>147</v>
      </c>
    </row>
    <row r="44" spans="1:19" x14ac:dyDescent="0.25">
      <c r="A44" s="247"/>
      <c r="B44" s="249"/>
      <c r="C44" s="249"/>
      <c r="D44" s="247"/>
      <c r="E44" s="247"/>
      <c r="F44" s="247"/>
      <c r="G44" s="249"/>
      <c r="H44" s="249"/>
      <c r="I44" s="263"/>
      <c r="J44" s="261"/>
      <c r="K44" s="247"/>
      <c r="L44" s="249"/>
      <c r="M44" s="249"/>
      <c r="N44" s="263"/>
      <c r="O44" s="247"/>
      <c r="P44" s="258"/>
      <c r="Q44" s="258"/>
      <c r="R44" s="259"/>
      <c r="S44" s="140"/>
    </row>
    <row r="45" spans="1:19" x14ac:dyDescent="0.25">
      <c r="A45" s="250" t="s">
        <v>34</v>
      </c>
      <c r="B45" s="251"/>
      <c r="C45" s="250"/>
      <c r="D45" s="250"/>
      <c r="E45" s="250"/>
      <c r="F45" s="250" t="s">
        <v>34</v>
      </c>
      <c r="G45" s="251"/>
      <c r="H45" s="250"/>
      <c r="I45" s="250"/>
      <c r="J45" s="262"/>
      <c r="K45" s="250" t="s">
        <v>34</v>
      </c>
      <c r="L45" s="251"/>
      <c r="M45" s="250"/>
      <c r="N45" s="250"/>
      <c r="O45" s="250"/>
      <c r="P45" s="252" t="s">
        <v>141</v>
      </c>
      <c r="Q45" s="253">
        <f>IF(WERKBON!$I$16="P55",$G$66,IF(WERKBON!$I$16="A55",$G$121,IF(WERKBON!$I$16="P42",$G$176,IF(WERKBON!$I$16="A42",$G$231,IF(WERKBON!$I$16="U42",$G$286,IF(WERKBON!$I$16="U52",$G$341,""))))))</f>
      </c>
      <c r="R45" s="254" t="s">
        <v>142</v>
      </c>
      <c r="S45" s="255">
        <f>IF(WERKBON!$I$16="P55","PVC 55",IF(WERKBON!$I$16="A55","ALU 55",IF(WERKBON!$I$16="P42","PVC 42",IF(WERKBON!$I$16="A42","ALU 42",IF(WERKBON!$I$16="U42","ULTRA 42",IF(WERKBON!$I$16="U52","ULTRA 52",""))))))</f>
      </c>
    </row>
    <row r="46" spans="2:15" x14ac:dyDescent="0.25">
      <c r="B46" s="51" t="s">
        <v>111</v>
      </c>
      <c r="C46" s="51" t="s">
        <v>143</v>
      </c>
      <c r="D46" s="51" t="s">
        <v>144</v>
      </c>
      <c r="E46" s="247"/>
      <c r="G46" s="51" t="s">
        <v>111</v>
      </c>
      <c r="H46" s="51" t="s">
        <v>143</v>
      </c>
      <c r="I46" s="51" t="s">
        <v>144</v>
      </c>
      <c r="J46" s="261"/>
      <c r="L46" s="51" t="s">
        <v>111</v>
      </c>
      <c r="M46" s="51" t="s">
        <v>143</v>
      </c>
      <c r="N46" s="51" t="s">
        <v>144</v>
      </c>
      <c r="O46" s="247"/>
    </row>
    <row r="47" spans="1:19" x14ac:dyDescent="0.25">
      <c r="A47" t="s">
        <v>145</v>
      </c>
      <c r="B47" s="240">
        <f>IF(WERKBON!$I$16="P55",B105,IF(WERKBON!$I$16="A55",B160,IF(WERKBON!$I$16="P42",B215,IF(WERKBON!$I$16="A42",B270,IF(WERKBON!$I$16="U42",B325,IF(WERKBON!$I$16="U52",B380,0))))))</f>
        <v>0</v>
      </c>
      <c r="C47" s="240">
        <f>IF(WERKBON!$I$16="P55",C105,IF(WERKBON!$I$16="A55",C160,IF(WERKBON!$I$16="P42",C215,IF(WERKBON!$I$16="A42",C270,IF(WERKBON!$I$16="U42",C325,IF(WERKBON!$I$16="U52",C380,0))))))</f>
        <v>0</v>
      </c>
      <c r="D47" s="256">
        <f>B47-C47</f>
        <v>0</v>
      </c>
      <c r="E47" s="247"/>
      <c r="F47" t="s">
        <v>145</v>
      </c>
      <c r="G47" s="240">
        <f>IF(WERKBON!$I$16="P55",G105,IF(WERKBON!$I$16="A55",G160,IF(WERKBON!$I$16="P42",G215,IF(WERKBON!$I$16="A42",G270,IF(WERKBON!$I$16="U42",G325,IF(WERKBON!$I$16="U52",G380,0))))))</f>
        <v>0</v>
      </c>
      <c r="H47" s="240">
        <f>IF(WERKBON!$I$16="P55",H105,IF(WERKBON!$I$16="A55",H160,IF(WERKBON!$I$16="P42",H215,IF(WERKBON!$I$16="A42",H270,IF(WERKBON!$I$16="U42",H325,IF(WERKBON!$I$16="U52",H380,0))))))</f>
        <v>0</v>
      </c>
      <c r="I47" s="256">
        <f>G47-H47</f>
        <v>0</v>
      </c>
      <c r="J47" s="261"/>
      <c r="K47" t="s">
        <v>145</v>
      </c>
      <c r="L47" s="240">
        <f>IF(WERKBON!$I$16="P55",L105,IF(WERKBON!$I$16="A55",L160,IF(WERKBON!$I$16="P42",L215,IF(WERKBON!$I$16="A42",L270,IF(WERKBON!$I$16="U42",L325,IF(WERKBON!$I$16="U52",L380,0))))))</f>
        <v>0</v>
      </c>
      <c r="M47" s="240">
        <f>IF(WERKBON!$I$16="P55",M105,IF(WERKBON!$I$16="A55",M160,IF(WERKBON!$I$16="P42",M215,IF(WERKBON!$I$16="A42",M270,IF(WERKBON!$I$16="U42",M325,IF(WERKBON!$I$16="U52",M380,0))))))</f>
        <v>0</v>
      </c>
      <c r="N47" s="256">
        <f>L47-M47</f>
        <v>0</v>
      </c>
      <c r="O47" s="247"/>
      <c r="P47" s="252" t="s">
        <v>146</v>
      </c>
      <c r="Q47" s="257">
        <f>IF(WERKBON!$I$16="P55",$N$66,IF(WERKBON!$I$16="A55",$N$121,IF(WERKBON!$I$16="P42",$N$176,IF(WERKBON!$I$16="A42",$N$231,IF(WERKBON!$I$16="U42",$N$286,IF(WERKBON!$I$16="U52",$N$341,""))))))</f>
      </c>
      <c r="R47" s="254" t="s">
        <v>147</v>
      </c>
      <c r="S47" s="255">
        <f>IF(WERKBON!$I$16="P55","Tradi",IF(WERKBON!$I$16="A55","Tradi",IF(WERKBON!$I$16="P42","Mini",IF(WERKBON!$I$16="A42","Mini",IF(WERKBON!$I$16="U42","Mini",IF(WERKBON!$I$16="U52","Mini",""))))))</f>
      </c>
    </row>
    <row r="48" spans="1:15" x14ac:dyDescent="0.25">
      <c r="A48" t="s">
        <v>148</v>
      </c>
      <c r="B48" s="240">
        <f>IF(WERKBON!$I$16="P55",B106,IF(WERKBON!$I$16="A55",B161,IF(WERKBON!$I$16="P42",B216,IF(WERKBON!$I$16="A42",B271,IF(WERKBON!$I$16="U42",B326,IF(WERKBON!$I$16="U52",B381,0))))))</f>
        <v>0</v>
      </c>
      <c r="C48" s="240">
        <f>IF(WERKBON!$I$16="P55",C106,IF(WERKBON!$I$16="A55",C161,IF(WERKBON!$I$16="P42",C216,IF(WERKBON!$I$16="A42",C271,IF(WERKBON!$I$16="U42",C326,IF(WERKBON!$I$16="U52",C381,0))))))</f>
        <v>0</v>
      </c>
      <c r="D48" s="256">
        <f>B48-C48</f>
        <v>0</v>
      </c>
      <c r="E48" s="247"/>
      <c r="F48" t="s">
        <v>148</v>
      </c>
      <c r="G48" s="240">
        <f>IF(WERKBON!$I$16="P55",G106,IF(WERKBON!$I$16="A55",G161,IF(WERKBON!$I$16="P42",G216,IF(WERKBON!$I$16="A42",G271,IF(WERKBON!$I$16="U42",G326,IF(WERKBON!$I$16="U52",G381,0))))))</f>
        <v>0</v>
      </c>
      <c r="H48" s="240">
        <f>IF(WERKBON!$I$16="P55",H106,IF(WERKBON!$I$16="A55",H161,IF(WERKBON!$I$16="P42",H216,IF(WERKBON!$I$16="A42",H271,IF(WERKBON!$I$16="U42",H326,IF(WERKBON!$I$16="U52",H381,0))))))</f>
        <v>0</v>
      </c>
      <c r="I48" s="256">
        <f>G48-H48</f>
        <v>0</v>
      </c>
      <c r="J48" s="247"/>
      <c r="K48" t="s">
        <v>148</v>
      </c>
      <c r="L48" s="240">
        <f>IF(WERKBON!$I$16="P55",L106,IF(WERKBON!$I$16="A55",L161,IF(WERKBON!$I$16="P42",L216,IF(WERKBON!$I$16="A42",L271,IF(WERKBON!$I$16="U42",L326,IF(WERKBON!$I$16="U52",L381,0))))))</f>
        <v>0</v>
      </c>
      <c r="M48" s="240">
        <f>IF(WERKBON!$I$16="P55",M106,IF(WERKBON!$I$16="A55",M161,IF(WERKBON!$I$16="P42",M216,IF(WERKBON!$I$16="A42",M271,IF(WERKBON!$I$16="U42",M326,IF(WERKBON!$I$16="U52",M381,0))))))</f>
        <v>0</v>
      </c>
      <c r="N48" s="256">
        <f>L48-M48</f>
        <v>0</v>
      </c>
      <c r="O48" s="247"/>
    </row>
    <row r="49" spans="1:18" x14ac:dyDescent="0.25">
      <c r="A49" t="s">
        <v>149</v>
      </c>
      <c r="B49" s="240">
        <f>B47</f>
        <v>0</v>
      </c>
      <c r="C49" s="51">
        <f>C25</f>
        <v>300</v>
      </c>
      <c r="D49" s="256">
        <f>B49+C49</f>
        <v>300</v>
      </c>
      <c r="E49" s="247"/>
      <c r="F49" t="s">
        <v>149</v>
      </c>
      <c r="G49" s="240">
        <f>G47</f>
        <v>0</v>
      </c>
      <c r="H49" s="51">
        <f>H25</f>
        <v>300</v>
      </c>
      <c r="I49" s="256">
        <f>G49+H49</f>
        <v>300</v>
      </c>
      <c r="J49" s="247"/>
      <c r="K49" t="s">
        <v>149</v>
      </c>
      <c r="L49" s="240">
        <f>L47</f>
        <v>0</v>
      </c>
      <c r="M49" s="51">
        <f>M25</f>
        <v>300</v>
      </c>
      <c r="N49" s="256">
        <f>L49+M49</f>
        <v>300</v>
      </c>
      <c r="O49" s="247"/>
      <c r="P49" s="252" t="s">
        <v>150</v>
      </c>
      <c r="Q49" s="257">
        <f>IF(WERKBON!$I$16="P55",$D$66,IF(WERKBON!$I$16="A55",$D$121,IF(WERKBON!$I$16="P42",$D$176,IF(WERKBON!$I$16="A42",$D$231,IF(WERKBON!$I$16="U42",$D$286,IF(WERKBON!$I$16="U52",$D$341,""))))))</f>
      </c>
      <c r="R49" s="254" t="s">
        <v>147</v>
      </c>
    </row>
    <row r="50" spans="1:19" x14ac:dyDescent="0.25">
      <c r="A50" s="247"/>
      <c r="B50" s="249"/>
      <c r="C50" s="249"/>
      <c r="D50" s="247"/>
      <c r="E50" s="247"/>
      <c r="F50" s="247"/>
      <c r="G50" s="249"/>
      <c r="H50" s="249"/>
      <c r="I50" s="263"/>
      <c r="J50" s="247"/>
      <c r="K50" s="247"/>
      <c r="L50" s="249"/>
      <c r="M50" s="249"/>
      <c r="N50" s="263"/>
      <c r="O50" s="247"/>
      <c r="P50" s="258"/>
      <c r="Q50" s="258"/>
      <c r="R50" s="259"/>
      <c r="S50" s="140"/>
    </row>
    <row r="51" spans="1:19" x14ac:dyDescent="0.25">
      <c r="A51" s="250" t="s">
        <v>35</v>
      </c>
      <c r="B51" s="251"/>
      <c r="C51" s="250"/>
      <c r="D51" s="250"/>
      <c r="E51" s="250"/>
      <c r="F51" s="250" t="s">
        <v>35</v>
      </c>
      <c r="G51" s="251"/>
      <c r="H51" s="250"/>
      <c r="I51" s="250"/>
      <c r="J51" s="250"/>
      <c r="K51" s="250" t="s">
        <v>35</v>
      </c>
      <c r="L51" s="251"/>
      <c r="M51" s="250"/>
      <c r="N51" s="250"/>
      <c r="O51" s="250"/>
      <c r="P51" s="252" t="s">
        <v>141</v>
      </c>
      <c r="Q51" s="253">
        <f>IF(WERKBON!$J$16="P55",$G$66,IF(WERKBON!$J$16="A55",$G$121,IF(WERKBON!$J$16="P42",$G$176,IF(WERKBON!$J$16="A42",$G$231,IF(WERKBON!$J$16="U42",$G$286,IF(WERKBON!$J$16="U52",$G$341,""))))))</f>
      </c>
      <c r="R51" s="254" t="s">
        <v>142</v>
      </c>
      <c r="S51" s="255">
        <f>IF(WERKBON!$J$16="P55","PVC 55",IF(WERKBON!$J$16="A55","ALU 55",IF(WERKBON!$J$16="P42","PVC 42",IF(WERKBON!$J$16="A42","ALU 42",IF(WERKBON!$J$16="U42","ULTRA 42",IF(WERKBON!$J$16="U52","ULTRA 52",""))))))</f>
      </c>
    </row>
    <row r="52" spans="2:15" x14ac:dyDescent="0.25">
      <c r="B52" s="51" t="s">
        <v>111</v>
      </c>
      <c r="C52" s="51" t="s">
        <v>143</v>
      </c>
      <c r="D52" s="51" t="s">
        <v>144</v>
      </c>
      <c r="E52" s="247"/>
      <c r="G52" s="51" t="s">
        <v>111</v>
      </c>
      <c r="H52" s="51" t="s">
        <v>143</v>
      </c>
      <c r="I52" s="51" t="s">
        <v>144</v>
      </c>
      <c r="J52" s="247"/>
      <c r="L52" s="51" t="s">
        <v>111</v>
      </c>
      <c r="M52" s="51" t="s">
        <v>143</v>
      </c>
      <c r="N52" s="51" t="s">
        <v>144</v>
      </c>
      <c r="O52" s="247"/>
    </row>
    <row r="53" spans="1:19" x14ac:dyDescent="0.25">
      <c r="A53" t="s">
        <v>145</v>
      </c>
      <c r="B53" s="240">
        <f>IF(WERKBON!$J$16="P55",B110,IF(WERKBON!$J$16="A55",B165,IF(WERKBON!$J$16="P42",B220,IF(WERKBON!$J$16="A42",B275,IF(WERKBON!$J$16="U42",B330,IF(WERKBON!$J$16="U52",B385,0))))))</f>
        <v>0</v>
      </c>
      <c r="C53" s="240">
        <f>IF(WERKBON!$J$16="P55",C110,IF(WERKBON!$J$16="A55",C165,IF(WERKBON!$J$16="P42",C220,IF(WERKBON!$J$16="A42",C275,IF(WERKBON!$J$16="U42",C330,IF(WERKBON!$J$16="U52",C385,0))))))</f>
        <v>0</v>
      </c>
      <c r="D53" s="256">
        <f>B53-C53</f>
        <v>0</v>
      </c>
      <c r="E53" s="247"/>
      <c r="F53" t="s">
        <v>145</v>
      </c>
      <c r="G53" s="240">
        <f>IF(WERKBON!$J$16="P55",G110,IF(WERKBON!$J$16="A55",G165,IF(WERKBON!$J$16="P42",G220,IF(WERKBON!$J$16="A42",G275,IF(WERKBON!$J$16="U42",G330,IF(WERKBON!$J$16="U52",G385,0))))))</f>
        <v>0</v>
      </c>
      <c r="H53" s="240">
        <f>IF(WERKBON!$J$16="P55",H110,IF(WERKBON!$J$16="A55",H165,IF(WERKBON!$J$16="P42",H220,IF(WERKBON!$J$16="A42",H275,IF(WERKBON!$J$16="U42",H330,IF(WERKBON!$J$16="U52",H385,0))))))</f>
        <v>0</v>
      </c>
      <c r="I53" s="256">
        <f>G53-H53</f>
        <v>0</v>
      </c>
      <c r="J53" s="247"/>
      <c r="K53" t="s">
        <v>145</v>
      </c>
      <c r="L53" s="240">
        <f>IF(WERKBON!$J$16="P55",L110,IF(WERKBON!$J$16="A55",L165,IF(WERKBON!$J$16="P42",L220,IF(WERKBON!$J$16="A42",L275,IF(WERKBON!$J$16="U42",L330,IF(WERKBON!$J$16="U52",L385,0))))))</f>
        <v>0</v>
      </c>
      <c r="M53" s="240">
        <f>IF(WERKBON!$J$16="P55",M110,IF(WERKBON!$J$16="A55",M165,IF(WERKBON!$J$16="P42",M220,IF(WERKBON!$J$16="A42",M275,IF(WERKBON!$J$16="U42",M330,IF(WERKBON!$J$16="U52",M385,0))))))</f>
        <v>0</v>
      </c>
      <c r="N53" s="256">
        <f>L53-M53</f>
        <v>0</v>
      </c>
      <c r="O53" s="247"/>
      <c r="P53" s="252" t="s">
        <v>146</v>
      </c>
      <c r="Q53" s="257">
        <f>IF(WERKBON!$J$16="P55",$N$66,IF(WERKBON!$J$16="A55",$N$121,IF(WERKBON!$J$16="P42",$N$176,IF(WERKBON!$J$16="A42",$N$231,IF(WERKBON!$J$16="U42",$N$286,IF(WERKBON!$J$16="U52",$N$341,""))))))</f>
      </c>
      <c r="R53" s="254" t="s">
        <v>147</v>
      </c>
      <c r="S53" s="255">
        <f>IF(WERKBON!$J$16="P55","Tradi",IF(WERKBON!$J$16="A55","Tradi",IF(WERKBON!$J$16="P42","Mini",IF(WERKBON!$J$16="A42","Mini",IF(WERKBON!$J$16="U42","Mini",IF(WERKBON!$J$16="U52","Mini",""))))))</f>
      </c>
    </row>
    <row r="54" spans="1:15" x14ac:dyDescent="0.25">
      <c r="A54" t="s">
        <v>148</v>
      </c>
      <c r="B54" s="240">
        <f>IF(WERKBON!$J$16="P55",B111,IF(WERKBON!$J$16="A55",B166,IF(WERKBON!$J$16="P42",B221,IF(WERKBON!$J$16="A42",B276,IF(WERKBON!$J$16="U42",B331,IF(WERKBON!$J$16="U52",B386,0))))))</f>
        <v>0</v>
      </c>
      <c r="C54" s="240">
        <f>IF(WERKBON!$J$16="P55",C111,IF(WERKBON!$J$16="A55",C166,IF(WERKBON!$J$16="P42",C221,IF(WERKBON!$J$16="A42",C276,IF(WERKBON!$J$16="U42",C331,IF(WERKBON!$J$16="U52",C386,0))))))</f>
        <v>0</v>
      </c>
      <c r="D54" s="256">
        <f>B54-C54</f>
        <v>0</v>
      </c>
      <c r="E54" s="247"/>
      <c r="F54" t="s">
        <v>148</v>
      </c>
      <c r="G54" s="240">
        <f>IF(WERKBON!$J$16="P55",G111,IF(WERKBON!$J$16="A55",G166,IF(WERKBON!$J$16="P42",G221,IF(WERKBON!$J$16="A42",G276,IF(WERKBON!$J$16="U42",G331,IF(WERKBON!$J$16="U52",G386,0))))))</f>
        <v>0</v>
      </c>
      <c r="H54" s="240">
        <f>IF(WERKBON!$J$16="P55",H111,IF(WERKBON!$J$16="A55",H166,IF(WERKBON!$J$16="P42",H221,IF(WERKBON!$J$16="A42",H276,IF(WERKBON!$J$16="U42",H331,IF(WERKBON!$J$16="U52",H386,0))))))</f>
        <v>0</v>
      </c>
      <c r="I54" s="256">
        <f>G54-H54</f>
        <v>0</v>
      </c>
      <c r="J54" s="247"/>
      <c r="K54" t="s">
        <v>148</v>
      </c>
      <c r="L54" s="240">
        <f>IF(WERKBON!$J$16="P55",L111,IF(WERKBON!$J$16="A55",L166,IF(WERKBON!$J$16="P42",L221,IF(WERKBON!$J$16="A42",L276,IF(WERKBON!$J$16="U42",L331,IF(WERKBON!$J$16="U52",L386,0))))))</f>
        <v>0</v>
      </c>
      <c r="M54" s="240">
        <f>IF(WERKBON!$J$16="P55",M111,IF(WERKBON!$J$16="A55",M166,IF(WERKBON!$J$16="P42",M221,IF(WERKBON!$J$16="A42",M276,IF(WERKBON!$J$16="U42",M331,IF(WERKBON!$J$16="U52",M386,0))))))</f>
        <v>0</v>
      </c>
      <c r="N54" s="256">
        <f>L54-M54</f>
        <v>0</v>
      </c>
      <c r="O54" s="247"/>
    </row>
    <row r="55" spans="1:18" x14ac:dyDescent="0.25">
      <c r="A55" t="s">
        <v>149</v>
      </c>
      <c r="B55" s="240">
        <f>B53</f>
        <v>0</v>
      </c>
      <c r="C55" s="51">
        <f>C31</f>
        <v>300</v>
      </c>
      <c r="D55" s="256">
        <f>B55+C55</f>
        <v>300</v>
      </c>
      <c r="E55" s="247"/>
      <c r="F55" t="s">
        <v>149</v>
      </c>
      <c r="G55" s="240">
        <f>G53</f>
        <v>0</v>
      </c>
      <c r="H55" s="51">
        <f>H31</f>
        <v>300</v>
      </c>
      <c r="I55" s="256">
        <f>G55+H55</f>
        <v>300</v>
      </c>
      <c r="J55" s="247"/>
      <c r="K55" t="s">
        <v>149</v>
      </c>
      <c r="L55" s="240">
        <f>L53</f>
        <v>0</v>
      </c>
      <c r="M55" s="51">
        <f>M31</f>
        <v>300</v>
      </c>
      <c r="N55" s="256">
        <f>L55+M55</f>
        <v>300</v>
      </c>
      <c r="O55" s="247"/>
      <c r="P55" s="252" t="s">
        <v>150</v>
      </c>
      <c r="Q55" s="257">
        <f>IF(WERKBON!$J$16="P55",$D$66,IF(WERKBON!$J$16="A55",$D$121,IF(WERKBON!$J$16="P42",$D$176,IF(WERKBON!$J$16="A42",$D$231,IF(WERKBON!$J$16="U42",$D$286,IF(WERKBON!$J$16="U52",$D$341,""))))))</f>
      </c>
      <c r="R55" s="254" t="s">
        <v>147</v>
      </c>
    </row>
    <row r="56" spans="1:19" x14ac:dyDescent="0.25">
      <c r="A56" s="247"/>
      <c r="B56" s="249"/>
      <c r="C56" s="249"/>
      <c r="D56" s="247"/>
      <c r="E56" s="247"/>
      <c r="F56" s="247"/>
      <c r="G56" s="249"/>
      <c r="H56" s="249"/>
      <c r="I56" s="263"/>
      <c r="J56" s="247"/>
      <c r="K56" s="247"/>
      <c r="L56" s="249"/>
      <c r="M56" s="249"/>
      <c r="N56" s="263"/>
      <c r="O56" s="247"/>
      <c r="P56" s="258"/>
      <c r="Q56" s="258"/>
      <c r="R56" s="259"/>
      <c r="S56" s="140"/>
    </row>
    <row r="57" spans="1:19" x14ac:dyDescent="0.25">
      <c r="A57" s="250" t="s">
        <v>36</v>
      </c>
      <c r="B57" s="251"/>
      <c r="C57" s="250"/>
      <c r="D57" s="250"/>
      <c r="E57" s="250"/>
      <c r="F57" s="250" t="s">
        <v>36</v>
      </c>
      <c r="G57" s="251"/>
      <c r="H57" s="250"/>
      <c r="I57" s="250"/>
      <c r="J57" s="250"/>
      <c r="K57" s="250" t="s">
        <v>36</v>
      </c>
      <c r="L57" s="251"/>
      <c r="M57" s="250"/>
      <c r="N57" s="250"/>
      <c r="O57" s="250"/>
      <c r="P57" s="252" t="s">
        <v>141</v>
      </c>
      <c r="Q57" s="253">
        <f>IF(WERKBON!$K$16="P55",$G$66,IF(WERKBON!$K$16="A55",$G$121,IF(WERKBON!$K$16="P42",$G$176,IF(WERKBON!$K$16="A42",$G$231,IF(WERKBON!$K$16="U42",$G$286,IF(WERKBON!$K$16="U52",$G$341,""))))))</f>
      </c>
      <c r="R57" s="254" t="s">
        <v>142</v>
      </c>
      <c r="S57" s="255">
        <f>IF(WERKBON!$K$16="P55","PVC 55",IF(WERKBON!$K$16="A55","ALU 55",IF(WERKBON!$K$16="P42","PVC 42",IF(WERKBON!$K$16="A42","ALU 42",IF(WERKBON!$K$16="U42","ULTRA 42",IF(WERKBON!$K$16="U52","ULTRA 52",""))))))</f>
      </c>
    </row>
    <row r="58" spans="2:15" x14ac:dyDescent="0.25">
      <c r="B58" s="51" t="s">
        <v>111</v>
      </c>
      <c r="C58" s="51" t="s">
        <v>143</v>
      </c>
      <c r="D58" s="51" t="s">
        <v>144</v>
      </c>
      <c r="E58" s="247"/>
      <c r="G58" s="51" t="s">
        <v>111</v>
      </c>
      <c r="H58" s="51" t="s">
        <v>143</v>
      </c>
      <c r="I58" s="51" t="s">
        <v>144</v>
      </c>
      <c r="J58" s="247"/>
      <c r="L58" s="51" t="s">
        <v>111</v>
      </c>
      <c r="M58" s="51" t="s">
        <v>143</v>
      </c>
      <c r="N58" s="51" t="s">
        <v>144</v>
      </c>
      <c r="O58" s="247"/>
    </row>
    <row r="59" spans="1:19" x14ac:dyDescent="0.25">
      <c r="A59" t="s">
        <v>145</v>
      </c>
      <c r="B59" s="240">
        <f>IF(WERKBON!$K$16="P55",B115,IF(WERKBON!$K$16="A55",B170,IF(WERKBON!$K$16="P42",B225,IF(WERKBON!$K$16="A42",B280,IF(WERKBON!$K$16="U42",B335,IF(WERKBON!$K$16="U52",B390,0))))))</f>
        <v>0</v>
      </c>
      <c r="C59" s="240">
        <f>IF(WERKBON!$K$16="P55",C115,IF(WERKBON!$K$16="A55",C170,IF(WERKBON!$K$16="P42",C225,IF(WERKBON!$K$16="A42",C280,IF(WERKBON!$K$16="U42",C335,IF(WERKBON!$K$16="U52",C390,0))))))</f>
        <v>0</v>
      </c>
      <c r="D59" s="256">
        <f>B59-C59</f>
        <v>0</v>
      </c>
      <c r="E59" s="247"/>
      <c r="F59" t="s">
        <v>145</v>
      </c>
      <c r="G59" s="240">
        <f>IF(WERKBON!$K$16="P55",G115,IF(WERKBON!$K$16="A55",G170,IF(WERKBON!$K$16="P42",G225,IF(WERKBON!$K$16="A42",G280,IF(WERKBON!$K$16="U42",G335,IF(WERKBON!$K$16="U52",G390,0))))))</f>
        <v>0</v>
      </c>
      <c r="H59" s="240">
        <f>IF(WERKBON!$K$16="P55",H115,IF(WERKBON!$K$16="A55",H170,IF(WERKBON!$K$16="P42",H225,IF(WERKBON!$K$16="A42",H280,IF(WERKBON!$K$16="U42",H335,IF(WERKBON!$K$16="U52",H390,0))))))</f>
        <v>0</v>
      </c>
      <c r="I59" s="256">
        <f>G59-H59</f>
        <v>0</v>
      </c>
      <c r="J59" s="247"/>
      <c r="K59" t="s">
        <v>145</v>
      </c>
      <c r="L59" s="240">
        <f>IF(WERKBON!$K$16="P55",L115,IF(WERKBON!$K$16="A55",L170,IF(WERKBON!$K$16="P42",L225,IF(WERKBON!$K$16="A42",L280,IF(WERKBON!$K$16="U42",L335,IF(WERKBON!$K$16="U52",L390,0))))))</f>
        <v>0</v>
      </c>
      <c r="M59" s="240">
        <f>IF(WERKBON!$K$16="P55",M115,IF(WERKBON!$K$16="A55",M170,IF(WERKBON!$K$16="P42",M225,IF(WERKBON!$K$16="A42",M280,IF(WERKBON!$K$16="U42",M335,IF(WERKBON!$K$16="U52",M390,0))))))</f>
        <v>0</v>
      </c>
      <c r="N59" s="256">
        <f>L59-M59</f>
        <v>0</v>
      </c>
      <c r="O59" s="247"/>
      <c r="P59" s="252" t="s">
        <v>146</v>
      </c>
      <c r="Q59" s="257">
        <f>IF(WERKBON!$K$16="P55",$N$66,IF(WERKBON!$K$16="A55",$N$121,IF(WERKBON!$K$16="P42",$N$176,IF(WERKBON!$K$16="A42",$N$231,IF(WERKBON!$K$16="U42",$N$286,IF(WERKBON!$K$16="U52",$N$341,""))))))</f>
      </c>
      <c r="R59" s="254" t="s">
        <v>147</v>
      </c>
      <c r="S59" s="255">
        <f>IF(WERKBON!$K$16="P55","Tradi",IF(WERKBON!$K$16="A55","Tradi",IF(WERKBON!$K$16="P42","Mini",IF(WERKBON!$K$16="A42","Mini",IF(WERKBON!$K$16="U42","Mini",IF(WERKBON!$K$16="U52","Mini",""))))))</f>
      </c>
    </row>
    <row r="60" spans="1:15" x14ac:dyDescent="0.25">
      <c r="A60" t="s">
        <v>148</v>
      </c>
      <c r="B60" s="240">
        <f>IF(WERKBON!$K$16="P55",B116,IF(WERKBON!$K$16="A55",B171,IF(WERKBON!$K$16="P42",B226,IF(WERKBON!$K$16="A42",B281,IF(WERKBON!$K$16="U42",B336,IF(WERKBON!$K$16="U52",B391,0))))))</f>
        <v>0</v>
      </c>
      <c r="C60" s="240">
        <f>IF(WERKBON!$K$16="P55",C116,IF(WERKBON!$K$16="A55",C171,IF(WERKBON!$K$16="P42",C226,IF(WERKBON!$K$16="A42",C281,IF(WERKBON!$K$16="U42",C336,IF(WERKBON!$K$16="U52",C391,0))))))</f>
        <v>0</v>
      </c>
      <c r="D60" s="256">
        <f>B60-C60</f>
        <v>0</v>
      </c>
      <c r="E60" s="247"/>
      <c r="F60" t="s">
        <v>148</v>
      </c>
      <c r="G60" s="240">
        <f>IF(WERKBON!$K$16="P55",G116,IF(WERKBON!$K$16="A55",G171,IF(WERKBON!$K$16="P42",G226,IF(WERKBON!$K$16="A42",G281,IF(WERKBON!$K$16="U42",G336,IF(WERKBON!$K$16="U52",G391,0))))))</f>
        <v>0</v>
      </c>
      <c r="H60" s="240">
        <f>IF(WERKBON!$K$16="P55",H116,IF(WERKBON!$K$16="A55",H171,IF(WERKBON!$K$16="P42",H226,IF(WERKBON!$K$16="A42",H281,IF(WERKBON!$K$16="U42",H336,IF(WERKBON!$K$16="U52",H391,0))))))</f>
        <v>0</v>
      </c>
      <c r="I60" s="256">
        <f>G60-H60</f>
        <v>0</v>
      </c>
      <c r="J60" s="247"/>
      <c r="K60" t="s">
        <v>148</v>
      </c>
      <c r="L60" s="240">
        <f>IF(WERKBON!$K$16="P55",L116,IF(WERKBON!$K$16="A55",L171,IF(WERKBON!$K$16="P42",L226,IF(WERKBON!$K$16="A42",L281,IF(WERKBON!$K$16="U42",L336,IF(WERKBON!$K$16="U52",L391,0))))))</f>
        <v>0</v>
      </c>
      <c r="M60" s="240">
        <f>IF(WERKBON!$K$16="P55",M116,IF(WERKBON!$K$16="A55",M171,IF(WERKBON!$K$16="P42",M226,IF(WERKBON!$K$16="A42",M281,IF(WERKBON!$K$16="U42",M336,IF(WERKBON!$K$16="U52",M391,0))))))</f>
        <v>0</v>
      </c>
      <c r="N60" s="256">
        <f>L60-M60</f>
        <v>0</v>
      </c>
      <c r="O60" s="247"/>
    </row>
    <row r="61" spans="1:18" x14ac:dyDescent="0.25">
      <c r="A61" t="s">
        <v>149</v>
      </c>
      <c r="B61" s="240">
        <f>B59</f>
        <v>0</v>
      </c>
      <c r="C61" s="51">
        <f>C37</f>
        <v>300</v>
      </c>
      <c r="D61" s="256">
        <f>B61+C61</f>
        <v>300</v>
      </c>
      <c r="E61" s="247"/>
      <c r="F61" t="s">
        <v>149</v>
      </c>
      <c r="G61" s="240">
        <f>G59</f>
        <v>0</v>
      </c>
      <c r="H61" s="51">
        <f>H37</f>
        <v>300</v>
      </c>
      <c r="I61" s="256">
        <f>G61+H61</f>
        <v>300</v>
      </c>
      <c r="J61" s="247"/>
      <c r="K61" t="s">
        <v>149</v>
      </c>
      <c r="L61" s="240">
        <f>L59</f>
        <v>0</v>
      </c>
      <c r="M61" s="51">
        <f>M37</f>
        <v>300</v>
      </c>
      <c r="N61" s="256">
        <f>L61+M61</f>
        <v>300</v>
      </c>
      <c r="O61" s="247"/>
      <c r="P61" s="252" t="s">
        <v>150</v>
      </c>
      <c r="Q61" s="257">
        <f>IF(WERKBON!$K$16="P55",$D$66,IF(WERKBON!$K$16="A55",$D$121,IF(WERKBON!$K$16="P42",$D$176,IF(WERKBON!$K$16="A42",$D$231,IF(WERKBON!$K$16="U42",$D$286,IF(WERKBON!$K$16="U52",$D$341,""))))))</f>
      </c>
      <c r="R61" s="254" t="s">
        <v>147</v>
      </c>
    </row>
    <row r="62" spans="1:19" x14ac:dyDescent="0.25">
      <c r="A62" s="247"/>
      <c r="B62" s="249"/>
      <c r="C62" s="249"/>
      <c r="D62" s="247"/>
      <c r="E62" s="247"/>
      <c r="F62" s="247"/>
      <c r="G62" s="249"/>
      <c r="H62" s="249"/>
      <c r="I62" s="263"/>
      <c r="J62" s="247"/>
      <c r="K62" s="247"/>
      <c r="L62" s="249"/>
      <c r="M62" s="249"/>
      <c r="N62" s="263"/>
      <c r="O62" s="247"/>
      <c r="P62" s="258"/>
      <c r="Q62" s="258"/>
      <c r="R62" s="259"/>
      <c r="S62" s="140"/>
    </row>
    <row r="63" spans="2:14" x14ac:dyDescent="0.25">
      <c r="B63" s="264"/>
      <c r="C63" s="175"/>
      <c r="D63" s="175"/>
      <c r="G63" s="264"/>
      <c r="H63" s="175"/>
      <c r="I63" s="175"/>
      <c r="J63" s="265"/>
      <c r="L63" s="264"/>
      <c r="M63" s="175"/>
      <c r="N63" s="175"/>
    </row>
    <row r="64" spans="2:14" x14ac:dyDescent="0.25">
      <c r="B64" s="240"/>
      <c r="C64" s="240"/>
      <c r="D64" s="256"/>
      <c r="G64" s="240"/>
      <c r="H64" s="240"/>
      <c r="I64" s="256"/>
      <c r="J64" s="265"/>
      <c r="L64" s="240"/>
      <c r="M64" s="240"/>
      <c r="N64" s="256"/>
    </row>
    <row r="65" spans="2:14" x14ac:dyDescent="0.25">
      <c r="B65" s="240"/>
      <c r="C65" s="240"/>
      <c r="D65" s="256"/>
      <c r="G65" s="240"/>
      <c r="H65" s="240"/>
      <c r="I65" s="256"/>
      <c r="J65" s="265"/>
      <c r="L65" s="240"/>
      <c r="M65" s="240"/>
      <c r="N65" s="256"/>
    </row>
    <row r="66" ht="18" customHeight="1" spans="1:19" s="2" customFormat="1" x14ac:dyDescent="0.25">
      <c r="A66" s="266" t="s">
        <v>151</v>
      </c>
      <c r="B66" s="267"/>
      <c r="C66" s="268" t="s">
        <v>152</v>
      </c>
      <c r="D66" s="269">
        <v>55</v>
      </c>
      <c r="F66" s="270" t="s">
        <v>153</v>
      </c>
      <c r="G66" s="271">
        <v>8</v>
      </c>
      <c r="H66" s="270" t="s">
        <v>142</v>
      </c>
      <c r="K66" s="266" t="s">
        <v>154</v>
      </c>
      <c r="L66" s="272"/>
      <c r="M66" s="270" t="s">
        <v>148</v>
      </c>
      <c r="N66" s="273">
        <v>55</v>
      </c>
      <c r="O66" s="270" t="s">
        <v>147</v>
      </c>
      <c r="P66" s="245"/>
      <c r="Q66" s="245"/>
      <c r="R66" s="246"/>
      <c r="S66" s="3"/>
    </row>
    <row r="67" ht="18" customHeight="1" spans="1:19" s="274" customFormat="1" x14ac:dyDescent="0.25">
      <c r="A67" s="274" t="s">
        <v>155</v>
      </c>
      <c r="B67" s="243"/>
      <c r="E67" s="244"/>
      <c r="F67" s="274" t="s">
        <v>139</v>
      </c>
      <c r="G67" s="243"/>
      <c r="J67" s="244"/>
      <c r="K67" s="274" t="s">
        <v>140</v>
      </c>
      <c r="L67" s="243"/>
      <c r="O67" s="244"/>
      <c r="P67" s="275"/>
      <c r="Q67" s="275"/>
      <c r="R67" s="5"/>
      <c r="S67" s="243"/>
    </row>
    <row r="68" spans="1:19" s="175" customFormat="1" x14ac:dyDescent="0.25">
      <c r="A68" s="175" t="s">
        <v>27</v>
      </c>
      <c r="B68" s="264"/>
      <c r="E68" s="276"/>
      <c r="F68" s="175" t="s">
        <v>27</v>
      </c>
      <c r="G68" s="264"/>
      <c r="J68" s="277"/>
      <c r="K68" s="175" t="s">
        <v>27</v>
      </c>
      <c r="L68" s="264"/>
      <c r="O68" s="276"/>
      <c r="P68" s="176"/>
      <c r="Q68" s="176"/>
      <c r="R68" s="204"/>
      <c r="S68" s="264"/>
    </row>
    <row r="69" spans="2:15" x14ac:dyDescent="0.25">
      <c r="B69" s="51" t="s">
        <v>111</v>
      </c>
      <c r="C69" s="51" t="s">
        <v>143</v>
      </c>
      <c r="D69" s="51" t="s">
        <v>144</v>
      </c>
      <c r="E69" s="247"/>
      <c r="G69" s="51" t="s">
        <v>111</v>
      </c>
      <c r="H69" s="51" t="s">
        <v>143</v>
      </c>
      <c r="I69" s="51" t="s">
        <v>144</v>
      </c>
      <c r="J69" s="248"/>
      <c r="L69" s="51" t="s">
        <v>111</v>
      </c>
      <c r="M69" s="51" t="s">
        <v>143</v>
      </c>
      <c r="N69" s="51" t="s">
        <v>144</v>
      </c>
      <c r="O69" s="247"/>
    </row>
    <row r="70" spans="1:15" x14ac:dyDescent="0.25">
      <c r="A70" t="s">
        <v>145</v>
      </c>
      <c r="B70" s="240">
        <f>WERKBON!$B$22</f>
        <v>0</v>
      </c>
      <c r="C70" s="240">
        <v>0</v>
      </c>
      <c r="D70" s="256">
        <f>B70-C70</f>
        <v>0</v>
      </c>
      <c r="E70" s="247"/>
      <c r="F70" t="s">
        <v>145</v>
      </c>
      <c r="G70" s="240">
        <f>WERKBON!$B$22</f>
        <v>0</v>
      </c>
      <c r="H70" s="240">
        <f>$C$70</f>
        <v>0</v>
      </c>
      <c r="I70" s="256">
        <f>G70-H70</f>
        <v>0</v>
      </c>
      <c r="J70" s="248"/>
      <c r="K70" t="s">
        <v>145</v>
      </c>
      <c r="L70" s="240">
        <f>WERKBON!$B$22</f>
        <v>0</v>
      </c>
      <c r="M70" s="240">
        <f>$C$70</f>
        <v>0</v>
      </c>
      <c r="N70" s="256">
        <f>L70-M70</f>
        <v>0</v>
      </c>
      <c r="O70" s="247"/>
    </row>
    <row r="71" spans="1:15" x14ac:dyDescent="0.25">
      <c r="A71" t="s">
        <v>148</v>
      </c>
      <c r="B71" s="240">
        <f>B70</f>
        <v>0</v>
      </c>
      <c r="C71" s="240">
        <f>$C$70</f>
        <v>0</v>
      </c>
      <c r="D71" s="256">
        <f>B71-C71</f>
        <v>0</v>
      </c>
      <c r="E71" s="247"/>
      <c r="F71" t="s">
        <v>148</v>
      </c>
      <c r="G71" s="240">
        <f>G70</f>
        <v>0</v>
      </c>
      <c r="H71" s="240">
        <f>$C$70</f>
        <v>0</v>
      </c>
      <c r="I71" s="256">
        <f>G71-H71</f>
        <v>0</v>
      </c>
      <c r="J71" s="248"/>
      <c r="K71" t="s">
        <v>148</v>
      </c>
      <c r="L71" s="240">
        <f>L70</f>
        <v>0</v>
      </c>
      <c r="M71" s="240">
        <f>$C$70</f>
        <v>0</v>
      </c>
      <c r="N71" s="256">
        <f>L71-M71</f>
        <v>0</v>
      </c>
      <c r="O71" s="247"/>
    </row>
    <row r="72" spans="1:15" x14ac:dyDescent="0.25">
      <c r="A72" s="247"/>
      <c r="B72" s="140"/>
      <c r="C72" s="247"/>
      <c r="D72" s="247"/>
      <c r="E72" s="247"/>
      <c r="F72" s="248"/>
      <c r="G72" s="249"/>
      <c r="H72" s="249"/>
      <c r="I72" s="248"/>
      <c r="J72" s="248"/>
      <c r="K72" s="247"/>
      <c r="L72" s="140"/>
      <c r="M72" s="247"/>
      <c r="N72" s="247"/>
      <c r="O72" s="247"/>
    </row>
    <row r="73" spans="1:19" s="175" customFormat="1" x14ac:dyDescent="0.25">
      <c r="A73" s="175" t="s">
        <v>28</v>
      </c>
      <c r="B73" s="264"/>
      <c r="E73" s="276"/>
      <c r="F73" s="175" t="s">
        <v>28</v>
      </c>
      <c r="G73" s="264"/>
      <c r="J73" s="248"/>
      <c r="K73" s="175" t="s">
        <v>28</v>
      </c>
      <c r="L73" s="264"/>
      <c r="O73" s="276"/>
      <c r="P73" s="176"/>
      <c r="Q73" s="176"/>
      <c r="R73" s="204"/>
      <c r="S73" s="264"/>
    </row>
    <row r="74" spans="2:15" x14ac:dyDescent="0.25">
      <c r="B74" s="51" t="s">
        <v>111</v>
      </c>
      <c r="C74" s="51" t="s">
        <v>143</v>
      </c>
      <c r="D74" s="51" t="s">
        <v>144</v>
      </c>
      <c r="E74" s="247"/>
      <c r="G74" s="51" t="s">
        <v>111</v>
      </c>
      <c r="H74" s="51" t="s">
        <v>143</v>
      </c>
      <c r="I74" s="51" t="s">
        <v>144</v>
      </c>
      <c r="J74" s="248"/>
      <c r="L74" s="51" t="s">
        <v>111</v>
      </c>
      <c r="M74" s="51" t="s">
        <v>143</v>
      </c>
      <c r="N74" s="51" t="s">
        <v>144</v>
      </c>
      <c r="O74" s="247"/>
    </row>
    <row r="75" spans="1:15" x14ac:dyDescent="0.25">
      <c r="A75" t="s">
        <v>145</v>
      </c>
      <c r="B75" s="240">
        <f>WERKBON!$C$22</f>
        <v>0</v>
      </c>
      <c r="C75" s="240">
        <f>$C$70</f>
        <v>0</v>
      </c>
      <c r="D75" s="256">
        <f>B75-C75</f>
        <v>0</v>
      </c>
      <c r="E75" s="247"/>
      <c r="F75" t="s">
        <v>145</v>
      </c>
      <c r="G75" s="240">
        <f>WERKBON!$C$22</f>
        <v>0</v>
      </c>
      <c r="H75" s="240">
        <f>$C$70</f>
        <v>0</v>
      </c>
      <c r="I75" s="256">
        <f>G75-H75</f>
        <v>0</v>
      </c>
      <c r="J75" s="248"/>
      <c r="K75" t="s">
        <v>145</v>
      </c>
      <c r="L75" s="240">
        <f>WERKBON!$C$22</f>
        <v>0</v>
      </c>
      <c r="M75" s="240">
        <f>$C$70</f>
        <v>0</v>
      </c>
      <c r="N75" s="256">
        <f>L75-M75</f>
        <v>0</v>
      </c>
      <c r="O75" s="247"/>
    </row>
    <row r="76" spans="1:15" x14ac:dyDescent="0.25">
      <c r="A76" t="s">
        <v>148</v>
      </c>
      <c r="B76" s="240">
        <f>B75</f>
        <v>0</v>
      </c>
      <c r="C76" s="240">
        <f>$C$70</f>
        <v>0</v>
      </c>
      <c r="D76" s="256">
        <f>B76-C76</f>
        <v>0</v>
      </c>
      <c r="E76" s="247"/>
      <c r="F76" t="s">
        <v>148</v>
      </c>
      <c r="G76" s="240">
        <f>G75</f>
        <v>0</v>
      </c>
      <c r="H76" s="240">
        <f>$C$70</f>
        <v>0</v>
      </c>
      <c r="I76" s="256">
        <f>G76-H76</f>
        <v>0</v>
      </c>
      <c r="J76" s="261"/>
      <c r="K76" t="s">
        <v>148</v>
      </c>
      <c r="L76" s="240">
        <f>L75</f>
        <v>0</v>
      </c>
      <c r="M76" s="240">
        <f>$C$70</f>
        <v>0</v>
      </c>
      <c r="N76" s="256">
        <f>L76-M76</f>
        <v>0</v>
      </c>
      <c r="O76" s="247"/>
    </row>
    <row r="77" spans="1:15" x14ac:dyDescent="0.25">
      <c r="A77" s="247"/>
      <c r="B77" s="140"/>
      <c r="C77" s="247"/>
      <c r="D77" s="247"/>
      <c r="E77" s="247"/>
      <c r="F77" s="247"/>
      <c r="G77" s="140"/>
      <c r="H77" s="247"/>
      <c r="I77" s="261"/>
      <c r="J77" s="261"/>
      <c r="K77" s="247"/>
      <c r="L77" s="140"/>
      <c r="M77" s="247"/>
      <c r="N77" s="247"/>
      <c r="O77" s="247"/>
    </row>
    <row r="78" spans="1:19" s="175" customFormat="1" x14ac:dyDescent="0.25">
      <c r="A78" s="175" t="s">
        <v>29</v>
      </c>
      <c r="B78" s="264"/>
      <c r="E78" s="276"/>
      <c r="F78" s="175" t="s">
        <v>29</v>
      </c>
      <c r="G78" s="264"/>
      <c r="J78" s="278"/>
      <c r="K78" s="175" t="s">
        <v>29</v>
      </c>
      <c r="L78" s="264"/>
      <c r="O78" s="276"/>
      <c r="P78" s="176"/>
      <c r="Q78" s="176"/>
      <c r="R78" s="204"/>
      <c r="S78" s="264"/>
    </row>
    <row r="79" spans="2:15" x14ac:dyDescent="0.25">
      <c r="B79" s="51" t="s">
        <v>111</v>
      </c>
      <c r="C79" s="51" t="s">
        <v>143</v>
      </c>
      <c r="D79" s="51" t="s">
        <v>144</v>
      </c>
      <c r="E79" s="247"/>
      <c r="G79" s="51" t="s">
        <v>111</v>
      </c>
      <c r="H79" s="51" t="s">
        <v>143</v>
      </c>
      <c r="I79" s="51" t="s">
        <v>144</v>
      </c>
      <c r="J79" s="261"/>
      <c r="L79" s="51" t="s">
        <v>111</v>
      </c>
      <c r="M79" s="51" t="s">
        <v>143</v>
      </c>
      <c r="N79" s="51" t="s">
        <v>144</v>
      </c>
      <c r="O79" s="247"/>
    </row>
    <row r="80" spans="1:15" x14ac:dyDescent="0.25">
      <c r="A80" t="s">
        <v>145</v>
      </c>
      <c r="B80" s="240">
        <f>WERKBON!$D$22</f>
        <v>0</v>
      </c>
      <c r="C80" s="240">
        <f>$C$70</f>
        <v>0</v>
      </c>
      <c r="D80" s="256">
        <f>B80-C80</f>
        <v>0</v>
      </c>
      <c r="E80" s="247"/>
      <c r="F80" t="s">
        <v>145</v>
      </c>
      <c r="G80" s="240">
        <f>WERKBON!$D$22</f>
        <v>0</v>
      </c>
      <c r="H80" s="240">
        <f>$C$70</f>
        <v>0</v>
      </c>
      <c r="I80" s="256">
        <f>G80-H80</f>
        <v>0</v>
      </c>
      <c r="J80" s="261"/>
      <c r="K80" t="s">
        <v>145</v>
      </c>
      <c r="L80" s="240">
        <f>WERKBON!$D$22</f>
        <v>0</v>
      </c>
      <c r="M80" s="240">
        <f>$C$70</f>
        <v>0</v>
      </c>
      <c r="N80" s="256">
        <f>L80-M80</f>
        <v>0</v>
      </c>
      <c r="O80" s="247"/>
    </row>
    <row r="81" spans="1:15" x14ac:dyDescent="0.25">
      <c r="A81" t="s">
        <v>148</v>
      </c>
      <c r="B81" s="240">
        <f>B80</f>
        <v>0</v>
      </c>
      <c r="C81" s="240">
        <f>$C$70</f>
        <v>0</v>
      </c>
      <c r="D81" s="256">
        <f>B81-C81</f>
        <v>0</v>
      </c>
      <c r="E81" s="247"/>
      <c r="F81" t="s">
        <v>148</v>
      </c>
      <c r="G81" s="240">
        <f>G80</f>
        <v>0</v>
      </c>
      <c r="H81" s="240">
        <f>$C$70</f>
        <v>0</v>
      </c>
      <c r="I81" s="256">
        <f>G81-H81</f>
        <v>0</v>
      </c>
      <c r="J81" s="247"/>
      <c r="K81" t="s">
        <v>148</v>
      </c>
      <c r="L81" s="240">
        <f>L80</f>
        <v>0</v>
      </c>
      <c r="M81" s="240">
        <f>$C$70</f>
        <v>0</v>
      </c>
      <c r="N81" s="256">
        <f>L81-M81</f>
        <v>0</v>
      </c>
      <c r="O81" s="247"/>
    </row>
    <row r="82" spans="1:15" x14ac:dyDescent="0.25">
      <c r="A82" s="247"/>
      <c r="B82" s="140"/>
      <c r="C82" s="247"/>
      <c r="D82" s="247"/>
      <c r="E82" s="247"/>
      <c r="F82" s="247"/>
      <c r="G82" s="140"/>
      <c r="H82" s="247"/>
      <c r="I82" s="247"/>
      <c r="J82" s="247"/>
      <c r="K82" s="247"/>
      <c r="L82" s="140"/>
      <c r="M82" s="247"/>
      <c r="N82" s="247"/>
      <c r="O82" s="247"/>
    </row>
    <row r="83" spans="1:19" s="175" customFormat="1" x14ac:dyDescent="0.25">
      <c r="A83" s="175" t="s">
        <v>30</v>
      </c>
      <c r="B83" s="264"/>
      <c r="E83" s="276"/>
      <c r="F83" s="175" t="s">
        <v>30</v>
      </c>
      <c r="G83" s="264"/>
      <c r="J83" s="276"/>
      <c r="K83" s="175" t="s">
        <v>30</v>
      </c>
      <c r="L83" s="264"/>
      <c r="O83" s="276"/>
      <c r="P83" s="176"/>
      <c r="Q83" s="176"/>
      <c r="R83" s="204"/>
      <c r="S83" s="264"/>
    </row>
    <row r="84" spans="2:15" x14ac:dyDescent="0.25">
      <c r="B84" s="51" t="s">
        <v>111</v>
      </c>
      <c r="C84" s="51" t="s">
        <v>143</v>
      </c>
      <c r="D84" s="51" t="s">
        <v>144</v>
      </c>
      <c r="E84" s="247"/>
      <c r="G84" s="51" t="s">
        <v>111</v>
      </c>
      <c r="H84" s="51" t="s">
        <v>143</v>
      </c>
      <c r="I84" s="51" t="s">
        <v>144</v>
      </c>
      <c r="J84" s="247"/>
      <c r="L84" s="51" t="s">
        <v>111</v>
      </c>
      <c r="M84" s="51" t="s">
        <v>143</v>
      </c>
      <c r="N84" s="51" t="s">
        <v>144</v>
      </c>
      <c r="O84" s="247"/>
    </row>
    <row r="85" spans="1:15" x14ac:dyDescent="0.25">
      <c r="A85" t="s">
        <v>145</v>
      </c>
      <c r="B85" s="240">
        <f>WERKBON!$E$22</f>
        <v>0</v>
      </c>
      <c r="C85" s="240">
        <f>$C$70</f>
        <v>0</v>
      </c>
      <c r="D85" s="256">
        <f>B85-C85</f>
        <v>0</v>
      </c>
      <c r="E85" s="247"/>
      <c r="F85" t="s">
        <v>145</v>
      </c>
      <c r="G85" s="240">
        <f>WERKBON!$E$22</f>
        <v>0</v>
      </c>
      <c r="H85" s="240">
        <f>$C$70</f>
        <v>0</v>
      </c>
      <c r="I85" s="256">
        <f>G85-H85</f>
        <v>0</v>
      </c>
      <c r="J85" s="247"/>
      <c r="K85" t="s">
        <v>145</v>
      </c>
      <c r="L85" s="240">
        <f>WERKBON!$E$22</f>
        <v>0</v>
      </c>
      <c r="M85" s="240">
        <f>$C$70</f>
        <v>0</v>
      </c>
      <c r="N85" s="256">
        <f>L85-M85</f>
        <v>0</v>
      </c>
      <c r="O85" s="247"/>
    </row>
    <row r="86" spans="1:15" x14ac:dyDescent="0.25">
      <c r="A86" t="s">
        <v>148</v>
      </c>
      <c r="B86" s="240">
        <f>B85</f>
        <v>0</v>
      </c>
      <c r="C86" s="240">
        <f>$C$70</f>
        <v>0</v>
      </c>
      <c r="D86" s="256">
        <f>B86-C86</f>
        <v>0</v>
      </c>
      <c r="E86" s="247"/>
      <c r="F86" t="s">
        <v>148</v>
      </c>
      <c r="G86" s="240">
        <f>G85</f>
        <v>0</v>
      </c>
      <c r="H86" s="240">
        <f>$C$70</f>
        <v>0</v>
      </c>
      <c r="I86" s="256">
        <f>G86-H86</f>
        <v>0</v>
      </c>
      <c r="J86" s="247"/>
      <c r="K86" t="s">
        <v>148</v>
      </c>
      <c r="L86" s="240">
        <f>L85</f>
        <v>0</v>
      </c>
      <c r="M86" s="240">
        <f>$C$70</f>
        <v>0</v>
      </c>
      <c r="N86" s="256">
        <f>L86-M86</f>
        <v>0</v>
      </c>
      <c r="O86" s="247"/>
    </row>
    <row r="87" spans="1:15" x14ac:dyDescent="0.25">
      <c r="A87" s="247"/>
      <c r="B87" s="140"/>
      <c r="C87" s="247"/>
      <c r="D87" s="247"/>
      <c r="E87" s="247"/>
      <c r="F87" s="247"/>
      <c r="G87" s="140"/>
      <c r="H87" s="247"/>
      <c r="I87" s="247"/>
      <c r="J87" s="247"/>
      <c r="K87" s="247"/>
      <c r="L87" s="140"/>
      <c r="M87" s="247"/>
      <c r="N87" s="247"/>
      <c r="O87" s="247"/>
    </row>
    <row r="88" spans="1:19" s="175" customFormat="1" x14ac:dyDescent="0.25">
      <c r="A88" s="175" t="s">
        <v>31</v>
      </c>
      <c r="B88" s="264"/>
      <c r="E88" s="276"/>
      <c r="F88" s="175" t="s">
        <v>31</v>
      </c>
      <c r="G88" s="264"/>
      <c r="J88" s="276"/>
      <c r="K88" s="175" t="s">
        <v>31</v>
      </c>
      <c r="L88" s="264"/>
      <c r="O88" s="276"/>
      <c r="P88" s="176"/>
      <c r="Q88" s="176"/>
      <c r="R88" s="204"/>
      <c r="S88" s="264"/>
    </row>
    <row r="89" spans="2:15" x14ac:dyDescent="0.25">
      <c r="B89" s="51" t="s">
        <v>111</v>
      </c>
      <c r="C89" s="51" t="s">
        <v>143</v>
      </c>
      <c r="D89" s="51" t="s">
        <v>144</v>
      </c>
      <c r="E89" s="247"/>
      <c r="G89" s="51" t="s">
        <v>111</v>
      </c>
      <c r="H89" s="51" t="s">
        <v>143</v>
      </c>
      <c r="I89" s="51" t="s">
        <v>144</v>
      </c>
      <c r="J89" s="247"/>
      <c r="L89" s="51" t="s">
        <v>111</v>
      </c>
      <c r="M89" s="51" t="s">
        <v>143</v>
      </c>
      <c r="N89" s="51" t="s">
        <v>144</v>
      </c>
      <c r="O89" s="247"/>
    </row>
    <row r="90" spans="1:15" x14ac:dyDescent="0.25">
      <c r="A90" t="s">
        <v>145</v>
      </c>
      <c r="B90" s="240">
        <f>WERKBON!$F$22</f>
        <v>0</v>
      </c>
      <c r="C90" s="240">
        <f>$C$70</f>
        <v>0</v>
      </c>
      <c r="D90" s="256">
        <f>B90-C90</f>
        <v>0</v>
      </c>
      <c r="E90" s="247"/>
      <c r="F90" t="s">
        <v>145</v>
      </c>
      <c r="G90" s="240">
        <f>WERKBON!$F$22</f>
        <v>0</v>
      </c>
      <c r="H90" s="240">
        <f>$C$70</f>
        <v>0</v>
      </c>
      <c r="I90" s="256">
        <f>G90-H90</f>
        <v>0</v>
      </c>
      <c r="J90" s="247"/>
      <c r="K90" t="s">
        <v>145</v>
      </c>
      <c r="L90" s="240">
        <f>WERKBON!$F$22</f>
        <v>0</v>
      </c>
      <c r="M90" s="240">
        <f>$C$70</f>
        <v>0</v>
      </c>
      <c r="N90" s="256">
        <f>L90-M90</f>
        <v>0</v>
      </c>
      <c r="O90" s="247"/>
    </row>
    <row r="91" spans="1:15" x14ac:dyDescent="0.25">
      <c r="A91" t="s">
        <v>148</v>
      </c>
      <c r="B91" s="240">
        <f>B90</f>
        <v>0</v>
      </c>
      <c r="C91" s="240">
        <f>$C$70</f>
        <v>0</v>
      </c>
      <c r="D91" s="256">
        <f>B91-C91</f>
        <v>0</v>
      </c>
      <c r="E91" s="247"/>
      <c r="F91" t="s">
        <v>148</v>
      </c>
      <c r="G91" s="240">
        <f>G90</f>
        <v>0</v>
      </c>
      <c r="H91" s="240">
        <f>$C$70</f>
        <v>0</v>
      </c>
      <c r="I91" s="256">
        <f>G91-H91</f>
        <v>0</v>
      </c>
      <c r="J91" s="247"/>
      <c r="K91" t="s">
        <v>148</v>
      </c>
      <c r="L91" s="240">
        <f>L90</f>
        <v>0</v>
      </c>
      <c r="M91" s="240">
        <f>$C$70</f>
        <v>0</v>
      </c>
      <c r="N91" s="256">
        <f>L91-M91</f>
        <v>0</v>
      </c>
      <c r="O91" s="247"/>
    </row>
    <row r="92" spans="1:15" x14ac:dyDescent="0.25">
      <c r="A92" s="247"/>
      <c r="B92" s="249"/>
      <c r="C92" s="249"/>
      <c r="D92" s="247"/>
      <c r="E92" s="247"/>
      <c r="F92" s="247"/>
      <c r="G92" s="249"/>
      <c r="H92" s="249"/>
      <c r="I92" s="263"/>
      <c r="J92" s="247"/>
      <c r="K92" s="247"/>
      <c r="L92" s="249"/>
      <c r="M92" s="249"/>
      <c r="N92" s="263"/>
      <c r="O92" s="247"/>
    </row>
    <row r="93" spans="1:15" x14ac:dyDescent="0.25">
      <c r="A93" s="175" t="s">
        <v>32</v>
      </c>
      <c r="B93" s="264"/>
      <c r="C93" s="175"/>
      <c r="D93" s="175"/>
      <c r="E93" s="276"/>
      <c r="F93" s="175" t="s">
        <v>32</v>
      </c>
      <c r="G93" s="264"/>
      <c r="H93" s="175"/>
      <c r="I93" s="175"/>
      <c r="J93" s="276"/>
      <c r="K93" s="175" t="s">
        <v>32</v>
      </c>
      <c r="L93" s="264"/>
      <c r="M93" s="175"/>
      <c r="N93" s="175"/>
      <c r="O93" s="276"/>
    </row>
    <row r="94" spans="2:19" s="175" customFormat="1" x14ac:dyDescent="0.25">
      <c r="B94" s="51" t="s">
        <v>111</v>
      </c>
      <c r="C94" s="51" t="s">
        <v>143</v>
      </c>
      <c r="D94" s="51" t="s">
        <v>144</v>
      </c>
      <c r="E94" s="247"/>
      <c r="G94" s="51" t="s">
        <v>111</v>
      </c>
      <c r="H94" s="51" t="s">
        <v>143</v>
      </c>
      <c r="I94" s="51" t="s">
        <v>144</v>
      </c>
      <c r="J94" s="248"/>
      <c r="L94" s="51" t="s">
        <v>111</v>
      </c>
      <c r="M94" s="51" t="s">
        <v>143</v>
      </c>
      <c r="N94" s="51" t="s">
        <v>144</v>
      </c>
      <c r="O94" s="247"/>
      <c r="P94" s="176"/>
      <c r="Q94" s="176"/>
      <c r="R94" s="204"/>
      <c r="S94" s="264"/>
    </row>
    <row r="95" spans="1:15" x14ac:dyDescent="0.25">
      <c r="A95" t="s">
        <v>145</v>
      </c>
      <c r="B95" s="240">
        <f>WERKBON!$G$22</f>
        <v>0</v>
      </c>
      <c r="C95" s="240">
        <f>$C$70</f>
        <v>0</v>
      </c>
      <c r="D95" s="256">
        <f>B95-C95</f>
        <v>0</v>
      </c>
      <c r="E95" s="247"/>
      <c r="F95" t="s">
        <v>145</v>
      </c>
      <c r="G95" s="240">
        <f>WERKBON!$G$22</f>
        <v>0</v>
      </c>
      <c r="H95" s="240">
        <f>$C$70</f>
        <v>0</v>
      </c>
      <c r="I95" s="256">
        <f>G95-H95</f>
        <v>0</v>
      </c>
      <c r="J95" s="248"/>
      <c r="K95" t="s">
        <v>145</v>
      </c>
      <c r="L95" s="240">
        <f>WERKBON!$G$22</f>
        <v>0</v>
      </c>
      <c r="M95" s="240">
        <f>$C$70</f>
        <v>0</v>
      </c>
      <c r="N95" s="256">
        <f>L95-M95</f>
        <v>0</v>
      </c>
      <c r="O95" s="247"/>
    </row>
    <row r="96" spans="1:15" x14ac:dyDescent="0.25">
      <c r="A96" t="s">
        <v>148</v>
      </c>
      <c r="B96" s="240">
        <f>B95</f>
        <v>0</v>
      </c>
      <c r="C96" s="240">
        <f>$C$70</f>
        <v>0</v>
      </c>
      <c r="D96" s="256">
        <f>B96-C96</f>
        <v>0</v>
      </c>
      <c r="E96" s="247"/>
      <c r="F96" t="s">
        <v>148</v>
      </c>
      <c r="G96" s="240">
        <f>G95</f>
        <v>0</v>
      </c>
      <c r="H96" s="240">
        <f>$C$70</f>
        <v>0</v>
      </c>
      <c r="I96" s="256">
        <f>G96-H96</f>
        <v>0</v>
      </c>
      <c r="J96" s="248"/>
      <c r="K96" t="s">
        <v>148</v>
      </c>
      <c r="L96" s="240">
        <f>L95</f>
        <v>0</v>
      </c>
      <c r="M96" s="240">
        <f>$C$70</f>
        <v>0</v>
      </c>
      <c r="N96" s="256">
        <f>L96-M96</f>
        <v>0</v>
      </c>
      <c r="O96" s="247"/>
    </row>
    <row r="97" spans="1:15" x14ac:dyDescent="0.25">
      <c r="A97" s="247"/>
      <c r="B97" s="249"/>
      <c r="C97" s="249"/>
      <c r="D97" s="247"/>
      <c r="E97" s="247"/>
      <c r="F97" s="248"/>
      <c r="G97" s="249"/>
      <c r="H97" s="249"/>
      <c r="I97" s="263"/>
      <c r="J97" s="248"/>
      <c r="K97" s="247"/>
      <c r="L97" s="249"/>
      <c r="M97" s="249"/>
      <c r="N97" s="263"/>
      <c r="O97" s="247"/>
    </row>
    <row r="98" spans="1:15" x14ac:dyDescent="0.25">
      <c r="A98" s="175" t="s">
        <v>33</v>
      </c>
      <c r="B98" s="264"/>
      <c r="C98" s="175"/>
      <c r="D98" s="175"/>
      <c r="E98" s="276"/>
      <c r="F98" s="175" t="s">
        <v>33</v>
      </c>
      <c r="G98" s="264"/>
      <c r="H98" s="175"/>
      <c r="I98" s="175"/>
      <c r="J98" s="248"/>
      <c r="K98" s="175" t="s">
        <v>33</v>
      </c>
      <c r="L98" s="264"/>
      <c r="M98" s="175"/>
      <c r="N98" s="175"/>
      <c r="O98" s="276"/>
    </row>
    <row r="99" spans="2:15" x14ac:dyDescent="0.25">
      <c r="B99" s="51" t="s">
        <v>111</v>
      </c>
      <c r="C99" s="51" t="s">
        <v>143</v>
      </c>
      <c r="D99" s="51" t="s">
        <v>144</v>
      </c>
      <c r="E99" s="247"/>
      <c r="G99" s="51" t="s">
        <v>111</v>
      </c>
      <c r="H99" s="51" t="s">
        <v>143</v>
      </c>
      <c r="I99" s="51" t="s">
        <v>144</v>
      </c>
      <c r="J99" s="248"/>
      <c r="L99" s="51" t="s">
        <v>111</v>
      </c>
      <c r="M99" s="51" t="s">
        <v>143</v>
      </c>
      <c r="N99" s="51" t="s">
        <v>144</v>
      </c>
      <c r="O99" s="247"/>
    </row>
    <row r="100" spans="1:15" x14ac:dyDescent="0.25">
      <c r="A100" t="s">
        <v>145</v>
      </c>
      <c r="B100" s="240">
        <f>WERKBON!$H$22</f>
        <v>0</v>
      </c>
      <c r="C100" s="240">
        <f>$C$70</f>
        <v>0</v>
      </c>
      <c r="D100" s="256">
        <f>B100-C100</f>
        <v>0</v>
      </c>
      <c r="E100" s="247"/>
      <c r="F100" t="s">
        <v>145</v>
      </c>
      <c r="G100" s="240">
        <f>WERKBON!$H$22</f>
        <v>0</v>
      </c>
      <c r="H100" s="240">
        <f>$C$70</f>
        <v>0</v>
      </c>
      <c r="I100" s="256">
        <f>G100-H100</f>
        <v>0</v>
      </c>
      <c r="J100" s="248"/>
      <c r="K100" t="s">
        <v>145</v>
      </c>
      <c r="L100" s="240">
        <f>WERKBON!$H$22</f>
        <v>0</v>
      </c>
      <c r="M100" s="240">
        <f>$C$70</f>
        <v>0</v>
      </c>
      <c r="N100" s="256">
        <f>L100-M100</f>
        <v>0</v>
      </c>
      <c r="O100" s="247"/>
    </row>
    <row r="101" spans="1:15" x14ac:dyDescent="0.25">
      <c r="A101" t="s">
        <v>148</v>
      </c>
      <c r="B101" s="240">
        <f>B100</f>
        <v>0</v>
      </c>
      <c r="C101" s="240">
        <f>$C$70</f>
        <v>0</v>
      </c>
      <c r="D101" s="256">
        <f>B101-C101</f>
        <v>0</v>
      </c>
      <c r="E101" s="247"/>
      <c r="F101" t="s">
        <v>148</v>
      </c>
      <c r="G101" s="240">
        <f>G100</f>
        <v>0</v>
      </c>
      <c r="H101" s="240">
        <f>$C$70</f>
        <v>0</v>
      </c>
      <c r="I101" s="256">
        <f>G101-H101</f>
        <v>0</v>
      </c>
      <c r="J101" s="261"/>
      <c r="K101" t="s">
        <v>148</v>
      </c>
      <c r="L101" s="240">
        <f>L100</f>
        <v>0</v>
      </c>
      <c r="M101" s="240">
        <f>$C$70</f>
        <v>0</v>
      </c>
      <c r="N101" s="256">
        <f>L101-M101</f>
        <v>0</v>
      </c>
      <c r="O101" s="247"/>
    </row>
    <row r="102" spans="1:15" x14ac:dyDescent="0.25">
      <c r="A102" s="247"/>
      <c r="B102" s="249"/>
      <c r="C102" s="249"/>
      <c r="D102" s="247"/>
      <c r="E102" s="247"/>
      <c r="F102" s="247"/>
      <c r="G102" s="249"/>
      <c r="H102" s="249"/>
      <c r="I102" s="263"/>
      <c r="J102" s="261"/>
      <c r="K102" s="247"/>
      <c r="L102" s="249"/>
      <c r="M102" s="249"/>
      <c r="N102" s="263"/>
      <c r="O102" s="247"/>
    </row>
    <row r="103" spans="1:15" x14ac:dyDescent="0.25">
      <c r="A103" s="175" t="s">
        <v>34</v>
      </c>
      <c r="B103" s="264"/>
      <c r="C103" s="175"/>
      <c r="D103" s="175"/>
      <c r="E103" s="276"/>
      <c r="F103" s="175" t="s">
        <v>34</v>
      </c>
      <c r="G103" s="264"/>
      <c r="H103" s="175"/>
      <c r="I103" s="175"/>
      <c r="J103" s="278"/>
      <c r="K103" s="175" t="s">
        <v>34</v>
      </c>
      <c r="L103" s="264"/>
      <c r="M103" s="175"/>
      <c r="N103" s="175"/>
      <c r="O103" s="276"/>
    </row>
    <row r="104" spans="2:15" x14ac:dyDescent="0.25">
      <c r="B104" s="51" t="s">
        <v>111</v>
      </c>
      <c r="C104" s="51" t="s">
        <v>143</v>
      </c>
      <c r="D104" s="51" t="s">
        <v>144</v>
      </c>
      <c r="E104" s="247"/>
      <c r="G104" s="51" t="s">
        <v>111</v>
      </c>
      <c r="H104" s="51" t="s">
        <v>143</v>
      </c>
      <c r="I104" s="51" t="s">
        <v>144</v>
      </c>
      <c r="J104" s="261"/>
      <c r="L104" s="51" t="s">
        <v>111</v>
      </c>
      <c r="M104" s="51" t="s">
        <v>143</v>
      </c>
      <c r="N104" s="51" t="s">
        <v>144</v>
      </c>
      <c r="O104" s="247"/>
    </row>
    <row r="105" spans="1:15" x14ac:dyDescent="0.25">
      <c r="A105" t="s">
        <v>145</v>
      </c>
      <c r="B105" s="240">
        <f>WERKBON!$I$22</f>
        <v>0</v>
      </c>
      <c r="C105" s="240">
        <f>$C$70</f>
        <v>0</v>
      </c>
      <c r="D105" s="256">
        <f>B105-C105</f>
        <v>0</v>
      </c>
      <c r="E105" s="247"/>
      <c r="F105" t="s">
        <v>145</v>
      </c>
      <c r="G105" s="240">
        <f>WERKBON!$I$22</f>
        <v>0</v>
      </c>
      <c r="H105" s="240">
        <f>$C$70</f>
        <v>0</v>
      </c>
      <c r="I105" s="256">
        <f>G105-H105</f>
        <v>0</v>
      </c>
      <c r="J105" s="261"/>
      <c r="K105" t="s">
        <v>145</v>
      </c>
      <c r="L105" s="240">
        <f>WERKBON!$I$22</f>
        <v>0</v>
      </c>
      <c r="M105" s="240">
        <f>$C$70</f>
        <v>0</v>
      </c>
      <c r="N105" s="256">
        <f>L105-M105</f>
        <v>0</v>
      </c>
      <c r="O105" s="247"/>
    </row>
    <row r="106" spans="1:15" x14ac:dyDescent="0.25">
      <c r="A106" t="s">
        <v>148</v>
      </c>
      <c r="B106" s="240">
        <f>B105</f>
        <v>0</v>
      </c>
      <c r="C106" s="240">
        <f>$C$70</f>
        <v>0</v>
      </c>
      <c r="D106" s="256">
        <f>B106-C106</f>
        <v>0</v>
      </c>
      <c r="E106" s="247"/>
      <c r="F106" t="s">
        <v>148</v>
      </c>
      <c r="G106" s="240">
        <f>G105</f>
        <v>0</v>
      </c>
      <c r="H106" s="240">
        <f>$C$70</f>
        <v>0</v>
      </c>
      <c r="I106" s="256">
        <f>G106-H106</f>
        <v>0</v>
      </c>
      <c r="J106" s="247"/>
      <c r="K106" t="s">
        <v>148</v>
      </c>
      <c r="L106" s="240">
        <f>L105</f>
        <v>0</v>
      </c>
      <c r="M106" s="240">
        <f>$C$70</f>
        <v>0</v>
      </c>
      <c r="N106" s="256">
        <f>L106-M106</f>
        <v>0</v>
      </c>
      <c r="O106" s="247"/>
    </row>
    <row r="107" spans="1:15" x14ac:dyDescent="0.25">
      <c r="A107" s="247"/>
      <c r="B107" s="249"/>
      <c r="C107" s="249"/>
      <c r="D107" s="247"/>
      <c r="E107" s="247"/>
      <c r="F107" s="247"/>
      <c r="G107" s="249"/>
      <c r="H107" s="249"/>
      <c r="I107" s="263"/>
      <c r="J107" s="247"/>
      <c r="K107" s="247"/>
      <c r="L107" s="249"/>
      <c r="M107" s="249"/>
      <c r="N107" s="263"/>
      <c r="O107" s="247"/>
    </row>
    <row r="108" spans="1:15" x14ac:dyDescent="0.25">
      <c r="A108" s="175" t="s">
        <v>35</v>
      </c>
      <c r="B108" s="264"/>
      <c r="C108" s="175"/>
      <c r="D108" s="175"/>
      <c r="E108" s="276"/>
      <c r="F108" s="175" t="s">
        <v>35</v>
      </c>
      <c r="G108" s="264"/>
      <c r="H108" s="175"/>
      <c r="I108" s="175"/>
      <c r="J108" s="276"/>
      <c r="K108" s="175" t="s">
        <v>35</v>
      </c>
      <c r="L108" s="264"/>
      <c r="M108" s="175"/>
      <c r="N108" s="175"/>
      <c r="O108" s="276"/>
    </row>
    <row r="109" spans="2:15" x14ac:dyDescent="0.25">
      <c r="B109" s="51" t="s">
        <v>111</v>
      </c>
      <c r="C109" s="51" t="s">
        <v>143</v>
      </c>
      <c r="D109" s="51" t="s">
        <v>144</v>
      </c>
      <c r="E109" s="247"/>
      <c r="G109" s="51" t="s">
        <v>111</v>
      </c>
      <c r="H109" s="51" t="s">
        <v>143</v>
      </c>
      <c r="I109" s="51" t="s">
        <v>144</v>
      </c>
      <c r="J109" s="247"/>
      <c r="L109" s="51" t="s">
        <v>111</v>
      </c>
      <c r="M109" s="51" t="s">
        <v>143</v>
      </c>
      <c r="N109" s="51" t="s">
        <v>144</v>
      </c>
      <c r="O109" s="247"/>
    </row>
    <row r="110" spans="1:15" x14ac:dyDescent="0.25">
      <c r="A110" t="s">
        <v>145</v>
      </c>
      <c r="B110" s="240">
        <f>WERKBON!$J$22</f>
        <v>0</v>
      </c>
      <c r="C110" s="240">
        <f>$C$70</f>
        <v>0</v>
      </c>
      <c r="D110" s="256">
        <f>B110-C110</f>
        <v>0</v>
      </c>
      <c r="E110" s="247"/>
      <c r="F110" t="s">
        <v>145</v>
      </c>
      <c r="G110" s="240">
        <f>WERKBON!$J$22</f>
        <v>0</v>
      </c>
      <c r="H110" s="240">
        <f>$C$70</f>
        <v>0</v>
      </c>
      <c r="I110" s="256">
        <f>G110-H110</f>
        <v>0</v>
      </c>
      <c r="J110" s="247"/>
      <c r="K110" t="s">
        <v>145</v>
      </c>
      <c r="L110" s="240">
        <f>WERKBON!$J$22</f>
        <v>0</v>
      </c>
      <c r="M110" s="240">
        <f>$C$70</f>
        <v>0</v>
      </c>
      <c r="N110" s="256">
        <f>L110-M110</f>
        <v>0</v>
      </c>
      <c r="O110" s="247"/>
    </row>
    <row r="111" spans="1:15" x14ac:dyDescent="0.25">
      <c r="A111" t="s">
        <v>148</v>
      </c>
      <c r="B111" s="240">
        <f>B110</f>
        <v>0</v>
      </c>
      <c r="C111" s="240">
        <f>$C$70</f>
        <v>0</v>
      </c>
      <c r="D111" s="256">
        <f>B111-C111</f>
        <v>0</v>
      </c>
      <c r="E111" s="247"/>
      <c r="F111" t="s">
        <v>148</v>
      </c>
      <c r="G111" s="240">
        <f>G110</f>
        <v>0</v>
      </c>
      <c r="H111" s="240">
        <f>$C$70</f>
        <v>0</v>
      </c>
      <c r="I111" s="256">
        <f>G111-H111</f>
        <v>0</v>
      </c>
      <c r="J111" s="247"/>
      <c r="K111" t="s">
        <v>148</v>
      </c>
      <c r="L111" s="240">
        <f>L110</f>
        <v>0</v>
      </c>
      <c r="M111" s="240">
        <f>$C$70</f>
        <v>0</v>
      </c>
      <c r="N111" s="256">
        <f>L111-M111</f>
        <v>0</v>
      </c>
      <c r="O111" s="247"/>
    </row>
    <row r="112" spans="1:15" x14ac:dyDescent="0.25">
      <c r="A112" s="247"/>
      <c r="B112" s="249"/>
      <c r="C112" s="249"/>
      <c r="D112" s="247"/>
      <c r="E112" s="247"/>
      <c r="F112" s="247"/>
      <c r="G112" s="249"/>
      <c r="H112" s="249"/>
      <c r="I112" s="263"/>
      <c r="J112" s="247"/>
      <c r="K112" s="247"/>
      <c r="L112" s="249"/>
      <c r="M112" s="249"/>
      <c r="N112" s="263"/>
      <c r="O112" s="247"/>
    </row>
    <row r="113" spans="1:15" x14ac:dyDescent="0.25">
      <c r="A113" s="175" t="s">
        <v>36</v>
      </c>
      <c r="B113" s="264"/>
      <c r="C113" s="175"/>
      <c r="D113" s="175"/>
      <c r="E113" s="276"/>
      <c r="F113" s="175" t="s">
        <v>36</v>
      </c>
      <c r="G113" s="264"/>
      <c r="H113" s="175"/>
      <c r="I113" s="175"/>
      <c r="J113" s="276"/>
      <c r="K113" s="175" t="s">
        <v>36</v>
      </c>
      <c r="L113" s="264"/>
      <c r="M113" s="175"/>
      <c r="N113" s="175"/>
      <c r="O113" s="276"/>
    </row>
    <row r="114" spans="2:15" x14ac:dyDescent="0.25">
      <c r="B114" s="51" t="s">
        <v>111</v>
      </c>
      <c r="C114" s="51" t="s">
        <v>143</v>
      </c>
      <c r="D114" s="51" t="s">
        <v>144</v>
      </c>
      <c r="E114" s="247"/>
      <c r="G114" s="51" t="s">
        <v>111</v>
      </c>
      <c r="H114" s="51" t="s">
        <v>143</v>
      </c>
      <c r="I114" s="51" t="s">
        <v>144</v>
      </c>
      <c r="J114" s="247"/>
      <c r="L114" s="51" t="s">
        <v>111</v>
      </c>
      <c r="M114" s="51" t="s">
        <v>143</v>
      </c>
      <c r="N114" s="51" t="s">
        <v>144</v>
      </c>
      <c r="O114" s="247"/>
    </row>
    <row r="115" spans="1:15" x14ac:dyDescent="0.25">
      <c r="A115" t="s">
        <v>145</v>
      </c>
      <c r="B115" s="240">
        <f>WERKBON!$K$22</f>
        <v>0</v>
      </c>
      <c r="C115" s="240">
        <f>$C$70</f>
        <v>0</v>
      </c>
      <c r="D115" s="256">
        <f>B115-C115</f>
        <v>0</v>
      </c>
      <c r="E115" s="247"/>
      <c r="F115" t="s">
        <v>145</v>
      </c>
      <c r="G115" s="240">
        <f>WERKBON!$K$22</f>
        <v>0</v>
      </c>
      <c r="H115" s="240">
        <f>$C$70</f>
        <v>0</v>
      </c>
      <c r="I115" s="256">
        <f>G115-H115</f>
        <v>0</v>
      </c>
      <c r="J115" s="247"/>
      <c r="K115" t="s">
        <v>145</v>
      </c>
      <c r="L115" s="240">
        <f>WERKBON!$K$22</f>
        <v>0</v>
      </c>
      <c r="M115" s="240">
        <f>$C$70</f>
        <v>0</v>
      </c>
      <c r="N115" s="256">
        <f>L115-M115</f>
        <v>0</v>
      </c>
      <c r="O115" s="247"/>
    </row>
    <row r="116" spans="1:15" x14ac:dyDescent="0.25">
      <c r="A116" t="s">
        <v>148</v>
      </c>
      <c r="B116" s="240">
        <f>B115</f>
        <v>0</v>
      </c>
      <c r="C116" s="240">
        <f>$C$70</f>
        <v>0</v>
      </c>
      <c r="D116" s="256">
        <f>B116-C116</f>
        <v>0</v>
      </c>
      <c r="E116" s="247"/>
      <c r="F116" t="s">
        <v>148</v>
      </c>
      <c r="G116" s="240">
        <f>G115</f>
        <v>0</v>
      </c>
      <c r="H116" s="240">
        <f>$C$70</f>
        <v>0</v>
      </c>
      <c r="I116" s="256">
        <f>G116-H116</f>
        <v>0</v>
      </c>
      <c r="J116" s="247"/>
      <c r="K116" t="s">
        <v>148</v>
      </c>
      <c r="L116" s="240">
        <f>L115</f>
        <v>0</v>
      </c>
      <c r="M116" s="240">
        <f>$C$70</f>
        <v>0</v>
      </c>
      <c r="N116" s="256">
        <f>L116-M116</f>
        <v>0</v>
      </c>
      <c r="O116" s="247"/>
    </row>
    <row r="117" spans="1:15" x14ac:dyDescent="0.25">
      <c r="A117" s="247"/>
      <c r="B117" s="249"/>
      <c r="C117" s="249"/>
      <c r="D117" s="247"/>
      <c r="E117" s="247"/>
      <c r="F117" s="247"/>
      <c r="G117" s="249"/>
      <c r="H117" s="249"/>
      <c r="I117" s="263"/>
      <c r="J117" s="247"/>
      <c r="K117" s="247"/>
      <c r="L117" s="249"/>
      <c r="M117" s="249"/>
      <c r="N117" s="263"/>
      <c r="O117" s="247"/>
    </row>
    <row r="118" spans="2:14" x14ac:dyDescent="0.25">
      <c r="B118" s="240"/>
      <c r="C118" s="240"/>
      <c r="D118" s="256"/>
      <c r="G118" s="240"/>
      <c r="H118" s="240"/>
      <c r="I118" s="256"/>
      <c r="J118" s="265"/>
      <c r="L118" s="240"/>
      <c r="M118" s="240"/>
      <c r="N118" s="256"/>
    </row>
    <row r="119" spans="2:14" x14ac:dyDescent="0.25">
      <c r="B119" s="240"/>
      <c r="C119" s="240"/>
      <c r="D119" s="256"/>
      <c r="G119" s="240"/>
      <c r="H119" s="240"/>
      <c r="I119" s="256"/>
      <c r="J119" s="265"/>
      <c r="L119" s="240"/>
      <c r="M119" s="240"/>
      <c r="N119" s="256"/>
    </row>
    <row r="120" spans="2:14" x14ac:dyDescent="0.25">
      <c r="B120" s="240"/>
      <c r="C120" s="240"/>
      <c r="D120" s="256"/>
      <c r="G120" s="240"/>
      <c r="H120" s="240"/>
      <c r="I120" s="256"/>
      <c r="J120" s="265"/>
      <c r="L120" s="240"/>
      <c r="M120" s="240"/>
      <c r="N120" s="256"/>
    </row>
    <row r="121" ht="18" customHeight="1" spans="1:15" x14ac:dyDescent="0.25">
      <c r="A121" s="266" t="s">
        <v>151</v>
      </c>
      <c r="B121" s="267"/>
      <c r="C121" s="268" t="s">
        <v>156</v>
      </c>
      <c r="D121" s="269">
        <v>55</v>
      </c>
      <c r="E121" s="2"/>
      <c r="F121" s="270" t="s">
        <v>153</v>
      </c>
      <c r="G121" s="271">
        <v>6</v>
      </c>
      <c r="H121" s="270" t="s">
        <v>142</v>
      </c>
      <c r="I121" s="2"/>
      <c r="J121" s="2"/>
      <c r="K121" s="266" t="s">
        <v>154</v>
      </c>
      <c r="L121" s="272"/>
      <c r="M121" s="270" t="s">
        <v>148</v>
      </c>
      <c r="N121" s="273">
        <v>55</v>
      </c>
      <c r="O121" s="270" t="s">
        <v>147</v>
      </c>
    </row>
    <row r="122" ht="18" customHeight="1" spans="1:15" x14ac:dyDescent="0.25">
      <c r="A122" s="274" t="s">
        <v>155</v>
      </c>
      <c r="B122" s="243"/>
      <c r="C122" s="274"/>
      <c r="D122" s="274"/>
      <c r="E122" s="244"/>
      <c r="F122" s="274" t="s">
        <v>139</v>
      </c>
      <c r="G122" s="243"/>
      <c r="H122" s="274"/>
      <c r="I122" s="274"/>
      <c r="J122" s="244"/>
      <c r="K122" s="274" t="s">
        <v>140</v>
      </c>
      <c r="L122" s="243"/>
      <c r="M122" s="274"/>
      <c r="N122" s="274"/>
      <c r="O122" s="244"/>
    </row>
    <row r="123" spans="1:15" x14ac:dyDescent="0.25">
      <c r="A123" s="175" t="s">
        <v>27</v>
      </c>
      <c r="B123" s="264"/>
      <c r="C123" s="175"/>
      <c r="D123" s="175"/>
      <c r="E123" s="276"/>
      <c r="F123" s="175" t="s">
        <v>27</v>
      </c>
      <c r="G123" s="264"/>
      <c r="H123" s="175"/>
      <c r="I123" s="175"/>
      <c r="J123" s="277"/>
      <c r="K123" s="175" t="s">
        <v>27</v>
      </c>
      <c r="L123" s="264"/>
      <c r="M123" s="175"/>
      <c r="N123" s="175"/>
      <c r="O123" s="276"/>
    </row>
    <row r="124" spans="2:15" x14ac:dyDescent="0.25">
      <c r="B124" s="51" t="s">
        <v>111</v>
      </c>
      <c r="C124" s="51" t="s">
        <v>143</v>
      </c>
      <c r="D124" s="51" t="s">
        <v>144</v>
      </c>
      <c r="E124" s="247"/>
      <c r="G124" s="51" t="s">
        <v>111</v>
      </c>
      <c r="H124" s="51" t="s">
        <v>143</v>
      </c>
      <c r="I124" s="51" t="s">
        <v>144</v>
      </c>
      <c r="J124" s="248"/>
      <c r="L124" s="51" t="s">
        <v>111</v>
      </c>
      <c r="M124" s="51" t="s">
        <v>143</v>
      </c>
      <c r="N124" s="51" t="s">
        <v>144</v>
      </c>
      <c r="O124" s="247"/>
    </row>
    <row r="125" spans="1:15" x14ac:dyDescent="0.25">
      <c r="A125" t="s">
        <v>145</v>
      </c>
      <c r="B125" s="240">
        <f>WERKBON!$B$22</f>
        <v>0</v>
      </c>
      <c r="C125" s="240">
        <v>8</v>
      </c>
      <c r="D125" s="256">
        <f>B125-C125</f>
        <v>-8</v>
      </c>
      <c r="E125" s="247"/>
      <c r="F125" t="s">
        <v>145</v>
      </c>
      <c r="G125" s="240">
        <f>WERKBON!$B$22</f>
        <v>0</v>
      </c>
      <c r="H125" s="240">
        <f>$C$125</f>
        <v>8</v>
      </c>
      <c r="I125" s="256">
        <f>G125-H125</f>
        <v>-8</v>
      </c>
      <c r="J125" s="248"/>
      <c r="K125" t="s">
        <v>145</v>
      </c>
      <c r="L125" s="240">
        <f>WERKBON!$B$22</f>
        <v>0</v>
      </c>
      <c r="M125" s="240">
        <f>$C$125</f>
        <v>8</v>
      </c>
      <c r="N125" s="256">
        <f>L125-M125</f>
        <v>-8</v>
      </c>
      <c r="O125" s="247"/>
    </row>
    <row r="126" spans="1:15" x14ac:dyDescent="0.25">
      <c r="A126" t="s">
        <v>148</v>
      </c>
      <c r="B126" s="240">
        <f>B125</f>
        <v>0</v>
      </c>
      <c r="C126" s="240">
        <f>$C$125</f>
        <v>8</v>
      </c>
      <c r="D126" s="256">
        <f>B126-C126</f>
        <v>-8</v>
      </c>
      <c r="E126" s="247"/>
      <c r="F126" t="s">
        <v>148</v>
      </c>
      <c r="G126" s="240">
        <f>G125</f>
        <v>0</v>
      </c>
      <c r="H126" s="240">
        <f>$C$125</f>
        <v>8</v>
      </c>
      <c r="I126" s="256">
        <f>G126-H126</f>
        <v>-8</v>
      </c>
      <c r="J126" s="248"/>
      <c r="K126" t="s">
        <v>148</v>
      </c>
      <c r="L126" s="240">
        <f>L125</f>
        <v>0</v>
      </c>
      <c r="M126" s="240">
        <f>$C$125</f>
        <v>8</v>
      </c>
      <c r="N126" s="256">
        <f>L126-M126</f>
        <v>-8</v>
      </c>
      <c r="O126" s="247"/>
    </row>
    <row r="127" spans="1:15" x14ac:dyDescent="0.25">
      <c r="A127" s="247"/>
      <c r="B127" s="140"/>
      <c r="C127" s="247"/>
      <c r="D127" s="247"/>
      <c r="E127" s="247"/>
      <c r="F127" s="248"/>
      <c r="G127" s="249"/>
      <c r="H127" s="249"/>
      <c r="I127" s="248"/>
      <c r="J127" s="248"/>
      <c r="K127" s="247"/>
      <c r="L127" s="140"/>
      <c r="M127" s="247"/>
      <c r="N127" s="247"/>
      <c r="O127" s="247"/>
    </row>
    <row r="128" spans="1:15" x14ac:dyDescent="0.25">
      <c r="A128" s="175" t="s">
        <v>28</v>
      </c>
      <c r="B128" s="264"/>
      <c r="C128" s="175"/>
      <c r="D128" s="175"/>
      <c r="E128" s="276"/>
      <c r="F128" s="175" t="s">
        <v>28</v>
      </c>
      <c r="G128" s="264"/>
      <c r="H128" s="175"/>
      <c r="I128" s="175"/>
      <c r="J128" s="248"/>
      <c r="K128" s="175" t="s">
        <v>28</v>
      </c>
      <c r="L128" s="264"/>
      <c r="M128" s="175"/>
      <c r="N128" s="175"/>
      <c r="O128" s="276"/>
    </row>
    <row r="129" spans="2:15" x14ac:dyDescent="0.25">
      <c r="B129" s="51" t="s">
        <v>111</v>
      </c>
      <c r="C129" s="51" t="s">
        <v>143</v>
      </c>
      <c r="D129" s="51" t="s">
        <v>144</v>
      </c>
      <c r="E129" s="247"/>
      <c r="G129" s="51" t="s">
        <v>111</v>
      </c>
      <c r="H129" s="51" t="s">
        <v>143</v>
      </c>
      <c r="I129" s="51" t="s">
        <v>144</v>
      </c>
      <c r="J129" s="248"/>
      <c r="L129" s="51" t="s">
        <v>111</v>
      </c>
      <c r="M129" s="51" t="s">
        <v>143</v>
      </c>
      <c r="N129" s="51" t="s">
        <v>144</v>
      </c>
      <c r="O129" s="247"/>
    </row>
    <row r="130" spans="1:15" x14ac:dyDescent="0.25">
      <c r="A130" t="s">
        <v>145</v>
      </c>
      <c r="B130" s="240">
        <f>WERKBON!$C$22</f>
        <v>0</v>
      </c>
      <c r="C130" s="240">
        <f>$C$125</f>
        <v>8</v>
      </c>
      <c r="D130" s="256">
        <f>B130-C130</f>
        <v>-8</v>
      </c>
      <c r="E130" s="247"/>
      <c r="F130" t="s">
        <v>145</v>
      </c>
      <c r="G130" s="240">
        <f>WERKBON!$C$22</f>
        <v>0</v>
      </c>
      <c r="H130" s="240">
        <f>$C$125</f>
        <v>8</v>
      </c>
      <c r="I130" s="256">
        <f>G130-H130</f>
        <v>-8</v>
      </c>
      <c r="J130" s="248"/>
      <c r="K130" t="s">
        <v>145</v>
      </c>
      <c r="L130" s="240">
        <f>WERKBON!$C$22</f>
        <v>0</v>
      </c>
      <c r="M130" s="240">
        <f>$C$125</f>
        <v>8</v>
      </c>
      <c r="N130" s="256">
        <f>L130-M130</f>
        <v>-8</v>
      </c>
      <c r="O130" s="247"/>
    </row>
    <row r="131" spans="1:15" x14ac:dyDescent="0.25">
      <c r="A131" t="s">
        <v>148</v>
      </c>
      <c r="B131" s="240">
        <f>B130</f>
        <v>0</v>
      </c>
      <c r="C131" s="240">
        <f>$C$125</f>
        <v>8</v>
      </c>
      <c r="D131" s="256">
        <f>B131-C131</f>
        <v>-8</v>
      </c>
      <c r="E131" s="247"/>
      <c r="F131" t="s">
        <v>148</v>
      </c>
      <c r="G131" s="240">
        <f>G130</f>
        <v>0</v>
      </c>
      <c r="H131" s="240">
        <f>$C$125</f>
        <v>8</v>
      </c>
      <c r="I131" s="256">
        <f>G131-H131</f>
        <v>-8</v>
      </c>
      <c r="J131" s="261"/>
      <c r="K131" t="s">
        <v>148</v>
      </c>
      <c r="L131" s="240">
        <f>L130</f>
        <v>0</v>
      </c>
      <c r="M131" s="240">
        <f>$C$125</f>
        <v>8</v>
      </c>
      <c r="N131" s="256">
        <f>L131-M131</f>
        <v>-8</v>
      </c>
      <c r="O131" s="247"/>
    </row>
    <row r="132" spans="1:15" x14ac:dyDescent="0.25">
      <c r="A132" s="247"/>
      <c r="B132" s="140"/>
      <c r="C132" s="247"/>
      <c r="D132" s="247"/>
      <c r="E132" s="247"/>
      <c r="F132" s="247"/>
      <c r="G132" s="140"/>
      <c r="H132" s="247"/>
      <c r="I132" s="261"/>
      <c r="J132" s="261"/>
      <c r="K132" s="247"/>
      <c r="L132" s="140"/>
      <c r="M132" s="247"/>
      <c r="N132" s="247"/>
      <c r="O132" s="247"/>
    </row>
    <row r="133" spans="1:15" x14ac:dyDescent="0.25">
      <c r="A133" s="175" t="s">
        <v>29</v>
      </c>
      <c r="B133" s="264"/>
      <c r="C133" s="175"/>
      <c r="D133" s="175"/>
      <c r="E133" s="276"/>
      <c r="F133" s="175" t="s">
        <v>29</v>
      </c>
      <c r="G133" s="264"/>
      <c r="H133" s="175"/>
      <c r="I133" s="175"/>
      <c r="J133" s="278"/>
      <c r="K133" s="175" t="s">
        <v>29</v>
      </c>
      <c r="L133" s="264"/>
      <c r="M133" s="175"/>
      <c r="N133" s="175"/>
      <c r="O133" s="276"/>
    </row>
    <row r="134" spans="2:15" x14ac:dyDescent="0.25">
      <c r="B134" s="51" t="s">
        <v>111</v>
      </c>
      <c r="C134" s="51" t="s">
        <v>143</v>
      </c>
      <c r="D134" s="51" t="s">
        <v>144</v>
      </c>
      <c r="E134" s="247"/>
      <c r="G134" s="51" t="s">
        <v>111</v>
      </c>
      <c r="H134" s="51" t="s">
        <v>143</v>
      </c>
      <c r="I134" s="51" t="s">
        <v>144</v>
      </c>
      <c r="J134" s="261"/>
      <c r="L134" s="51" t="s">
        <v>111</v>
      </c>
      <c r="M134" s="51" t="s">
        <v>143</v>
      </c>
      <c r="N134" s="51" t="s">
        <v>144</v>
      </c>
      <c r="O134" s="247"/>
    </row>
    <row r="135" spans="1:15" x14ac:dyDescent="0.25">
      <c r="A135" t="s">
        <v>145</v>
      </c>
      <c r="B135" s="240">
        <f>WERKBON!$D$22</f>
        <v>0</v>
      </c>
      <c r="C135" s="240">
        <f>$C$125</f>
        <v>8</v>
      </c>
      <c r="D135" s="256">
        <f>B135-C135</f>
        <v>-8</v>
      </c>
      <c r="E135" s="247"/>
      <c r="F135" t="s">
        <v>145</v>
      </c>
      <c r="G135" s="240">
        <f>WERKBON!$D$22</f>
        <v>0</v>
      </c>
      <c r="H135" s="240">
        <f>$C$125</f>
        <v>8</v>
      </c>
      <c r="I135" s="256">
        <f>G135-H135</f>
        <v>-8</v>
      </c>
      <c r="J135" s="261"/>
      <c r="K135" t="s">
        <v>145</v>
      </c>
      <c r="L135" s="240">
        <f>WERKBON!$D$22</f>
        <v>0</v>
      </c>
      <c r="M135" s="240">
        <f>$C$125</f>
        <v>8</v>
      </c>
      <c r="N135" s="256">
        <f>L135-M135</f>
        <v>-8</v>
      </c>
      <c r="O135" s="247"/>
    </row>
    <row r="136" spans="1:15" x14ac:dyDescent="0.25">
      <c r="A136" t="s">
        <v>148</v>
      </c>
      <c r="B136" s="240">
        <f>B135</f>
        <v>0</v>
      </c>
      <c r="C136" s="240">
        <f>$C$125</f>
        <v>8</v>
      </c>
      <c r="D136" s="256">
        <f>B136-C136</f>
        <v>-8</v>
      </c>
      <c r="E136" s="247"/>
      <c r="F136" t="s">
        <v>148</v>
      </c>
      <c r="G136" s="240">
        <f>G135</f>
        <v>0</v>
      </c>
      <c r="H136" s="240">
        <f>$C$125</f>
        <v>8</v>
      </c>
      <c r="I136" s="256">
        <f>G136-H136</f>
        <v>-8</v>
      </c>
      <c r="J136" s="247"/>
      <c r="K136" t="s">
        <v>148</v>
      </c>
      <c r="L136" s="240">
        <f>L135</f>
        <v>0</v>
      </c>
      <c r="M136" s="240">
        <f>$C$125</f>
        <v>8</v>
      </c>
      <c r="N136" s="256">
        <f>L136-M136</f>
        <v>-8</v>
      </c>
      <c r="O136" s="247"/>
    </row>
    <row r="137" spans="1:15" x14ac:dyDescent="0.25">
      <c r="A137" s="247"/>
      <c r="B137" s="140"/>
      <c r="C137" s="247"/>
      <c r="D137" s="247"/>
      <c r="E137" s="247"/>
      <c r="F137" s="247"/>
      <c r="G137" s="140"/>
      <c r="H137" s="247"/>
      <c r="I137" s="247"/>
      <c r="J137" s="247"/>
      <c r="K137" s="247"/>
      <c r="L137" s="140"/>
      <c r="M137" s="247"/>
      <c r="N137" s="247"/>
      <c r="O137" s="247"/>
    </row>
    <row r="138" spans="1:15" x14ac:dyDescent="0.25">
      <c r="A138" s="175" t="s">
        <v>30</v>
      </c>
      <c r="B138" s="264"/>
      <c r="C138" s="175"/>
      <c r="D138" s="175"/>
      <c r="E138" s="276"/>
      <c r="F138" s="175" t="s">
        <v>30</v>
      </c>
      <c r="G138" s="264"/>
      <c r="H138" s="175"/>
      <c r="I138" s="175"/>
      <c r="J138" s="276"/>
      <c r="K138" s="175" t="s">
        <v>30</v>
      </c>
      <c r="L138" s="264"/>
      <c r="M138" s="175"/>
      <c r="N138" s="175"/>
      <c r="O138" s="276"/>
    </row>
    <row r="139" spans="2:15" x14ac:dyDescent="0.25">
      <c r="B139" s="51" t="s">
        <v>111</v>
      </c>
      <c r="C139" s="51" t="s">
        <v>143</v>
      </c>
      <c r="D139" s="51" t="s">
        <v>144</v>
      </c>
      <c r="E139" s="247"/>
      <c r="G139" s="51" t="s">
        <v>111</v>
      </c>
      <c r="H139" s="51" t="s">
        <v>143</v>
      </c>
      <c r="I139" s="51" t="s">
        <v>144</v>
      </c>
      <c r="J139" s="247"/>
      <c r="L139" s="51" t="s">
        <v>111</v>
      </c>
      <c r="M139" s="51" t="s">
        <v>143</v>
      </c>
      <c r="N139" s="51" t="s">
        <v>144</v>
      </c>
      <c r="O139" s="247"/>
    </row>
    <row r="140" spans="1:15" x14ac:dyDescent="0.25">
      <c r="A140" t="s">
        <v>145</v>
      </c>
      <c r="B140" s="240">
        <f>WERKBON!$E$22</f>
        <v>0</v>
      </c>
      <c r="C140" s="240">
        <f>$C$125</f>
        <v>8</v>
      </c>
      <c r="D140" s="256">
        <f>B140-C140</f>
        <v>-8</v>
      </c>
      <c r="E140" s="247"/>
      <c r="F140" t="s">
        <v>145</v>
      </c>
      <c r="G140" s="240">
        <f>WERKBON!$E$22</f>
        <v>0</v>
      </c>
      <c r="H140" s="240">
        <f>$C$125</f>
        <v>8</v>
      </c>
      <c r="I140" s="256">
        <f>G140-H140</f>
        <v>-8</v>
      </c>
      <c r="J140" s="247"/>
      <c r="K140" t="s">
        <v>145</v>
      </c>
      <c r="L140" s="240">
        <f>WERKBON!$E$22</f>
        <v>0</v>
      </c>
      <c r="M140" s="240">
        <f>$C$125</f>
        <v>8</v>
      </c>
      <c r="N140" s="256">
        <f>L140-M140</f>
        <v>-8</v>
      </c>
      <c r="O140" s="247"/>
    </row>
    <row r="141" spans="1:15" x14ac:dyDescent="0.25">
      <c r="A141" t="s">
        <v>148</v>
      </c>
      <c r="B141" s="240">
        <f>B140</f>
        <v>0</v>
      </c>
      <c r="C141" s="240">
        <f>$C$125</f>
        <v>8</v>
      </c>
      <c r="D141" s="256">
        <f>B141-C141</f>
        <v>-8</v>
      </c>
      <c r="E141" s="247"/>
      <c r="F141" t="s">
        <v>148</v>
      </c>
      <c r="G141" s="240">
        <f>G140</f>
        <v>0</v>
      </c>
      <c r="H141" s="240">
        <f>$C$125</f>
        <v>8</v>
      </c>
      <c r="I141" s="256">
        <f>G141-H141</f>
        <v>-8</v>
      </c>
      <c r="J141" s="247"/>
      <c r="K141" t="s">
        <v>148</v>
      </c>
      <c r="L141" s="240">
        <f>L140</f>
        <v>0</v>
      </c>
      <c r="M141" s="240">
        <f>$C$125</f>
        <v>8</v>
      </c>
      <c r="N141" s="256">
        <f>L141-M141</f>
        <v>-8</v>
      </c>
      <c r="O141" s="247"/>
    </row>
    <row r="142" spans="1:15" x14ac:dyDescent="0.25">
      <c r="A142" s="247"/>
      <c r="B142" s="140"/>
      <c r="C142" s="247"/>
      <c r="D142" s="247"/>
      <c r="E142" s="247"/>
      <c r="F142" s="247"/>
      <c r="G142" s="140"/>
      <c r="H142" s="247"/>
      <c r="I142" s="247"/>
      <c r="J142" s="247"/>
      <c r="K142" s="247"/>
      <c r="L142" s="140"/>
      <c r="M142" s="247"/>
      <c r="N142" s="247"/>
      <c r="O142" s="247"/>
    </row>
    <row r="143" spans="1:15" x14ac:dyDescent="0.25">
      <c r="A143" s="175" t="s">
        <v>31</v>
      </c>
      <c r="B143" s="264"/>
      <c r="C143" s="175"/>
      <c r="D143" s="175"/>
      <c r="E143" s="276"/>
      <c r="F143" s="175" t="s">
        <v>31</v>
      </c>
      <c r="G143" s="264"/>
      <c r="H143" s="175"/>
      <c r="I143" s="175"/>
      <c r="J143" s="276"/>
      <c r="K143" s="175" t="s">
        <v>31</v>
      </c>
      <c r="L143" s="264"/>
      <c r="M143" s="175"/>
      <c r="N143" s="175"/>
      <c r="O143" s="276"/>
    </row>
    <row r="144" spans="2:15" x14ac:dyDescent="0.25">
      <c r="B144" s="51" t="s">
        <v>111</v>
      </c>
      <c r="C144" s="51" t="s">
        <v>143</v>
      </c>
      <c r="D144" s="51" t="s">
        <v>144</v>
      </c>
      <c r="E144" s="247"/>
      <c r="G144" s="51" t="s">
        <v>111</v>
      </c>
      <c r="H144" s="51" t="s">
        <v>143</v>
      </c>
      <c r="I144" s="51" t="s">
        <v>144</v>
      </c>
      <c r="J144" s="247"/>
      <c r="L144" s="51" t="s">
        <v>111</v>
      </c>
      <c r="M144" s="51" t="s">
        <v>143</v>
      </c>
      <c r="N144" s="51" t="s">
        <v>144</v>
      </c>
      <c r="O144" s="247"/>
    </row>
    <row r="145" spans="1:15" x14ac:dyDescent="0.25">
      <c r="A145" t="s">
        <v>145</v>
      </c>
      <c r="B145" s="240">
        <f>WERKBON!$F$22</f>
        <v>0</v>
      </c>
      <c r="C145" s="240">
        <f>$C$125</f>
        <v>8</v>
      </c>
      <c r="D145" s="256">
        <f>B145-C145</f>
        <v>-8</v>
      </c>
      <c r="E145" s="247"/>
      <c r="F145" t="s">
        <v>145</v>
      </c>
      <c r="G145" s="240">
        <f>WERKBON!$F$22</f>
        <v>0</v>
      </c>
      <c r="H145" s="240">
        <f>$C$125</f>
        <v>8</v>
      </c>
      <c r="I145" s="256">
        <f>G145-H145</f>
        <v>-8</v>
      </c>
      <c r="J145" s="247"/>
      <c r="K145" t="s">
        <v>145</v>
      </c>
      <c r="L145" s="240">
        <f>WERKBON!$F$22</f>
        <v>0</v>
      </c>
      <c r="M145" s="240">
        <f>$C$125</f>
        <v>8</v>
      </c>
      <c r="N145" s="256">
        <f>L145-M145</f>
        <v>-8</v>
      </c>
      <c r="O145" s="247"/>
    </row>
    <row r="146" spans="1:15" x14ac:dyDescent="0.25">
      <c r="A146" t="s">
        <v>148</v>
      </c>
      <c r="B146" s="240">
        <f>B145</f>
        <v>0</v>
      </c>
      <c r="C146" s="240">
        <f>$C$125</f>
        <v>8</v>
      </c>
      <c r="D146" s="256">
        <f>B146-C146</f>
        <v>-8</v>
      </c>
      <c r="E146" s="247"/>
      <c r="F146" t="s">
        <v>148</v>
      </c>
      <c r="G146" s="240">
        <f>G145</f>
        <v>0</v>
      </c>
      <c r="H146" s="240">
        <f>$C$125</f>
        <v>8</v>
      </c>
      <c r="I146" s="256">
        <f>G146-H146</f>
        <v>-8</v>
      </c>
      <c r="J146" s="247"/>
      <c r="K146" t="s">
        <v>148</v>
      </c>
      <c r="L146" s="240">
        <f>L145</f>
        <v>0</v>
      </c>
      <c r="M146" s="240">
        <f>$C$125</f>
        <v>8</v>
      </c>
      <c r="N146" s="256">
        <f>L146-M146</f>
        <v>-8</v>
      </c>
      <c r="O146" s="247"/>
    </row>
    <row r="147" spans="1:15" x14ac:dyDescent="0.25">
      <c r="A147" s="247"/>
      <c r="B147" s="249"/>
      <c r="C147" s="249"/>
      <c r="D147" s="247"/>
      <c r="E147" s="247"/>
      <c r="F147" s="247"/>
      <c r="G147" s="249"/>
      <c r="H147" s="249"/>
      <c r="I147" s="263"/>
      <c r="J147" s="247"/>
      <c r="K147" s="247"/>
      <c r="L147" s="249"/>
      <c r="M147" s="249"/>
      <c r="N147" s="263"/>
      <c r="O147" s="247"/>
    </row>
    <row r="148" spans="1:15" x14ac:dyDescent="0.25">
      <c r="A148" s="175" t="s">
        <v>32</v>
      </c>
      <c r="B148" s="264"/>
      <c r="C148" s="175"/>
      <c r="D148" s="175"/>
      <c r="E148" s="276"/>
      <c r="F148" s="175" t="s">
        <v>32</v>
      </c>
      <c r="G148" s="264"/>
      <c r="H148" s="175"/>
      <c r="I148" s="175"/>
      <c r="J148" s="276"/>
      <c r="K148" s="175" t="s">
        <v>32</v>
      </c>
      <c r="L148" s="264"/>
      <c r="M148" s="175"/>
      <c r="N148" s="175"/>
      <c r="O148" s="276"/>
    </row>
    <row r="149" spans="2:15" x14ac:dyDescent="0.25">
      <c r="B149" s="51" t="s">
        <v>111</v>
      </c>
      <c r="C149" s="51" t="s">
        <v>143</v>
      </c>
      <c r="D149" s="51" t="s">
        <v>144</v>
      </c>
      <c r="E149" s="247"/>
      <c r="G149" s="51" t="s">
        <v>111</v>
      </c>
      <c r="H149" s="51" t="s">
        <v>143</v>
      </c>
      <c r="I149" s="51" t="s">
        <v>144</v>
      </c>
      <c r="J149" s="248"/>
      <c r="L149" s="51" t="s">
        <v>111</v>
      </c>
      <c r="M149" s="51" t="s">
        <v>143</v>
      </c>
      <c r="N149" s="51" t="s">
        <v>144</v>
      </c>
      <c r="O149" s="247"/>
    </row>
    <row r="150" spans="1:15" x14ac:dyDescent="0.25">
      <c r="A150" t="s">
        <v>145</v>
      </c>
      <c r="B150" s="240">
        <f>WERKBON!$G$22</f>
        <v>0</v>
      </c>
      <c r="C150" s="240">
        <f>$C$125</f>
        <v>8</v>
      </c>
      <c r="D150" s="256">
        <f>B150-C150</f>
        <v>-8</v>
      </c>
      <c r="E150" s="247"/>
      <c r="F150" t="s">
        <v>145</v>
      </c>
      <c r="G150" s="240">
        <f>WERKBON!$G$22</f>
        <v>0</v>
      </c>
      <c r="H150" s="240">
        <f>$C$125</f>
        <v>8</v>
      </c>
      <c r="I150" s="256">
        <f>G150-H150</f>
        <v>-8</v>
      </c>
      <c r="J150" s="248"/>
      <c r="K150" t="s">
        <v>145</v>
      </c>
      <c r="L150" s="240">
        <f>WERKBON!$G$22</f>
        <v>0</v>
      </c>
      <c r="M150" s="240">
        <f>$C$125</f>
        <v>8</v>
      </c>
      <c r="N150" s="256">
        <f>L150-M150</f>
        <v>-8</v>
      </c>
      <c r="O150" s="247"/>
    </row>
    <row r="151" spans="1:15" x14ac:dyDescent="0.25">
      <c r="A151" t="s">
        <v>148</v>
      </c>
      <c r="B151" s="240">
        <f>B150</f>
        <v>0</v>
      </c>
      <c r="C151" s="240">
        <f>$C$125</f>
        <v>8</v>
      </c>
      <c r="D151" s="256">
        <f>B151-C151</f>
        <v>-8</v>
      </c>
      <c r="E151" s="247"/>
      <c r="F151" t="s">
        <v>148</v>
      </c>
      <c r="G151" s="240">
        <f>G150</f>
        <v>0</v>
      </c>
      <c r="H151" s="240">
        <f>$C$125</f>
        <v>8</v>
      </c>
      <c r="I151" s="256">
        <f>G151-H151</f>
        <v>-8</v>
      </c>
      <c r="J151" s="248"/>
      <c r="K151" t="s">
        <v>148</v>
      </c>
      <c r="L151" s="240">
        <f>L150</f>
        <v>0</v>
      </c>
      <c r="M151" s="240">
        <f>$C$125</f>
        <v>8</v>
      </c>
      <c r="N151" s="256">
        <f>L151-M151</f>
        <v>-8</v>
      </c>
      <c r="O151" s="247"/>
    </row>
    <row r="152" spans="1:15" x14ac:dyDescent="0.25">
      <c r="A152" s="247"/>
      <c r="B152" s="249"/>
      <c r="C152" s="249"/>
      <c r="D152" s="247"/>
      <c r="E152" s="247"/>
      <c r="F152" s="248"/>
      <c r="G152" s="249"/>
      <c r="H152" s="249"/>
      <c r="I152" s="263"/>
      <c r="J152" s="248"/>
      <c r="K152" s="247"/>
      <c r="L152" s="249"/>
      <c r="M152" s="249"/>
      <c r="N152" s="263"/>
      <c r="O152" s="247"/>
    </row>
    <row r="153" spans="1:15" x14ac:dyDescent="0.25">
      <c r="A153" s="175" t="s">
        <v>33</v>
      </c>
      <c r="B153" s="264"/>
      <c r="C153" s="175"/>
      <c r="D153" s="175"/>
      <c r="E153" s="276"/>
      <c r="F153" s="175" t="s">
        <v>33</v>
      </c>
      <c r="G153" s="264"/>
      <c r="H153" s="175"/>
      <c r="I153" s="175"/>
      <c r="J153" s="248"/>
      <c r="K153" s="175" t="s">
        <v>33</v>
      </c>
      <c r="L153" s="264"/>
      <c r="M153" s="175"/>
      <c r="N153" s="175"/>
      <c r="O153" s="276"/>
    </row>
    <row r="154" spans="2:15" x14ac:dyDescent="0.25">
      <c r="B154" s="51" t="s">
        <v>111</v>
      </c>
      <c r="C154" s="51" t="s">
        <v>143</v>
      </c>
      <c r="D154" s="51" t="s">
        <v>144</v>
      </c>
      <c r="E154" s="247"/>
      <c r="G154" s="51" t="s">
        <v>111</v>
      </c>
      <c r="H154" s="51" t="s">
        <v>143</v>
      </c>
      <c r="I154" s="51" t="s">
        <v>144</v>
      </c>
      <c r="J154" s="248"/>
      <c r="L154" s="51" t="s">
        <v>111</v>
      </c>
      <c r="M154" s="51" t="s">
        <v>143</v>
      </c>
      <c r="N154" s="51" t="s">
        <v>144</v>
      </c>
      <c r="O154" s="247"/>
    </row>
    <row r="155" spans="1:15" x14ac:dyDescent="0.25">
      <c r="A155" t="s">
        <v>145</v>
      </c>
      <c r="B155" s="240">
        <f>WERKBON!$H$22</f>
        <v>0</v>
      </c>
      <c r="C155" s="240">
        <f>$C$125</f>
        <v>8</v>
      </c>
      <c r="D155" s="256">
        <f>B155-C155</f>
        <v>-8</v>
      </c>
      <c r="E155" s="247"/>
      <c r="F155" t="s">
        <v>145</v>
      </c>
      <c r="G155" s="240">
        <f>WERKBON!$H$22</f>
        <v>0</v>
      </c>
      <c r="H155" s="240">
        <f>$C$125</f>
        <v>8</v>
      </c>
      <c r="I155" s="256">
        <f>G155-H155</f>
        <v>-8</v>
      </c>
      <c r="J155" s="248"/>
      <c r="K155" t="s">
        <v>145</v>
      </c>
      <c r="L155" s="240">
        <f>WERKBON!$H$22</f>
        <v>0</v>
      </c>
      <c r="M155" s="240">
        <f>$C$125</f>
        <v>8</v>
      </c>
      <c r="N155" s="256">
        <f>L155-M155</f>
        <v>-8</v>
      </c>
      <c r="O155" s="247"/>
    </row>
    <row r="156" spans="1:15" x14ac:dyDescent="0.25">
      <c r="A156" t="s">
        <v>148</v>
      </c>
      <c r="B156" s="240">
        <f>B155</f>
        <v>0</v>
      </c>
      <c r="C156" s="240">
        <f>$C$125</f>
        <v>8</v>
      </c>
      <c r="D156" s="256">
        <f>B156-C156</f>
        <v>-8</v>
      </c>
      <c r="E156" s="247"/>
      <c r="F156" t="s">
        <v>148</v>
      </c>
      <c r="G156" s="240">
        <f>G155</f>
        <v>0</v>
      </c>
      <c r="H156" s="240">
        <f>$C$125</f>
        <v>8</v>
      </c>
      <c r="I156" s="256">
        <f>G156-H156</f>
        <v>-8</v>
      </c>
      <c r="J156" s="261"/>
      <c r="K156" t="s">
        <v>148</v>
      </c>
      <c r="L156" s="240">
        <f>L155</f>
        <v>0</v>
      </c>
      <c r="M156" s="240">
        <f>$C$125</f>
        <v>8</v>
      </c>
      <c r="N156" s="256">
        <f>L156-M156</f>
        <v>-8</v>
      </c>
      <c r="O156" s="247"/>
    </row>
    <row r="157" spans="1:15" x14ac:dyDescent="0.25">
      <c r="A157" s="247"/>
      <c r="B157" s="249"/>
      <c r="C157" s="249"/>
      <c r="D157" s="247"/>
      <c r="E157" s="247"/>
      <c r="F157" s="247"/>
      <c r="G157" s="249"/>
      <c r="H157" s="249"/>
      <c r="I157" s="263"/>
      <c r="J157" s="261"/>
      <c r="K157" s="247"/>
      <c r="L157" s="249"/>
      <c r="M157" s="249"/>
      <c r="N157" s="263"/>
      <c r="O157" s="247"/>
    </row>
    <row r="158" spans="1:15" x14ac:dyDescent="0.25">
      <c r="A158" s="175" t="s">
        <v>34</v>
      </c>
      <c r="B158" s="264"/>
      <c r="C158" s="175"/>
      <c r="D158" s="175"/>
      <c r="E158" s="276"/>
      <c r="F158" s="175" t="s">
        <v>34</v>
      </c>
      <c r="G158" s="264"/>
      <c r="H158" s="175"/>
      <c r="I158" s="175"/>
      <c r="J158" s="278"/>
      <c r="K158" s="175" t="s">
        <v>34</v>
      </c>
      <c r="L158" s="264"/>
      <c r="M158" s="175"/>
      <c r="N158" s="175"/>
      <c r="O158" s="276"/>
    </row>
    <row r="159" spans="2:15" x14ac:dyDescent="0.25">
      <c r="B159" s="51" t="s">
        <v>111</v>
      </c>
      <c r="C159" s="51" t="s">
        <v>143</v>
      </c>
      <c r="D159" s="51" t="s">
        <v>144</v>
      </c>
      <c r="E159" s="247"/>
      <c r="G159" s="51" t="s">
        <v>111</v>
      </c>
      <c r="H159" s="51" t="s">
        <v>143</v>
      </c>
      <c r="I159" s="51" t="s">
        <v>144</v>
      </c>
      <c r="J159" s="261"/>
      <c r="L159" s="51" t="s">
        <v>111</v>
      </c>
      <c r="M159" s="51" t="s">
        <v>143</v>
      </c>
      <c r="N159" s="51" t="s">
        <v>144</v>
      </c>
      <c r="O159" s="247"/>
    </row>
    <row r="160" spans="1:15" x14ac:dyDescent="0.25">
      <c r="A160" t="s">
        <v>145</v>
      </c>
      <c r="B160" s="240">
        <f>WERKBON!$I$22</f>
        <v>0</v>
      </c>
      <c r="C160" s="240">
        <f>$C$125</f>
        <v>8</v>
      </c>
      <c r="D160" s="256">
        <f>B160-C160</f>
        <v>-8</v>
      </c>
      <c r="E160" s="247"/>
      <c r="F160" t="s">
        <v>145</v>
      </c>
      <c r="G160" s="240">
        <f>WERKBON!$I$22</f>
        <v>0</v>
      </c>
      <c r="H160" s="240">
        <f>$C$125</f>
        <v>8</v>
      </c>
      <c r="I160" s="256">
        <f>G160-H160</f>
        <v>-8</v>
      </c>
      <c r="J160" s="261"/>
      <c r="K160" t="s">
        <v>145</v>
      </c>
      <c r="L160" s="240">
        <f>WERKBON!$I$22</f>
        <v>0</v>
      </c>
      <c r="M160" s="240">
        <f>$C$125</f>
        <v>8</v>
      </c>
      <c r="N160" s="256">
        <f>L160-M160</f>
        <v>-8</v>
      </c>
      <c r="O160" s="247"/>
    </row>
    <row r="161" spans="1:15" x14ac:dyDescent="0.25">
      <c r="A161" t="s">
        <v>148</v>
      </c>
      <c r="B161" s="240">
        <f>B160</f>
        <v>0</v>
      </c>
      <c r="C161" s="240">
        <f>$C$125</f>
        <v>8</v>
      </c>
      <c r="D161" s="256">
        <f>B161-C161</f>
        <v>-8</v>
      </c>
      <c r="E161" s="247"/>
      <c r="F161" t="s">
        <v>148</v>
      </c>
      <c r="G161" s="240">
        <f>G160</f>
        <v>0</v>
      </c>
      <c r="H161" s="240">
        <f>$C$125</f>
        <v>8</v>
      </c>
      <c r="I161" s="256">
        <f>G161-H161</f>
        <v>-8</v>
      </c>
      <c r="J161" s="247"/>
      <c r="K161" t="s">
        <v>148</v>
      </c>
      <c r="L161" s="240">
        <f>L160</f>
        <v>0</v>
      </c>
      <c r="M161" s="240">
        <f>$C$125</f>
        <v>8</v>
      </c>
      <c r="N161" s="256">
        <f>L161-M161</f>
        <v>-8</v>
      </c>
      <c r="O161" s="247"/>
    </row>
    <row r="162" spans="1:15" x14ac:dyDescent="0.25">
      <c r="A162" s="247"/>
      <c r="B162" s="249"/>
      <c r="C162" s="249"/>
      <c r="D162" s="247"/>
      <c r="E162" s="247"/>
      <c r="F162" s="247"/>
      <c r="G162" s="249"/>
      <c r="H162" s="249"/>
      <c r="I162" s="263"/>
      <c r="J162" s="247"/>
      <c r="K162" s="247"/>
      <c r="L162" s="249"/>
      <c r="M162" s="249"/>
      <c r="N162" s="263"/>
      <c r="O162" s="247"/>
    </row>
    <row r="163" spans="1:15" x14ac:dyDescent="0.25">
      <c r="A163" s="175" t="s">
        <v>35</v>
      </c>
      <c r="B163" s="264"/>
      <c r="C163" s="175"/>
      <c r="D163" s="175"/>
      <c r="E163" s="276"/>
      <c r="F163" s="175" t="s">
        <v>35</v>
      </c>
      <c r="G163" s="264"/>
      <c r="H163" s="175"/>
      <c r="I163" s="175"/>
      <c r="J163" s="276"/>
      <c r="K163" s="175" t="s">
        <v>35</v>
      </c>
      <c r="L163" s="264"/>
      <c r="M163" s="175"/>
      <c r="N163" s="175"/>
      <c r="O163" s="276"/>
    </row>
    <row r="164" spans="2:15" x14ac:dyDescent="0.25">
      <c r="B164" s="51" t="s">
        <v>111</v>
      </c>
      <c r="C164" s="51" t="s">
        <v>143</v>
      </c>
      <c r="D164" s="51" t="s">
        <v>144</v>
      </c>
      <c r="E164" s="247"/>
      <c r="G164" s="51" t="s">
        <v>111</v>
      </c>
      <c r="H164" s="51" t="s">
        <v>143</v>
      </c>
      <c r="I164" s="51" t="s">
        <v>144</v>
      </c>
      <c r="J164" s="247"/>
      <c r="L164" s="51" t="s">
        <v>111</v>
      </c>
      <c r="M164" s="51" t="s">
        <v>143</v>
      </c>
      <c r="N164" s="51" t="s">
        <v>144</v>
      </c>
      <c r="O164" s="247"/>
    </row>
    <row r="165" spans="1:15" x14ac:dyDescent="0.25">
      <c r="A165" t="s">
        <v>145</v>
      </c>
      <c r="B165" s="240">
        <f>WERKBON!$J$22</f>
        <v>0</v>
      </c>
      <c r="C165" s="240">
        <f>$C$125</f>
        <v>8</v>
      </c>
      <c r="D165" s="256">
        <f>B165-C165</f>
        <v>-8</v>
      </c>
      <c r="E165" s="247"/>
      <c r="F165" t="s">
        <v>145</v>
      </c>
      <c r="G165" s="240">
        <f>WERKBON!$J$22</f>
        <v>0</v>
      </c>
      <c r="H165" s="240">
        <f>$C$125</f>
        <v>8</v>
      </c>
      <c r="I165" s="256">
        <f>G165-H165</f>
        <v>-8</v>
      </c>
      <c r="J165" s="247"/>
      <c r="K165" t="s">
        <v>145</v>
      </c>
      <c r="L165" s="240">
        <f>WERKBON!$J$22</f>
        <v>0</v>
      </c>
      <c r="M165" s="240">
        <f>$C$125</f>
        <v>8</v>
      </c>
      <c r="N165" s="256">
        <f>L165-M165</f>
        <v>-8</v>
      </c>
      <c r="O165" s="247"/>
    </row>
    <row r="166" spans="1:15" x14ac:dyDescent="0.25">
      <c r="A166" t="s">
        <v>148</v>
      </c>
      <c r="B166" s="240">
        <f>B165</f>
        <v>0</v>
      </c>
      <c r="C166" s="240">
        <f>$C$125</f>
        <v>8</v>
      </c>
      <c r="D166" s="256">
        <f>B166-C166</f>
        <v>-8</v>
      </c>
      <c r="E166" s="247"/>
      <c r="F166" t="s">
        <v>148</v>
      </c>
      <c r="G166" s="240">
        <f>G165</f>
        <v>0</v>
      </c>
      <c r="H166" s="240">
        <f>$C$125</f>
        <v>8</v>
      </c>
      <c r="I166" s="256">
        <f>G166-H166</f>
        <v>-8</v>
      </c>
      <c r="J166" s="247"/>
      <c r="K166" t="s">
        <v>148</v>
      </c>
      <c r="L166" s="240">
        <f>L165</f>
        <v>0</v>
      </c>
      <c r="M166" s="240">
        <f>$C$125</f>
        <v>8</v>
      </c>
      <c r="N166" s="256">
        <f>L166-M166</f>
        <v>-8</v>
      </c>
      <c r="O166" s="247"/>
    </row>
    <row r="167" spans="1:15" x14ac:dyDescent="0.25">
      <c r="A167" s="247"/>
      <c r="B167" s="249"/>
      <c r="C167" s="249"/>
      <c r="D167" s="247"/>
      <c r="E167" s="247"/>
      <c r="F167" s="247"/>
      <c r="G167" s="249"/>
      <c r="H167" s="249"/>
      <c r="I167" s="263"/>
      <c r="J167" s="247"/>
      <c r="K167" s="247"/>
      <c r="L167" s="249"/>
      <c r="M167" s="249"/>
      <c r="N167" s="263"/>
      <c r="O167" s="247"/>
    </row>
    <row r="168" spans="1:15" x14ac:dyDescent="0.25">
      <c r="A168" s="175" t="s">
        <v>36</v>
      </c>
      <c r="B168" s="264"/>
      <c r="C168" s="175"/>
      <c r="D168" s="175"/>
      <c r="E168" s="276"/>
      <c r="F168" s="175" t="s">
        <v>36</v>
      </c>
      <c r="G168" s="264"/>
      <c r="H168" s="175"/>
      <c r="I168" s="175"/>
      <c r="J168" s="276"/>
      <c r="K168" s="175" t="s">
        <v>36</v>
      </c>
      <c r="L168" s="264"/>
      <c r="M168" s="175"/>
      <c r="N168" s="175"/>
      <c r="O168" s="276"/>
    </row>
    <row r="169" spans="2:15" x14ac:dyDescent="0.25">
      <c r="B169" s="51" t="s">
        <v>111</v>
      </c>
      <c r="C169" s="51" t="s">
        <v>143</v>
      </c>
      <c r="D169" s="51" t="s">
        <v>144</v>
      </c>
      <c r="E169" s="247"/>
      <c r="G169" s="51" t="s">
        <v>111</v>
      </c>
      <c r="H169" s="51" t="s">
        <v>143</v>
      </c>
      <c r="I169" s="51" t="s">
        <v>144</v>
      </c>
      <c r="J169" s="247"/>
      <c r="L169" s="51" t="s">
        <v>111</v>
      </c>
      <c r="M169" s="51" t="s">
        <v>143</v>
      </c>
      <c r="N169" s="51" t="s">
        <v>144</v>
      </c>
      <c r="O169" s="247"/>
    </row>
    <row r="170" spans="1:15" x14ac:dyDescent="0.25">
      <c r="A170" t="s">
        <v>145</v>
      </c>
      <c r="B170" s="240">
        <f>WERKBON!$K$22</f>
        <v>0</v>
      </c>
      <c r="C170" s="240">
        <f>$C$125</f>
        <v>8</v>
      </c>
      <c r="D170" s="256">
        <f>B170-C170</f>
        <v>-8</v>
      </c>
      <c r="E170" s="247"/>
      <c r="F170" t="s">
        <v>145</v>
      </c>
      <c r="G170" s="240">
        <f>WERKBON!$K$22</f>
        <v>0</v>
      </c>
      <c r="H170" s="240">
        <f>$C$125</f>
        <v>8</v>
      </c>
      <c r="I170" s="256">
        <f>G170-H170</f>
        <v>-8</v>
      </c>
      <c r="J170" s="247"/>
      <c r="K170" t="s">
        <v>145</v>
      </c>
      <c r="L170" s="240">
        <f>WERKBON!$K$22</f>
        <v>0</v>
      </c>
      <c r="M170" s="240">
        <f>$C$125</f>
        <v>8</v>
      </c>
      <c r="N170" s="256">
        <f>L170-M170</f>
        <v>-8</v>
      </c>
      <c r="O170" s="247"/>
    </row>
    <row r="171" spans="1:15" x14ac:dyDescent="0.25">
      <c r="A171" t="s">
        <v>148</v>
      </c>
      <c r="B171" s="240">
        <f>B170</f>
        <v>0</v>
      </c>
      <c r="C171" s="240">
        <f>$C$125</f>
        <v>8</v>
      </c>
      <c r="D171" s="256">
        <f>B171-C171</f>
        <v>-8</v>
      </c>
      <c r="E171" s="247"/>
      <c r="F171" t="s">
        <v>148</v>
      </c>
      <c r="G171" s="240">
        <f>G170</f>
        <v>0</v>
      </c>
      <c r="H171" s="240">
        <f>$C$125</f>
        <v>8</v>
      </c>
      <c r="I171" s="256">
        <f>G171-H171</f>
        <v>-8</v>
      </c>
      <c r="J171" s="247"/>
      <c r="K171" t="s">
        <v>148</v>
      </c>
      <c r="L171" s="240">
        <f>L170</f>
        <v>0</v>
      </c>
      <c r="M171" s="240">
        <f>$C$125</f>
        <v>8</v>
      </c>
      <c r="N171" s="256">
        <f>L171-M171</f>
        <v>-8</v>
      </c>
      <c r="O171" s="247"/>
    </row>
    <row r="172" spans="1:15" x14ac:dyDescent="0.25">
      <c r="A172" s="247"/>
      <c r="B172" s="249"/>
      <c r="C172" s="249"/>
      <c r="D172" s="247"/>
      <c r="E172" s="247"/>
      <c r="F172" s="247"/>
      <c r="G172" s="249"/>
      <c r="H172" s="249"/>
      <c r="I172" s="263"/>
      <c r="J172" s="247"/>
      <c r="K172" s="247"/>
      <c r="L172" s="249"/>
      <c r="M172" s="249"/>
      <c r="N172" s="263"/>
      <c r="O172" s="247"/>
    </row>
    <row r="176" ht="18" customHeight="1" spans="1:15" x14ac:dyDescent="0.25">
      <c r="A176" s="266" t="s">
        <v>151</v>
      </c>
      <c r="B176" s="267"/>
      <c r="C176" s="268" t="s">
        <v>152</v>
      </c>
      <c r="D176" s="269">
        <v>42</v>
      </c>
      <c r="E176" s="2"/>
      <c r="F176" s="270" t="s">
        <v>153</v>
      </c>
      <c r="G176" s="271">
        <v>3.5</v>
      </c>
      <c r="H176" s="270" t="s">
        <v>142</v>
      </c>
      <c r="I176" s="2"/>
      <c r="J176" s="2"/>
      <c r="K176" s="266" t="s">
        <v>154</v>
      </c>
      <c r="L176" s="272"/>
      <c r="M176" s="270" t="s">
        <v>148</v>
      </c>
      <c r="N176" s="273">
        <v>52</v>
      </c>
      <c r="O176" s="270" t="s">
        <v>147</v>
      </c>
    </row>
    <row r="177" ht="18" customHeight="1" spans="1:15" x14ac:dyDescent="0.25">
      <c r="A177" s="274" t="s">
        <v>155</v>
      </c>
      <c r="B177" s="243"/>
      <c r="C177" s="274"/>
      <c r="D177" s="274"/>
      <c r="E177" s="244"/>
      <c r="F177" s="274" t="s">
        <v>139</v>
      </c>
      <c r="G177" s="243"/>
      <c r="H177" s="274"/>
      <c r="I177" s="274"/>
      <c r="J177" s="244"/>
      <c r="K177" s="274" t="s">
        <v>140</v>
      </c>
      <c r="L177" s="243"/>
      <c r="M177" s="274"/>
      <c r="N177" s="274"/>
      <c r="O177" s="244"/>
    </row>
    <row r="178" spans="1:15" x14ac:dyDescent="0.25">
      <c r="A178" s="175" t="s">
        <v>27</v>
      </c>
      <c r="B178" s="264"/>
      <c r="C178" s="175"/>
      <c r="D178" s="175"/>
      <c r="E178" s="276"/>
      <c r="F178" s="175" t="s">
        <v>27</v>
      </c>
      <c r="G178" s="264"/>
      <c r="H178" s="175"/>
      <c r="I178" s="175"/>
      <c r="J178" s="277"/>
      <c r="K178" s="175" t="s">
        <v>27</v>
      </c>
      <c r="L178" s="264"/>
      <c r="M178" s="175"/>
      <c r="N178" s="175"/>
      <c r="O178" s="276"/>
    </row>
    <row r="179" spans="2:15" x14ac:dyDescent="0.25">
      <c r="B179" s="51" t="s">
        <v>111</v>
      </c>
      <c r="C179" s="51" t="s">
        <v>143</v>
      </c>
      <c r="D179" s="51" t="s">
        <v>144</v>
      </c>
      <c r="E179" s="247"/>
      <c r="G179" s="51" t="s">
        <v>111</v>
      </c>
      <c r="H179" s="51" t="s">
        <v>143</v>
      </c>
      <c r="I179" s="51" t="s">
        <v>144</v>
      </c>
      <c r="J179" s="248"/>
      <c r="L179" s="51" t="s">
        <v>111</v>
      </c>
      <c r="M179" s="51" t="s">
        <v>143</v>
      </c>
      <c r="N179" s="51" t="s">
        <v>144</v>
      </c>
      <c r="O179" s="247"/>
    </row>
    <row r="180" spans="1:15" x14ac:dyDescent="0.25">
      <c r="A180" t="s">
        <v>145</v>
      </c>
      <c r="B180" s="240">
        <f>WERKBON!$B$22</f>
        <v>0</v>
      </c>
      <c r="C180" s="240">
        <v>0</v>
      </c>
      <c r="D180" s="256">
        <f>B180-C180</f>
        <v>0</v>
      </c>
      <c r="E180" s="247"/>
      <c r="F180" t="s">
        <v>145</v>
      </c>
      <c r="G180" s="240">
        <f>WERKBON!$B$22</f>
        <v>0</v>
      </c>
      <c r="H180" s="240">
        <f>$C$180</f>
        <v>0</v>
      </c>
      <c r="I180" s="256">
        <f>G180-H180</f>
        <v>0</v>
      </c>
      <c r="J180" s="248"/>
      <c r="K180" t="s">
        <v>145</v>
      </c>
      <c r="L180" s="240">
        <f>WERKBON!$B$22</f>
        <v>0</v>
      </c>
      <c r="M180" s="240">
        <f>$C$180</f>
        <v>0</v>
      </c>
      <c r="N180" s="256">
        <f>L180-M180</f>
        <v>0</v>
      </c>
      <c r="O180" s="247"/>
    </row>
    <row r="181" spans="1:15" x14ac:dyDescent="0.25">
      <c r="A181" t="s">
        <v>148</v>
      </c>
      <c r="B181" s="240">
        <f>B180</f>
        <v>0</v>
      </c>
      <c r="C181" s="240">
        <v>10</v>
      </c>
      <c r="D181" s="256">
        <f>B181-C181</f>
        <v>-10</v>
      </c>
      <c r="E181" s="247"/>
      <c r="F181" t="s">
        <v>148</v>
      </c>
      <c r="G181" s="240">
        <f>G180</f>
        <v>0</v>
      </c>
      <c r="H181" s="240">
        <f>$C$181</f>
        <v>10</v>
      </c>
      <c r="I181" s="256">
        <f>G181-H181</f>
        <v>-10</v>
      </c>
      <c r="J181" s="248"/>
      <c r="K181" t="s">
        <v>148</v>
      </c>
      <c r="L181" s="240">
        <f>L180</f>
        <v>0</v>
      </c>
      <c r="M181" s="240">
        <f>$C$181</f>
        <v>10</v>
      </c>
      <c r="N181" s="256">
        <f>L181-M181</f>
        <v>-10</v>
      </c>
      <c r="O181" s="247"/>
    </row>
    <row r="182" spans="1:15" x14ac:dyDescent="0.25">
      <c r="A182" s="247"/>
      <c r="B182" s="140"/>
      <c r="C182" s="247"/>
      <c r="D182" s="247"/>
      <c r="E182" s="247"/>
      <c r="F182" s="248"/>
      <c r="G182" s="249"/>
      <c r="H182" s="249"/>
      <c r="I182" s="248"/>
      <c r="J182" s="248"/>
      <c r="K182" s="247"/>
      <c r="L182" s="140"/>
      <c r="M182" s="247"/>
      <c r="N182" s="247"/>
      <c r="O182" s="247"/>
    </row>
    <row r="183" spans="1:15" x14ac:dyDescent="0.25">
      <c r="A183" s="175" t="s">
        <v>28</v>
      </c>
      <c r="B183" s="264"/>
      <c r="C183" s="175"/>
      <c r="D183" s="175"/>
      <c r="E183" s="276"/>
      <c r="F183" s="175" t="s">
        <v>28</v>
      </c>
      <c r="G183" s="264"/>
      <c r="H183" s="175"/>
      <c r="I183" s="175"/>
      <c r="J183" s="248"/>
      <c r="K183" s="175" t="s">
        <v>28</v>
      </c>
      <c r="L183" s="264"/>
      <c r="M183" s="175"/>
      <c r="N183" s="175"/>
      <c r="O183" s="276"/>
    </row>
    <row r="184" spans="2:15" x14ac:dyDescent="0.25">
      <c r="B184" s="51" t="s">
        <v>111</v>
      </c>
      <c r="C184" s="51" t="s">
        <v>143</v>
      </c>
      <c r="D184" s="51" t="s">
        <v>144</v>
      </c>
      <c r="E184" s="247"/>
      <c r="G184" s="51" t="s">
        <v>111</v>
      </c>
      <c r="H184" s="51" t="s">
        <v>143</v>
      </c>
      <c r="I184" s="51" t="s">
        <v>144</v>
      </c>
      <c r="J184" s="248"/>
      <c r="L184" s="51" t="s">
        <v>111</v>
      </c>
      <c r="M184" s="51" t="s">
        <v>143</v>
      </c>
      <c r="N184" s="51" t="s">
        <v>144</v>
      </c>
      <c r="O184" s="247"/>
    </row>
    <row r="185" spans="1:15" x14ac:dyDescent="0.25">
      <c r="A185" t="s">
        <v>145</v>
      </c>
      <c r="B185" s="240">
        <f>WERKBON!$C$22</f>
        <v>0</v>
      </c>
      <c r="C185" s="240">
        <f>$C$180</f>
        <v>0</v>
      </c>
      <c r="D185" s="256">
        <f>B185-C185</f>
        <v>0</v>
      </c>
      <c r="E185" s="247"/>
      <c r="F185" t="s">
        <v>145</v>
      </c>
      <c r="G185" s="240">
        <f>WERKBON!$C$22</f>
        <v>0</v>
      </c>
      <c r="H185" s="240">
        <f>$C$180</f>
        <v>0</v>
      </c>
      <c r="I185" s="256">
        <f>G185-H185</f>
        <v>0</v>
      </c>
      <c r="J185" s="248"/>
      <c r="K185" t="s">
        <v>145</v>
      </c>
      <c r="L185" s="240">
        <f>WERKBON!$C$22</f>
        <v>0</v>
      </c>
      <c r="M185" s="240">
        <f>$C$180</f>
        <v>0</v>
      </c>
      <c r="N185" s="256">
        <f>L185-M185</f>
        <v>0</v>
      </c>
      <c r="O185" s="247"/>
    </row>
    <row r="186" spans="1:15" x14ac:dyDescent="0.25">
      <c r="A186" t="s">
        <v>148</v>
      </c>
      <c r="B186" s="240">
        <f>B185</f>
        <v>0</v>
      </c>
      <c r="C186" s="240">
        <f>$C$181</f>
        <v>10</v>
      </c>
      <c r="D186" s="256">
        <f>B186-C186</f>
        <v>-10</v>
      </c>
      <c r="E186" s="247"/>
      <c r="F186" t="s">
        <v>148</v>
      </c>
      <c r="G186" s="240">
        <f>G185</f>
        <v>0</v>
      </c>
      <c r="H186" s="240">
        <f>$C$181</f>
        <v>10</v>
      </c>
      <c r="I186" s="256">
        <f>G186-H186</f>
        <v>-10</v>
      </c>
      <c r="J186" s="261"/>
      <c r="K186" t="s">
        <v>148</v>
      </c>
      <c r="L186" s="240">
        <f>L185</f>
        <v>0</v>
      </c>
      <c r="M186" s="240">
        <f>$C$181</f>
        <v>10</v>
      </c>
      <c r="N186" s="256">
        <f>L186-M186</f>
        <v>-10</v>
      </c>
      <c r="O186" s="247"/>
    </row>
    <row r="187" spans="1:15" x14ac:dyDescent="0.25">
      <c r="A187" s="247"/>
      <c r="B187" s="140"/>
      <c r="C187" s="247"/>
      <c r="D187" s="247"/>
      <c r="E187" s="247"/>
      <c r="F187" s="247"/>
      <c r="G187" s="140"/>
      <c r="H187" s="247"/>
      <c r="I187" s="261"/>
      <c r="J187" s="261"/>
      <c r="K187" s="247"/>
      <c r="L187" s="140"/>
      <c r="M187" s="247"/>
      <c r="N187" s="247"/>
      <c r="O187" s="247"/>
    </row>
    <row r="188" spans="1:15" x14ac:dyDescent="0.25">
      <c r="A188" s="175" t="s">
        <v>29</v>
      </c>
      <c r="B188" s="264"/>
      <c r="C188" s="175"/>
      <c r="D188" s="175"/>
      <c r="E188" s="276"/>
      <c r="F188" s="175" t="s">
        <v>29</v>
      </c>
      <c r="G188" s="264"/>
      <c r="H188" s="175"/>
      <c r="I188" s="175"/>
      <c r="J188" s="278"/>
      <c r="K188" s="175" t="s">
        <v>29</v>
      </c>
      <c r="L188" s="264"/>
      <c r="M188" s="175"/>
      <c r="N188" s="175"/>
      <c r="O188" s="276"/>
    </row>
    <row r="189" spans="2:15" x14ac:dyDescent="0.25">
      <c r="B189" s="51" t="s">
        <v>111</v>
      </c>
      <c r="C189" s="51" t="s">
        <v>143</v>
      </c>
      <c r="D189" s="51" t="s">
        <v>144</v>
      </c>
      <c r="E189" s="247"/>
      <c r="G189" s="51" t="s">
        <v>111</v>
      </c>
      <c r="H189" s="51" t="s">
        <v>143</v>
      </c>
      <c r="I189" s="51" t="s">
        <v>144</v>
      </c>
      <c r="J189" s="261"/>
      <c r="L189" s="51" t="s">
        <v>111</v>
      </c>
      <c r="M189" s="51" t="s">
        <v>143</v>
      </c>
      <c r="N189" s="51" t="s">
        <v>144</v>
      </c>
      <c r="O189" s="247"/>
    </row>
    <row r="190" spans="1:15" x14ac:dyDescent="0.25">
      <c r="A190" t="s">
        <v>145</v>
      </c>
      <c r="B190" s="240">
        <f>WERKBON!$D$22</f>
        <v>0</v>
      </c>
      <c r="C190" s="240">
        <f>$C$180</f>
        <v>0</v>
      </c>
      <c r="D190" s="256">
        <f>B190-C190</f>
        <v>0</v>
      </c>
      <c r="E190" s="247"/>
      <c r="F190" t="s">
        <v>145</v>
      </c>
      <c r="G190" s="240">
        <f>WERKBON!$D$22</f>
        <v>0</v>
      </c>
      <c r="H190" s="240">
        <f>$C$180</f>
        <v>0</v>
      </c>
      <c r="I190" s="256">
        <f>G190-H190</f>
        <v>0</v>
      </c>
      <c r="J190" s="261"/>
      <c r="K190" t="s">
        <v>145</v>
      </c>
      <c r="L190" s="240">
        <f>WERKBON!$D$22</f>
        <v>0</v>
      </c>
      <c r="M190" s="240">
        <f>$C$180</f>
        <v>0</v>
      </c>
      <c r="N190" s="256">
        <f>L190-M190</f>
        <v>0</v>
      </c>
      <c r="O190" s="247"/>
    </row>
    <row r="191" spans="1:15" x14ac:dyDescent="0.25">
      <c r="A191" t="s">
        <v>148</v>
      </c>
      <c r="B191" s="240">
        <f>B190</f>
        <v>0</v>
      </c>
      <c r="C191" s="240">
        <f>$C$181</f>
        <v>10</v>
      </c>
      <c r="D191" s="256">
        <f>B191-C191</f>
        <v>-10</v>
      </c>
      <c r="E191" s="247"/>
      <c r="F191" t="s">
        <v>148</v>
      </c>
      <c r="G191" s="240">
        <f>G190</f>
        <v>0</v>
      </c>
      <c r="H191" s="240">
        <f>$C$181</f>
        <v>10</v>
      </c>
      <c r="I191" s="256">
        <f>G191-H191</f>
        <v>-10</v>
      </c>
      <c r="J191" s="247"/>
      <c r="K191" t="s">
        <v>148</v>
      </c>
      <c r="L191" s="240">
        <f>L190</f>
        <v>0</v>
      </c>
      <c r="M191" s="240">
        <f>$C$181</f>
        <v>10</v>
      </c>
      <c r="N191" s="256">
        <f>L191-M191</f>
        <v>-10</v>
      </c>
      <c r="O191" s="247"/>
    </row>
    <row r="192" spans="1:15" x14ac:dyDescent="0.25">
      <c r="A192" s="247"/>
      <c r="B192" s="140"/>
      <c r="C192" s="247"/>
      <c r="D192" s="247"/>
      <c r="E192" s="247"/>
      <c r="F192" s="247"/>
      <c r="G192" s="140"/>
      <c r="H192" s="247"/>
      <c r="I192" s="247"/>
      <c r="J192" s="247"/>
      <c r="K192" s="247"/>
      <c r="L192" s="140"/>
      <c r="M192" s="247"/>
      <c r="N192" s="247"/>
      <c r="O192" s="247"/>
    </row>
    <row r="193" spans="1:15" x14ac:dyDescent="0.25">
      <c r="A193" s="175" t="s">
        <v>30</v>
      </c>
      <c r="B193" s="264"/>
      <c r="C193" s="175"/>
      <c r="D193" s="175"/>
      <c r="E193" s="276"/>
      <c r="F193" s="175" t="s">
        <v>30</v>
      </c>
      <c r="G193" s="264"/>
      <c r="H193" s="175"/>
      <c r="I193" s="175"/>
      <c r="J193" s="276"/>
      <c r="K193" s="175" t="s">
        <v>30</v>
      </c>
      <c r="L193" s="264"/>
      <c r="M193" s="175"/>
      <c r="N193" s="175"/>
      <c r="O193" s="276"/>
    </row>
    <row r="194" spans="2:15" x14ac:dyDescent="0.25">
      <c r="B194" s="51" t="s">
        <v>111</v>
      </c>
      <c r="C194" s="51" t="s">
        <v>143</v>
      </c>
      <c r="D194" s="51" t="s">
        <v>144</v>
      </c>
      <c r="E194" s="247"/>
      <c r="G194" s="51" t="s">
        <v>111</v>
      </c>
      <c r="H194" s="51" t="s">
        <v>143</v>
      </c>
      <c r="I194" s="51" t="s">
        <v>144</v>
      </c>
      <c r="J194" s="247"/>
      <c r="L194" s="51" t="s">
        <v>111</v>
      </c>
      <c r="M194" s="51" t="s">
        <v>143</v>
      </c>
      <c r="N194" s="51" t="s">
        <v>144</v>
      </c>
      <c r="O194" s="247"/>
    </row>
    <row r="195" spans="1:15" x14ac:dyDescent="0.25">
      <c r="A195" t="s">
        <v>145</v>
      </c>
      <c r="B195" s="240">
        <f>WERKBON!$E$22</f>
        <v>0</v>
      </c>
      <c r="C195" s="240">
        <f>$C$180</f>
        <v>0</v>
      </c>
      <c r="D195" s="256">
        <f>B195-C195</f>
        <v>0</v>
      </c>
      <c r="E195" s="247"/>
      <c r="F195" t="s">
        <v>145</v>
      </c>
      <c r="G195" s="240">
        <f>WERKBON!$E$22</f>
        <v>0</v>
      </c>
      <c r="H195" s="240">
        <f>$C$180</f>
        <v>0</v>
      </c>
      <c r="I195" s="256">
        <f>G195-H195</f>
        <v>0</v>
      </c>
      <c r="J195" s="247"/>
      <c r="K195" t="s">
        <v>145</v>
      </c>
      <c r="L195" s="240">
        <f>WERKBON!$E$22</f>
        <v>0</v>
      </c>
      <c r="M195" s="240">
        <f>$C$180</f>
        <v>0</v>
      </c>
      <c r="N195" s="256">
        <f>L195-M195</f>
        <v>0</v>
      </c>
      <c r="O195" s="247"/>
    </row>
    <row r="196" spans="1:15" x14ac:dyDescent="0.25">
      <c r="A196" t="s">
        <v>148</v>
      </c>
      <c r="B196" s="240">
        <f>B195</f>
        <v>0</v>
      </c>
      <c r="C196" s="240">
        <f>$C$181</f>
        <v>10</v>
      </c>
      <c r="D196" s="256">
        <f>B196-C196</f>
        <v>-10</v>
      </c>
      <c r="E196" s="247"/>
      <c r="F196" t="s">
        <v>148</v>
      </c>
      <c r="G196" s="240">
        <f>G195</f>
        <v>0</v>
      </c>
      <c r="H196" s="240">
        <f>$C$181</f>
        <v>10</v>
      </c>
      <c r="I196" s="256">
        <f>G196-H196</f>
        <v>-10</v>
      </c>
      <c r="J196" s="247"/>
      <c r="K196" t="s">
        <v>148</v>
      </c>
      <c r="L196" s="240">
        <f>L195</f>
        <v>0</v>
      </c>
      <c r="M196" s="240">
        <f>$C$181</f>
        <v>10</v>
      </c>
      <c r="N196" s="256">
        <f>L196-M196</f>
        <v>-10</v>
      </c>
      <c r="O196" s="247"/>
    </row>
    <row r="197" spans="1:15" x14ac:dyDescent="0.25">
      <c r="A197" s="247"/>
      <c r="B197" s="140"/>
      <c r="C197" s="247"/>
      <c r="D197" s="247"/>
      <c r="E197" s="247"/>
      <c r="F197" s="247"/>
      <c r="G197" s="140"/>
      <c r="H197" s="247"/>
      <c r="I197" s="247"/>
      <c r="J197" s="247"/>
      <c r="K197" s="247"/>
      <c r="L197" s="140"/>
      <c r="M197" s="247"/>
      <c r="N197" s="247"/>
      <c r="O197" s="247"/>
    </row>
    <row r="198" spans="1:15" x14ac:dyDescent="0.25">
      <c r="A198" s="175" t="s">
        <v>31</v>
      </c>
      <c r="B198" s="264"/>
      <c r="C198" s="175"/>
      <c r="D198" s="175"/>
      <c r="E198" s="276"/>
      <c r="F198" s="175" t="s">
        <v>31</v>
      </c>
      <c r="G198" s="264"/>
      <c r="H198" s="175"/>
      <c r="I198" s="175"/>
      <c r="J198" s="276"/>
      <c r="K198" s="175" t="s">
        <v>31</v>
      </c>
      <c r="L198" s="264"/>
      <c r="M198" s="175"/>
      <c r="N198" s="175"/>
      <c r="O198" s="276"/>
    </row>
    <row r="199" spans="2:15" x14ac:dyDescent="0.25">
      <c r="B199" s="51" t="s">
        <v>111</v>
      </c>
      <c r="C199" s="51" t="s">
        <v>143</v>
      </c>
      <c r="D199" s="51" t="s">
        <v>144</v>
      </c>
      <c r="E199" s="247"/>
      <c r="G199" s="51" t="s">
        <v>111</v>
      </c>
      <c r="H199" s="51" t="s">
        <v>143</v>
      </c>
      <c r="I199" s="51" t="s">
        <v>144</v>
      </c>
      <c r="J199" s="247"/>
      <c r="L199" s="51" t="s">
        <v>111</v>
      </c>
      <c r="M199" s="51" t="s">
        <v>143</v>
      </c>
      <c r="N199" s="51" t="s">
        <v>144</v>
      </c>
      <c r="O199" s="247"/>
    </row>
    <row r="200" spans="1:15" x14ac:dyDescent="0.25">
      <c r="A200" t="s">
        <v>145</v>
      </c>
      <c r="B200" s="240">
        <f>WERKBON!$F$22</f>
        <v>0</v>
      </c>
      <c r="C200" s="240">
        <f>$C$180</f>
        <v>0</v>
      </c>
      <c r="D200" s="256">
        <f>B200-C200</f>
        <v>0</v>
      </c>
      <c r="E200" s="247"/>
      <c r="F200" t="s">
        <v>145</v>
      </c>
      <c r="G200" s="240">
        <f>WERKBON!$F$22</f>
        <v>0</v>
      </c>
      <c r="H200" s="240">
        <f>$C$180</f>
        <v>0</v>
      </c>
      <c r="I200" s="256">
        <f>G200-H200</f>
        <v>0</v>
      </c>
      <c r="J200" s="247"/>
      <c r="K200" t="s">
        <v>145</v>
      </c>
      <c r="L200" s="240">
        <f>WERKBON!$F$22</f>
        <v>0</v>
      </c>
      <c r="M200" s="240">
        <f>$C$180</f>
        <v>0</v>
      </c>
      <c r="N200" s="256">
        <f>L200-M200</f>
        <v>0</v>
      </c>
      <c r="O200" s="247"/>
    </row>
    <row r="201" spans="1:15" x14ac:dyDescent="0.25">
      <c r="A201" t="s">
        <v>148</v>
      </c>
      <c r="B201" s="240">
        <f>B200</f>
        <v>0</v>
      </c>
      <c r="C201" s="240">
        <f>$C$181</f>
        <v>10</v>
      </c>
      <c r="D201" s="256">
        <f>B201-C201</f>
        <v>-10</v>
      </c>
      <c r="E201" s="247"/>
      <c r="F201" t="s">
        <v>148</v>
      </c>
      <c r="G201" s="240">
        <f>G200</f>
        <v>0</v>
      </c>
      <c r="H201" s="240">
        <f>$C$181</f>
        <v>10</v>
      </c>
      <c r="I201" s="256">
        <f>G201-H201</f>
        <v>-10</v>
      </c>
      <c r="J201" s="247"/>
      <c r="K201" t="s">
        <v>148</v>
      </c>
      <c r="L201" s="240">
        <f>L200</f>
        <v>0</v>
      </c>
      <c r="M201" s="240">
        <f>$C$181</f>
        <v>10</v>
      </c>
      <c r="N201" s="256">
        <f>L201-M201</f>
        <v>-10</v>
      </c>
      <c r="O201" s="247"/>
    </row>
    <row r="202" spans="1:15" x14ac:dyDescent="0.25">
      <c r="A202" s="247"/>
      <c r="B202" s="249"/>
      <c r="C202" s="249"/>
      <c r="D202" s="247"/>
      <c r="E202" s="247"/>
      <c r="F202" s="247"/>
      <c r="G202" s="249"/>
      <c r="H202" s="249"/>
      <c r="I202" s="263"/>
      <c r="J202" s="247"/>
      <c r="K202" s="247"/>
      <c r="L202" s="249"/>
      <c r="M202" s="249"/>
      <c r="N202" s="263"/>
      <c r="O202" s="247"/>
    </row>
    <row r="203" spans="1:15" x14ac:dyDescent="0.25">
      <c r="A203" s="175" t="s">
        <v>32</v>
      </c>
      <c r="B203" s="264"/>
      <c r="C203" s="175"/>
      <c r="D203" s="175"/>
      <c r="E203" s="276"/>
      <c r="F203" s="175" t="s">
        <v>32</v>
      </c>
      <c r="G203" s="264"/>
      <c r="H203" s="175"/>
      <c r="I203" s="175"/>
      <c r="J203" s="276"/>
      <c r="K203" s="175" t="s">
        <v>32</v>
      </c>
      <c r="L203" s="264"/>
      <c r="M203" s="175"/>
      <c r="N203" s="175"/>
      <c r="O203" s="276"/>
    </row>
    <row r="204" spans="2:15" x14ac:dyDescent="0.25">
      <c r="B204" s="51" t="s">
        <v>111</v>
      </c>
      <c r="C204" s="51" t="s">
        <v>143</v>
      </c>
      <c r="D204" s="51" t="s">
        <v>144</v>
      </c>
      <c r="E204" s="247"/>
      <c r="G204" s="51" t="s">
        <v>111</v>
      </c>
      <c r="H204" s="51" t="s">
        <v>143</v>
      </c>
      <c r="I204" s="51" t="s">
        <v>144</v>
      </c>
      <c r="J204" s="248"/>
      <c r="L204" s="51" t="s">
        <v>111</v>
      </c>
      <c r="M204" s="51" t="s">
        <v>143</v>
      </c>
      <c r="N204" s="51" t="s">
        <v>144</v>
      </c>
      <c r="O204" s="247"/>
    </row>
    <row r="205" spans="1:15" x14ac:dyDescent="0.25">
      <c r="A205" t="s">
        <v>145</v>
      </c>
      <c r="B205" s="240">
        <f>WERKBON!$G$22</f>
        <v>0</v>
      </c>
      <c r="C205" s="240">
        <f>$C$180</f>
        <v>0</v>
      </c>
      <c r="D205" s="256">
        <f>B205-C205</f>
        <v>0</v>
      </c>
      <c r="E205" s="247"/>
      <c r="F205" t="s">
        <v>145</v>
      </c>
      <c r="G205" s="240">
        <f>WERKBON!$G$22</f>
        <v>0</v>
      </c>
      <c r="H205" s="240">
        <f>$C$180</f>
        <v>0</v>
      </c>
      <c r="I205" s="256">
        <f>G205-H205</f>
        <v>0</v>
      </c>
      <c r="J205" s="248"/>
      <c r="K205" t="s">
        <v>145</v>
      </c>
      <c r="L205" s="240">
        <f>WERKBON!$G$22</f>
        <v>0</v>
      </c>
      <c r="M205" s="240">
        <f>$C$180</f>
        <v>0</v>
      </c>
      <c r="N205" s="256">
        <f>L205-M205</f>
        <v>0</v>
      </c>
      <c r="O205" s="247"/>
    </row>
    <row r="206" spans="1:15" x14ac:dyDescent="0.25">
      <c r="A206" t="s">
        <v>148</v>
      </c>
      <c r="B206" s="240">
        <f>B205</f>
        <v>0</v>
      </c>
      <c r="C206" s="240">
        <f>$C$181</f>
        <v>10</v>
      </c>
      <c r="D206" s="256">
        <f>B206-C206</f>
        <v>-10</v>
      </c>
      <c r="E206" s="247"/>
      <c r="F206" t="s">
        <v>148</v>
      </c>
      <c r="G206" s="240">
        <f>G205</f>
        <v>0</v>
      </c>
      <c r="H206" s="240">
        <f>$C$181</f>
        <v>10</v>
      </c>
      <c r="I206" s="256">
        <f>G206-H206</f>
        <v>-10</v>
      </c>
      <c r="J206" s="248"/>
      <c r="K206" t="s">
        <v>148</v>
      </c>
      <c r="L206" s="240">
        <f>L205</f>
        <v>0</v>
      </c>
      <c r="M206" s="240">
        <f>$C$181</f>
        <v>10</v>
      </c>
      <c r="N206" s="256">
        <f>L206-M206</f>
        <v>-10</v>
      </c>
      <c r="O206" s="247"/>
    </row>
    <row r="207" spans="1:15" x14ac:dyDescent="0.25">
      <c r="A207" s="247"/>
      <c r="B207" s="249"/>
      <c r="C207" s="249"/>
      <c r="D207" s="247"/>
      <c r="E207" s="247"/>
      <c r="F207" s="248"/>
      <c r="G207" s="249"/>
      <c r="H207" s="249"/>
      <c r="I207" s="263"/>
      <c r="J207" s="248"/>
      <c r="K207" s="247"/>
      <c r="L207" s="249"/>
      <c r="M207" s="249"/>
      <c r="N207" s="263"/>
      <c r="O207" s="247"/>
    </row>
    <row r="208" spans="1:15" x14ac:dyDescent="0.25">
      <c r="A208" s="175" t="s">
        <v>33</v>
      </c>
      <c r="B208" s="264"/>
      <c r="C208" s="175"/>
      <c r="D208" s="175"/>
      <c r="E208" s="276"/>
      <c r="F208" s="175" t="s">
        <v>33</v>
      </c>
      <c r="G208" s="264"/>
      <c r="H208" s="175"/>
      <c r="I208" s="175"/>
      <c r="J208" s="248"/>
      <c r="K208" s="175" t="s">
        <v>33</v>
      </c>
      <c r="L208" s="264"/>
      <c r="M208" s="175"/>
      <c r="N208" s="175"/>
      <c r="O208" s="276"/>
    </row>
    <row r="209" spans="2:15" x14ac:dyDescent="0.25">
      <c r="B209" s="51" t="s">
        <v>111</v>
      </c>
      <c r="C209" s="51" t="s">
        <v>143</v>
      </c>
      <c r="D209" s="51" t="s">
        <v>144</v>
      </c>
      <c r="E209" s="247"/>
      <c r="G209" s="51" t="s">
        <v>111</v>
      </c>
      <c r="H209" s="51" t="s">
        <v>143</v>
      </c>
      <c r="I209" s="51" t="s">
        <v>144</v>
      </c>
      <c r="J209" s="248"/>
      <c r="L209" s="51" t="s">
        <v>111</v>
      </c>
      <c r="M209" s="51" t="s">
        <v>143</v>
      </c>
      <c r="N209" s="51" t="s">
        <v>144</v>
      </c>
      <c r="O209" s="247"/>
    </row>
    <row r="210" spans="1:15" x14ac:dyDescent="0.25">
      <c r="A210" t="s">
        <v>145</v>
      </c>
      <c r="B210" s="240">
        <f>WERKBON!$H$22</f>
        <v>0</v>
      </c>
      <c r="C210" s="240">
        <f>$C$180</f>
        <v>0</v>
      </c>
      <c r="D210" s="256">
        <f>B210-C210</f>
        <v>0</v>
      </c>
      <c r="E210" s="247"/>
      <c r="F210" t="s">
        <v>145</v>
      </c>
      <c r="G210" s="240">
        <f>WERKBON!$H$22</f>
        <v>0</v>
      </c>
      <c r="H210" s="240">
        <f>$C$180</f>
        <v>0</v>
      </c>
      <c r="I210" s="256">
        <f>G210-H210</f>
        <v>0</v>
      </c>
      <c r="J210" s="248"/>
      <c r="K210" t="s">
        <v>145</v>
      </c>
      <c r="L210" s="240">
        <f>WERKBON!$H$22</f>
        <v>0</v>
      </c>
      <c r="M210" s="240">
        <f>$C$180</f>
        <v>0</v>
      </c>
      <c r="N210" s="256">
        <f>L210-M210</f>
        <v>0</v>
      </c>
      <c r="O210" s="247"/>
    </row>
    <row r="211" spans="1:15" x14ac:dyDescent="0.25">
      <c r="A211" t="s">
        <v>148</v>
      </c>
      <c r="B211" s="240">
        <f>B210</f>
        <v>0</v>
      </c>
      <c r="C211" s="240">
        <f>$C$181</f>
        <v>10</v>
      </c>
      <c r="D211" s="256">
        <f>B211-C211</f>
        <v>-10</v>
      </c>
      <c r="E211" s="247"/>
      <c r="F211" t="s">
        <v>148</v>
      </c>
      <c r="G211" s="240">
        <f>G210</f>
        <v>0</v>
      </c>
      <c r="H211" s="240">
        <f>$C$181</f>
        <v>10</v>
      </c>
      <c r="I211" s="256">
        <f>G211-H211</f>
        <v>-10</v>
      </c>
      <c r="J211" s="261"/>
      <c r="K211" t="s">
        <v>148</v>
      </c>
      <c r="L211" s="240">
        <f>L210</f>
        <v>0</v>
      </c>
      <c r="M211" s="240">
        <f>$C$181</f>
        <v>10</v>
      </c>
      <c r="N211" s="256">
        <f>L211-M211</f>
        <v>-10</v>
      </c>
      <c r="O211" s="247"/>
    </row>
    <row r="212" spans="1:15" x14ac:dyDescent="0.25">
      <c r="A212" s="247"/>
      <c r="B212" s="249"/>
      <c r="C212" s="249"/>
      <c r="D212" s="247"/>
      <c r="E212" s="247"/>
      <c r="F212" s="247"/>
      <c r="G212" s="249"/>
      <c r="H212" s="249"/>
      <c r="I212" s="263"/>
      <c r="J212" s="261"/>
      <c r="K212" s="247"/>
      <c r="L212" s="249"/>
      <c r="M212" s="249"/>
      <c r="N212" s="263"/>
      <c r="O212" s="247"/>
    </row>
    <row r="213" spans="1:15" x14ac:dyDescent="0.25">
      <c r="A213" s="175" t="s">
        <v>34</v>
      </c>
      <c r="B213" s="264"/>
      <c r="C213" s="175"/>
      <c r="D213" s="175"/>
      <c r="E213" s="276"/>
      <c r="F213" s="175" t="s">
        <v>34</v>
      </c>
      <c r="G213" s="264"/>
      <c r="H213" s="175"/>
      <c r="I213" s="175"/>
      <c r="J213" s="278"/>
      <c r="K213" s="175" t="s">
        <v>34</v>
      </c>
      <c r="L213" s="264"/>
      <c r="M213" s="175"/>
      <c r="N213" s="175"/>
      <c r="O213" s="276"/>
    </row>
    <row r="214" spans="2:15" x14ac:dyDescent="0.25">
      <c r="B214" s="51" t="s">
        <v>111</v>
      </c>
      <c r="C214" s="51" t="s">
        <v>143</v>
      </c>
      <c r="D214" s="51" t="s">
        <v>144</v>
      </c>
      <c r="E214" s="247"/>
      <c r="G214" s="51" t="s">
        <v>111</v>
      </c>
      <c r="H214" s="51" t="s">
        <v>143</v>
      </c>
      <c r="I214" s="51" t="s">
        <v>144</v>
      </c>
      <c r="J214" s="261"/>
      <c r="L214" s="51" t="s">
        <v>111</v>
      </c>
      <c r="M214" s="51" t="s">
        <v>143</v>
      </c>
      <c r="N214" s="51" t="s">
        <v>144</v>
      </c>
      <c r="O214" s="247"/>
    </row>
    <row r="215" spans="1:15" x14ac:dyDescent="0.25">
      <c r="A215" t="s">
        <v>145</v>
      </c>
      <c r="B215" s="240">
        <f>WERKBON!$I$22</f>
        <v>0</v>
      </c>
      <c r="C215" s="240">
        <f>$C$180</f>
        <v>0</v>
      </c>
      <c r="D215" s="256">
        <f>B215-C215</f>
        <v>0</v>
      </c>
      <c r="E215" s="247"/>
      <c r="F215" t="s">
        <v>145</v>
      </c>
      <c r="G215" s="240">
        <f>WERKBON!$I$22</f>
        <v>0</v>
      </c>
      <c r="H215" s="240">
        <f>$C$180</f>
        <v>0</v>
      </c>
      <c r="I215" s="256">
        <f>G215-H215</f>
        <v>0</v>
      </c>
      <c r="J215" s="261"/>
      <c r="K215" t="s">
        <v>145</v>
      </c>
      <c r="L215" s="240">
        <f>WERKBON!$I$22</f>
        <v>0</v>
      </c>
      <c r="M215" s="240">
        <f>$C$180</f>
        <v>0</v>
      </c>
      <c r="N215" s="256">
        <f>L215-M215</f>
        <v>0</v>
      </c>
      <c r="O215" s="247"/>
    </row>
    <row r="216" spans="1:15" x14ac:dyDescent="0.25">
      <c r="A216" t="s">
        <v>148</v>
      </c>
      <c r="B216" s="240">
        <f>B215</f>
        <v>0</v>
      </c>
      <c r="C216" s="240">
        <f>$C$181</f>
        <v>10</v>
      </c>
      <c r="D216" s="256">
        <f>B216-C216</f>
        <v>-10</v>
      </c>
      <c r="E216" s="247"/>
      <c r="F216" t="s">
        <v>148</v>
      </c>
      <c r="G216" s="240">
        <f>G215</f>
        <v>0</v>
      </c>
      <c r="H216" s="240">
        <f>$C$181</f>
        <v>10</v>
      </c>
      <c r="I216" s="256">
        <f>G216-H216</f>
        <v>-10</v>
      </c>
      <c r="J216" s="247"/>
      <c r="K216" t="s">
        <v>148</v>
      </c>
      <c r="L216" s="240">
        <f>L215</f>
        <v>0</v>
      </c>
      <c r="M216" s="240">
        <f>$C$181</f>
        <v>10</v>
      </c>
      <c r="N216" s="256">
        <f>L216-M216</f>
        <v>-10</v>
      </c>
      <c r="O216" s="247"/>
    </row>
    <row r="217" spans="1:15" x14ac:dyDescent="0.25">
      <c r="A217" s="247"/>
      <c r="B217" s="249"/>
      <c r="C217" s="249"/>
      <c r="D217" s="247"/>
      <c r="E217" s="247"/>
      <c r="F217" s="247"/>
      <c r="G217" s="249"/>
      <c r="H217" s="249"/>
      <c r="I217" s="263"/>
      <c r="J217" s="247"/>
      <c r="K217" s="247"/>
      <c r="L217" s="249"/>
      <c r="M217" s="249"/>
      <c r="N217" s="263"/>
      <c r="O217" s="247"/>
    </row>
    <row r="218" spans="1:15" x14ac:dyDescent="0.25">
      <c r="A218" s="175" t="s">
        <v>35</v>
      </c>
      <c r="B218" s="264"/>
      <c r="C218" s="175"/>
      <c r="D218" s="175"/>
      <c r="E218" s="276"/>
      <c r="F218" s="175" t="s">
        <v>35</v>
      </c>
      <c r="G218" s="264"/>
      <c r="H218" s="175"/>
      <c r="I218" s="175"/>
      <c r="J218" s="276"/>
      <c r="K218" s="175" t="s">
        <v>35</v>
      </c>
      <c r="L218" s="264"/>
      <c r="M218" s="175"/>
      <c r="N218" s="175"/>
      <c r="O218" s="276"/>
    </row>
    <row r="219" spans="2:15" x14ac:dyDescent="0.25">
      <c r="B219" s="51" t="s">
        <v>111</v>
      </c>
      <c r="C219" s="51" t="s">
        <v>143</v>
      </c>
      <c r="D219" s="51" t="s">
        <v>144</v>
      </c>
      <c r="E219" s="247"/>
      <c r="G219" s="51" t="s">
        <v>111</v>
      </c>
      <c r="H219" s="51" t="s">
        <v>143</v>
      </c>
      <c r="I219" s="51" t="s">
        <v>144</v>
      </c>
      <c r="J219" s="247"/>
      <c r="L219" s="51" t="s">
        <v>111</v>
      </c>
      <c r="M219" s="51" t="s">
        <v>143</v>
      </c>
      <c r="N219" s="51" t="s">
        <v>144</v>
      </c>
      <c r="O219" s="247"/>
    </row>
    <row r="220" spans="1:15" x14ac:dyDescent="0.25">
      <c r="A220" t="s">
        <v>145</v>
      </c>
      <c r="B220" s="240">
        <f>WERKBON!$J$22</f>
        <v>0</v>
      </c>
      <c r="C220" s="240">
        <f>$C$180</f>
        <v>0</v>
      </c>
      <c r="D220" s="256">
        <f>B220-C220</f>
        <v>0</v>
      </c>
      <c r="E220" s="247"/>
      <c r="F220" t="s">
        <v>145</v>
      </c>
      <c r="G220" s="240">
        <f>WERKBON!$J$22</f>
        <v>0</v>
      </c>
      <c r="H220" s="240">
        <f>$C$180</f>
        <v>0</v>
      </c>
      <c r="I220" s="256">
        <f>G220-H220</f>
        <v>0</v>
      </c>
      <c r="J220" s="247"/>
      <c r="K220" t="s">
        <v>145</v>
      </c>
      <c r="L220" s="240">
        <f>WERKBON!$J$22</f>
        <v>0</v>
      </c>
      <c r="M220" s="240">
        <f>$C$180</f>
        <v>0</v>
      </c>
      <c r="N220" s="256">
        <f>L220-M220</f>
        <v>0</v>
      </c>
      <c r="O220" s="247"/>
    </row>
    <row r="221" spans="1:15" x14ac:dyDescent="0.25">
      <c r="A221" t="s">
        <v>148</v>
      </c>
      <c r="B221" s="240">
        <f>B220</f>
        <v>0</v>
      </c>
      <c r="C221" s="240">
        <f>$C$181</f>
        <v>10</v>
      </c>
      <c r="D221" s="256">
        <f>B221-C221</f>
        <v>-10</v>
      </c>
      <c r="E221" s="247"/>
      <c r="F221" t="s">
        <v>148</v>
      </c>
      <c r="G221" s="240">
        <f>G220</f>
        <v>0</v>
      </c>
      <c r="H221" s="240">
        <f>$C$181</f>
        <v>10</v>
      </c>
      <c r="I221" s="256">
        <f>G221-H221</f>
        <v>-10</v>
      </c>
      <c r="J221" s="247"/>
      <c r="K221" t="s">
        <v>148</v>
      </c>
      <c r="L221" s="240">
        <f>L220</f>
        <v>0</v>
      </c>
      <c r="M221" s="240">
        <f>$C$181</f>
        <v>10</v>
      </c>
      <c r="N221" s="256">
        <f>L221-M221</f>
        <v>-10</v>
      </c>
      <c r="O221" s="247"/>
    </row>
    <row r="222" spans="1:15" x14ac:dyDescent="0.25">
      <c r="A222" s="247"/>
      <c r="B222" s="249"/>
      <c r="C222" s="249"/>
      <c r="D222" s="247"/>
      <c r="E222" s="247"/>
      <c r="F222" s="247"/>
      <c r="G222" s="249"/>
      <c r="H222" s="249"/>
      <c r="I222" s="263"/>
      <c r="J222" s="247"/>
      <c r="K222" s="247"/>
      <c r="L222" s="249"/>
      <c r="M222" s="249"/>
      <c r="N222" s="263"/>
      <c r="O222" s="247"/>
    </row>
    <row r="223" spans="1:15" x14ac:dyDescent="0.25">
      <c r="A223" s="175" t="s">
        <v>36</v>
      </c>
      <c r="B223" s="264"/>
      <c r="C223" s="175"/>
      <c r="D223" s="175"/>
      <c r="E223" s="276"/>
      <c r="F223" s="175" t="s">
        <v>36</v>
      </c>
      <c r="G223" s="264"/>
      <c r="H223" s="175"/>
      <c r="I223" s="175"/>
      <c r="J223" s="276"/>
      <c r="K223" s="175" t="s">
        <v>36</v>
      </c>
      <c r="L223" s="264"/>
      <c r="M223" s="175"/>
      <c r="N223" s="175"/>
      <c r="O223" s="276"/>
    </row>
    <row r="224" spans="2:15" x14ac:dyDescent="0.25">
      <c r="B224" s="51" t="s">
        <v>111</v>
      </c>
      <c r="C224" s="51" t="s">
        <v>143</v>
      </c>
      <c r="D224" s="51" t="s">
        <v>144</v>
      </c>
      <c r="E224" s="247"/>
      <c r="G224" s="51" t="s">
        <v>111</v>
      </c>
      <c r="H224" s="51" t="s">
        <v>143</v>
      </c>
      <c r="I224" s="51" t="s">
        <v>144</v>
      </c>
      <c r="J224" s="247"/>
      <c r="L224" s="51" t="s">
        <v>111</v>
      </c>
      <c r="M224" s="51" t="s">
        <v>143</v>
      </c>
      <c r="N224" s="51" t="s">
        <v>144</v>
      </c>
      <c r="O224" s="247"/>
    </row>
    <row r="225" spans="1:15" x14ac:dyDescent="0.25">
      <c r="A225" t="s">
        <v>145</v>
      </c>
      <c r="B225" s="240">
        <f>WERKBON!$K$22</f>
        <v>0</v>
      </c>
      <c r="C225" s="240">
        <f>$C$180</f>
        <v>0</v>
      </c>
      <c r="D225" s="256">
        <f>B225-C225</f>
        <v>0</v>
      </c>
      <c r="E225" s="247"/>
      <c r="F225" t="s">
        <v>145</v>
      </c>
      <c r="G225" s="240">
        <f>WERKBON!$K$22</f>
        <v>0</v>
      </c>
      <c r="H225" s="240">
        <f>$C$180</f>
        <v>0</v>
      </c>
      <c r="I225" s="256">
        <f>G225-H225</f>
        <v>0</v>
      </c>
      <c r="J225" s="247"/>
      <c r="K225" t="s">
        <v>145</v>
      </c>
      <c r="L225" s="240">
        <f>WERKBON!$K$22</f>
        <v>0</v>
      </c>
      <c r="M225" s="240">
        <f>$C$180</f>
        <v>0</v>
      </c>
      <c r="N225" s="256">
        <f>L225-M225</f>
        <v>0</v>
      </c>
      <c r="O225" s="247"/>
    </row>
    <row r="226" spans="1:15" x14ac:dyDescent="0.25">
      <c r="A226" t="s">
        <v>148</v>
      </c>
      <c r="B226" s="240">
        <f>B225</f>
        <v>0</v>
      </c>
      <c r="C226" s="240">
        <f>$C$181</f>
        <v>10</v>
      </c>
      <c r="D226" s="256">
        <f>B226-C226</f>
        <v>-10</v>
      </c>
      <c r="E226" s="247"/>
      <c r="F226" t="s">
        <v>148</v>
      </c>
      <c r="G226" s="240">
        <f>G225</f>
        <v>0</v>
      </c>
      <c r="H226" s="240">
        <f>$C$181</f>
        <v>10</v>
      </c>
      <c r="I226" s="256">
        <f>G226-H226</f>
        <v>-10</v>
      </c>
      <c r="J226" s="247"/>
      <c r="K226" t="s">
        <v>148</v>
      </c>
      <c r="L226" s="240">
        <f>L225</f>
        <v>0</v>
      </c>
      <c r="M226" s="240">
        <f>$C$181</f>
        <v>10</v>
      </c>
      <c r="N226" s="256">
        <f>L226-M226</f>
        <v>-10</v>
      </c>
      <c r="O226" s="247"/>
    </row>
    <row r="227" spans="1:15" x14ac:dyDescent="0.25">
      <c r="A227" s="247"/>
      <c r="B227" s="249"/>
      <c r="C227" s="249"/>
      <c r="D227" s="247"/>
      <c r="E227" s="247"/>
      <c r="F227" s="247"/>
      <c r="G227" s="249"/>
      <c r="H227" s="249"/>
      <c r="I227" s="263"/>
      <c r="J227" s="247"/>
      <c r="K227" s="247"/>
      <c r="L227" s="249"/>
      <c r="M227" s="249"/>
      <c r="N227" s="263"/>
      <c r="O227" s="247"/>
    </row>
    <row r="231" ht="18" customHeight="1" spans="1:15" x14ac:dyDescent="0.25">
      <c r="A231" s="266" t="s">
        <v>151</v>
      </c>
      <c r="B231" s="267"/>
      <c r="C231" s="268" t="s">
        <v>156</v>
      </c>
      <c r="D231" s="269">
        <v>42</v>
      </c>
      <c r="E231" s="2"/>
      <c r="F231" s="270" t="s">
        <v>153</v>
      </c>
      <c r="G231" s="271">
        <v>4.5</v>
      </c>
      <c r="H231" s="270" t="s">
        <v>142</v>
      </c>
      <c r="I231" s="2"/>
      <c r="J231" s="2"/>
      <c r="K231" s="266" t="s">
        <v>154</v>
      </c>
      <c r="L231" s="272"/>
      <c r="M231" s="270" t="s">
        <v>148</v>
      </c>
      <c r="N231" s="273">
        <v>52</v>
      </c>
      <c r="O231" s="270" t="s">
        <v>147</v>
      </c>
    </row>
    <row r="232" ht="18" customHeight="1" spans="1:15" x14ac:dyDescent="0.25">
      <c r="A232" s="274" t="s">
        <v>155</v>
      </c>
      <c r="B232" s="243"/>
      <c r="C232" s="274"/>
      <c r="D232" s="274"/>
      <c r="E232" s="244"/>
      <c r="F232" s="274" t="s">
        <v>139</v>
      </c>
      <c r="G232" s="243"/>
      <c r="H232" s="274"/>
      <c r="I232" s="274"/>
      <c r="J232" s="244"/>
      <c r="K232" s="274" t="s">
        <v>140</v>
      </c>
      <c r="L232" s="243"/>
      <c r="M232" s="274"/>
      <c r="N232" s="274"/>
      <c r="O232" s="244"/>
    </row>
    <row r="233" spans="1:15" x14ac:dyDescent="0.25">
      <c r="A233" s="175" t="s">
        <v>27</v>
      </c>
      <c r="B233" s="264"/>
      <c r="C233" s="175"/>
      <c r="D233" s="175"/>
      <c r="E233" s="276"/>
      <c r="F233" s="175" t="s">
        <v>27</v>
      </c>
      <c r="G233" s="264"/>
      <c r="H233" s="175"/>
      <c r="I233" s="175"/>
      <c r="J233" s="277"/>
      <c r="K233" s="175" t="s">
        <v>27</v>
      </c>
      <c r="L233" s="264"/>
      <c r="M233" s="175"/>
      <c r="N233" s="175"/>
      <c r="O233" s="276"/>
    </row>
    <row r="234" spans="2:15" x14ac:dyDescent="0.25">
      <c r="B234" s="51" t="s">
        <v>111</v>
      </c>
      <c r="C234" s="51" t="s">
        <v>143</v>
      </c>
      <c r="D234" s="51" t="s">
        <v>144</v>
      </c>
      <c r="E234" s="247"/>
      <c r="G234" s="51" t="s">
        <v>111</v>
      </c>
      <c r="H234" s="51" t="s">
        <v>143</v>
      </c>
      <c r="I234" s="51" t="s">
        <v>144</v>
      </c>
      <c r="J234" s="248"/>
      <c r="L234" s="51" t="s">
        <v>111</v>
      </c>
      <c r="M234" s="51" t="s">
        <v>143</v>
      </c>
      <c r="N234" s="51" t="s">
        <v>144</v>
      </c>
      <c r="O234" s="247"/>
    </row>
    <row r="235" spans="1:15" x14ac:dyDescent="0.25">
      <c r="A235" t="s">
        <v>145</v>
      </c>
      <c r="B235" s="240">
        <f>WERKBON!$B$22</f>
        <v>0</v>
      </c>
      <c r="C235" s="240">
        <v>10</v>
      </c>
      <c r="D235" s="256">
        <f>B235-C235</f>
        <v>-10</v>
      </c>
      <c r="E235" s="247"/>
      <c r="F235" t="s">
        <v>145</v>
      </c>
      <c r="G235" s="240">
        <f>WERKBON!$B$22</f>
        <v>0</v>
      </c>
      <c r="H235" s="240">
        <f>$C$235</f>
        <v>10</v>
      </c>
      <c r="I235" s="256">
        <f>G235-H235</f>
        <v>-10</v>
      </c>
      <c r="J235" s="248"/>
      <c r="K235" t="s">
        <v>145</v>
      </c>
      <c r="L235" s="240">
        <f>WERKBON!$B$22</f>
        <v>0</v>
      </c>
      <c r="M235" s="240">
        <f>$C$235</f>
        <v>10</v>
      </c>
      <c r="N235" s="256">
        <f>L235-M235</f>
        <v>-10</v>
      </c>
      <c r="O235" s="247"/>
    </row>
    <row r="236" spans="1:15" x14ac:dyDescent="0.25">
      <c r="A236" t="s">
        <v>148</v>
      </c>
      <c r="B236" s="240">
        <f>B235</f>
        <v>0</v>
      </c>
      <c r="C236" s="240">
        <f>$C$235</f>
        <v>10</v>
      </c>
      <c r="D236" s="256">
        <f>B236-C236</f>
        <v>-10</v>
      </c>
      <c r="E236" s="247"/>
      <c r="F236" t="s">
        <v>148</v>
      </c>
      <c r="G236" s="240">
        <f>G235</f>
        <v>0</v>
      </c>
      <c r="H236" s="240">
        <f>$C$235</f>
        <v>10</v>
      </c>
      <c r="I236" s="256">
        <f>G236-H236</f>
        <v>-10</v>
      </c>
      <c r="J236" s="248"/>
      <c r="K236" t="s">
        <v>148</v>
      </c>
      <c r="L236" s="240">
        <f>L235</f>
        <v>0</v>
      </c>
      <c r="M236" s="240">
        <f>$C$235</f>
        <v>10</v>
      </c>
      <c r="N236" s="256">
        <f>L236-M236</f>
        <v>-10</v>
      </c>
      <c r="O236" s="247"/>
    </row>
    <row r="237" spans="1:15" x14ac:dyDescent="0.25">
      <c r="A237" s="247"/>
      <c r="B237" s="140"/>
      <c r="C237" s="247"/>
      <c r="D237" s="247"/>
      <c r="E237" s="247"/>
      <c r="F237" s="248"/>
      <c r="G237" s="249"/>
      <c r="H237" s="249"/>
      <c r="I237" s="248"/>
      <c r="J237" s="248"/>
      <c r="K237" s="247"/>
      <c r="L237" s="140"/>
      <c r="M237" s="247"/>
      <c r="N237" s="247"/>
      <c r="O237" s="247"/>
    </row>
    <row r="238" spans="1:15" x14ac:dyDescent="0.25">
      <c r="A238" s="175" t="s">
        <v>28</v>
      </c>
      <c r="B238" s="264"/>
      <c r="C238" s="175"/>
      <c r="D238" s="175"/>
      <c r="E238" s="276"/>
      <c r="F238" s="175" t="s">
        <v>28</v>
      </c>
      <c r="G238" s="264"/>
      <c r="H238" s="175"/>
      <c r="I238" s="175"/>
      <c r="J238" s="248"/>
      <c r="K238" s="175" t="s">
        <v>28</v>
      </c>
      <c r="L238" s="264"/>
      <c r="M238" s="175"/>
      <c r="N238" s="175"/>
      <c r="O238" s="276"/>
    </row>
    <row r="239" spans="2:15" x14ac:dyDescent="0.25">
      <c r="B239" s="51" t="s">
        <v>111</v>
      </c>
      <c r="C239" s="51" t="s">
        <v>143</v>
      </c>
      <c r="D239" s="51" t="s">
        <v>144</v>
      </c>
      <c r="E239" s="247"/>
      <c r="G239" s="51" t="s">
        <v>111</v>
      </c>
      <c r="H239" s="51" t="s">
        <v>143</v>
      </c>
      <c r="I239" s="51" t="s">
        <v>144</v>
      </c>
      <c r="J239" s="248"/>
      <c r="L239" s="51" t="s">
        <v>111</v>
      </c>
      <c r="M239" s="51" t="s">
        <v>143</v>
      </c>
      <c r="N239" s="51" t="s">
        <v>144</v>
      </c>
      <c r="O239" s="247"/>
    </row>
    <row r="240" spans="1:15" x14ac:dyDescent="0.25">
      <c r="A240" t="s">
        <v>145</v>
      </c>
      <c r="B240" s="240">
        <f>WERKBON!$C$22</f>
        <v>0</v>
      </c>
      <c r="C240" s="240">
        <f>$C$235</f>
        <v>10</v>
      </c>
      <c r="D240" s="256">
        <f>B240-C240</f>
        <v>-10</v>
      </c>
      <c r="E240" s="247"/>
      <c r="F240" t="s">
        <v>145</v>
      </c>
      <c r="G240" s="240">
        <f>WERKBON!$C$22</f>
        <v>0</v>
      </c>
      <c r="H240" s="240">
        <f>$C$235</f>
        <v>10</v>
      </c>
      <c r="I240" s="256">
        <f>G240-H240</f>
        <v>-10</v>
      </c>
      <c r="J240" s="248"/>
      <c r="K240" t="s">
        <v>145</v>
      </c>
      <c r="L240" s="240">
        <f>WERKBON!$C$22</f>
        <v>0</v>
      </c>
      <c r="M240" s="240">
        <f>$C$235</f>
        <v>10</v>
      </c>
      <c r="N240" s="256">
        <f>L240-M240</f>
        <v>-10</v>
      </c>
      <c r="O240" s="247"/>
    </row>
    <row r="241" spans="1:15" x14ac:dyDescent="0.25">
      <c r="A241" t="s">
        <v>148</v>
      </c>
      <c r="B241" s="240">
        <f>B240</f>
        <v>0</v>
      </c>
      <c r="C241" s="240">
        <f>$C$235</f>
        <v>10</v>
      </c>
      <c r="D241" s="256">
        <f>B241-C241</f>
        <v>-10</v>
      </c>
      <c r="E241" s="247"/>
      <c r="F241" t="s">
        <v>148</v>
      </c>
      <c r="G241" s="240">
        <f>G240</f>
        <v>0</v>
      </c>
      <c r="H241" s="240">
        <f>$C$235</f>
        <v>10</v>
      </c>
      <c r="I241" s="256">
        <f>G241-H241</f>
        <v>-10</v>
      </c>
      <c r="J241" s="261"/>
      <c r="K241" t="s">
        <v>148</v>
      </c>
      <c r="L241" s="240">
        <f>L240</f>
        <v>0</v>
      </c>
      <c r="M241" s="240">
        <f>$C$235</f>
        <v>10</v>
      </c>
      <c r="N241" s="256">
        <f>L241-M241</f>
        <v>-10</v>
      </c>
      <c r="O241" s="247"/>
    </row>
    <row r="242" spans="1:15" x14ac:dyDescent="0.25">
      <c r="A242" s="247"/>
      <c r="B242" s="140"/>
      <c r="C242" s="247"/>
      <c r="D242" s="247"/>
      <c r="E242" s="247"/>
      <c r="F242" s="247"/>
      <c r="G242" s="140"/>
      <c r="H242" s="247"/>
      <c r="I242" s="261"/>
      <c r="J242" s="261"/>
      <c r="K242" s="247"/>
      <c r="L242" s="140"/>
      <c r="M242" s="247"/>
      <c r="N242" s="247"/>
      <c r="O242" s="247"/>
    </row>
    <row r="243" spans="1:15" x14ac:dyDescent="0.25">
      <c r="A243" s="175" t="s">
        <v>29</v>
      </c>
      <c r="B243" s="264"/>
      <c r="C243" s="175"/>
      <c r="D243" s="175"/>
      <c r="E243" s="276"/>
      <c r="F243" s="175" t="s">
        <v>29</v>
      </c>
      <c r="G243" s="264"/>
      <c r="H243" s="175"/>
      <c r="I243" s="175"/>
      <c r="J243" s="278"/>
      <c r="K243" s="175" t="s">
        <v>29</v>
      </c>
      <c r="L243" s="264"/>
      <c r="M243" s="175"/>
      <c r="N243" s="175"/>
      <c r="O243" s="276"/>
    </row>
    <row r="244" spans="2:15" x14ac:dyDescent="0.25">
      <c r="B244" s="51" t="s">
        <v>111</v>
      </c>
      <c r="C244" s="51" t="s">
        <v>143</v>
      </c>
      <c r="D244" s="51" t="s">
        <v>144</v>
      </c>
      <c r="E244" s="247"/>
      <c r="G244" s="51" t="s">
        <v>111</v>
      </c>
      <c r="H244" s="51" t="s">
        <v>143</v>
      </c>
      <c r="I244" s="51" t="s">
        <v>144</v>
      </c>
      <c r="J244" s="261"/>
      <c r="L244" s="51" t="s">
        <v>111</v>
      </c>
      <c r="M244" s="51" t="s">
        <v>143</v>
      </c>
      <c r="N244" s="51" t="s">
        <v>144</v>
      </c>
      <c r="O244" s="247"/>
    </row>
    <row r="245" spans="1:15" x14ac:dyDescent="0.25">
      <c r="A245" t="s">
        <v>145</v>
      </c>
      <c r="B245" s="240">
        <f>WERKBON!$D$22</f>
        <v>0</v>
      </c>
      <c r="C245" s="240">
        <f>$C$235</f>
        <v>10</v>
      </c>
      <c r="D245" s="256">
        <f>B245-C245</f>
        <v>-10</v>
      </c>
      <c r="E245" s="247"/>
      <c r="F245" t="s">
        <v>145</v>
      </c>
      <c r="G245" s="240">
        <f>WERKBON!$D$22</f>
        <v>0</v>
      </c>
      <c r="H245" s="240">
        <f>$C$235</f>
        <v>10</v>
      </c>
      <c r="I245" s="256">
        <f>G245-H245</f>
        <v>-10</v>
      </c>
      <c r="J245" s="261"/>
      <c r="K245" t="s">
        <v>145</v>
      </c>
      <c r="L245" s="240">
        <f>WERKBON!$D$22</f>
        <v>0</v>
      </c>
      <c r="M245" s="240">
        <f>$C$235</f>
        <v>10</v>
      </c>
      <c r="N245" s="256">
        <f>L245-M245</f>
        <v>-10</v>
      </c>
      <c r="O245" s="247"/>
    </row>
    <row r="246" spans="1:15" x14ac:dyDescent="0.25">
      <c r="A246" t="s">
        <v>148</v>
      </c>
      <c r="B246" s="240">
        <f>B245</f>
        <v>0</v>
      </c>
      <c r="C246" s="240">
        <f>$C$235</f>
        <v>10</v>
      </c>
      <c r="D246" s="256">
        <f>B246-C246</f>
        <v>-10</v>
      </c>
      <c r="E246" s="247"/>
      <c r="F246" t="s">
        <v>148</v>
      </c>
      <c r="G246" s="240">
        <f>G245</f>
        <v>0</v>
      </c>
      <c r="H246" s="240">
        <f>$C$235</f>
        <v>10</v>
      </c>
      <c r="I246" s="256">
        <f>G246-H246</f>
        <v>-10</v>
      </c>
      <c r="J246" s="247"/>
      <c r="K246" t="s">
        <v>148</v>
      </c>
      <c r="L246" s="240">
        <f>L245</f>
        <v>0</v>
      </c>
      <c r="M246" s="240">
        <f>$C$235</f>
        <v>10</v>
      </c>
      <c r="N246" s="256">
        <f>L246-M246</f>
        <v>-10</v>
      </c>
      <c r="O246" s="247"/>
    </row>
    <row r="247" spans="1:15" x14ac:dyDescent="0.25">
      <c r="A247" s="247"/>
      <c r="B247" s="140"/>
      <c r="C247" s="247"/>
      <c r="D247" s="247"/>
      <c r="E247" s="247"/>
      <c r="F247" s="247"/>
      <c r="G247" s="140"/>
      <c r="H247" s="247"/>
      <c r="I247" s="247"/>
      <c r="J247" s="247"/>
      <c r="K247" s="247"/>
      <c r="L247" s="140"/>
      <c r="M247" s="247"/>
      <c r="N247" s="247"/>
      <c r="O247" s="247"/>
    </row>
    <row r="248" spans="1:15" x14ac:dyDescent="0.25">
      <c r="A248" s="175" t="s">
        <v>30</v>
      </c>
      <c r="B248" s="264"/>
      <c r="C248" s="175"/>
      <c r="D248" s="175"/>
      <c r="E248" s="276"/>
      <c r="F248" s="175" t="s">
        <v>30</v>
      </c>
      <c r="G248" s="264"/>
      <c r="H248" s="175"/>
      <c r="I248" s="175"/>
      <c r="J248" s="276"/>
      <c r="K248" s="175" t="s">
        <v>30</v>
      </c>
      <c r="L248" s="264"/>
      <c r="M248" s="175"/>
      <c r="N248" s="175"/>
      <c r="O248" s="276"/>
    </row>
    <row r="249" spans="2:15" x14ac:dyDescent="0.25">
      <c r="B249" s="51" t="s">
        <v>111</v>
      </c>
      <c r="C249" s="51" t="s">
        <v>143</v>
      </c>
      <c r="D249" s="51" t="s">
        <v>144</v>
      </c>
      <c r="E249" s="247"/>
      <c r="G249" s="51" t="s">
        <v>111</v>
      </c>
      <c r="H249" s="51" t="s">
        <v>143</v>
      </c>
      <c r="I249" s="51" t="s">
        <v>144</v>
      </c>
      <c r="J249" s="247"/>
      <c r="L249" s="51" t="s">
        <v>111</v>
      </c>
      <c r="M249" s="51" t="s">
        <v>143</v>
      </c>
      <c r="N249" s="51" t="s">
        <v>144</v>
      </c>
      <c r="O249" s="247"/>
    </row>
    <row r="250" spans="1:15" x14ac:dyDescent="0.25">
      <c r="A250" t="s">
        <v>145</v>
      </c>
      <c r="B250" s="240">
        <f>WERKBON!$E$22</f>
        <v>0</v>
      </c>
      <c r="C250" s="240">
        <f>$C$235</f>
        <v>10</v>
      </c>
      <c r="D250" s="256">
        <f>B250-C250</f>
        <v>-10</v>
      </c>
      <c r="E250" s="247"/>
      <c r="F250" t="s">
        <v>145</v>
      </c>
      <c r="G250" s="240">
        <f>WERKBON!$E$22</f>
        <v>0</v>
      </c>
      <c r="H250" s="240">
        <f>$C$235</f>
        <v>10</v>
      </c>
      <c r="I250" s="256">
        <f>G250-H250</f>
        <v>-10</v>
      </c>
      <c r="J250" s="247"/>
      <c r="K250" t="s">
        <v>145</v>
      </c>
      <c r="L250" s="240">
        <f>WERKBON!$E$22</f>
        <v>0</v>
      </c>
      <c r="M250" s="240">
        <f>$C$235</f>
        <v>10</v>
      </c>
      <c r="N250" s="256">
        <f>L250-M250</f>
        <v>-10</v>
      </c>
      <c r="O250" s="247"/>
    </row>
    <row r="251" spans="1:15" x14ac:dyDescent="0.25">
      <c r="A251" t="s">
        <v>148</v>
      </c>
      <c r="B251" s="240">
        <f>B250</f>
        <v>0</v>
      </c>
      <c r="C251" s="240">
        <f>$C$235</f>
        <v>10</v>
      </c>
      <c r="D251" s="256">
        <f>B251-C251</f>
        <v>-10</v>
      </c>
      <c r="E251" s="247"/>
      <c r="F251" t="s">
        <v>148</v>
      </c>
      <c r="G251" s="240">
        <f>G250</f>
        <v>0</v>
      </c>
      <c r="H251" s="240">
        <f>$C$235</f>
        <v>10</v>
      </c>
      <c r="I251" s="256">
        <f>G251-H251</f>
        <v>-10</v>
      </c>
      <c r="J251" s="247"/>
      <c r="K251" t="s">
        <v>148</v>
      </c>
      <c r="L251" s="240">
        <f>L250</f>
        <v>0</v>
      </c>
      <c r="M251" s="240">
        <f>$C$235</f>
        <v>10</v>
      </c>
      <c r="N251" s="256">
        <f>L251-M251</f>
        <v>-10</v>
      </c>
      <c r="O251" s="247"/>
    </row>
    <row r="252" spans="1:15" x14ac:dyDescent="0.25">
      <c r="A252" s="247"/>
      <c r="B252" s="140"/>
      <c r="C252" s="247"/>
      <c r="D252" s="247"/>
      <c r="E252" s="247"/>
      <c r="F252" s="247"/>
      <c r="G252" s="140"/>
      <c r="H252" s="247"/>
      <c r="I252" s="247"/>
      <c r="J252" s="247"/>
      <c r="K252" s="247"/>
      <c r="L252" s="140"/>
      <c r="M252" s="247"/>
      <c r="N252" s="247"/>
      <c r="O252" s="247"/>
    </row>
    <row r="253" spans="1:15" x14ac:dyDescent="0.25">
      <c r="A253" s="175" t="s">
        <v>31</v>
      </c>
      <c r="B253" s="264"/>
      <c r="C253" s="175"/>
      <c r="D253" s="175"/>
      <c r="E253" s="276"/>
      <c r="F253" s="175" t="s">
        <v>31</v>
      </c>
      <c r="G253" s="264"/>
      <c r="H253" s="175"/>
      <c r="I253" s="175"/>
      <c r="J253" s="276"/>
      <c r="K253" s="175" t="s">
        <v>31</v>
      </c>
      <c r="L253" s="264"/>
      <c r="M253" s="175"/>
      <c r="N253" s="175"/>
      <c r="O253" s="276"/>
    </row>
    <row r="254" spans="2:15" x14ac:dyDescent="0.25">
      <c r="B254" s="51" t="s">
        <v>111</v>
      </c>
      <c r="C254" s="51" t="s">
        <v>143</v>
      </c>
      <c r="D254" s="51" t="s">
        <v>144</v>
      </c>
      <c r="E254" s="247"/>
      <c r="G254" s="51" t="s">
        <v>111</v>
      </c>
      <c r="H254" s="51" t="s">
        <v>143</v>
      </c>
      <c r="I254" s="51" t="s">
        <v>144</v>
      </c>
      <c r="J254" s="247"/>
      <c r="L254" s="51" t="s">
        <v>111</v>
      </c>
      <c r="M254" s="51" t="s">
        <v>143</v>
      </c>
      <c r="N254" s="51" t="s">
        <v>144</v>
      </c>
      <c r="O254" s="247"/>
    </row>
    <row r="255" spans="1:15" x14ac:dyDescent="0.25">
      <c r="A255" t="s">
        <v>145</v>
      </c>
      <c r="B255" s="240">
        <f>WERKBON!$F$22</f>
        <v>0</v>
      </c>
      <c r="C255" s="240">
        <f>$C$235</f>
        <v>10</v>
      </c>
      <c r="D255" s="256">
        <f>B255-C255</f>
        <v>-10</v>
      </c>
      <c r="E255" s="247"/>
      <c r="F255" t="s">
        <v>145</v>
      </c>
      <c r="G255" s="240">
        <f>WERKBON!$F$22</f>
        <v>0</v>
      </c>
      <c r="H255" s="240">
        <f>$C$235</f>
        <v>10</v>
      </c>
      <c r="I255" s="256">
        <f>G255-H255</f>
        <v>-10</v>
      </c>
      <c r="J255" s="247"/>
      <c r="K255" t="s">
        <v>145</v>
      </c>
      <c r="L255" s="240">
        <f>WERKBON!$F$22</f>
        <v>0</v>
      </c>
      <c r="M255" s="240">
        <f>$C$235</f>
        <v>10</v>
      </c>
      <c r="N255" s="256">
        <f>L255-M255</f>
        <v>-10</v>
      </c>
      <c r="O255" s="247"/>
    </row>
    <row r="256" spans="1:15" x14ac:dyDescent="0.25">
      <c r="A256" t="s">
        <v>148</v>
      </c>
      <c r="B256" s="240">
        <f>B255</f>
        <v>0</v>
      </c>
      <c r="C256" s="240">
        <f>$C$235</f>
        <v>10</v>
      </c>
      <c r="D256" s="256">
        <f>B256-C256</f>
        <v>-10</v>
      </c>
      <c r="E256" s="247"/>
      <c r="F256" t="s">
        <v>148</v>
      </c>
      <c r="G256" s="240">
        <f>G255</f>
        <v>0</v>
      </c>
      <c r="H256" s="240">
        <f>$C$235</f>
        <v>10</v>
      </c>
      <c r="I256" s="256">
        <f>G256-H256</f>
        <v>-10</v>
      </c>
      <c r="J256" s="247"/>
      <c r="K256" t="s">
        <v>148</v>
      </c>
      <c r="L256" s="240">
        <f>L255</f>
        <v>0</v>
      </c>
      <c r="M256" s="240">
        <f>$C$235</f>
        <v>10</v>
      </c>
      <c r="N256" s="256">
        <f>L256-M256</f>
        <v>-10</v>
      </c>
      <c r="O256" s="247"/>
    </row>
    <row r="257" spans="1:15" x14ac:dyDescent="0.25">
      <c r="A257" s="247"/>
      <c r="B257" s="249"/>
      <c r="C257" s="249"/>
      <c r="D257" s="247"/>
      <c r="E257" s="247"/>
      <c r="F257" s="247"/>
      <c r="G257" s="249"/>
      <c r="H257" s="249"/>
      <c r="I257" s="263"/>
      <c r="J257" s="247"/>
      <c r="K257" s="247"/>
      <c r="L257" s="249"/>
      <c r="M257" s="249"/>
      <c r="N257" s="263"/>
      <c r="O257" s="247"/>
    </row>
    <row r="258" spans="1:15" x14ac:dyDescent="0.25">
      <c r="A258" s="175" t="s">
        <v>32</v>
      </c>
      <c r="B258" s="264"/>
      <c r="C258" s="175"/>
      <c r="D258" s="175"/>
      <c r="E258" s="276"/>
      <c r="F258" s="175" t="s">
        <v>32</v>
      </c>
      <c r="G258" s="264"/>
      <c r="H258" s="175"/>
      <c r="I258" s="175"/>
      <c r="J258" s="276"/>
      <c r="K258" s="175" t="s">
        <v>32</v>
      </c>
      <c r="L258" s="264"/>
      <c r="M258" s="175"/>
      <c r="N258" s="175"/>
      <c r="O258" s="276"/>
    </row>
    <row r="259" spans="2:15" x14ac:dyDescent="0.25">
      <c r="B259" s="51" t="s">
        <v>111</v>
      </c>
      <c r="C259" s="51" t="s">
        <v>143</v>
      </c>
      <c r="D259" s="51" t="s">
        <v>144</v>
      </c>
      <c r="E259" s="247"/>
      <c r="G259" s="51" t="s">
        <v>111</v>
      </c>
      <c r="H259" s="51" t="s">
        <v>143</v>
      </c>
      <c r="I259" s="51" t="s">
        <v>144</v>
      </c>
      <c r="J259" s="248"/>
      <c r="L259" s="51" t="s">
        <v>111</v>
      </c>
      <c r="M259" s="51" t="s">
        <v>143</v>
      </c>
      <c r="N259" s="51" t="s">
        <v>144</v>
      </c>
      <c r="O259" s="247"/>
    </row>
    <row r="260" spans="1:15" x14ac:dyDescent="0.25">
      <c r="A260" t="s">
        <v>145</v>
      </c>
      <c r="B260" s="240">
        <f>WERKBON!$G$22</f>
        <v>0</v>
      </c>
      <c r="C260" s="240">
        <f>$C$235</f>
        <v>10</v>
      </c>
      <c r="D260" s="256">
        <f>B260-C260</f>
        <v>-10</v>
      </c>
      <c r="E260" s="247"/>
      <c r="F260" t="s">
        <v>145</v>
      </c>
      <c r="G260" s="240">
        <f>WERKBON!$G$22</f>
        <v>0</v>
      </c>
      <c r="H260" s="240">
        <f>$C$235</f>
        <v>10</v>
      </c>
      <c r="I260" s="256">
        <f>G260-H260</f>
        <v>-10</v>
      </c>
      <c r="J260" s="248"/>
      <c r="K260" t="s">
        <v>145</v>
      </c>
      <c r="L260" s="240">
        <f>WERKBON!$G$22</f>
        <v>0</v>
      </c>
      <c r="M260" s="240">
        <f>$C$235</f>
        <v>10</v>
      </c>
      <c r="N260" s="256">
        <f>L260-M260</f>
        <v>-10</v>
      </c>
      <c r="O260" s="247"/>
    </row>
    <row r="261" spans="1:15" x14ac:dyDescent="0.25">
      <c r="A261" t="s">
        <v>148</v>
      </c>
      <c r="B261" s="240">
        <f>B260</f>
        <v>0</v>
      </c>
      <c r="C261" s="240">
        <f>$C$235</f>
        <v>10</v>
      </c>
      <c r="D261" s="256">
        <f>B261-C261</f>
        <v>-10</v>
      </c>
      <c r="E261" s="247"/>
      <c r="F261" t="s">
        <v>148</v>
      </c>
      <c r="G261" s="240">
        <f>G260</f>
        <v>0</v>
      </c>
      <c r="H261" s="240">
        <f>$C$235</f>
        <v>10</v>
      </c>
      <c r="I261" s="256">
        <f>G261-H261</f>
        <v>-10</v>
      </c>
      <c r="J261" s="248"/>
      <c r="K261" t="s">
        <v>148</v>
      </c>
      <c r="L261" s="240">
        <f>L260</f>
        <v>0</v>
      </c>
      <c r="M261" s="240">
        <f>$C$235</f>
        <v>10</v>
      </c>
      <c r="N261" s="256">
        <f>L261-M261</f>
        <v>-10</v>
      </c>
      <c r="O261" s="247"/>
    </row>
    <row r="262" spans="1:15" x14ac:dyDescent="0.25">
      <c r="A262" s="247"/>
      <c r="B262" s="249"/>
      <c r="C262" s="249"/>
      <c r="D262" s="247"/>
      <c r="E262" s="247"/>
      <c r="F262" s="248"/>
      <c r="G262" s="249"/>
      <c r="H262" s="249"/>
      <c r="I262" s="263"/>
      <c r="J262" s="248"/>
      <c r="K262" s="247"/>
      <c r="L262" s="249"/>
      <c r="M262" s="249"/>
      <c r="N262" s="263"/>
      <c r="O262" s="247"/>
    </row>
    <row r="263" spans="1:15" x14ac:dyDescent="0.25">
      <c r="A263" s="175" t="s">
        <v>33</v>
      </c>
      <c r="B263" s="264"/>
      <c r="C263" s="175"/>
      <c r="D263" s="175"/>
      <c r="E263" s="276"/>
      <c r="F263" s="175" t="s">
        <v>33</v>
      </c>
      <c r="G263" s="264"/>
      <c r="H263" s="175"/>
      <c r="I263" s="175"/>
      <c r="J263" s="248"/>
      <c r="K263" s="175" t="s">
        <v>33</v>
      </c>
      <c r="L263" s="264"/>
      <c r="M263" s="175"/>
      <c r="N263" s="175"/>
      <c r="O263" s="276"/>
    </row>
    <row r="264" spans="2:15" x14ac:dyDescent="0.25">
      <c r="B264" s="51" t="s">
        <v>111</v>
      </c>
      <c r="C264" s="51" t="s">
        <v>143</v>
      </c>
      <c r="D264" s="51" t="s">
        <v>144</v>
      </c>
      <c r="E264" s="247"/>
      <c r="G264" s="51" t="s">
        <v>111</v>
      </c>
      <c r="H264" s="51" t="s">
        <v>143</v>
      </c>
      <c r="I264" s="51" t="s">
        <v>144</v>
      </c>
      <c r="J264" s="248"/>
      <c r="L264" s="51" t="s">
        <v>111</v>
      </c>
      <c r="M264" s="51" t="s">
        <v>143</v>
      </c>
      <c r="N264" s="51" t="s">
        <v>144</v>
      </c>
      <c r="O264" s="247"/>
    </row>
    <row r="265" spans="1:15" x14ac:dyDescent="0.25">
      <c r="A265" t="s">
        <v>145</v>
      </c>
      <c r="B265" s="240">
        <f>WERKBON!$H$22</f>
        <v>0</v>
      </c>
      <c r="C265" s="240">
        <f>$C$235</f>
        <v>10</v>
      </c>
      <c r="D265" s="256">
        <f>B265-C265</f>
        <v>-10</v>
      </c>
      <c r="E265" s="247"/>
      <c r="F265" t="s">
        <v>145</v>
      </c>
      <c r="G265" s="240">
        <f>WERKBON!$H$22</f>
        <v>0</v>
      </c>
      <c r="H265" s="240">
        <f>$C$235</f>
        <v>10</v>
      </c>
      <c r="I265" s="256">
        <f>G265-H265</f>
        <v>-10</v>
      </c>
      <c r="J265" s="248"/>
      <c r="K265" t="s">
        <v>145</v>
      </c>
      <c r="L265" s="240">
        <f>WERKBON!$H$22</f>
        <v>0</v>
      </c>
      <c r="M265" s="240">
        <f>$C$235</f>
        <v>10</v>
      </c>
      <c r="N265" s="256">
        <f>L265-M265</f>
        <v>-10</v>
      </c>
      <c r="O265" s="247"/>
    </row>
    <row r="266" spans="1:15" x14ac:dyDescent="0.25">
      <c r="A266" t="s">
        <v>148</v>
      </c>
      <c r="B266" s="240">
        <f>B265</f>
        <v>0</v>
      </c>
      <c r="C266" s="240">
        <f>$C$235</f>
        <v>10</v>
      </c>
      <c r="D266" s="256">
        <f>B266-C266</f>
        <v>-10</v>
      </c>
      <c r="E266" s="247"/>
      <c r="F266" t="s">
        <v>148</v>
      </c>
      <c r="G266" s="240">
        <f>G265</f>
        <v>0</v>
      </c>
      <c r="H266" s="240">
        <f>$C$235</f>
        <v>10</v>
      </c>
      <c r="I266" s="256">
        <f>G266-H266</f>
        <v>-10</v>
      </c>
      <c r="J266" s="261"/>
      <c r="K266" t="s">
        <v>148</v>
      </c>
      <c r="L266" s="240">
        <f>L265</f>
        <v>0</v>
      </c>
      <c r="M266" s="240">
        <f>$C$235</f>
        <v>10</v>
      </c>
      <c r="N266" s="256">
        <f>L266-M266</f>
        <v>-10</v>
      </c>
      <c r="O266" s="247"/>
    </row>
    <row r="267" spans="1:15" x14ac:dyDescent="0.25">
      <c r="A267" s="247"/>
      <c r="B267" s="249"/>
      <c r="C267" s="249"/>
      <c r="D267" s="247"/>
      <c r="E267" s="247"/>
      <c r="F267" s="247"/>
      <c r="G267" s="249"/>
      <c r="H267" s="249"/>
      <c r="I267" s="263"/>
      <c r="J267" s="261"/>
      <c r="K267" s="247"/>
      <c r="L267" s="249"/>
      <c r="M267" s="249"/>
      <c r="N267" s="263"/>
      <c r="O267" s="247"/>
    </row>
    <row r="268" spans="1:15" x14ac:dyDescent="0.25">
      <c r="A268" s="175" t="s">
        <v>34</v>
      </c>
      <c r="B268" s="264"/>
      <c r="C268" s="175"/>
      <c r="D268" s="175"/>
      <c r="E268" s="276"/>
      <c r="F268" s="175" t="s">
        <v>34</v>
      </c>
      <c r="G268" s="264"/>
      <c r="H268" s="175"/>
      <c r="I268" s="175"/>
      <c r="J268" s="278"/>
      <c r="K268" s="175" t="s">
        <v>34</v>
      </c>
      <c r="L268" s="264"/>
      <c r="M268" s="175"/>
      <c r="N268" s="175"/>
      <c r="O268" s="276"/>
    </row>
    <row r="269" spans="2:15" x14ac:dyDescent="0.25">
      <c r="B269" s="51" t="s">
        <v>111</v>
      </c>
      <c r="C269" s="51" t="s">
        <v>143</v>
      </c>
      <c r="D269" s="51" t="s">
        <v>144</v>
      </c>
      <c r="E269" s="247"/>
      <c r="G269" s="51" t="s">
        <v>111</v>
      </c>
      <c r="H269" s="51" t="s">
        <v>143</v>
      </c>
      <c r="I269" s="51" t="s">
        <v>144</v>
      </c>
      <c r="J269" s="261"/>
      <c r="L269" s="51" t="s">
        <v>111</v>
      </c>
      <c r="M269" s="51" t="s">
        <v>143</v>
      </c>
      <c r="N269" s="51" t="s">
        <v>144</v>
      </c>
      <c r="O269" s="247"/>
    </row>
    <row r="270" spans="1:15" x14ac:dyDescent="0.25">
      <c r="A270" t="s">
        <v>145</v>
      </c>
      <c r="B270" s="240">
        <f>WERKBON!$I$22</f>
        <v>0</v>
      </c>
      <c r="C270" s="240">
        <f>$C$235</f>
        <v>10</v>
      </c>
      <c r="D270" s="256">
        <f>B270-C270</f>
        <v>-10</v>
      </c>
      <c r="E270" s="247"/>
      <c r="F270" t="s">
        <v>145</v>
      </c>
      <c r="G270" s="240">
        <f>WERKBON!$I$22</f>
        <v>0</v>
      </c>
      <c r="H270" s="240">
        <f>$C$235</f>
        <v>10</v>
      </c>
      <c r="I270" s="256">
        <f>G270-H270</f>
        <v>-10</v>
      </c>
      <c r="J270" s="261"/>
      <c r="K270" t="s">
        <v>145</v>
      </c>
      <c r="L270" s="240">
        <f>WERKBON!$I$22</f>
        <v>0</v>
      </c>
      <c r="M270" s="240">
        <f>$C$235</f>
        <v>10</v>
      </c>
      <c r="N270" s="256">
        <f>L270-M270</f>
        <v>-10</v>
      </c>
      <c r="O270" s="247"/>
    </row>
    <row r="271" spans="1:15" x14ac:dyDescent="0.25">
      <c r="A271" t="s">
        <v>148</v>
      </c>
      <c r="B271" s="240">
        <f>B270</f>
        <v>0</v>
      </c>
      <c r="C271" s="240">
        <f>$C$235</f>
        <v>10</v>
      </c>
      <c r="D271" s="256">
        <f>B271-C271</f>
        <v>-10</v>
      </c>
      <c r="E271" s="247"/>
      <c r="F271" t="s">
        <v>148</v>
      </c>
      <c r="G271" s="240">
        <f>G270</f>
        <v>0</v>
      </c>
      <c r="H271" s="240">
        <f>$C$235</f>
        <v>10</v>
      </c>
      <c r="I271" s="256">
        <f>G271-H271</f>
        <v>-10</v>
      </c>
      <c r="J271" s="247"/>
      <c r="K271" t="s">
        <v>148</v>
      </c>
      <c r="L271" s="240">
        <f>L270</f>
        <v>0</v>
      </c>
      <c r="M271" s="240">
        <f>$C$235</f>
        <v>10</v>
      </c>
      <c r="N271" s="256">
        <f>L271-M271</f>
        <v>-10</v>
      </c>
      <c r="O271" s="247"/>
    </row>
    <row r="272" spans="1:15" x14ac:dyDescent="0.25">
      <c r="A272" s="247"/>
      <c r="B272" s="249"/>
      <c r="C272" s="249"/>
      <c r="D272" s="247"/>
      <c r="E272" s="247"/>
      <c r="F272" s="247"/>
      <c r="G272" s="249"/>
      <c r="H272" s="249"/>
      <c r="I272" s="263"/>
      <c r="J272" s="247"/>
      <c r="K272" s="247"/>
      <c r="L272" s="249"/>
      <c r="M272" s="249"/>
      <c r="N272" s="263"/>
      <c r="O272" s="247"/>
    </row>
    <row r="273" spans="1:15" x14ac:dyDescent="0.25">
      <c r="A273" s="175" t="s">
        <v>35</v>
      </c>
      <c r="B273" s="264"/>
      <c r="C273" s="175"/>
      <c r="D273" s="175"/>
      <c r="E273" s="276"/>
      <c r="F273" s="175" t="s">
        <v>35</v>
      </c>
      <c r="G273" s="264"/>
      <c r="H273" s="175"/>
      <c r="I273" s="175"/>
      <c r="J273" s="276"/>
      <c r="K273" s="175" t="s">
        <v>35</v>
      </c>
      <c r="L273" s="264"/>
      <c r="M273" s="175"/>
      <c r="N273" s="175"/>
      <c r="O273" s="276"/>
    </row>
    <row r="274" spans="2:15" x14ac:dyDescent="0.25">
      <c r="B274" s="51" t="s">
        <v>111</v>
      </c>
      <c r="C274" s="51" t="s">
        <v>143</v>
      </c>
      <c r="D274" s="51" t="s">
        <v>144</v>
      </c>
      <c r="E274" s="247"/>
      <c r="G274" s="51" t="s">
        <v>111</v>
      </c>
      <c r="H274" s="51" t="s">
        <v>143</v>
      </c>
      <c r="I274" s="51" t="s">
        <v>144</v>
      </c>
      <c r="J274" s="247"/>
      <c r="L274" s="51" t="s">
        <v>111</v>
      </c>
      <c r="M274" s="51" t="s">
        <v>143</v>
      </c>
      <c r="N274" s="51" t="s">
        <v>144</v>
      </c>
      <c r="O274" s="247"/>
    </row>
    <row r="275" spans="1:15" x14ac:dyDescent="0.25">
      <c r="A275" t="s">
        <v>145</v>
      </c>
      <c r="B275" s="240">
        <f>WERKBON!$J$22</f>
        <v>0</v>
      </c>
      <c r="C275" s="240">
        <f>$C$235</f>
        <v>10</v>
      </c>
      <c r="D275" s="256">
        <f>B275-C275</f>
        <v>-10</v>
      </c>
      <c r="E275" s="247"/>
      <c r="F275" t="s">
        <v>145</v>
      </c>
      <c r="G275" s="240">
        <f>WERKBON!$J$22</f>
        <v>0</v>
      </c>
      <c r="H275" s="240">
        <f>$C$235</f>
        <v>10</v>
      </c>
      <c r="I275" s="256">
        <f>G275-H275</f>
        <v>-10</v>
      </c>
      <c r="J275" s="247"/>
      <c r="K275" t="s">
        <v>145</v>
      </c>
      <c r="L275" s="240">
        <f>WERKBON!$J$22</f>
        <v>0</v>
      </c>
      <c r="M275" s="240">
        <f>$C$235</f>
        <v>10</v>
      </c>
      <c r="N275" s="256">
        <f>L275-M275</f>
        <v>-10</v>
      </c>
      <c r="O275" s="247"/>
    </row>
    <row r="276" spans="1:15" x14ac:dyDescent="0.25">
      <c r="A276" t="s">
        <v>148</v>
      </c>
      <c r="B276" s="240">
        <f>B275</f>
        <v>0</v>
      </c>
      <c r="C276" s="240">
        <f>$C$235</f>
        <v>10</v>
      </c>
      <c r="D276" s="256">
        <f>B276-C276</f>
        <v>-10</v>
      </c>
      <c r="E276" s="247"/>
      <c r="F276" t="s">
        <v>148</v>
      </c>
      <c r="G276" s="240">
        <f>G275</f>
        <v>0</v>
      </c>
      <c r="H276" s="240">
        <f>$C$235</f>
        <v>10</v>
      </c>
      <c r="I276" s="256">
        <f>G276-H276</f>
        <v>-10</v>
      </c>
      <c r="J276" s="247"/>
      <c r="K276" t="s">
        <v>148</v>
      </c>
      <c r="L276" s="240">
        <f>L275</f>
        <v>0</v>
      </c>
      <c r="M276" s="240">
        <f>$C$235</f>
        <v>10</v>
      </c>
      <c r="N276" s="256">
        <f>L276-M276</f>
        <v>-10</v>
      </c>
      <c r="O276" s="247"/>
    </row>
    <row r="277" spans="1:15" x14ac:dyDescent="0.25">
      <c r="A277" s="247"/>
      <c r="B277" s="249"/>
      <c r="C277" s="249"/>
      <c r="D277" s="247"/>
      <c r="E277" s="247"/>
      <c r="F277" s="247"/>
      <c r="G277" s="249"/>
      <c r="H277" s="249"/>
      <c r="I277" s="263"/>
      <c r="J277" s="247"/>
      <c r="K277" s="247"/>
      <c r="L277" s="249"/>
      <c r="M277" s="249"/>
      <c r="N277" s="263"/>
      <c r="O277" s="247"/>
    </row>
    <row r="278" spans="1:15" x14ac:dyDescent="0.25">
      <c r="A278" s="175" t="s">
        <v>36</v>
      </c>
      <c r="B278" s="264"/>
      <c r="C278" s="175"/>
      <c r="D278" s="175"/>
      <c r="E278" s="276"/>
      <c r="F278" s="175" t="s">
        <v>36</v>
      </c>
      <c r="G278" s="264"/>
      <c r="H278" s="175"/>
      <c r="I278" s="175"/>
      <c r="J278" s="276"/>
      <c r="K278" s="175" t="s">
        <v>36</v>
      </c>
      <c r="L278" s="264"/>
      <c r="M278" s="175"/>
      <c r="N278" s="175"/>
      <c r="O278" s="276"/>
    </row>
    <row r="279" spans="2:15" x14ac:dyDescent="0.25">
      <c r="B279" s="51" t="s">
        <v>111</v>
      </c>
      <c r="C279" s="51" t="s">
        <v>143</v>
      </c>
      <c r="D279" s="51" t="s">
        <v>144</v>
      </c>
      <c r="E279" s="247"/>
      <c r="G279" s="51" t="s">
        <v>111</v>
      </c>
      <c r="H279" s="51" t="s">
        <v>143</v>
      </c>
      <c r="I279" s="51" t="s">
        <v>144</v>
      </c>
      <c r="J279" s="247"/>
      <c r="L279" s="51" t="s">
        <v>111</v>
      </c>
      <c r="M279" s="51" t="s">
        <v>143</v>
      </c>
      <c r="N279" s="51" t="s">
        <v>144</v>
      </c>
      <c r="O279" s="247"/>
    </row>
    <row r="280" spans="1:15" x14ac:dyDescent="0.25">
      <c r="A280" t="s">
        <v>145</v>
      </c>
      <c r="B280" s="240">
        <f>WERKBON!$K$22</f>
        <v>0</v>
      </c>
      <c r="C280" s="240">
        <f>$C$235</f>
        <v>10</v>
      </c>
      <c r="D280" s="256">
        <f>B280-C280</f>
        <v>-10</v>
      </c>
      <c r="E280" s="247"/>
      <c r="F280" t="s">
        <v>145</v>
      </c>
      <c r="G280" s="240">
        <f>WERKBON!$K$22</f>
        <v>0</v>
      </c>
      <c r="H280" s="240">
        <f>$C$235</f>
        <v>10</v>
      </c>
      <c r="I280" s="256">
        <f>G280-H280</f>
        <v>-10</v>
      </c>
      <c r="J280" s="247"/>
      <c r="K280" t="s">
        <v>145</v>
      </c>
      <c r="L280" s="240">
        <f>WERKBON!$K$22</f>
        <v>0</v>
      </c>
      <c r="M280" s="240">
        <f>$C$235</f>
        <v>10</v>
      </c>
      <c r="N280" s="256">
        <f>L280-M280</f>
        <v>-10</v>
      </c>
      <c r="O280" s="247"/>
    </row>
    <row r="281" spans="1:15" x14ac:dyDescent="0.25">
      <c r="A281" t="s">
        <v>148</v>
      </c>
      <c r="B281" s="240">
        <f>B280</f>
        <v>0</v>
      </c>
      <c r="C281" s="240">
        <f>$C$235</f>
        <v>10</v>
      </c>
      <c r="D281" s="256">
        <f>B281-C281</f>
        <v>-10</v>
      </c>
      <c r="E281" s="247"/>
      <c r="F281" t="s">
        <v>148</v>
      </c>
      <c r="G281" s="240">
        <f>G280</f>
        <v>0</v>
      </c>
      <c r="H281" s="240">
        <f>$C$235</f>
        <v>10</v>
      </c>
      <c r="I281" s="256">
        <f>G281-H281</f>
        <v>-10</v>
      </c>
      <c r="J281" s="247"/>
      <c r="K281" t="s">
        <v>148</v>
      </c>
      <c r="L281" s="240">
        <f>L280</f>
        <v>0</v>
      </c>
      <c r="M281" s="240">
        <f>$C$235</f>
        <v>10</v>
      </c>
      <c r="N281" s="256">
        <f>L281-M281</f>
        <v>-10</v>
      </c>
      <c r="O281" s="247"/>
    </row>
    <row r="282" spans="1:15" x14ac:dyDescent="0.25">
      <c r="A282" s="247"/>
      <c r="B282" s="249"/>
      <c r="C282" s="249"/>
      <c r="D282" s="247"/>
      <c r="E282" s="247"/>
      <c r="F282" s="247"/>
      <c r="G282" s="249"/>
      <c r="H282" s="249"/>
      <c r="I282" s="263"/>
      <c r="J282" s="247"/>
      <c r="K282" s="247"/>
      <c r="L282" s="249"/>
      <c r="M282" s="249"/>
      <c r="N282" s="263"/>
      <c r="O282" s="247"/>
    </row>
    <row r="286" ht="18" customHeight="1" spans="1:15" x14ac:dyDescent="0.25">
      <c r="A286" s="266" t="s">
        <v>151</v>
      </c>
      <c r="B286" s="267"/>
      <c r="C286" s="268" t="s">
        <v>157</v>
      </c>
      <c r="D286" s="269">
        <v>42</v>
      </c>
      <c r="E286" s="2"/>
      <c r="F286" s="270" t="s">
        <v>153</v>
      </c>
      <c r="G286" s="271">
        <v>6</v>
      </c>
      <c r="H286" s="270" t="s">
        <v>142</v>
      </c>
      <c r="I286" s="2"/>
      <c r="J286" s="2"/>
      <c r="K286" s="266" t="s">
        <v>154</v>
      </c>
      <c r="L286" s="272"/>
      <c r="M286" s="270" t="s">
        <v>148</v>
      </c>
      <c r="N286" s="273">
        <v>52</v>
      </c>
      <c r="O286" s="270" t="s">
        <v>147</v>
      </c>
    </row>
    <row r="287" ht="18" customHeight="1" spans="1:15" x14ac:dyDescent="0.25">
      <c r="A287" s="274" t="s">
        <v>155</v>
      </c>
      <c r="B287" s="243"/>
      <c r="C287" s="274"/>
      <c r="D287" s="274"/>
      <c r="E287" s="244"/>
      <c r="F287" s="274" t="s">
        <v>139</v>
      </c>
      <c r="G287" s="243"/>
      <c r="H287" s="274"/>
      <c r="I287" s="274"/>
      <c r="J287" s="244"/>
      <c r="K287" s="274" t="s">
        <v>140</v>
      </c>
      <c r="L287" s="243"/>
      <c r="M287" s="274"/>
      <c r="N287" s="274"/>
      <c r="O287" s="244"/>
    </row>
    <row r="288" spans="1:15" x14ac:dyDescent="0.25">
      <c r="A288" s="175" t="s">
        <v>27</v>
      </c>
      <c r="B288" s="264"/>
      <c r="C288" s="175"/>
      <c r="D288" s="175"/>
      <c r="E288" s="276"/>
      <c r="F288" s="175" t="s">
        <v>27</v>
      </c>
      <c r="G288" s="264"/>
      <c r="H288" s="175"/>
      <c r="I288" s="175"/>
      <c r="J288" s="277"/>
      <c r="K288" s="175" t="s">
        <v>27</v>
      </c>
      <c r="L288" s="264"/>
      <c r="M288" s="175"/>
      <c r="N288" s="175"/>
      <c r="O288" s="276"/>
    </row>
    <row r="289" spans="2:15" x14ac:dyDescent="0.25">
      <c r="B289" s="51" t="s">
        <v>111</v>
      </c>
      <c r="C289" s="51" t="s">
        <v>143</v>
      </c>
      <c r="D289" s="51" t="s">
        <v>144</v>
      </c>
      <c r="E289" s="247"/>
      <c r="G289" s="51" t="s">
        <v>111</v>
      </c>
      <c r="H289" s="51" t="s">
        <v>143</v>
      </c>
      <c r="I289" s="51" t="s">
        <v>144</v>
      </c>
      <c r="J289" s="248"/>
      <c r="L289" s="51" t="s">
        <v>111</v>
      </c>
      <c r="M289" s="51" t="s">
        <v>143</v>
      </c>
      <c r="N289" s="51" t="s">
        <v>144</v>
      </c>
      <c r="O289" s="247"/>
    </row>
    <row r="290" spans="1:15" x14ac:dyDescent="0.25">
      <c r="A290" t="s">
        <v>145</v>
      </c>
      <c r="B290" s="240">
        <f>WERKBON!$B$22</f>
        <v>0</v>
      </c>
      <c r="C290" s="240">
        <v>10</v>
      </c>
      <c r="D290" s="256">
        <f>B290-C290</f>
        <v>-10</v>
      </c>
      <c r="E290" s="247"/>
      <c r="F290" t="s">
        <v>145</v>
      </c>
      <c r="G290" s="240">
        <f>WERKBON!$B$22</f>
        <v>0</v>
      </c>
      <c r="H290" s="240">
        <f>$C$290</f>
        <v>10</v>
      </c>
      <c r="I290" s="256">
        <f>G290-H290</f>
        <v>-10</v>
      </c>
      <c r="J290" s="248"/>
      <c r="K290" t="s">
        <v>145</v>
      </c>
      <c r="L290" s="240">
        <f>WERKBON!$B$22</f>
        <v>0</v>
      </c>
      <c r="M290" s="240">
        <f>$C$290</f>
        <v>10</v>
      </c>
      <c r="N290" s="256">
        <f>L290-M290</f>
        <v>-10</v>
      </c>
      <c r="O290" s="247"/>
    </row>
    <row r="291" spans="1:15" x14ac:dyDescent="0.25">
      <c r="A291" t="s">
        <v>148</v>
      </c>
      <c r="B291" s="240">
        <f>B290</f>
        <v>0</v>
      </c>
      <c r="C291" s="240">
        <f>$C$290</f>
        <v>10</v>
      </c>
      <c r="D291" s="256">
        <f>B291-C291</f>
        <v>-10</v>
      </c>
      <c r="E291" s="247"/>
      <c r="F291" t="s">
        <v>148</v>
      </c>
      <c r="G291" s="240">
        <f>G290</f>
        <v>0</v>
      </c>
      <c r="H291" s="240">
        <f>$C$290</f>
        <v>10</v>
      </c>
      <c r="I291" s="256">
        <f>G291-H291</f>
        <v>-10</v>
      </c>
      <c r="J291" s="248"/>
      <c r="K291" t="s">
        <v>148</v>
      </c>
      <c r="L291" s="240">
        <f>L290</f>
        <v>0</v>
      </c>
      <c r="M291" s="240">
        <f>$C$290</f>
        <v>10</v>
      </c>
      <c r="N291" s="256">
        <f>L291-M291</f>
        <v>-10</v>
      </c>
      <c r="O291" s="247"/>
    </row>
    <row r="292" spans="1:15" x14ac:dyDescent="0.25">
      <c r="A292" s="247"/>
      <c r="B292" s="140"/>
      <c r="C292" s="247"/>
      <c r="D292" s="247"/>
      <c r="E292" s="247"/>
      <c r="F292" s="248"/>
      <c r="G292" s="249"/>
      <c r="H292" s="249"/>
      <c r="I292" s="248"/>
      <c r="J292" s="248"/>
      <c r="K292" s="247"/>
      <c r="L292" s="140"/>
      <c r="M292" s="247"/>
      <c r="N292" s="247"/>
      <c r="O292" s="247"/>
    </row>
    <row r="293" spans="1:15" x14ac:dyDescent="0.25">
      <c r="A293" s="175" t="s">
        <v>28</v>
      </c>
      <c r="B293" s="264"/>
      <c r="C293" s="175"/>
      <c r="D293" s="175"/>
      <c r="E293" s="276"/>
      <c r="F293" s="175" t="s">
        <v>28</v>
      </c>
      <c r="G293" s="264"/>
      <c r="H293" s="175"/>
      <c r="I293" s="175"/>
      <c r="J293" s="248"/>
      <c r="K293" s="175" t="s">
        <v>28</v>
      </c>
      <c r="L293" s="264"/>
      <c r="M293" s="175"/>
      <c r="N293" s="175"/>
      <c r="O293" s="276"/>
    </row>
    <row r="294" spans="2:15" x14ac:dyDescent="0.25">
      <c r="B294" s="51" t="s">
        <v>111</v>
      </c>
      <c r="C294" s="51" t="s">
        <v>143</v>
      </c>
      <c r="D294" s="51" t="s">
        <v>144</v>
      </c>
      <c r="E294" s="247"/>
      <c r="G294" s="51" t="s">
        <v>111</v>
      </c>
      <c r="H294" s="51" t="s">
        <v>143</v>
      </c>
      <c r="I294" s="51" t="s">
        <v>144</v>
      </c>
      <c r="J294" s="248"/>
      <c r="L294" s="51" t="s">
        <v>111</v>
      </c>
      <c r="M294" s="51" t="s">
        <v>143</v>
      </c>
      <c r="N294" s="51" t="s">
        <v>144</v>
      </c>
      <c r="O294" s="247"/>
    </row>
    <row r="295" spans="1:15" x14ac:dyDescent="0.25">
      <c r="A295" t="s">
        <v>145</v>
      </c>
      <c r="B295" s="240">
        <f>WERKBON!$C$22</f>
        <v>0</v>
      </c>
      <c r="C295" s="240">
        <f>$C$290</f>
        <v>10</v>
      </c>
      <c r="D295" s="256">
        <f>B295-C295</f>
        <v>-10</v>
      </c>
      <c r="E295" s="247"/>
      <c r="F295" t="s">
        <v>145</v>
      </c>
      <c r="G295" s="240">
        <f>WERKBON!$C$22</f>
        <v>0</v>
      </c>
      <c r="H295" s="240">
        <f>$C$290</f>
        <v>10</v>
      </c>
      <c r="I295" s="256">
        <f>G295-H295</f>
        <v>-10</v>
      </c>
      <c r="J295" s="248"/>
      <c r="K295" t="s">
        <v>145</v>
      </c>
      <c r="L295" s="240">
        <f>WERKBON!$C$22</f>
        <v>0</v>
      </c>
      <c r="M295" s="240">
        <f>$C$290</f>
        <v>10</v>
      </c>
      <c r="N295" s="256">
        <f>L295-M295</f>
        <v>-10</v>
      </c>
      <c r="O295" s="247"/>
    </row>
    <row r="296" spans="1:15" x14ac:dyDescent="0.25">
      <c r="A296" t="s">
        <v>148</v>
      </c>
      <c r="B296" s="240">
        <f>B295</f>
        <v>0</v>
      </c>
      <c r="C296" s="240">
        <f>$C$290</f>
        <v>10</v>
      </c>
      <c r="D296" s="256">
        <f>B296-C296</f>
        <v>-10</v>
      </c>
      <c r="E296" s="247"/>
      <c r="F296" t="s">
        <v>148</v>
      </c>
      <c r="G296" s="240">
        <f>G295</f>
        <v>0</v>
      </c>
      <c r="H296" s="240">
        <f>$C$290</f>
        <v>10</v>
      </c>
      <c r="I296" s="256">
        <f>G296-H296</f>
        <v>-10</v>
      </c>
      <c r="J296" s="261"/>
      <c r="K296" t="s">
        <v>148</v>
      </c>
      <c r="L296" s="240">
        <f>L295</f>
        <v>0</v>
      </c>
      <c r="M296" s="240">
        <f>$C$290</f>
        <v>10</v>
      </c>
      <c r="N296" s="256">
        <f>L296-M296</f>
        <v>-10</v>
      </c>
      <c r="O296" s="247"/>
    </row>
    <row r="297" spans="1:15" x14ac:dyDescent="0.25">
      <c r="A297" s="247"/>
      <c r="B297" s="140"/>
      <c r="C297" s="247"/>
      <c r="D297" s="247"/>
      <c r="E297" s="247"/>
      <c r="F297" s="247"/>
      <c r="G297" s="140"/>
      <c r="H297" s="247"/>
      <c r="I297" s="261"/>
      <c r="J297" s="261"/>
      <c r="K297" s="247"/>
      <c r="L297" s="140"/>
      <c r="M297" s="247"/>
      <c r="N297" s="247"/>
      <c r="O297" s="247"/>
    </row>
    <row r="298" spans="1:15" x14ac:dyDescent="0.25">
      <c r="A298" s="175" t="s">
        <v>29</v>
      </c>
      <c r="B298" s="264"/>
      <c r="C298" s="175"/>
      <c r="D298" s="175"/>
      <c r="E298" s="276"/>
      <c r="F298" s="175" t="s">
        <v>29</v>
      </c>
      <c r="G298" s="264"/>
      <c r="H298" s="175"/>
      <c r="I298" s="175"/>
      <c r="J298" s="278"/>
      <c r="K298" s="175" t="s">
        <v>29</v>
      </c>
      <c r="L298" s="264"/>
      <c r="M298" s="175"/>
      <c r="N298" s="175"/>
      <c r="O298" s="276"/>
    </row>
    <row r="299" spans="2:15" x14ac:dyDescent="0.25">
      <c r="B299" s="51" t="s">
        <v>111</v>
      </c>
      <c r="C299" s="51" t="s">
        <v>143</v>
      </c>
      <c r="D299" s="51" t="s">
        <v>144</v>
      </c>
      <c r="E299" s="247"/>
      <c r="G299" s="51" t="s">
        <v>111</v>
      </c>
      <c r="H299" s="51" t="s">
        <v>143</v>
      </c>
      <c r="I299" s="51" t="s">
        <v>144</v>
      </c>
      <c r="J299" s="261"/>
      <c r="L299" s="51" t="s">
        <v>111</v>
      </c>
      <c r="M299" s="51" t="s">
        <v>143</v>
      </c>
      <c r="N299" s="51" t="s">
        <v>144</v>
      </c>
      <c r="O299" s="247"/>
    </row>
    <row r="300" spans="1:15" x14ac:dyDescent="0.25">
      <c r="A300" t="s">
        <v>145</v>
      </c>
      <c r="B300" s="240">
        <f>WERKBON!$D$22</f>
        <v>0</v>
      </c>
      <c r="C300" s="240">
        <f>$C$290</f>
        <v>10</v>
      </c>
      <c r="D300" s="256">
        <f>B300-C300</f>
        <v>-10</v>
      </c>
      <c r="E300" s="247"/>
      <c r="F300" t="s">
        <v>145</v>
      </c>
      <c r="G300" s="240">
        <f>WERKBON!$D$22</f>
        <v>0</v>
      </c>
      <c r="H300" s="240">
        <f>$C$290</f>
        <v>10</v>
      </c>
      <c r="I300" s="256">
        <f>G300-H300</f>
        <v>-10</v>
      </c>
      <c r="J300" s="261"/>
      <c r="K300" t="s">
        <v>145</v>
      </c>
      <c r="L300" s="240">
        <f>WERKBON!$D$22</f>
        <v>0</v>
      </c>
      <c r="M300" s="240">
        <f>$C$290</f>
        <v>10</v>
      </c>
      <c r="N300" s="256">
        <f>L300-M300</f>
        <v>-10</v>
      </c>
      <c r="O300" s="247"/>
    </row>
    <row r="301" spans="1:15" x14ac:dyDescent="0.25">
      <c r="A301" t="s">
        <v>148</v>
      </c>
      <c r="B301" s="240">
        <f>B300</f>
        <v>0</v>
      </c>
      <c r="C301" s="240">
        <f>$C$290</f>
        <v>10</v>
      </c>
      <c r="D301" s="256">
        <f>B301-C301</f>
        <v>-10</v>
      </c>
      <c r="E301" s="247"/>
      <c r="F301" t="s">
        <v>148</v>
      </c>
      <c r="G301" s="240">
        <f>G300</f>
        <v>0</v>
      </c>
      <c r="H301" s="240">
        <f>$C$290</f>
        <v>10</v>
      </c>
      <c r="I301" s="256">
        <f>G301-H301</f>
        <v>-10</v>
      </c>
      <c r="J301" s="247"/>
      <c r="K301" t="s">
        <v>148</v>
      </c>
      <c r="L301" s="240">
        <f>L300</f>
        <v>0</v>
      </c>
      <c r="M301" s="240">
        <f>$C$290</f>
        <v>10</v>
      </c>
      <c r="N301" s="256">
        <f>L301-M301</f>
        <v>-10</v>
      </c>
      <c r="O301" s="247"/>
    </row>
    <row r="302" spans="1:15" x14ac:dyDescent="0.25">
      <c r="A302" s="247"/>
      <c r="B302" s="140"/>
      <c r="C302" s="247"/>
      <c r="D302" s="247"/>
      <c r="E302" s="247"/>
      <c r="F302" s="247"/>
      <c r="G302" s="140"/>
      <c r="H302" s="247"/>
      <c r="I302" s="247"/>
      <c r="J302" s="247"/>
      <c r="K302" s="247"/>
      <c r="L302" s="140"/>
      <c r="M302" s="247"/>
      <c r="N302" s="247"/>
      <c r="O302" s="247"/>
    </row>
    <row r="303" spans="1:15" x14ac:dyDescent="0.25">
      <c r="A303" s="175" t="s">
        <v>30</v>
      </c>
      <c r="B303" s="264"/>
      <c r="C303" s="175"/>
      <c r="D303" s="175"/>
      <c r="E303" s="276"/>
      <c r="F303" s="175" t="s">
        <v>30</v>
      </c>
      <c r="G303" s="264"/>
      <c r="H303" s="175"/>
      <c r="I303" s="175"/>
      <c r="J303" s="276"/>
      <c r="K303" s="175" t="s">
        <v>30</v>
      </c>
      <c r="L303" s="264"/>
      <c r="M303" s="175"/>
      <c r="N303" s="175"/>
      <c r="O303" s="276"/>
    </row>
    <row r="304" spans="2:15" x14ac:dyDescent="0.25">
      <c r="B304" s="51" t="s">
        <v>111</v>
      </c>
      <c r="C304" s="51" t="s">
        <v>143</v>
      </c>
      <c r="D304" s="51" t="s">
        <v>144</v>
      </c>
      <c r="E304" s="247"/>
      <c r="G304" s="51" t="s">
        <v>111</v>
      </c>
      <c r="H304" s="51" t="s">
        <v>143</v>
      </c>
      <c r="I304" s="51" t="s">
        <v>144</v>
      </c>
      <c r="J304" s="247"/>
      <c r="L304" s="51" t="s">
        <v>111</v>
      </c>
      <c r="M304" s="51" t="s">
        <v>143</v>
      </c>
      <c r="N304" s="51" t="s">
        <v>144</v>
      </c>
      <c r="O304" s="247"/>
    </row>
    <row r="305" spans="1:15" x14ac:dyDescent="0.25">
      <c r="A305" t="s">
        <v>145</v>
      </c>
      <c r="B305" s="240">
        <f>WERKBON!$E$22</f>
        <v>0</v>
      </c>
      <c r="C305" s="240">
        <f>$C$290</f>
        <v>10</v>
      </c>
      <c r="D305" s="256">
        <f>B305-C305</f>
        <v>-10</v>
      </c>
      <c r="E305" s="247"/>
      <c r="F305" t="s">
        <v>145</v>
      </c>
      <c r="G305" s="240">
        <f>WERKBON!$E$22</f>
        <v>0</v>
      </c>
      <c r="H305" s="240">
        <f>$C$290</f>
        <v>10</v>
      </c>
      <c r="I305" s="256">
        <f>G305-H305</f>
        <v>-10</v>
      </c>
      <c r="J305" s="247"/>
      <c r="K305" t="s">
        <v>145</v>
      </c>
      <c r="L305" s="240">
        <f>WERKBON!$E$22</f>
        <v>0</v>
      </c>
      <c r="M305" s="240">
        <f>$C$290</f>
        <v>10</v>
      </c>
      <c r="N305" s="256">
        <f>L305-M305</f>
        <v>-10</v>
      </c>
      <c r="O305" s="247"/>
    </row>
    <row r="306" spans="1:15" x14ac:dyDescent="0.25">
      <c r="A306" t="s">
        <v>148</v>
      </c>
      <c r="B306" s="240">
        <f>B305</f>
        <v>0</v>
      </c>
      <c r="C306" s="240">
        <f>$C$290</f>
        <v>10</v>
      </c>
      <c r="D306" s="256">
        <f>B306-C306</f>
        <v>-10</v>
      </c>
      <c r="E306" s="247"/>
      <c r="F306" t="s">
        <v>148</v>
      </c>
      <c r="G306" s="240">
        <f>G305</f>
        <v>0</v>
      </c>
      <c r="H306" s="240">
        <f>$C$290</f>
        <v>10</v>
      </c>
      <c r="I306" s="256">
        <f>G306-H306</f>
        <v>-10</v>
      </c>
      <c r="J306" s="247"/>
      <c r="K306" t="s">
        <v>148</v>
      </c>
      <c r="L306" s="240">
        <f>L305</f>
        <v>0</v>
      </c>
      <c r="M306" s="240">
        <f>$C$290</f>
        <v>10</v>
      </c>
      <c r="N306" s="256">
        <f>L306-M306</f>
        <v>-10</v>
      </c>
      <c r="O306" s="247"/>
    </row>
    <row r="307" spans="1:15" x14ac:dyDescent="0.25">
      <c r="A307" s="247"/>
      <c r="B307" s="140"/>
      <c r="C307" s="247"/>
      <c r="D307" s="247"/>
      <c r="E307" s="247"/>
      <c r="F307" s="247"/>
      <c r="G307" s="140"/>
      <c r="H307" s="247"/>
      <c r="I307" s="247"/>
      <c r="J307" s="247"/>
      <c r="K307" s="247"/>
      <c r="L307" s="140"/>
      <c r="M307" s="247"/>
      <c r="N307" s="247"/>
      <c r="O307" s="247"/>
    </row>
    <row r="308" spans="1:15" x14ac:dyDescent="0.25">
      <c r="A308" s="175" t="s">
        <v>31</v>
      </c>
      <c r="B308" s="264"/>
      <c r="C308" s="175"/>
      <c r="D308" s="175"/>
      <c r="E308" s="276"/>
      <c r="F308" s="175" t="s">
        <v>31</v>
      </c>
      <c r="G308" s="264"/>
      <c r="H308" s="175"/>
      <c r="I308" s="175"/>
      <c r="J308" s="276"/>
      <c r="K308" s="175" t="s">
        <v>31</v>
      </c>
      <c r="L308" s="264"/>
      <c r="M308" s="175"/>
      <c r="N308" s="175"/>
      <c r="O308" s="276"/>
    </row>
    <row r="309" spans="2:15" x14ac:dyDescent="0.25">
      <c r="B309" s="51" t="s">
        <v>111</v>
      </c>
      <c r="C309" s="51" t="s">
        <v>143</v>
      </c>
      <c r="D309" s="51" t="s">
        <v>144</v>
      </c>
      <c r="E309" s="247"/>
      <c r="G309" s="51" t="s">
        <v>111</v>
      </c>
      <c r="H309" s="51" t="s">
        <v>143</v>
      </c>
      <c r="I309" s="51" t="s">
        <v>144</v>
      </c>
      <c r="J309" s="247"/>
      <c r="L309" s="51" t="s">
        <v>111</v>
      </c>
      <c r="M309" s="51" t="s">
        <v>143</v>
      </c>
      <c r="N309" s="51" t="s">
        <v>144</v>
      </c>
      <c r="O309" s="247"/>
    </row>
    <row r="310" spans="1:15" x14ac:dyDescent="0.25">
      <c r="A310" t="s">
        <v>145</v>
      </c>
      <c r="B310" s="240">
        <f>WERKBON!$F$22</f>
        <v>0</v>
      </c>
      <c r="C310" s="240">
        <f>$C$290</f>
        <v>10</v>
      </c>
      <c r="D310" s="256">
        <f>B310-C310</f>
        <v>-10</v>
      </c>
      <c r="E310" s="247"/>
      <c r="F310" t="s">
        <v>145</v>
      </c>
      <c r="G310" s="240">
        <f>WERKBON!$F$22</f>
        <v>0</v>
      </c>
      <c r="H310" s="240">
        <f>$C$290</f>
        <v>10</v>
      </c>
      <c r="I310" s="256">
        <f>G310-H310</f>
        <v>-10</v>
      </c>
      <c r="J310" s="247"/>
      <c r="K310" t="s">
        <v>145</v>
      </c>
      <c r="L310" s="240">
        <f>WERKBON!$F$22</f>
        <v>0</v>
      </c>
      <c r="M310" s="240">
        <f>$C$290</f>
        <v>10</v>
      </c>
      <c r="N310" s="256">
        <f>L310-M310</f>
        <v>-10</v>
      </c>
      <c r="O310" s="247"/>
    </row>
    <row r="311" spans="1:15" x14ac:dyDescent="0.25">
      <c r="A311" t="s">
        <v>148</v>
      </c>
      <c r="B311" s="240">
        <f>B310</f>
        <v>0</v>
      </c>
      <c r="C311" s="240">
        <f>$C$290</f>
        <v>10</v>
      </c>
      <c r="D311" s="256">
        <f>B311-C311</f>
        <v>-10</v>
      </c>
      <c r="E311" s="247"/>
      <c r="F311" t="s">
        <v>148</v>
      </c>
      <c r="G311" s="240">
        <f>G310</f>
        <v>0</v>
      </c>
      <c r="H311" s="240">
        <f>$C$290</f>
        <v>10</v>
      </c>
      <c r="I311" s="256">
        <f>G311-H311</f>
        <v>-10</v>
      </c>
      <c r="J311" s="247"/>
      <c r="K311" t="s">
        <v>148</v>
      </c>
      <c r="L311" s="240">
        <f>L310</f>
        <v>0</v>
      </c>
      <c r="M311" s="240">
        <f>$C$290</f>
        <v>10</v>
      </c>
      <c r="N311" s="256">
        <f>L311-M311</f>
        <v>-10</v>
      </c>
      <c r="O311" s="247"/>
    </row>
    <row r="312" spans="1:15" x14ac:dyDescent="0.25">
      <c r="A312" s="247"/>
      <c r="B312" s="249"/>
      <c r="C312" s="249"/>
      <c r="D312" s="247"/>
      <c r="E312" s="247"/>
      <c r="F312" s="247"/>
      <c r="G312" s="249"/>
      <c r="H312" s="249"/>
      <c r="I312" s="263"/>
      <c r="J312" s="247"/>
      <c r="K312" s="247"/>
      <c r="L312" s="249"/>
      <c r="M312" s="249"/>
      <c r="N312" s="263"/>
      <c r="O312" s="247"/>
    </row>
    <row r="313" spans="1:15" x14ac:dyDescent="0.25">
      <c r="A313" s="175" t="s">
        <v>32</v>
      </c>
      <c r="B313" s="264"/>
      <c r="C313" s="175"/>
      <c r="D313" s="175"/>
      <c r="E313" s="276"/>
      <c r="F313" s="175" t="s">
        <v>32</v>
      </c>
      <c r="G313" s="264"/>
      <c r="H313" s="175"/>
      <c r="I313" s="175"/>
      <c r="J313" s="276"/>
      <c r="K313" s="175" t="s">
        <v>32</v>
      </c>
      <c r="L313" s="264"/>
      <c r="M313" s="175"/>
      <c r="N313" s="175"/>
      <c r="O313" s="276"/>
    </row>
    <row r="314" spans="2:15" x14ac:dyDescent="0.25">
      <c r="B314" s="51" t="s">
        <v>111</v>
      </c>
      <c r="C314" s="51" t="s">
        <v>143</v>
      </c>
      <c r="D314" s="51" t="s">
        <v>144</v>
      </c>
      <c r="E314" s="247"/>
      <c r="G314" s="51" t="s">
        <v>111</v>
      </c>
      <c r="H314" s="51" t="s">
        <v>143</v>
      </c>
      <c r="I314" s="51" t="s">
        <v>144</v>
      </c>
      <c r="J314" s="248"/>
      <c r="L314" s="51" t="s">
        <v>111</v>
      </c>
      <c r="M314" s="51" t="s">
        <v>143</v>
      </c>
      <c r="N314" s="51" t="s">
        <v>144</v>
      </c>
      <c r="O314" s="247"/>
    </row>
    <row r="315" spans="1:15" x14ac:dyDescent="0.25">
      <c r="A315" t="s">
        <v>145</v>
      </c>
      <c r="B315" s="240">
        <f>WERKBON!$G$22</f>
        <v>0</v>
      </c>
      <c r="C315" s="240">
        <f>$C$290</f>
        <v>10</v>
      </c>
      <c r="D315" s="256">
        <f>B315-C315</f>
        <v>-10</v>
      </c>
      <c r="E315" s="247"/>
      <c r="F315" t="s">
        <v>145</v>
      </c>
      <c r="G315" s="240">
        <f>WERKBON!$G$22</f>
        <v>0</v>
      </c>
      <c r="H315" s="240">
        <f>$C$290</f>
        <v>10</v>
      </c>
      <c r="I315" s="256">
        <f>G315-H315</f>
        <v>-10</v>
      </c>
      <c r="J315" s="248"/>
      <c r="K315" t="s">
        <v>145</v>
      </c>
      <c r="L315" s="240">
        <f>WERKBON!$G$22</f>
        <v>0</v>
      </c>
      <c r="M315" s="240">
        <f>$C$290</f>
        <v>10</v>
      </c>
      <c r="N315" s="256">
        <f>L315-M315</f>
        <v>-10</v>
      </c>
      <c r="O315" s="247"/>
    </row>
    <row r="316" spans="1:15" x14ac:dyDescent="0.25">
      <c r="A316" t="s">
        <v>148</v>
      </c>
      <c r="B316" s="240">
        <f>B315</f>
        <v>0</v>
      </c>
      <c r="C316" s="240">
        <f>$C$290</f>
        <v>10</v>
      </c>
      <c r="D316" s="256">
        <f>B316-C316</f>
        <v>-10</v>
      </c>
      <c r="E316" s="247"/>
      <c r="F316" t="s">
        <v>148</v>
      </c>
      <c r="G316" s="240">
        <f>G315</f>
        <v>0</v>
      </c>
      <c r="H316" s="240">
        <f>$C$290</f>
        <v>10</v>
      </c>
      <c r="I316" s="256">
        <f>G316-H316</f>
        <v>-10</v>
      </c>
      <c r="J316" s="248"/>
      <c r="K316" t="s">
        <v>148</v>
      </c>
      <c r="L316" s="240">
        <f>L315</f>
        <v>0</v>
      </c>
      <c r="M316" s="240">
        <f>$C$290</f>
        <v>10</v>
      </c>
      <c r="N316" s="256">
        <f>L316-M316</f>
        <v>-10</v>
      </c>
      <c r="O316" s="247"/>
    </row>
    <row r="317" spans="1:15" x14ac:dyDescent="0.25">
      <c r="A317" s="247"/>
      <c r="B317" s="249"/>
      <c r="C317" s="249"/>
      <c r="D317" s="247"/>
      <c r="E317" s="247"/>
      <c r="F317" s="248"/>
      <c r="G317" s="249"/>
      <c r="H317" s="249"/>
      <c r="I317" s="263"/>
      <c r="J317" s="248"/>
      <c r="K317" s="247"/>
      <c r="L317" s="249"/>
      <c r="M317" s="249"/>
      <c r="N317" s="263"/>
      <c r="O317" s="247"/>
    </row>
    <row r="318" spans="1:15" x14ac:dyDescent="0.25">
      <c r="A318" s="175" t="s">
        <v>33</v>
      </c>
      <c r="B318" s="264"/>
      <c r="C318" s="175"/>
      <c r="D318" s="175"/>
      <c r="E318" s="276"/>
      <c r="F318" s="175" t="s">
        <v>33</v>
      </c>
      <c r="G318" s="264"/>
      <c r="H318" s="175"/>
      <c r="I318" s="175"/>
      <c r="J318" s="248"/>
      <c r="K318" s="175" t="s">
        <v>33</v>
      </c>
      <c r="L318" s="264"/>
      <c r="M318" s="175"/>
      <c r="N318" s="175"/>
      <c r="O318" s="276"/>
    </row>
    <row r="319" spans="2:15" x14ac:dyDescent="0.25">
      <c r="B319" s="51" t="s">
        <v>111</v>
      </c>
      <c r="C319" s="51" t="s">
        <v>143</v>
      </c>
      <c r="D319" s="51" t="s">
        <v>144</v>
      </c>
      <c r="E319" s="247"/>
      <c r="G319" s="51" t="s">
        <v>111</v>
      </c>
      <c r="H319" s="51" t="s">
        <v>143</v>
      </c>
      <c r="I319" s="51" t="s">
        <v>144</v>
      </c>
      <c r="J319" s="248"/>
      <c r="L319" s="51" t="s">
        <v>111</v>
      </c>
      <c r="M319" s="51" t="s">
        <v>143</v>
      </c>
      <c r="N319" s="51" t="s">
        <v>144</v>
      </c>
      <c r="O319" s="247"/>
    </row>
    <row r="320" spans="1:15" x14ac:dyDescent="0.25">
      <c r="A320" t="s">
        <v>145</v>
      </c>
      <c r="B320" s="240">
        <f>WERKBON!$H$22</f>
        <v>0</v>
      </c>
      <c r="C320" s="240">
        <f>$C$290</f>
        <v>10</v>
      </c>
      <c r="D320" s="256">
        <f>B320-C320</f>
        <v>-10</v>
      </c>
      <c r="E320" s="247"/>
      <c r="F320" t="s">
        <v>145</v>
      </c>
      <c r="G320" s="240">
        <f>WERKBON!$H$22</f>
        <v>0</v>
      </c>
      <c r="H320" s="240">
        <f>$C$290</f>
        <v>10</v>
      </c>
      <c r="I320" s="256">
        <f>G320-H320</f>
        <v>-10</v>
      </c>
      <c r="J320" s="248"/>
      <c r="K320" t="s">
        <v>145</v>
      </c>
      <c r="L320" s="240">
        <f>WERKBON!$H$22</f>
        <v>0</v>
      </c>
      <c r="M320" s="240">
        <f>$C$290</f>
        <v>10</v>
      </c>
      <c r="N320" s="256">
        <f>L320-M320</f>
        <v>-10</v>
      </c>
      <c r="O320" s="247"/>
    </row>
    <row r="321" spans="1:15" x14ac:dyDescent="0.25">
      <c r="A321" t="s">
        <v>148</v>
      </c>
      <c r="B321" s="240">
        <f>B320</f>
        <v>0</v>
      </c>
      <c r="C321" s="240">
        <f>$C$290</f>
        <v>10</v>
      </c>
      <c r="D321" s="256">
        <f>B321-C321</f>
        <v>-10</v>
      </c>
      <c r="E321" s="247"/>
      <c r="F321" t="s">
        <v>148</v>
      </c>
      <c r="G321" s="240">
        <f>G320</f>
        <v>0</v>
      </c>
      <c r="H321" s="240">
        <f>$C$290</f>
        <v>10</v>
      </c>
      <c r="I321" s="256">
        <f>G321-H321</f>
        <v>-10</v>
      </c>
      <c r="J321" s="261"/>
      <c r="K321" t="s">
        <v>148</v>
      </c>
      <c r="L321" s="240">
        <f>L320</f>
        <v>0</v>
      </c>
      <c r="M321" s="240">
        <f>$C$290</f>
        <v>10</v>
      </c>
      <c r="N321" s="256">
        <f>L321-M321</f>
        <v>-10</v>
      </c>
      <c r="O321" s="247"/>
    </row>
    <row r="322" spans="1:15" x14ac:dyDescent="0.25">
      <c r="A322" s="247"/>
      <c r="B322" s="249"/>
      <c r="C322" s="249"/>
      <c r="D322" s="247"/>
      <c r="E322" s="247"/>
      <c r="F322" s="247"/>
      <c r="G322" s="249"/>
      <c r="H322" s="249"/>
      <c r="I322" s="263"/>
      <c r="J322" s="261"/>
      <c r="K322" s="247"/>
      <c r="L322" s="249"/>
      <c r="M322" s="249"/>
      <c r="N322" s="263"/>
      <c r="O322" s="247"/>
    </row>
    <row r="323" spans="1:15" x14ac:dyDescent="0.25">
      <c r="A323" s="175" t="s">
        <v>34</v>
      </c>
      <c r="B323" s="264"/>
      <c r="C323" s="175"/>
      <c r="D323" s="175"/>
      <c r="E323" s="276"/>
      <c r="F323" s="175" t="s">
        <v>34</v>
      </c>
      <c r="G323" s="264"/>
      <c r="H323" s="175"/>
      <c r="I323" s="175"/>
      <c r="J323" s="278"/>
      <c r="K323" s="175" t="s">
        <v>34</v>
      </c>
      <c r="L323" s="264"/>
      <c r="M323" s="175"/>
      <c r="N323" s="175"/>
      <c r="O323" s="276"/>
    </row>
    <row r="324" spans="2:15" x14ac:dyDescent="0.25">
      <c r="B324" s="51" t="s">
        <v>111</v>
      </c>
      <c r="C324" s="51" t="s">
        <v>143</v>
      </c>
      <c r="D324" s="51" t="s">
        <v>144</v>
      </c>
      <c r="E324" s="247"/>
      <c r="G324" s="51" t="s">
        <v>111</v>
      </c>
      <c r="H324" s="51" t="s">
        <v>143</v>
      </c>
      <c r="I324" s="51" t="s">
        <v>144</v>
      </c>
      <c r="J324" s="261"/>
      <c r="L324" s="51" t="s">
        <v>111</v>
      </c>
      <c r="M324" s="51" t="s">
        <v>143</v>
      </c>
      <c r="N324" s="51" t="s">
        <v>144</v>
      </c>
      <c r="O324" s="247"/>
    </row>
    <row r="325" spans="1:15" x14ac:dyDescent="0.25">
      <c r="A325" t="s">
        <v>145</v>
      </c>
      <c r="B325" s="240">
        <f>WERKBON!$I$22</f>
        <v>0</v>
      </c>
      <c r="C325" s="240">
        <f>$C$290</f>
        <v>10</v>
      </c>
      <c r="D325" s="256">
        <f>B325-C325</f>
        <v>-10</v>
      </c>
      <c r="E325" s="247"/>
      <c r="F325" t="s">
        <v>145</v>
      </c>
      <c r="G325" s="240">
        <f>WERKBON!$I$22</f>
        <v>0</v>
      </c>
      <c r="H325" s="240">
        <f>$C$290</f>
        <v>10</v>
      </c>
      <c r="I325" s="256">
        <f>G325-H325</f>
        <v>-10</v>
      </c>
      <c r="J325" s="261"/>
      <c r="K325" t="s">
        <v>145</v>
      </c>
      <c r="L325" s="240">
        <f>WERKBON!$I$22</f>
        <v>0</v>
      </c>
      <c r="M325" s="240">
        <f>$C$290</f>
        <v>10</v>
      </c>
      <c r="N325" s="256">
        <f>L325-M325</f>
        <v>-10</v>
      </c>
      <c r="O325" s="247"/>
    </row>
    <row r="326" spans="1:15" x14ac:dyDescent="0.25">
      <c r="A326" t="s">
        <v>148</v>
      </c>
      <c r="B326" s="240">
        <f>B325</f>
        <v>0</v>
      </c>
      <c r="C326" s="240">
        <f>$C$290</f>
        <v>10</v>
      </c>
      <c r="D326" s="256">
        <f>B326-C326</f>
        <v>-10</v>
      </c>
      <c r="E326" s="247"/>
      <c r="F326" t="s">
        <v>148</v>
      </c>
      <c r="G326" s="240">
        <f>G325</f>
        <v>0</v>
      </c>
      <c r="H326" s="240">
        <f>$C$290</f>
        <v>10</v>
      </c>
      <c r="I326" s="256">
        <f>G326-H326</f>
        <v>-10</v>
      </c>
      <c r="J326" s="247"/>
      <c r="K326" t="s">
        <v>148</v>
      </c>
      <c r="L326" s="240">
        <f>L325</f>
        <v>0</v>
      </c>
      <c r="M326" s="240">
        <f>$C$290</f>
        <v>10</v>
      </c>
      <c r="N326" s="256">
        <f>L326-M326</f>
        <v>-10</v>
      </c>
      <c r="O326" s="247"/>
    </row>
    <row r="327" spans="1:15" x14ac:dyDescent="0.25">
      <c r="A327" s="247"/>
      <c r="B327" s="249"/>
      <c r="C327" s="249"/>
      <c r="D327" s="247"/>
      <c r="E327" s="247"/>
      <c r="F327" s="247"/>
      <c r="G327" s="249"/>
      <c r="H327" s="249"/>
      <c r="I327" s="263"/>
      <c r="J327" s="247"/>
      <c r="K327" s="247"/>
      <c r="L327" s="249"/>
      <c r="M327" s="249"/>
      <c r="N327" s="263"/>
      <c r="O327" s="247"/>
    </row>
    <row r="328" spans="1:15" x14ac:dyDescent="0.25">
      <c r="A328" s="175" t="s">
        <v>35</v>
      </c>
      <c r="B328" s="264"/>
      <c r="C328" s="175"/>
      <c r="D328" s="175"/>
      <c r="E328" s="276"/>
      <c r="F328" s="175" t="s">
        <v>35</v>
      </c>
      <c r="G328" s="264"/>
      <c r="H328" s="175"/>
      <c r="I328" s="175"/>
      <c r="J328" s="276"/>
      <c r="K328" s="175" t="s">
        <v>35</v>
      </c>
      <c r="L328" s="264"/>
      <c r="M328" s="175"/>
      <c r="N328" s="175"/>
      <c r="O328" s="276"/>
    </row>
    <row r="329" spans="2:15" x14ac:dyDescent="0.25">
      <c r="B329" s="51" t="s">
        <v>111</v>
      </c>
      <c r="C329" s="51" t="s">
        <v>143</v>
      </c>
      <c r="D329" s="51" t="s">
        <v>144</v>
      </c>
      <c r="E329" s="247"/>
      <c r="G329" s="51" t="s">
        <v>111</v>
      </c>
      <c r="H329" s="51" t="s">
        <v>143</v>
      </c>
      <c r="I329" s="51" t="s">
        <v>144</v>
      </c>
      <c r="J329" s="247"/>
      <c r="L329" s="51" t="s">
        <v>111</v>
      </c>
      <c r="M329" s="51" t="s">
        <v>143</v>
      </c>
      <c r="N329" s="51" t="s">
        <v>144</v>
      </c>
      <c r="O329" s="247"/>
    </row>
    <row r="330" spans="1:15" x14ac:dyDescent="0.25">
      <c r="A330" t="s">
        <v>145</v>
      </c>
      <c r="B330" s="240">
        <f>WERKBON!$J$22</f>
        <v>0</v>
      </c>
      <c r="C330" s="240">
        <f>$C$290</f>
        <v>10</v>
      </c>
      <c r="D330" s="256">
        <f>B330-C330</f>
        <v>-10</v>
      </c>
      <c r="E330" s="247"/>
      <c r="F330" t="s">
        <v>145</v>
      </c>
      <c r="G330" s="240">
        <f>WERKBON!$J$22</f>
        <v>0</v>
      </c>
      <c r="H330" s="240">
        <f>$C$290</f>
        <v>10</v>
      </c>
      <c r="I330" s="256">
        <f>G330-H330</f>
        <v>-10</v>
      </c>
      <c r="J330" s="247"/>
      <c r="K330" t="s">
        <v>145</v>
      </c>
      <c r="L330" s="240">
        <f>WERKBON!$J$22</f>
        <v>0</v>
      </c>
      <c r="M330" s="240">
        <f>$C$290</f>
        <v>10</v>
      </c>
      <c r="N330" s="256">
        <f>L330-M330</f>
        <v>-10</v>
      </c>
      <c r="O330" s="247"/>
    </row>
    <row r="331" spans="1:15" x14ac:dyDescent="0.25">
      <c r="A331" t="s">
        <v>148</v>
      </c>
      <c r="B331" s="240">
        <f>B330</f>
        <v>0</v>
      </c>
      <c r="C331" s="240">
        <f>$C$290</f>
        <v>10</v>
      </c>
      <c r="D331" s="256">
        <f>B331-C331</f>
        <v>-10</v>
      </c>
      <c r="E331" s="247"/>
      <c r="F331" t="s">
        <v>148</v>
      </c>
      <c r="G331" s="240">
        <f>G330</f>
        <v>0</v>
      </c>
      <c r="H331" s="240">
        <f>$C$290</f>
        <v>10</v>
      </c>
      <c r="I331" s="256">
        <f>G331-H331</f>
        <v>-10</v>
      </c>
      <c r="J331" s="247"/>
      <c r="K331" t="s">
        <v>148</v>
      </c>
      <c r="L331" s="240">
        <f>L330</f>
        <v>0</v>
      </c>
      <c r="M331" s="240">
        <f>$C$290</f>
        <v>10</v>
      </c>
      <c r="N331" s="256">
        <f>L331-M331</f>
        <v>-10</v>
      </c>
      <c r="O331" s="247"/>
    </row>
    <row r="332" spans="1:15" x14ac:dyDescent="0.25">
      <c r="A332" s="247"/>
      <c r="B332" s="249"/>
      <c r="C332" s="249"/>
      <c r="D332" s="247"/>
      <c r="E332" s="247"/>
      <c r="F332" s="247"/>
      <c r="G332" s="249"/>
      <c r="H332" s="249"/>
      <c r="I332" s="263"/>
      <c r="J332" s="247"/>
      <c r="K332" s="247"/>
      <c r="L332" s="249"/>
      <c r="M332" s="249"/>
      <c r="N332" s="263"/>
      <c r="O332" s="247"/>
    </row>
    <row r="333" spans="1:15" x14ac:dyDescent="0.25">
      <c r="A333" s="175" t="s">
        <v>36</v>
      </c>
      <c r="B333" s="264"/>
      <c r="C333" s="175"/>
      <c r="D333" s="175"/>
      <c r="E333" s="276"/>
      <c r="F333" s="175" t="s">
        <v>36</v>
      </c>
      <c r="G333" s="264"/>
      <c r="H333" s="175"/>
      <c r="I333" s="175"/>
      <c r="J333" s="276"/>
      <c r="K333" s="175" t="s">
        <v>36</v>
      </c>
      <c r="L333" s="264"/>
      <c r="M333" s="175"/>
      <c r="N333" s="175"/>
      <c r="O333" s="276"/>
    </row>
    <row r="334" spans="2:15" x14ac:dyDescent="0.25">
      <c r="B334" s="51" t="s">
        <v>111</v>
      </c>
      <c r="C334" s="51" t="s">
        <v>143</v>
      </c>
      <c r="D334" s="51" t="s">
        <v>144</v>
      </c>
      <c r="E334" s="247"/>
      <c r="G334" s="51" t="s">
        <v>111</v>
      </c>
      <c r="H334" s="51" t="s">
        <v>143</v>
      </c>
      <c r="I334" s="51" t="s">
        <v>144</v>
      </c>
      <c r="J334" s="247"/>
      <c r="L334" s="51" t="s">
        <v>111</v>
      </c>
      <c r="M334" s="51" t="s">
        <v>143</v>
      </c>
      <c r="N334" s="51" t="s">
        <v>144</v>
      </c>
      <c r="O334" s="247"/>
    </row>
    <row r="335" spans="1:15" x14ac:dyDescent="0.25">
      <c r="A335" t="s">
        <v>145</v>
      </c>
      <c r="B335" s="240">
        <f>WERKBON!$K$22</f>
        <v>0</v>
      </c>
      <c r="C335" s="240">
        <f>$C$290</f>
        <v>10</v>
      </c>
      <c r="D335" s="256">
        <f>B335-C335</f>
        <v>-10</v>
      </c>
      <c r="E335" s="247"/>
      <c r="F335" t="s">
        <v>145</v>
      </c>
      <c r="G335" s="240">
        <f>WERKBON!$K$22</f>
        <v>0</v>
      </c>
      <c r="H335" s="240">
        <f>$C$290</f>
        <v>10</v>
      </c>
      <c r="I335" s="256">
        <f>G335-H335</f>
        <v>-10</v>
      </c>
      <c r="J335" s="247"/>
      <c r="K335" t="s">
        <v>145</v>
      </c>
      <c r="L335" s="240">
        <f>WERKBON!$K$22</f>
        <v>0</v>
      </c>
      <c r="M335" s="240">
        <f>$C$290</f>
        <v>10</v>
      </c>
      <c r="N335" s="256">
        <f>L335-M335</f>
        <v>-10</v>
      </c>
      <c r="O335" s="247"/>
    </row>
    <row r="336" spans="1:15" x14ac:dyDescent="0.25">
      <c r="A336" t="s">
        <v>148</v>
      </c>
      <c r="B336" s="240">
        <f>B335</f>
        <v>0</v>
      </c>
      <c r="C336" s="240">
        <f>$C$290</f>
        <v>10</v>
      </c>
      <c r="D336" s="256">
        <f>B336-C336</f>
        <v>-10</v>
      </c>
      <c r="E336" s="247"/>
      <c r="F336" t="s">
        <v>148</v>
      </c>
      <c r="G336" s="240">
        <f>G335</f>
        <v>0</v>
      </c>
      <c r="H336" s="240">
        <f>$C$290</f>
        <v>10</v>
      </c>
      <c r="I336" s="256">
        <f>G336-H336</f>
        <v>-10</v>
      </c>
      <c r="J336" s="247"/>
      <c r="K336" t="s">
        <v>148</v>
      </c>
      <c r="L336" s="240">
        <f>L335</f>
        <v>0</v>
      </c>
      <c r="M336" s="240">
        <f>$C$290</f>
        <v>10</v>
      </c>
      <c r="N336" s="256">
        <f>L336-M336</f>
        <v>-10</v>
      </c>
      <c r="O336" s="247"/>
    </row>
    <row r="337" spans="1:15" x14ac:dyDescent="0.25">
      <c r="A337" s="247"/>
      <c r="B337" s="249"/>
      <c r="C337" s="249"/>
      <c r="D337" s="247"/>
      <c r="E337" s="247"/>
      <c r="F337" s="247"/>
      <c r="G337" s="249"/>
      <c r="H337" s="249"/>
      <c r="I337" s="263"/>
      <c r="J337" s="247"/>
      <c r="K337" s="247"/>
      <c r="L337" s="249"/>
      <c r="M337" s="249"/>
      <c r="N337" s="263"/>
      <c r="O337" s="247"/>
    </row>
    <row r="341" ht="18" customHeight="1" spans="1:15" x14ac:dyDescent="0.25">
      <c r="A341" s="266" t="s">
        <v>151</v>
      </c>
      <c r="B341" s="267"/>
      <c r="C341" s="268" t="s">
        <v>157</v>
      </c>
      <c r="D341" s="269">
        <v>52</v>
      </c>
      <c r="E341" s="2"/>
      <c r="F341" s="270" t="s">
        <v>153</v>
      </c>
      <c r="G341" s="271">
        <v>5</v>
      </c>
      <c r="H341" s="270" t="s">
        <v>142</v>
      </c>
      <c r="I341" s="2"/>
      <c r="J341" s="2"/>
      <c r="K341" s="266" t="s">
        <v>154</v>
      </c>
      <c r="L341" s="272"/>
      <c r="M341" s="270" t="s">
        <v>148</v>
      </c>
      <c r="N341" s="273">
        <v>52</v>
      </c>
      <c r="O341" s="270" t="s">
        <v>147</v>
      </c>
    </row>
    <row r="342" ht="18" customHeight="1" spans="1:15" x14ac:dyDescent="0.25">
      <c r="A342" s="274" t="s">
        <v>155</v>
      </c>
      <c r="B342" s="243"/>
      <c r="C342" s="274"/>
      <c r="D342" s="274"/>
      <c r="E342" s="244"/>
      <c r="F342" s="274" t="s">
        <v>139</v>
      </c>
      <c r="G342" s="243"/>
      <c r="H342" s="274"/>
      <c r="I342" s="274"/>
      <c r="J342" s="244"/>
      <c r="K342" s="274" t="s">
        <v>140</v>
      </c>
      <c r="L342" s="243"/>
      <c r="M342" s="274"/>
      <c r="N342" s="274"/>
      <c r="O342" s="244"/>
    </row>
    <row r="343" spans="1:15" x14ac:dyDescent="0.25">
      <c r="A343" s="175" t="s">
        <v>27</v>
      </c>
      <c r="B343" s="264"/>
      <c r="C343" s="175"/>
      <c r="D343" s="175"/>
      <c r="E343" s="276"/>
      <c r="F343" s="175" t="s">
        <v>27</v>
      </c>
      <c r="G343" s="264"/>
      <c r="H343" s="175"/>
      <c r="I343" s="175"/>
      <c r="J343" s="277"/>
      <c r="K343" s="175" t="s">
        <v>27</v>
      </c>
      <c r="L343" s="264"/>
      <c r="M343" s="175"/>
      <c r="N343" s="175"/>
      <c r="O343" s="276"/>
    </row>
    <row r="344" spans="2:15" x14ac:dyDescent="0.25">
      <c r="B344" s="51" t="s">
        <v>111</v>
      </c>
      <c r="C344" s="51" t="s">
        <v>143</v>
      </c>
      <c r="D344" s="51" t="s">
        <v>144</v>
      </c>
      <c r="E344" s="247"/>
      <c r="G344" s="51" t="s">
        <v>111</v>
      </c>
      <c r="H344" s="51" t="s">
        <v>143</v>
      </c>
      <c r="I344" s="51" t="s">
        <v>144</v>
      </c>
      <c r="J344" s="248"/>
      <c r="L344" s="51" t="s">
        <v>111</v>
      </c>
      <c r="M344" s="51" t="s">
        <v>143</v>
      </c>
      <c r="N344" s="51" t="s">
        <v>144</v>
      </c>
      <c r="O344" s="247"/>
    </row>
    <row r="345" spans="1:15" x14ac:dyDescent="0.25">
      <c r="A345" t="s">
        <v>145</v>
      </c>
      <c r="B345" s="240">
        <f>WERKBON!$B$22</f>
        <v>0</v>
      </c>
      <c r="C345" s="240">
        <v>10</v>
      </c>
      <c r="D345" s="256">
        <f>B345-C345</f>
        <v>-10</v>
      </c>
      <c r="E345" s="247"/>
      <c r="F345" t="s">
        <v>145</v>
      </c>
      <c r="G345" s="240">
        <f>WERKBON!$B$22</f>
        <v>0</v>
      </c>
      <c r="H345" s="240">
        <f>$C$345</f>
        <v>10</v>
      </c>
      <c r="I345" s="256">
        <f>G345-H345</f>
        <v>-10</v>
      </c>
      <c r="J345" s="248"/>
      <c r="K345" t="s">
        <v>145</v>
      </c>
      <c r="L345" s="240">
        <f>WERKBON!$B$22</f>
        <v>0</v>
      </c>
      <c r="M345" s="240">
        <f>$C$345</f>
        <v>10</v>
      </c>
      <c r="N345" s="256">
        <f>L345-M345</f>
        <v>-10</v>
      </c>
      <c r="O345" s="247"/>
    </row>
    <row r="346" spans="1:15" x14ac:dyDescent="0.25">
      <c r="A346" t="s">
        <v>148</v>
      </c>
      <c r="B346" s="240">
        <f>B345</f>
        <v>0</v>
      </c>
      <c r="C346" s="240">
        <f>$C$345</f>
        <v>10</v>
      </c>
      <c r="D346" s="256">
        <f>B346-C346</f>
        <v>-10</v>
      </c>
      <c r="E346" s="247"/>
      <c r="F346" t="s">
        <v>148</v>
      </c>
      <c r="G346" s="240">
        <f>G345</f>
        <v>0</v>
      </c>
      <c r="H346" s="240">
        <f>$C$345</f>
        <v>10</v>
      </c>
      <c r="I346" s="256">
        <f>G346-H346</f>
        <v>-10</v>
      </c>
      <c r="J346" s="248"/>
      <c r="K346" t="s">
        <v>148</v>
      </c>
      <c r="L346" s="240">
        <f>L345</f>
        <v>0</v>
      </c>
      <c r="M346" s="240">
        <f>$C$345</f>
        <v>10</v>
      </c>
      <c r="N346" s="256">
        <f>L346-M346</f>
        <v>-10</v>
      </c>
      <c r="O346" s="247"/>
    </row>
    <row r="347" spans="1:15" x14ac:dyDescent="0.25">
      <c r="A347" s="247"/>
      <c r="B347" s="140"/>
      <c r="C347" s="247"/>
      <c r="D347" s="247"/>
      <c r="E347" s="247"/>
      <c r="F347" s="248"/>
      <c r="G347" s="249"/>
      <c r="H347" s="249"/>
      <c r="I347" s="248"/>
      <c r="J347" s="248"/>
      <c r="K347" s="247"/>
      <c r="L347" s="140"/>
      <c r="M347" s="247"/>
      <c r="N347" s="247"/>
      <c r="O347" s="247"/>
    </row>
    <row r="348" spans="1:15" x14ac:dyDescent="0.25">
      <c r="A348" s="175" t="s">
        <v>28</v>
      </c>
      <c r="B348" s="264"/>
      <c r="C348" s="175"/>
      <c r="D348" s="175"/>
      <c r="E348" s="276"/>
      <c r="F348" s="175" t="s">
        <v>28</v>
      </c>
      <c r="G348" s="264"/>
      <c r="H348" s="175"/>
      <c r="I348" s="175"/>
      <c r="J348" s="248"/>
      <c r="K348" s="175" t="s">
        <v>28</v>
      </c>
      <c r="L348" s="264"/>
      <c r="M348" s="175"/>
      <c r="N348" s="175"/>
      <c r="O348" s="276"/>
    </row>
    <row r="349" spans="2:15" x14ac:dyDescent="0.25">
      <c r="B349" s="51" t="s">
        <v>111</v>
      </c>
      <c r="C349" s="51" t="s">
        <v>143</v>
      </c>
      <c r="D349" s="51" t="s">
        <v>144</v>
      </c>
      <c r="E349" s="247"/>
      <c r="G349" s="51" t="s">
        <v>111</v>
      </c>
      <c r="H349" s="51" t="s">
        <v>143</v>
      </c>
      <c r="I349" s="51" t="s">
        <v>144</v>
      </c>
      <c r="J349" s="248"/>
      <c r="L349" s="51" t="s">
        <v>111</v>
      </c>
      <c r="M349" s="51" t="s">
        <v>143</v>
      </c>
      <c r="N349" s="51" t="s">
        <v>144</v>
      </c>
      <c r="O349" s="247"/>
    </row>
    <row r="350" spans="1:15" x14ac:dyDescent="0.25">
      <c r="A350" t="s">
        <v>145</v>
      </c>
      <c r="B350" s="240">
        <f>WERKBON!$C$22</f>
        <v>0</v>
      </c>
      <c r="C350" s="240">
        <f>$C$345</f>
        <v>10</v>
      </c>
      <c r="D350" s="256">
        <f>B350-C350</f>
        <v>-10</v>
      </c>
      <c r="E350" s="247"/>
      <c r="F350" t="s">
        <v>145</v>
      </c>
      <c r="G350" s="240">
        <f>WERKBON!$C$22</f>
        <v>0</v>
      </c>
      <c r="H350" s="240">
        <f>$C$345</f>
        <v>10</v>
      </c>
      <c r="I350" s="256">
        <f>G350-H350</f>
        <v>-10</v>
      </c>
      <c r="J350" s="248"/>
      <c r="K350" t="s">
        <v>145</v>
      </c>
      <c r="L350" s="240">
        <f>WERKBON!$C$22</f>
        <v>0</v>
      </c>
      <c r="M350" s="240">
        <f>$C$345</f>
        <v>10</v>
      </c>
      <c r="N350" s="256">
        <f>L350-M350</f>
        <v>-10</v>
      </c>
      <c r="O350" s="247"/>
    </row>
    <row r="351" spans="1:15" x14ac:dyDescent="0.25">
      <c r="A351" t="s">
        <v>148</v>
      </c>
      <c r="B351" s="240">
        <f>B350</f>
        <v>0</v>
      </c>
      <c r="C351" s="240">
        <f>$C$345</f>
        <v>10</v>
      </c>
      <c r="D351" s="256">
        <f>B351-C351</f>
        <v>-10</v>
      </c>
      <c r="E351" s="247"/>
      <c r="F351" t="s">
        <v>148</v>
      </c>
      <c r="G351" s="240">
        <f>G350</f>
        <v>0</v>
      </c>
      <c r="H351" s="240">
        <f>$C$345</f>
        <v>10</v>
      </c>
      <c r="I351" s="256">
        <f>G351-H351</f>
        <v>-10</v>
      </c>
      <c r="J351" s="261"/>
      <c r="K351" t="s">
        <v>148</v>
      </c>
      <c r="L351" s="240">
        <f>L350</f>
        <v>0</v>
      </c>
      <c r="M351" s="240">
        <f>$C$345</f>
        <v>10</v>
      </c>
      <c r="N351" s="256">
        <f>L351-M351</f>
        <v>-10</v>
      </c>
      <c r="O351" s="247"/>
    </row>
    <row r="352" spans="1:15" x14ac:dyDescent="0.25">
      <c r="A352" s="247"/>
      <c r="B352" s="140"/>
      <c r="C352" s="247"/>
      <c r="D352" s="247"/>
      <c r="E352" s="247"/>
      <c r="F352" s="247"/>
      <c r="G352" s="140"/>
      <c r="H352" s="247"/>
      <c r="I352" s="261"/>
      <c r="J352" s="261"/>
      <c r="K352" s="247"/>
      <c r="L352" s="140"/>
      <c r="M352" s="247"/>
      <c r="N352" s="247"/>
      <c r="O352" s="247"/>
    </row>
    <row r="353" spans="1:15" x14ac:dyDescent="0.25">
      <c r="A353" s="175" t="s">
        <v>29</v>
      </c>
      <c r="B353" s="264"/>
      <c r="C353" s="175"/>
      <c r="D353" s="175"/>
      <c r="E353" s="276"/>
      <c r="F353" s="175" t="s">
        <v>29</v>
      </c>
      <c r="G353" s="264"/>
      <c r="H353" s="175"/>
      <c r="I353" s="175"/>
      <c r="J353" s="278"/>
      <c r="K353" s="175" t="s">
        <v>29</v>
      </c>
      <c r="L353" s="264"/>
      <c r="M353" s="175"/>
      <c r="N353" s="175"/>
      <c r="O353" s="276"/>
    </row>
    <row r="354" spans="2:15" x14ac:dyDescent="0.25">
      <c r="B354" s="51" t="s">
        <v>111</v>
      </c>
      <c r="C354" s="51" t="s">
        <v>143</v>
      </c>
      <c r="D354" s="51" t="s">
        <v>144</v>
      </c>
      <c r="E354" s="247"/>
      <c r="G354" s="51" t="s">
        <v>111</v>
      </c>
      <c r="H354" s="51" t="s">
        <v>143</v>
      </c>
      <c r="I354" s="51" t="s">
        <v>144</v>
      </c>
      <c r="J354" s="261"/>
      <c r="L354" s="51" t="s">
        <v>111</v>
      </c>
      <c r="M354" s="51" t="s">
        <v>143</v>
      </c>
      <c r="N354" s="51" t="s">
        <v>144</v>
      </c>
      <c r="O354" s="247"/>
    </row>
    <row r="355" spans="1:15" x14ac:dyDescent="0.25">
      <c r="A355" t="s">
        <v>145</v>
      </c>
      <c r="B355" s="240">
        <f>WERKBON!$D$22</f>
        <v>0</v>
      </c>
      <c r="C355" s="240">
        <f>$C$345</f>
        <v>10</v>
      </c>
      <c r="D355" s="256">
        <f>B355-C355</f>
        <v>-10</v>
      </c>
      <c r="E355" s="247"/>
      <c r="F355" t="s">
        <v>145</v>
      </c>
      <c r="G355" s="240">
        <f>WERKBON!$D$22</f>
        <v>0</v>
      </c>
      <c r="H355" s="240">
        <f>$C$345</f>
        <v>10</v>
      </c>
      <c r="I355" s="256">
        <f>G355-H355</f>
        <v>-10</v>
      </c>
      <c r="J355" s="261"/>
      <c r="K355" t="s">
        <v>145</v>
      </c>
      <c r="L355" s="240">
        <f>WERKBON!$D$22</f>
        <v>0</v>
      </c>
      <c r="M355" s="240">
        <f>$C$345</f>
        <v>10</v>
      </c>
      <c r="N355" s="256">
        <f>L355-M355</f>
        <v>-10</v>
      </c>
      <c r="O355" s="247"/>
    </row>
    <row r="356" spans="1:15" x14ac:dyDescent="0.25">
      <c r="A356" t="s">
        <v>148</v>
      </c>
      <c r="B356" s="240">
        <f>B355</f>
        <v>0</v>
      </c>
      <c r="C356" s="240">
        <f>$C$345</f>
        <v>10</v>
      </c>
      <c r="D356" s="256">
        <f>B356-C356</f>
        <v>-10</v>
      </c>
      <c r="E356" s="247"/>
      <c r="F356" t="s">
        <v>148</v>
      </c>
      <c r="G356" s="240">
        <f>G355</f>
        <v>0</v>
      </c>
      <c r="H356" s="240">
        <f>$C$345</f>
        <v>10</v>
      </c>
      <c r="I356" s="256">
        <f>G356-H356</f>
        <v>-10</v>
      </c>
      <c r="J356" s="247"/>
      <c r="K356" t="s">
        <v>148</v>
      </c>
      <c r="L356" s="240">
        <f>L355</f>
        <v>0</v>
      </c>
      <c r="M356" s="240">
        <f>$C$345</f>
        <v>10</v>
      </c>
      <c r="N356" s="256">
        <f>L356-M356</f>
        <v>-10</v>
      </c>
      <c r="O356" s="247"/>
    </row>
    <row r="357" spans="1:15" x14ac:dyDescent="0.25">
      <c r="A357" s="247"/>
      <c r="B357" s="140"/>
      <c r="C357" s="247"/>
      <c r="D357" s="247"/>
      <c r="E357" s="247"/>
      <c r="F357" s="247"/>
      <c r="G357" s="140"/>
      <c r="H357" s="247"/>
      <c r="I357" s="247"/>
      <c r="J357" s="247"/>
      <c r="K357" s="247"/>
      <c r="L357" s="140"/>
      <c r="M357" s="247"/>
      <c r="N357" s="247"/>
      <c r="O357" s="247"/>
    </row>
    <row r="358" spans="1:15" x14ac:dyDescent="0.25">
      <c r="A358" s="175" t="s">
        <v>30</v>
      </c>
      <c r="B358" s="264"/>
      <c r="C358" s="175"/>
      <c r="D358" s="175"/>
      <c r="E358" s="276"/>
      <c r="F358" s="175" t="s">
        <v>30</v>
      </c>
      <c r="G358" s="264"/>
      <c r="H358" s="175"/>
      <c r="I358" s="175"/>
      <c r="J358" s="276"/>
      <c r="K358" s="175" t="s">
        <v>30</v>
      </c>
      <c r="L358" s="264"/>
      <c r="M358" s="175"/>
      <c r="N358" s="175"/>
      <c r="O358" s="276"/>
    </row>
    <row r="359" spans="2:15" x14ac:dyDescent="0.25">
      <c r="B359" s="51" t="s">
        <v>111</v>
      </c>
      <c r="C359" s="51" t="s">
        <v>143</v>
      </c>
      <c r="D359" s="51" t="s">
        <v>144</v>
      </c>
      <c r="E359" s="247"/>
      <c r="G359" s="51" t="s">
        <v>111</v>
      </c>
      <c r="H359" s="51" t="s">
        <v>143</v>
      </c>
      <c r="I359" s="51" t="s">
        <v>144</v>
      </c>
      <c r="J359" s="247"/>
      <c r="L359" s="51" t="s">
        <v>111</v>
      </c>
      <c r="M359" s="51" t="s">
        <v>143</v>
      </c>
      <c r="N359" s="51" t="s">
        <v>144</v>
      </c>
      <c r="O359" s="247"/>
    </row>
    <row r="360" spans="1:15" x14ac:dyDescent="0.25">
      <c r="A360" t="s">
        <v>145</v>
      </c>
      <c r="B360" s="240">
        <f>WERKBON!$E$22</f>
        <v>0</v>
      </c>
      <c r="C360" s="240">
        <f>$C$345</f>
        <v>10</v>
      </c>
      <c r="D360" s="256">
        <f>B360-C360</f>
        <v>-10</v>
      </c>
      <c r="E360" s="247"/>
      <c r="F360" t="s">
        <v>145</v>
      </c>
      <c r="G360" s="240">
        <f>WERKBON!$E$22</f>
        <v>0</v>
      </c>
      <c r="H360" s="240">
        <f>$C$345</f>
        <v>10</v>
      </c>
      <c r="I360" s="256">
        <f>G360-H360</f>
        <v>-10</v>
      </c>
      <c r="J360" s="247"/>
      <c r="K360" t="s">
        <v>145</v>
      </c>
      <c r="L360" s="240">
        <f>WERKBON!$E$22</f>
        <v>0</v>
      </c>
      <c r="M360" s="240">
        <f>$C$345</f>
        <v>10</v>
      </c>
      <c r="N360" s="256">
        <f>L360-M360</f>
        <v>-10</v>
      </c>
      <c r="O360" s="247"/>
    </row>
    <row r="361" spans="1:15" x14ac:dyDescent="0.25">
      <c r="A361" t="s">
        <v>148</v>
      </c>
      <c r="B361" s="240">
        <f>B360</f>
        <v>0</v>
      </c>
      <c r="C361" s="240">
        <f>$C$345</f>
        <v>10</v>
      </c>
      <c r="D361" s="256">
        <f>B361-C361</f>
        <v>-10</v>
      </c>
      <c r="E361" s="247"/>
      <c r="F361" t="s">
        <v>148</v>
      </c>
      <c r="G361" s="240">
        <f>G360</f>
        <v>0</v>
      </c>
      <c r="H361" s="240">
        <f>$C$345</f>
        <v>10</v>
      </c>
      <c r="I361" s="256">
        <f>G361-H361</f>
        <v>-10</v>
      </c>
      <c r="J361" s="247"/>
      <c r="K361" t="s">
        <v>148</v>
      </c>
      <c r="L361" s="240">
        <f>L360</f>
        <v>0</v>
      </c>
      <c r="M361" s="240">
        <f>$C$345</f>
        <v>10</v>
      </c>
      <c r="N361" s="256">
        <f>L361-M361</f>
        <v>-10</v>
      </c>
      <c r="O361" s="247"/>
    </row>
    <row r="362" spans="1:15" x14ac:dyDescent="0.25">
      <c r="A362" s="247"/>
      <c r="B362" s="140"/>
      <c r="C362" s="247"/>
      <c r="D362" s="247"/>
      <c r="E362" s="247"/>
      <c r="F362" s="247"/>
      <c r="G362" s="140"/>
      <c r="H362" s="247"/>
      <c r="I362" s="247"/>
      <c r="J362" s="247"/>
      <c r="K362" s="247"/>
      <c r="L362" s="140"/>
      <c r="M362" s="247"/>
      <c r="N362" s="247"/>
      <c r="O362" s="247"/>
    </row>
    <row r="363" spans="1:15" x14ac:dyDescent="0.25">
      <c r="A363" s="175" t="s">
        <v>31</v>
      </c>
      <c r="B363" s="264"/>
      <c r="C363" s="175"/>
      <c r="D363" s="175"/>
      <c r="E363" s="276"/>
      <c r="F363" s="175" t="s">
        <v>31</v>
      </c>
      <c r="G363" s="264"/>
      <c r="H363" s="175"/>
      <c r="I363" s="175"/>
      <c r="J363" s="276"/>
      <c r="K363" s="175" t="s">
        <v>31</v>
      </c>
      <c r="L363" s="264"/>
      <c r="M363" s="175"/>
      <c r="N363" s="175"/>
      <c r="O363" s="276"/>
    </row>
    <row r="364" spans="2:15" x14ac:dyDescent="0.25">
      <c r="B364" s="51" t="s">
        <v>111</v>
      </c>
      <c r="C364" s="51" t="s">
        <v>143</v>
      </c>
      <c r="D364" s="51" t="s">
        <v>144</v>
      </c>
      <c r="E364" s="247"/>
      <c r="G364" s="51" t="s">
        <v>111</v>
      </c>
      <c r="H364" s="51" t="s">
        <v>143</v>
      </c>
      <c r="I364" s="51" t="s">
        <v>144</v>
      </c>
      <c r="J364" s="247"/>
      <c r="L364" s="51" t="s">
        <v>111</v>
      </c>
      <c r="M364" s="51" t="s">
        <v>143</v>
      </c>
      <c r="N364" s="51" t="s">
        <v>144</v>
      </c>
      <c r="O364" s="247"/>
    </row>
    <row r="365" spans="1:15" x14ac:dyDescent="0.25">
      <c r="A365" t="s">
        <v>145</v>
      </c>
      <c r="B365" s="240">
        <f>WERKBON!$F$22</f>
        <v>0</v>
      </c>
      <c r="C365" s="240">
        <f>$C$345</f>
        <v>10</v>
      </c>
      <c r="D365" s="256">
        <f>B365-C365</f>
        <v>-10</v>
      </c>
      <c r="E365" s="247"/>
      <c r="F365" t="s">
        <v>145</v>
      </c>
      <c r="G365" s="240">
        <f>WERKBON!$F$22</f>
        <v>0</v>
      </c>
      <c r="H365" s="240">
        <f>$C$345</f>
        <v>10</v>
      </c>
      <c r="I365" s="256">
        <f>G365-H365</f>
        <v>-10</v>
      </c>
      <c r="J365" s="247"/>
      <c r="K365" t="s">
        <v>145</v>
      </c>
      <c r="L365" s="240">
        <f>WERKBON!$F$22</f>
        <v>0</v>
      </c>
      <c r="M365" s="240">
        <f>$C$345</f>
        <v>10</v>
      </c>
      <c r="N365" s="256">
        <f>L365-M365</f>
        <v>-10</v>
      </c>
      <c r="O365" s="247"/>
    </row>
    <row r="366" spans="1:15" x14ac:dyDescent="0.25">
      <c r="A366" t="s">
        <v>148</v>
      </c>
      <c r="B366" s="240">
        <f>B365</f>
        <v>0</v>
      </c>
      <c r="C366" s="240">
        <f>$C$345</f>
        <v>10</v>
      </c>
      <c r="D366" s="256">
        <f>B366-C366</f>
        <v>-10</v>
      </c>
      <c r="E366" s="247"/>
      <c r="F366" t="s">
        <v>148</v>
      </c>
      <c r="G366" s="240">
        <f>G365</f>
        <v>0</v>
      </c>
      <c r="H366" s="240">
        <f>$C$345</f>
        <v>10</v>
      </c>
      <c r="I366" s="256">
        <f>G366-H366</f>
        <v>-10</v>
      </c>
      <c r="J366" s="247"/>
      <c r="K366" t="s">
        <v>148</v>
      </c>
      <c r="L366" s="240">
        <f>L365</f>
        <v>0</v>
      </c>
      <c r="M366" s="240">
        <f>$C$345</f>
        <v>10</v>
      </c>
      <c r="N366" s="256">
        <f>L366-M366</f>
        <v>-10</v>
      </c>
      <c r="O366" s="247"/>
    </row>
    <row r="367" spans="1:15" x14ac:dyDescent="0.25">
      <c r="A367" s="247"/>
      <c r="B367" s="249"/>
      <c r="C367" s="249"/>
      <c r="D367" s="247"/>
      <c r="E367" s="247"/>
      <c r="F367" s="247"/>
      <c r="G367" s="249"/>
      <c r="H367" s="249"/>
      <c r="I367" s="263"/>
      <c r="J367" s="247"/>
      <c r="K367" s="247"/>
      <c r="L367" s="249"/>
      <c r="M367" s="249"/>
      <c r="N367" s="263"/>
      <c r="O367" s="247"/>
    </row>
    <row r="368" spans="1:15" x14ac:dyDescent="0.25">
      <c r="A368" s="175" t="s">
        <v>32</v>
      </c>
      <c r="B368" s="264"/>
      <c r="C368" s="175"/>
      <c r="D368" s="175"/>
      <c r="E368" s="276"/>
      <c r="F368" s="175" t="s">
        <v>32</v>
      </c>
      <c r="G368" s="264"/>
      <c r="H368" s="175"/>
      <c r="I368" s="175"/>
      <c r="J368" s="276"/>
      <c r="K368" s="175" t="s">
        <v>32</v>
      </c>
      <c r="L368" s="264"/>
      <c r="M368" s="175"/>
      <c r="N368" s="175"/>
      <c r="O368" s="276"/>
    </row>
    <row r="369" spans="2:15" x14ac:dyDescent="0.25">
      <c r="B369" s="51" t="s">
        <v>111</v>
      </c>
      <c r="C369" s="51" t="s">
        <v>143</v>
      </c>
      <c r="D369" s="51" t="s">
        <v>144</v>
      </c>
      <c r="E369" s="247"/>
      <c r="G369" s="51" t="s">
        <v>111</v>
      </c>
      <c r="H369" s="51" t="s">
        <v>143</v>
      </c>
      <c r="I369" s="51" t="s">
        <v>144</v>
      </c>
      <c r="J369" s="248"/>
      <c r="L369" s="51" t="s">
        <v>111</v>
      </c>
      <c r="M369" s="51" t="s">
        <v>143</v>
      </c>
      <c r="N369" s="51" t="s">
        <v>144</v>
      </c>
      <c r="O369" s="247"/>
    </row>
    <row r="370" spans="1:15" x14ac:dyDescent="0.25">
      <c r="A370" t="s">
        <v>145</v>
      </c>
      <c r="B370" s="240">
        <f>WERKBON!$G$22</f>
        <v>0</v>
      </c>
      <c r="C370" s="240">
        <f>$C$345</f>
        <v>10</v>
      </c>
      <c r="D370" s="256">
        <f>B370-C370</f>
        <v>-10</v>
      </c>
      <c r="E370" s="247"/>
      <c r="F370" t="s">
        <v>145</v>
      </c>
      <c r="G370" s="240">
        <f>WERKBON!$G$22</f>
        <v>0</v>
      </c>
      <c r="H370" s="240">
        <f>$C$345</f>
        <v>10</v>
      </c>
      <c r="I370" s="256">
        <f>G370-H370</f>
        <v>-10</v>
      </c>
      <c r="J370" s="248"/>
      <c r="K370" t="s">
        <v>145</v>
      </c>
      <c r="L370" s="240">
        <f>WERKBON!$G$22</f>
        <v>0</v>
      </c>
      <c r="M370" s="240">
        <f>$C$345</f>
        <v>10</v>
      </c>
      <c r="N370" s="256">
        <f>L370-M370</f>
        <v>-10</v>
      </c>
      <c r="O370" s="247"/>
    </row>
    <row r="371" spans="1:15" x14ac:dyDescent="0.25">
      <c r="A371" t="s">
        <v>148</v>
      </c>
      <c r="B371" s="240">
        <f>B370</f>
        <v>0</v>
      </c>
      <c r="C371" s="240">
        <f>$C$345</f>
        <v>10</v>
      </c>
      <c r="D371" s="256">
        <f>B371-C371</f>
        <v>-10</v>
      </c>
      <c r="E371" s="247"/>
      <c r="F371" t="s">
        <v>148</v>
      </c>
      <c r="G371" s="240">
        <f>G370</f>
        <v>0</v>
      </c>
      <c r="H371" s="240">
        <f>$C$345</f>
        <v>10</v>
      </c>
      <c r="I371" s="256">
        <f>G371-H371</f>
        <v>-10</v>
      </c>
      <c r="J371" s="248"/>
      <c r="K371" t="s">
        <v>148</v>
      </c>
      <c r="L371" s="240">
        <f>L370</f>
        <v>0</v>
      </c>
      <c r="M371" s="240">
        <f>$C$345</f>
        <v>10</v>
      </c>
      <c r="N371" s="256">
        <f>L371-M371</f>
        <v>-10</v>
      </c>
      <c r="O371" s="247"/>
    </row>
    <row r="372" spans="1:15" x14ac:dyDescent="0.25">
      <c r="A372" s="247"/>
      <c r="B372" s="249"/>
      <c r="C372" s="249"/>
      <c r="D372" s="247"/>
      <c r="E372" s="247"/>
      <c r="F372" s="248"/>
      <c r="G372" s="249"/>
      <c r="H372" s="249"/>
      <c r="I372" s="263"/>
      <c r="J372" s="248"/>
      <c r="K372" s="247"/>
      <c r="L372" s="249"/>
      <c r="M372" s="249"/>
      <c r="N372" s="263"/>
      <c r="O372" s="247"/>
    </row>
    <row r="373" spans="1:15" x14ac:dyDescent="0.25">
      <c r="A373" s="175" t="s">
        <v>33</v>
      </c>
      <c r="B373" s="264"/>
      <c r="C373" s="175"/>
      <c r="D373" s="175"/>
      <c r="E373" s="276"/>
      <c r="F373" s="175" t="s">
        <v>33</v>
      </c>
      <c r="G373" s="264"/>
      <c r="H373" s="175"/>
      <c r="I373" s="175"/>
      <c r="J373" s="248"/>
      <c r="K373" s="175" t="s">
        <v>33</v>
      </c>
      <c r="L373" s="264"/>
      <c r="M373" s="175"/>
      <c r="N373" s="175"/>
      <c r="O373" s="276"/>
    </row>
    <row r="374" spans="2:15" x14ac:dyDescent="0.25">
      <c r="B374" s="51" t="s">
        <v>111</v>
      </c>
      <c r="C374" s="51" t="s">
        <v>143</v>
      </c>
      <c r="D374" s="51" t="s">
        <v>144</v>
      </c>
      <c r="E374" s="247"/>
      <c r="G374" s="51" t="s">
        <v>111</v>
      </c>
      <c r="H374" s="51" t="s">
        <v>143</v>
      </c>
      <c r="I374" s="51" t="s">
        <v>144</v>
      </c>
      <c r="J374" s="248"/>
      <c r="L374" s="51" t="s">
        <v>111</v>
      </c>
      <c r="M374" s="51" t="s">
        <v>143</v>
      </c>
      <c r="N374" s="51" t="s">
        <v>144</v>
      </c>
      <c r="O374" s="247"/>
    </row>
    <row r="375" spans="1:15" x14ac:dyDescent="0.25">
      <c r="A375" t="s">
        <v>145</v>
      </c>
      <c r="B375" s="240">
        <f>WERKBON!$H$22</f>
        <v>0</v>
      </c>
      <c r="C375" s="240">
        <f>$C$345</f>
        <v>10</v>
      </c>
      <c r="D375" s="256">
        <f>B375-C375</f>
        <v>-10</v>
      </c>
      <c r="E375" s="247"/>
      <c r="F375" t="s">
        <v>145</v>
      </c>
      <c r="G375" s="240">
        <f>WERKBON!$H$22</f>
        <v>0</v>
      </c>
      <c r="H375" s="240">
        <f>$C$345</f>
        <v>10</v>
      </c>
      <c r="I375" s="256">
        <f>G375-H375</f>
        <v>-10</v>
      </c>
      <c r="J375" s="248"/>
      <c r="K375" t="s">
        <v>145</v>
      </c>
      <c r="L375" s="240">
        <f>WERKBON!$H$22</f>
        <v>0</v>
      </c>
      <c r="M375" s="240">
        <f>$C$345</f>
        <v>10</v>
      </c>
      <c r="N375" s="256">
        <f>L375-M375</f>
        <v>-10</v>
      </c>
      <c r="O375" s="247"/>
    </row>
    <row r="376" spans="1:15" x14ac:dyDescent="0.25">
      <c r="A376" t="s">
        <v>148</v>
      </c>
      <c r="B376" s="240">
        <f>B375</f>
        <v>0</v>
      </c>
      <c r="C376" s="240">
        <f>$C$345</f>
        <v>10</v>
      </c>
      <c r="D376" s="256">
        <f>B376-C376</f>
        <v>-10</v>
      </c>
      <c r="E376" s="247"/>
      <c r="F376" t="s">
        <v>148</v>
      </c>
      <c r="G376" s="240">
        <f>G375</f>
        <v>0</v>
      </c>
      <c r="H376" s="240">
        <f>$C$345</f>
        <v>10</v>
      </c>
      <c r="I376" s="256">
        <f>G376-H376</f>
        <v>-10</v>
      </c>
      <c r="J376" s="261"/>
      <c r="K376" t="s">
        <v>148</v>
      </c>
      <c r="L376" s="240">
        <f>L375</f>
        <v>0</v>
      </c>
      <c r="M376" s="240">
        <f>$C$345</f>
        <v>10</v>
      </c>
      <c r="N376" s="256">
        <f>L376-M376</f>
        <v>-10</v>
      </c>
      <c r="O376" s="247"/>
    </row>
    <row r="377" spans="1:15" x14ac:dyDescent="0.25">
      <c r="A377" s="247"/>
      <c r="B377" s="249"/>
      <c r="C377" s="249"/>
      <c r="D377" s="247"/>
      <c r="E377" s="247"/>
      <c r="F377" s="247"/>
      <c r="G377" s="249"/>
      <c r="H377" s="249"/>
      <c r="I377" s="263"/>
      <c r="J377" s="261"/>
      <c r="K377" s="247"/>
      <c r="L377" s="249"/>
      <c r="M377" s="249"/>
      <c r="N377" s="263"/>
      <c r="O377" s="247"/>
    </row>
    <row r="378" spans="1:15" x14ac:dyDescent="0.25">
      <c r="A378" s="175" t="s">
        <v>34</v>
      </c>
      <c r="B378" s="264"/>
      <c r="C378" s="175"/>
      <c r="D378" s="175"/>
      <c r="E378" s="276"/>
      <c r="F378" s="175" t="s">
        <v>34</v>
      </c>
      <c r="G378" s="264"/>
      <c r="H378" s="175"/>
      <c r="I378" s="175"/>
      <c r="J378" s="278"/>
      <c r="K378" s="175" t="s">
        <v>34</v>
      </c>
      <c r="L378" s="264"/>
      <c r="M378" s="175"/>
      <c r="N378" s="175"/>
      <c r="O378" s="276"/>
    </row>
    <row r="379" spans="2:15" x14ac:dyDescent="0.25">
      <c r="B379" s="51" t="s">
        <v>111</v>
      </c>
      <c r="C379" s="51" t="s">
        <v>143</v>
      </c>
      <c r="D379" s="51" t="s">
        <v>144</v>
      </c>
      <c r="E379" s="247"/>
      <c r="G379" s="51" t="s">
        <v>111</v>
      </c>
      <c r="H379" s="51" t="s">
        <v>143</v>
      </c>
      <c r="I379" s="51" t="s">
        <v>144</v>
      </c>
      <c r="J379" s="261"/>
      <c r="L379" s="51" t="s">
        <v>111</v>
      </c>
      <c r="M379" s="51" t="s">
        <v>143</v>
      </c>
      <c r="N379" s="51" t="s">
        <v>144</v>
      </c>
      <c r="O379" s="247"/>
    </row>
    <row r="380" spans="1:15" x14ac:dyDescent="0.25">
      <c r="A380" t="s">
        <v>145</v>
      </c>
      <c r="B380" s="240">
        <f>WERKBON!$I$22</f>
        <v>0</v>
      </c>
      <c r="C380" s="240">
        <f>$C$345</f>
        <v>10</v>
      </c>
      <c r="D380" s="256">
        <f>B380-C380</f>
        <v>-10</v>
      </c>
      <c r="E380" s="247"/>
      <c r="F380" t="s">
        <v>145</v>
      </c>
      <c r="G380" s="240">
        <f>WERKBON!$I$22</f>
        <v>0</v>
      </c>
      <c r="H380" s="240">
        <f>$C$345</f>
        <v>10</v>
      </c>
      <c r="I380" s="256">
        <f>G380-H380</f>
        <v>-10</v>
      </c>
      <c r="J380" s="261"/>
      <c r="K380" t="s">
        <v>145</v>
      </c>
      <c r="L380" s="240">
        <f>WERKBON!$I$22</f>
        <v>0</v>
      </c>
      <c r="M380" s="240">
        <f>$C$345</f>
        <v>10</v>
      </c>
      <c r="N380" s="256">
        <f>L380-M380</f>
        <v>-10</v>
      </c>
      <c r="O380" s="247"/>
    </row>
    <row r="381" spans="1:15" x14ac:dyDescent="0.25">
      <c r="A381" t="s">
        <v>148</v>
      </c>
      <c r="B381" s="240">
        <f>B380</f>
        <v>0</v>
      </c>
      <c r="C381" s="240">
        <f>$C$345</f>
        <v>10</v>
      </c>
      <c r="D381" s="256">
        <f>B381-C381</f>
        <v>-10</v>
      </c>
      <c r="E381" s="247"/>
      <c r="F381" t="s">
        <v>148</v>
      </c>
      <c r="G381" s="240">
        <f>G380</f>
        <v>0</v>
      </c>
      <c r="H381" s="240">
        <f>$C$345</f>
        <v>10</v>
      </c>
      <c r="I381" s="256">
        <f>G381-H381</f>
        <v>-10</v>
      </c>
      <c r="J381" s="247"/>
      <c r="K381" t="s">
        <v>148</v>
      </c>
      <c r="L381" s="240">
        <f>L380</f>
        <v>0</v>
      </c>
      <c r="M381" s="240">
        <f>$C$345</f>
        <v>10</v>
      </c>
      <c r="N381" s="256">
        <f>L381-M381</f>
        <v>-10</v>
      </c>
      <c r="O381" s="247"/>
    </row>
    <row r="382" spans="1:15" x14ac:dyDescent="0.25">
      <c r="A382" s="247"/>
      <c r="B382" s="249"/>
      <c r="C382" s="249"/>
      <c r="D382" s="247"/>
      <c r="E382" s="247"/>
      <c r="F382" s="247"/>
      <c r="G382" s="249"/>
      <c r="H382" s="249"/>
      <c r="I382" s="263"/>
      <c r="J382" s="247"/>
      <c r="K382" s="247"/>
      <c r="L382" s="249"/>
      <c r="M382" s="249"/>
      <c r="N382" s="263"/>
      <c r="O382" s="247"/>
    </row>
    <row r="383" spans="1:15" x14ac:dyDescent="0.25">
      <c r="A383" s="175" t="s">
        <v>35</v>
      </c>
      <c r="B383" s="264"/>
      <c r="C383" s="175"/>
      <c r="D383" s="175"/>
      <c r="E383" s="276"/>
      <c r="F383" s="175" t="s">
        <v>35</v>
      </c>
      <c r="G383" s="264"/>
      <c r="H383" s="175"/>
      <c r="I383" s="175"/>
      <c r="J383" s="276"/>
      <c r="K383" s="175" t="s">
        <v>35</v>
      </c>
      <c r="L383" s="264"/>
      <c r="M383" s="175"/>
      <c r="N383" s="175"/>
      <c r="O383" s="276"/>
    </row>
    <row r="384" spans="2:15" x14ac:dyDescent="0.25">
      <c r="B384" s="51" t="s">
        <v>111</v>
      </c>
      <c r="C384" s="51" t="s">
        <v>143</v>
      </c>
      <c r="D384" s="51" t="s">
        <v>144</v>
      </c>
      <c r="E384" s="247"/>
      <c r="G384" s="51" t="s">
        <v>111</v>
      </c>
      <c r="H384" s="51" t="s">
        <v>143</v>
      </c>
      <c r="I384" s="51" t="s">
        <v>144</v>
      </c>
      <c r="J384" s="247"/>
      <c r="L384" s="51" t="s">
        <v>111</v>
      </c>
      <c r="M384" s="51" t="s">
        <v>143</v>
      </c>
      <c r="N384" s="51" t="s">
        <v>144</v>
      </c>
      <c r="O384" s="247"/>
    </row>
    <row r="385" spans="1:15" x14ac:dyDescent="0.25">
      <c r="A385" t="s">
        <v>145</v>
      </c>
      <c r="B385" s="240">
        <f>WERKBON!$J$22</f>
        <v>0</v>
      </c>
      <c r="C385" s="240">
        <f>$C$345</f>
        <v>10</v>
      </c>
      <c r="D385" s="256">
        <f>B385-C385</f>
        <v>-10</v>
      </c>
      <c r="E385" s="247"/>
      <c r="F385" t="s">
        <v>145</v>
      </c>
      <c r="G385" s="240">
        <f>WERKBON!$J$22</f>
        <v>0</v>
      </c>
      <c r="H385" s="240">
        <f>$C$345</f>
        <v>10</v>
      </c>
      <c r="I385" s="256">
        <f>G385-H385</f>
        <v>-10</v>
      </c>
      <c r="J385" s="247"/>
      <c r="K385" t="s">
        <v>145</v>
      </c>
      <c r="L385" s="240">
        <f>WERKBON!$J$22</f>
        <v>0</v>
      </c>
      <c r="M385" s="240">
        <f>$C$345</f>
        <v>10</v>
      </c>
      <c r="N385" s="256">
        <f>L385-M385</f>
        <v>-10</v>
      </c>
      <c r="O385" s="247"/>
    </row>
    <row r="386" spans="1:15" x14ac:dyDescent="0.25">
      <c r="A386" t="s">
        <v>148</v>
      </c>
      <c r="B386" s="240">
        <f>B385</f>
        <v>0</v>
      </c>
      <c r="C386" s="240">
        <f>$C$345</f>
        <v>10</v>
      </c>
      <c r="D386" s="256">
        <f>B386-C386</f>
        <v>-10</v>
      </c>
      <c r="E386" s="247"/>
      <c r="F386" t="s">
        <v>148</v>
      </c>
      <c r="G386" s="240">
        <f>G385</f>
        <v>0</v>
      </c>
      <c r="H386" s="240">
        <f>$C$345</f>
        <v>10</v>
      </c>
      <c r="I386" s="256">
        <f>G386-H386</f>
        <v>-10</v>
      </c>
      <c r="J386" s="247"/>
      <c r="K386" t="s">
        <v>148</v>
      </c>
      <c r="L386" s="240">
        <f>L385</f>
        <v>0</v>
      </c>
      <c r="M386" s="240">
        <f>$C$345</f>
        <v>10</v>
      </c>
      <c r="N386" s="256">
        <f>L386-M386</f>
        <v>-10</v>
      </c>
      <c r="O386" s="247"/>
    </row>
    <row r="387" spans="1:15" x14ac:dyDescent="0.25">
      <c r="A387" s="247"/>
      <c r="B387" s="249"/>
      <c r="C387" s="249"/>
      <c r="D387" s="247"/>
      <c r="E387" s="247"/>
      <c r="F387" s="247"/>
      <c r="G387" s="249"/>
      <c r="H387" s="249"/>
      <c r="I387" s="263"/>
      <c r="J387" s="247"/>
      <c r="K387" s="247"/>
      <c r="L387" s="249"/>
      <c r="M387" s="249"/>
      <c r="N387" s="263"/>
      <c r="O387" s="247"/>
    </row>
    <row r="388" spans="1:15" x14ac:dyDescent="0.25">
      <c r="A388" s="175" t="s">
        <v>36</v>
      </c>
      <c r="B388" s="264"/>
      <c r="C388" s="175"/>
      <c r="D388" s="175"/>
      <c r="E388" s="276"/>
      <c r="F388" s="175" t="s">
        <v>36</v>
      </c>
      <c r="G388" s="264"/>
      <c r="H388" s="175"/>
      <c r="I388" s="175"/>
      <c r="J388" s="276"/>
      <c r="K388" s="175" t="s">
        <v>36</v>
      </c>
      <c r="L388" s="264"/>
      <c r="M388" s="175"/>
      <c r="N388" s="175"/>
      <c r="O388" s="276"/>
    </row>
    <row r="389" spans="2:15" x14ac:dyDescent="0.25">
      <c r="B389" s="51" t="s">
        <v>111</v>
      </c>
      <c r="C389" s="51" t="s">
        <v>143</v>
      </c>
      <c r="D389" s="51" t="s">
        <v>144</v>
      </c>
      <c r="E389" s="247"/>
      <c r="G389" s="51" t="s">
        <v>111</v>
      </c>
      <c r="H389" s="51" t="s">
        <v>143</v>
      </c>
      <c r="I389" s="51" t="s">
        <v>144</v>
      </c>
      <c r="J389" s="247"/>
      <c r="L389" s="51" t="s">
        <v>111</v>
      </c>
      <c r="M389" s="51" t="s">
        <v>143</v>
      </c>
      <c r="N389" s="51" t="s">
        <v>144</v>
      </c>
      <c r="O389" s="247"/>
    </row>
    <row r="390" spans="1:15" x14ac:dyDescent="0.25">
      <c r="A390" t="s">
        <v>145</v>
      </c>
      <c r="B390" s="240">
        <f>WERKBON!$K$22</f>
        <v>0</v>
      </c>
      <c r="C390" s="240">
        <f>$C$345</f>
        <v>10</v>
      </c>
      <c r="D390" s="256">
        <f>B390-C390</f>
        <v>-10</v>
      </c>
      <c r="E390" s="247"/>
      <c r="F390" t="s">
        <v>145</v>
      </c>
      <c r="G390" s="240">
        <f>WERKBON!$K$22</f>
        <v>0</v>
      </c>
      <c r="H390" s="240">
        <f>$C$345</f>
        <v>10</v>
      </c>
      <c r="I390" s="256">
        <f>G390-H390</f>
        <v>-10</v>
      </c>
      <c r="J390" s="247"/>
      <c r="K390" t="s">
        <v>145</v>
      </c>
      <c r="L390" s="240">
        <f>WERKBON!$K$22</f>
        <v>0</v>
      </c>
      <c r="M390" s="240">
        <f>$C$345</f>
        <v>10</v>
      </c>
      <c r="N390" s="256">
        <f>L390-M390</f>
        <v>-10</v>
      </c>
      <c r="O390" s="247"/>
    </row>
    <row r="391" spans="1:15" x14ac:dyDescent="0.25">
      <c r="A391" t="s">
        <v>148</v>
      </c>
      <c r="B391" s="240">
        <f>B390</f>
        <v>0</v>
      </c>
      <c r="C391" s="240">
        <f>$C$345</f>
        <v>10</v>
      </c>
      <c r="D391" s="256">
        <f>B391-C391</f>
        <v>-10</v>
      </c>
      <c r="E391" s="247"/>
      <c r="F391" t="s">
        <v>148</v>
      </c>
      <c r="G391" s="240">
        <f>G390</f>
        <v>0</v>
      </c>
      <c r="H391" s="240">
        <f>$C$345</f>
        <v>10</v>
      </c>
      <c r="I391" s="256">
        <f>G391-H391</f>
        <v>-10</v>
      </c>
      <c r="J391" s="247"/>
      <c r="K391" t="s">
        <v>148</v>
      </c>
      <c r="L391" s="240">
        <f>L390</f>
        <v>0</v>
      </c>
      <c r="M391" s="240">
        <f>$C$345</f>
        <v>10</v>
      </c>
      <c r="N391" s="256">
        <f>L391-M391</f>
        <v>-10</v>
      </c>
      <c r="O391" s="247"/>
    </row>
    <row r="392" spans="1:15" x14ac:dyDescent="0.25">
      <c r="A392" s="247"/>
      <c r="B392" s="249"/>
      <c r="C392" s="249"/>
      <c r="D392" s="247"/>
      <c r="E392" s="247"/>
      <c r="F392" s="247"/>
      <c r="G392" s="249"/>
      <c r="H392" s="249"/>
      <c r="I392" s="263"/>
      <c r="J392" s="247"/>
      <c r="K392" s="247"/>
      <c r="L392" s="249"/>
      <c r="M392" s="249"/>
      <c r="N392" s="263"/>
      <c r="O392" s="247"/>
    </row>
  </sheetData>
  <mergeCells count="3">
    <mergeCell ref="A1:D1"/>
    <mergeCell ref="F1:I1"/>
    <mergeCell ref="K1:N1"/>
  </mergeCells>
  <pageMargins left="0.75" right="0.75" top="1" bottom="1" header="0.5" footer="0.5"/>
  <pageSetup paperSize="9" orientation="portrait" horizontalDpi="300" verticalDpi="3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workbookViewId="0" zoomScale="100" zoomScaleNormal="100">
      <selection activeCell="G12" sqref="G12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207"/>
      <c r="B1" s="207"/>
      <c r="C1" s="207"/>
      <c r="D1" s="207"/>
      <c r="E1" s="152"/>
      <c r="F1" s="152"/>
      <c r="G1" s="110"/>
      <c r="H1" s="176" t="s">
        <v>122</v>
      </c>
      <c r="I1" s="208"/>
      <c r="J1" s="20"/>
    </row>
    <row r="2" ht="14.25" customHeight="1" spans="1:10" x14ac:dyDescent="0.25">
      <c r="A2" s="63"/>
      <c r="B2" s="63"/>
      <c r="C2" s="63"/>
      <c r="D2" s="63"/>
      <c r="E2" s="150"/>
      <c r="F2" s="150"/>
      <c r="G2" s="110"/>
      <c r="H2" s="208" t="s">
        <v>123</v>
      </c>
      <c r="I2" s="208"/>
      <c r="J2" s="20"/>
    </row>
    <row r="3" ht="12.75" customHeight="1" spans="2:10" x14ac:dyDescent="0.25">
      <c r="B3" s="63"/>
      <c r="C3" s="209"/>
      <c r="D3" s="20"/>
      <c r="F3" s="208" t="s">
        <v>124</v>
      </c>
      <c r="H3" s="208" t="s">
        <v>101</v>
      </c>
      <c r="I3" s="208"/>
      <c r="J3" s="20"/>
    </row>
    <row r="4" spans="2:10" x14ac:dyDescent="0.25">
      <c r="B4" s="63"/>
      <c r="C4" s="209"/>
      <c r="D4" s="20"/>
      <c r="I4" s="208"/>
      <c r="J4" s="20"/>
    </row>
    <row r="5" ht="18" customHeight="1" spans="1:10" x14ac:dyDescent="0.25">
      <c r="A5" s="210"/>
      <c r="B5" s="211" t="s">
        <v>125</v>
      </c>
      <c r="C5" s="16"/>
      <c r="D5" s="212" t="s">
        <v>126</v>
      </c>
      <c r="E5" s="212"/>
      <c r="F5" s="212"/>
      <c r="G5" s="16"/>
      <c r="H5" s="213"/>
      <c r="I5" s="20"/>
      <c r="J5" s="20"/>
    </row>
    <row r="6" ht="9.95" customHeight="1" spans="1:10" x14ac:dyDescent="0.25">
      <c r="A6" s="214"/>
      <c r="B6" s="215"/>
      <c r="C6" s="16"/>
      <c r="D6" s="138"/>
      <c r="E6" s="138"/>
      <c r="F6" s="1"/>
      <c r="G6" s="16"/>
      <c r="H6" s="213"/>
      <c r="I6" s="20"/>
      <c r="J6" s="20"/>
    </row>
    <row r="7" ht="18" customHeight="1" spans="1:10" x14ac:dyDescent="0.25">
      <c r="A7" s="210"/>
      <c r="B7" s="211" t="s">
        <v>127</v>
      </c>
      <c r="C7" s="16"/>
      <c r="D7" s="138"/>
      <c r="E7" s="138"/>
      <c r="F7" s="138"/>
      <c r="G7" s="16"/>
      <c r="H7" s="213"/>
      <c r="I7" s="20"/>
      <c r="J7" s="20"/>
    </row>
    <row r="8" ht="18" customHeight="1" spans="1:10" x14ac:dyDescent="0.25">
      <c r="A8" s="210"/>
      <c r="B8" s="216"/>
      <c r="C8" s="16"/>
      <c r="D8" s="138"/>
      <c r="E8" s="138"/>
      <c r="F8" s="138"/>
      <c r="G8" s="16"/>
      <c r="H8" s="213"/>
      <c r="I8" s="20"/>
      <c r="J8" s="20"/>
    </row>
    <row r="9" ht="9.95" customHeight="1" spans="1:10" x14ac:dyDescent="0.25">
      <c r="A9" s="210"/>
      <c r="B9" s="216"/>
      <c r="C9" s="16"/>
      <c r="D9" s="138"/>
      <c r="E9" s="212"/>
      <c r="F9" s="1"/>
      <c r="G9" s="16"/>
      <c r="H9" s="213"/>
      <c r="I9" s="20"/>
      <c r="J9" s="20"/>
    </row>
    <row r="10" ht="18" customHeight="1" spans="1:10" x14ac:dyDescent="0.25">
      <c r="A10" s="210"/>
      <c r="B10" s="211" t="s">
        <v>128</v>
      </c>
      <c r="C10" s="16"/>
      <c r="D10" s="138"/>
      <c r="E10" s="138"/>
      <c r="F10" s="1"/>
      <c r="G10" s="16"/>
      <c r="J10" s="20"/>
    </row>
    <row r="11" ht="9.95" customHeight="1" spans="1:8" x14ac:dyDescent="0.25">
      <c r="A11" s="214"/>
      <c r="B11" s="215"/>
      <c r="C11" s="16"/>
      <c r="D11" s="138"/>
      <c r="E11" s="138"/>
      <c r="F11" s="1"/>
      <c r="G11" s="16"/>
      <c r="H11" s="16"/>
    </row>
    <row r="12" ht="18" customHeight="1" spans="1:8" x14ac:dyDescent="0.25">
      <c r="A12" s="210"/>
      <c r="B12" s="211" t="s">
        <v>129</v>
      </c>
      <c r="C12" s="16"/>
      <c r="D12" s="138"/>
      <c r="E12" s="138"/>
      <c r="F12" s="217" t="s">
        <v>130</v>
      </c>
      <c r="G12" s="218" t="s">
        <v>131</v>
      </c>
      <c r="H12" s="218"/>
    </row>
    <row r="13" ht="9.95" customHeight="1" spans="2:8" x14ac:dyDescent="0.25">
      <c r="B13" s="219"/>
      <c r="C13" s="16"/>
      <c r="D13" s="138"/>
      <c r="E13" s="138"/>
      <c r="F13" s="138"/>
      <c r="G13" s="16"/>
      <c r="H13" s="16"/>
    </row>
    <row r="14" ht="20.1" customHeight="1" spans="2:5" x14ac:dyDescent="0.25">
      <c r="B14" s="211" t="s">
        <v>132</v>
      </c>
      <c r="C14" s="220" t="str">
        <f>IF(WERKBON!B4&gt;0,WERKBON!B4&amp;" - "&amp;WERKBON!B12," ")</f>
        <v> </v>
      </c>
      <c r="D14" s="220"/>
      <c r="E14" s="220"/>
    </row>
    <row r="15" ht="9.95" customHeight="1" x14ac:dyDescent="0.25"/>
    <row r="16" ht="20.1" customHeight="1" spans="2:8" x14ac:dyDescent="0.25">
      <c r="B16" s="221" t="s">
        <v>133</v>
      </c>
      <c r="C16" s="222">
        <f>IF(WERKBON!B21&gt;0,WERKBON!B21,"")</f>
      </c>
      <c r="D16" s="222"/>
      <c r="E16" s="221" t="s">
        <v>134</v>
      </c>
      <c r="F16" s="221"/>
      <c r="G16" s="223" t="s">
        <v>135</v>
      </c>
      <c r="H16" s="223"/>
    </row>
    <row r="17" ht="20.1" customHeight="1" spans="2:8" x14ac:dyDescent="0.25">
      <c r="B17" s="224" t="s">
        <v>136</v>
      </c>
      <c r="C17" s="225" t="s">
        <v>137</v>
      </c>
      <c r="D17" s="225"/>
      <c r="E17" s="221"/>
      <c r="F17" s="221"/>
      <c r="G17" s="223"/>
      <c r="H17" s="223"/>
    </row>
    <row r="19" spans="2:8" x14ac:dyDescent="0.25">
      <c r="B19" s="226">
        <f>IF(WERKBON!B$15&gt;0,"Rolluik 1","")</f>
      </c>
      <c r="C19" s="227">
        <f>IF(WERKBON!B$15&gt;0,"Aantal","")</f>
      </c>
      <c r="D19" s="228">
        <f>IF(WERKBON!B$15&gt;0,"Omschrijving","")</f>
      </c>
      <c r="E19" s="229"/>
      <c r="F19" s="230"/>
      <c r="G19" s="227">
        <f>IF(WERKBON!B$15&gt;0,"Zaagmaat","")</f>
      </c>
      <c r="H19" s="227">
        <f>IF(WERKBON!B$15&gt;0,"Maatgeving","")</f>
      </c>
    </row>
    <row r="20" ht="9.95" customHeight="1" spans="2:8" x14ac:dyDescent="0.25">
      <c r="B20" s="231"/>
      <c r="C20" s="232"/>
      <c r="D20" s="233"/>
      <c r="E20" s="233"/>
      <c r="F20" s="233"/>
      <c r="G20" s="232"/>
      <c r="H20" s="232"/>
    </row>
    <row r="21" spans="2:8" x14ac:dyDescent="0.25">
      <c r="B21" s="234"/>
      <c r="C21" s="235">
        <f>IF(WERKBON!B15&gt;0,WERKBON!B15,"")</f>
      </c>
      <c r="D21" s="139">
        <f>IF(WERKBON!B15&gt;0,WERKBON!B67&amp;" onderlat","")</f>
      </c>
      <c r="E21" s="139"/>
      <c r="F21" s="139"/>
      <c r="G21" s="236">
        <f>IF(WERKBON!B15&gt;0,WERKBON!C67+100,"")</f>
      </c>
      <c r="H21" s="235">
        <f>IF(WERKBON!B15&gt;0,"mm","")</f>
      </c>
    </row>
    <row r="22" ht="9.95" customHeight="1" spans="2:8" s="237" customFormat="1" x14ac:dyDescent="0.25">
      <c r="B22" s="238"/>
      <c r="C22" s="178"/>
      <c r="D22" s="239"/>
      <c r="E22" s="239"/>
      <c r="F22" s="239"/>
      <c r="G22" s="178"/>
      <c r="H22" s="16"/>
    </row>
    <row r="23" spans="2:9" x14ac:dyDescent="0.25">
      <c r="B23" s="226">
        <f>IF(WERKBON!C$15&gt;0,"Rolluik 2","")</f>
      </c>
      <c r="C23" s="227">
        <f>IF(WERKBON!C$15&gt;0,"Aantal","")</f>
      </c>
      <c r="D23" s="228">
        <f>IF(WERKBON!C$15&gt;0,"Omschrijving","")</f>
      </c>
      <c r="E23" s="229"/>
      <c r="F23" s="230"/>
      <c r="G23" s="227">
        <f>IF(WERKBON!C$15&gt;0,"Zaagmaat","")</f>
      </c>
      <c r="H23" s="227">
        <f>IF(WERKBON!C$15&gt;0,"Maatgeving","")</f>
      </c>
      <c r="I23" s="240"/>
    </row>
    <row r="24" ht="9.95" customHeight="1" spans="2:9" x14ac:dyDescent="0.25">
      <c r="B24" s="231"/>
      <c r="C24" s="232"/>
      <c r="D24" s="233"/>
      <c r="E24" s="233"/>
      <c r="F24" s="233"/>
      <c r="G24" s="232"/>
      <c r="H24" s="232"/>
      <c r="I24" s="240"/>
    </row>
    <row r="25" spans="2:8" x14ac:dyDescent="0.25">
      <c r="B25" s="234"/>
      <c r="C25" s="235">
        <f>IF(WERKBON!C15&gt;0,WERKBON!C15,"")</f>
      </c>
      <c r="D25" s="139">
        <f>IF(WERKBON!C15&gt;0,WERKBON!B75&amp;" onderlat","")</f>
      </c>
      <c r="E25" s="139"/>
      <c r="F25" s="139"/>
      <c r="G25" s="236">
        <f>IF(WERKBON!C15&gt;0,WERKBON!C75+100,"")</f>
      </c>
      <c r="H25" s="235">
        <f>IF(WERKBON!C15&gt;0,"mm","")</f>
      </c>
    </row>
    <row r="26" ht="9.95" customHeight="1" spans="2:8" s="237" customFormat="1" x14ac:dyDescent="0.25">
      <c r="B26" s="238"/>
      <c r="C26" s="178"/>
      <c r="D26" s="239"/>
      <c r="E26" s="239"/>
      <c r="F26" s="239"/>
      <c r="G26" s="178"/>
      <c r="H26" s="16"/>
    </row>
    <row r="27" spans="2:9" x14ac:dyDescent="0.25">
      <c r="B27" s="226">
        <f>IF(WERKBON!D$15&gt;0,"Rolluik 3","")</f>
      </c>
      <c r="C27" s="227">
        <f>IF(WERKBON!D$15&gt;0,"Aantal","")</f>
      </c>
      <c r="D27" s="228">
        <f>IF(WERKBON!D$15&gt;0,"Omschrijving","")</f>
      </c>
      <c r="E27" s="229"/>
      <c r="F27" s="230"/>
      <c r="G27" s="227">
        <f>IF(WERKBON!D$15&gt;0,"Zaagmaat","")</f>
      </c>
      <c r="H27" s="227">
        <f>IF(WERKBON!D$15&gt;0,"Maatgeving","")</f>
      </c>
      <c r="I27" s="240"/>
    </row>
    <row r="28" ht="9.95" customHeight="1" spans="2:9" x14ac:dyDescent="0.25">
      <c r="B28" s="231"/>
      <c r="C28" s="232"/>
      <c r="D28" s="233"/>
      <c r="E28" s="233"/>
      <c r="F28" s="233"/>
      <c r="G28" s="232"/>
      <c r="H28" s="232"/>
      <c r="I28" s="240"/>
    </row>
    <row r="29" spans="2:8" x14ac:dyDescent="0.25">
      <c r="B29" s="234"/>
      <c r="C29" s="235">
        <f>IF(WERKBON!D15&gt;0,WERKBON!D15,"")</f>
      </c>
      <c r="D29" s="139">
        <f>IF(WERKBON!D15&gt;0,WERKBON!B83&amp;" onderlat","")</f>
      </c>
      <c r="E29" s="139"/>
      <c r="F29" s="139"/>
      <c r="G29" s="236">
        <f>IF(WERKBON!D15&gt;0,WERKBON!C83+100,"")</f>
      </c>
      <c r="H29" s="235">
        <f>IF(WERKBON!D15&gt;0,"mm","")</f>
      </c>
    </row>
    <row r="30" ht="9.95" customHeight="1" spans="2:8" s="237" customFormat="1" x14ac:dyDescent="0.25">
      <c r="B30" s="238"/>
      <c r="C30" s="178"/>
      <c r="D30" s="239"/>
      <c r="E30" s="239"/>
      <c r="F30" s="239"/>
      <c r="G30" s="178"/>
      <c r="H30" s="16"/>
    </row>
    <row r="31" spans="2:9" x14ac:dyDescent="0.25">
      <c r="B31" s="226">
        <f>IF(WERKBON!E$15&gt;0,"Rolluik 4","")</f>
      </c>
      <c r="C31" s="227">
        <f>IF(WERKBON!E$15&gt;0,"Aantal","")</f>
      </c>
      <c r="D31" s="228">
        <f>IF(WERKBON!E$15&gt;0,"Omschrijving","")</f>
      </c>
      <c r="E31" s="229"/>
      <c r="F31" s="230"/>
      <c r="G31" s="227">
        <f>IF(WERKBON!E$15&gt;0,"Zaagmaat","")</f>
      </c>
      <c r="H31" s="227">
        <f>IF(WERKBON!E$15&gt;0,"Maatgeving","")</f>
      </c>
      <c r="I31" s="240"/>
    </row>
    <row r="32" ht="9.95" customHeight="1" spans="2:9" x14ac:dyDescent="0.25">
      <c r="B32" s="231"/>
      <c r="C32" s="232"/>
      <c r="D32" s="233"/>
      <c r="E32" s="233"/>
      <c r="F32" s="233"/>
      <c r="G32" s="232"/>
      <c r="H32" s="232"/>
      <c r="I32" s="240"/>
    </row>
    <row r="33" spans="2:8" x14ac:dyDescent="0.25">
      <c r="B33" s="234"/>
      <c r="C33" s="235">
        <f>IF(WERKBON!E15&gt;0,WERKBON!E15,"")</f>
      </c>
      <c r="D33" s="139">
        <f>IF(WERKBON!E15&gt;0,WERKBON!B91&amp;" onderlat","")</f>
      </c>
      <c r="E33" s="139"/>
      <c r="F33" s="139"/>
      <c r="G33" s="236">
        <f>IF(WERKBON!E15&gt;0,WERKBON!C90+100,"")</f>
      </c>
      <c r="H33" s="235">
        <f>IF(WERKBON!E15&gt;0,"mm","")</f>
      </c>
    </row>
    <row r="34" ht="9.95" customHeight="1" spans="2:8" s="237" customFormat="1" x14ac:dyDescent="0.25">
      <c r="B34" s="238"/>
      <c r="C34" s="178"/>
      <c r="D34" s="239"/>
      <c r="E34" s="239"/>
      <c r="F34" s="239"/>
      <c r="G34" s="178"/>
      <c r="H34" s="16"/>
    </row>
    <row r="35" spans="2:9" x14ac:dyDescent="0.25">
      <c r="B35" s="226">
        <f>IF(WERKBON!F$15&gt;0,"Rolluik 5","")</f>
      </c>
      <c r="C35" s="227">
        <f>IF(WERKBON!F$15&gt;0,"Aantal","")</f>
      </c>
      <c r="D35" s="228">
        <f>IF(WERKBON!F$15&gt;0,"Omschrijving","")</f>
      </c>
      <c r="E35" s="229"/>
      <c r="F35" s="230"/>
      <c r="G35" s="227">
        <f>IF(WERKBON!F$15&gt;0,"Zaagmaat","")</f>
      </c>
      <c r="H35" s="227">
        <f>IF(WERKBON!F$15&gt;0,"Maatgeving","")</f>
      </c>
      <c r="I35" s="240"/>
    </row>
    <row r="36" ht="9.75" customHeight="1" spans="2:9" x14ac:dyDescent="0.25">
      <c r="B36" s="231"/>
      <c r="C36" s="232"/>
      <c r="D36" s="233"/>
      <c r="E36" s="233"/>
      <c r="F36" s="233"/>
      <c r="G36" s="232"/>
      <c r="H36" s="232"/>
      <c r="I36" s="240"/>
    </row>
    <row r="37" spans="1:8" x14ac:dyDescent="0.25">
      <c r="A37" s="234"/>
      <c r="B37" s="234"/>
      <c r="C37" s="235">
        <f>IF(WERKBON!F15&gt;0,WERKBON!F15,"")</f>
      </c>
      <c r="D37" s="139">
        <f>IF(WERKBON!F15&gt;0,WERKBON!B99&amp;" onderlat","")</f>
      </c>
      <c r="E37" s="139"/>
      <c r="F37" s="139"/>
      <c r="G37" s="236">
        <f>IF(WERKBON!F15&gt;0,WERKBON!C98+100,"")</f>
      </c>
      <c r="H37" s="235">
        <f>IF(WERKBON!F15&gt;0,"mm","")</f>
      </c>
    </row>
    <row r="38" ht="9.95" customHeight="1" spans="1:8" x14ac:dyDescent="0.25">
      <c r="A38" s="234"/>
      <c r="B38" s="234"/>
      <c r="C38" s="178"/>
      <c r="D38" s="239"/>
      <c r="E38" s="239"/>
      <c r="F38" s="239"/>
      <c r="G38" s="178"/>
      <c r="H38" s="16"/>
    </row>
    <row r="39" spans="2:8" x14ac:dyDescent="0.25">
      <c r="B39" s="226">
        <f>IF(WERKBON!G$15&gt;0,"Rolluik 6","")</f>
      </c>
      <c r="C39" s="227">
        <f>IF(WERKBON!G$15&gt;0,"Aantal","")</f>
      </c>
      <c r="D39" s="228">
        <f>IF(WERKBON!G$15&gt;0,"Omschrijving","")</f>
      </c>
      <c r="E39" s="229"/>
      <c r="F39" s="230"/>
      <c r="G39" s="227">
        <f>IF(WERKBON!G$15&gt;0,"Zaagmaat","")</f>
      </c>
      <c r="H39" s="227">
        <f>IF(WERKBON!G$15&gt;0,"Maatgeving","")</f>
      </c>
    </row>
    <row r="40" ht="9.95" customHeight="1" spans="2:8" x14ac:dyDescent="0.25">
      <c r="B40" s="231"/>
      <c r="C40" s="232"/>
      <c r="D40" s="233"/>
      <c r="E40" s="233"/>
      <c r="F40" s="233"/>
      <c r="G40" s="232"/>
      <c r="H40" s="232"/>
    </row>
    <row r="41" spans="2:8" x14ac:dyDescent="0.25">
      <c r="B41" s="234"/>
      <c r="C41" s="235">
        <f>IF(WERKBON!G15&gt;0,WERKBON!G15,"")</f>
      </c>
      <c r="D41" s="139">
        <f>IF(WERKBON!G15&gt;0,WERKBON!B107&amp;" onderlat","")</f>
      </c>
      <c r="E41" s="139"/>
      <c r="F41" s="139"/>
      <c r="G41" s="236">
        <f>IF(WERKBON!G15&gt;0,WERKBON!C106+100,"")</f>
      </c>
      <c r="H41" s="235">
        <f>IF(WERKBON!G15&gt;0,"mm","")</f>
      </c>
    </row>
    <row r="42" ht="9.95" customHeight="1" spans="2:8" s="237" customFormat="1" x14ac:dyDescent="0.25">
      <c r="B42" s="238"/>
      <c r="C42" s="178"/>
      <c r="D42" s="239"/>
      <c r="E42" s="239"/>
      <c r="F42" s="239"/>
      <c r="G42" s="178"/>
      <c r="H42" s="16"/>
    </row>
    <row r="43" spans="2:9" x14ac:dyDescent="0.25">
      <c r="B43" s="226">
        <f>IF(WERKBON!H$15&gt;0,"Rolluik 7","")</f>
      </c>
      <c r="C43" s="227">
        <f>IF(WERKBON!H$15&gt;0,"Aantal","")</f>
      </c>
      <c r="D43" s="228">
        <f>IF(WERKBON!H$15&gt;0,"Omschrijving","")</f>
      </c>
      <c r="E43" s="229"/>
      <c r="F43" s="230"/>
      <c r="G43" s="227">
        <f>IF(WERKBON!H$15&gt;0,"Zaagmaat","")</f>
      </c>
      <c r="H43" s="227">
        <f>IF(WERKBON!H$15&gt;0,"Maatgeving","")</f>
      </c>
      <c r="I43" s="240"/>
    </row>
    <row r="44" ht="9.95" customHeight="1" spans="2:9" x14ac:dyDescent="0.25">
      <c r="B44" s="231"/>
      <c r="C44" s="232"/>
      <c r="D44" s="233"/>
      <c r="E44" s="233"/>
      <c r="F44" s="233"/>
      <c r="G44" s="232"/>
      <c r="H44" s="232"/>
      <c r="I44" s="240"/>
    </row>
    <row r="45" spans="2:8" x14ac:dyDescent="0.25">
      <c r="B45" s="234"/>
      <c r="C45" s="235">
        <f>IF(WERKBON!H15&gt;0,WERKBON!H15,"")</f>
      </c>
      <c r="D45" s="139">
        <f>IF(WERKBON!H15&gt;0,WERKBON!B115&amp;" onderlat","")</f>
      </c>
      <c r="E45" s="139"/>
      <c r="F45" s="139"/>
      <c r="G45" s="236">
        <f>IF(WERKBON!H15&gt;0,WERKBON!C114+100,"")</f>
      </c>
      <c r="H45" s="235">
        <f>IF(WERKBON!H15&gt;0,"mm","")</f>
      </c>
    </row>
    <row r="46" ht="9.95" customHeight="1" spans="2:8" s="237" customFormat="1" x14ac:dyDescent="0.25">
      <c r="B46" s="238"/>
      <c r="C46" s="178"/>
      <c r="D46" s="239"/>
      <c r="E46" s="239"/>
      <c r="F46" s="239"/>
      <c r="G46" s="178"/>
      <c r="H46" s="16"/>
    </row>
    <row r="47" spans="2:9" x14ac:dyDescent="0.25">
      <c r="B47" s="226">
        <f>IF(WERKBON!I$15&gt;0,"Rolluik 8","")</f>
      </c>
      <c r="C47" s="227">
        <f>IF(WERKBON!I$15&gt;0,"Aantal","")</f>
      </c>
      <c r="D47" s="228">
        <f>IF(WERKBON!I$15&gt;0,"Omschrijving","")</f>
      </c>
      <c r="E47" s="229"/>
      <c r="F47" s="230"/>
      <c r="G47" s="227">
        <f>IF(WERKBON!I$15&gt;0,"Zaagmaat","")</f>
      </c>
      <c r="H47" s="227">
        <f>IF(WERKBON!I$15&gt;0,"Maatgeving","")</f>
      </c>
      <c r="I47" s="240"/>
    </row>
    <row r="48" ht="9.95" customHeight="1" spans="2:9" x14ac:dyDescent="0.25">
      <c r="B48" s="231"/>
      <c r="C48" s="232"/>
      <c r="D48" s="233"/>
      <c r="E48" s="233"/>
      <c r="F48" s="233"/>
      <c r="G48" s="232"/>
      <c r="H48" s="232"/>
      <c r="I48" s="240"/>
    </row>
    <row r="49" spans="2:8" x14ac:dyDescent="0.25">
      <c r="B49" s="234"/>
      <c r="C49" s="235">
        <f>IF(WERKBON!I15&gt;0,WERKBON!I15,"")</f>
      </c>
      <c r="D49" s="139">
        <f>IF(WERKBON!I15&gt;0,WERKBON!B123&amp;" onderlat","")</f>
      </c>
      <c r="E49" s="139"/>
      <c r="F49" s="139"/>
      <c r="G49" s="236">
        <f>IF(WERKBON!I15&gt;0,WERKBON!C122+100,"")</f>
      </c>
      <c r="H49" s="235">
        <f>IF(WERKBON!I15&gt;0,"mm","")</f>
      </c>
    </row>
    <row r="50" ht="9.95" customHeight="1" spans="2:8" s="237" customFormat="1" x14ac:dyDescent="0.25">
      <c r="B50" s="238"/>
      <c r="C50" s="178"/>
      <c r="D50" s="239"/>
      <c r="E50" s="239"/>
      <c r="F50" s="239"/>
      <c r="G50" s="178"/>
      <c r="H50" s="16"/>
    </row>
    <row r="51" spans="2:9" x14ac:dyDescent="0.25">
      <c r="B51" s="226">
        <f>IF(WERKBON!J$15&gt;0,"Rolluik 9","")</f>
      </c>
      <c r="C51" s="227">
        <f>IF(WERKBON!J$15&gt;0,"Aantal","")</f>
      </c>
      <c r="D51" s="228">
        <f>IF(WERKBON!J$15&gt;0,"Omschrijving","")</f>
      </c>
      <c r="E51" s="229"/>
      <c r="F51" s="230"/>
      <c r="G51" s="227">
        <f>IF(WERKBON!J$15&gt;0,"Zaagmaat","")</f>
      </c>
      <c r="H51" s="227">
        <f>IF(WERKBON!J$15&gt;0,"Maatgeving","")</f>
      </c>
      <c r="I51" s="240"/>
    </row>
    <row r="52" ht="9.95" customHeight="1" spans="2:9" x14ac:dyDescent="0.25">
      <c r="B52" s="231"/>
      <c r="C52" s="232"/>
      <c r="D52" s="233"/>
      <c r="E52" s="233"/>
      <c r="F52" s="233"/>
      <c r="G52" s="232"/>
      <c r="H52" s="232"/>
      <c r="I52" s="240"/>
    </row>
    <row r="53" spans="2:8" x14ac:dyDescent="0.25">
      <c r="B53" s="234"/>
      <c r="C53" s="235">
        <f>IF(WERKBON!J15&gt;0,WERKBON!J15,"")</f>
      </c>
      <c r="D53" s="139">
        <f>IF(WERKBON!J15&gt;0,WERKBON!B131&amp;" onderlat","")</f>
      </c>
      <c r="E53" s="139"/>
      <c r="F53" s="139"/>
      <c r="G53" s="236">
        <f>IF(WERKBON!J15&gt;0,WERKBON!C130+100,"")</f>
      </c>
      <c r="H53" s="235">
        <f>IF(WERKBON!J15&gt;0,"mm","")</f>
      </c>
    </row>
    <row r="54" ht="9.95" customHeight="1" spans="2:8" s="237" customFormat="1" x14ac:dyDescent="0.25">
      <c r="B54" s="238"/>
      <c r="C54" s="178"/>
      <c r="D54" s="239"/>
      <c r="E54" s="239"/>
      <c r="F54" s="239"/>
      <c r="G54" s="178"/>
      <c r="H54" s="16"/>
    </row>
    <row r="55" spans="2:9" x14ac:dyDescent="0.25">
      <c r="B55" s="226">
        <f>IF(WERKBON!K$15&gt;0,"Rolluik 10","")</f>
      </c>
      <c r="C55" s="227">
        <f>IF(WERKBON!K$15&gt;0,"Aantal","")</f>
      </c>
      <c r="D55" s="228">
        <f>IF(WERKBON!K$15&gt;0,"Omschrijving","")</f>
      </c>
      <c r="E55" s="229"/>
      <c r="F55" s="230"/>
      <c r="G55" s="227">
        <f>IF(WERKBON!K$15&gt;0,"Zaagmaat","")</f>
      </c>
      <c r="H55" s="227">
        <f>IF(WERKBON!K$15&gt;0,"Maatgeving","")</f>
      </c>
      <c r="I55" s="240"/>
    </row>
    <row r="56" ht="9.95" customHeight="1" spans="2:9" x14ac:dyDescent="0.25">
      <c r="B56" s="231"/>
      <c r="C56" s="232"/>
      <c r="D56" s="233"/>
      <c r="E56" s="233"/>
      <c r="F56" s="233"/>
      <c r="G56" s="232"/>
      <c r="H56" s="232"/>
      <c r="I56" s="240"/>
    </row>
    <row r="57" spans="3:8" x14ac:dyDescent="0.25">
      <c r="C57" s="235">
        <f>IF(WERKBON!K15&gt;0,WERKBON!K15,"")</f>
      </c>
      <c r="D57" s="139">
        <f>IF(WERKBON!K15&gt;0,WERKBON!B139&amp;" onderlat","")</f>
      </c>
      <c r="E57" s="139"/>
      <c r="F57" s="139"/>
      <c r="G57" s="236">
        <f>IF(WERKBON!K15&gt;0,WERKBON!C138+100,"")</f>
      </c>
      <c r="H57" s="235">
        <f>IF(WERKBON!K15&gt;0,"mm","")</f>
      </c>
    </row>
    <row r="58" spans="3:8" x14ac:dyDescent="0.25">
      <c r="C58" s="178"/>
      <c r="D58" s="178"/>
      <c r="E58" s="178"/>
      <c r="F58" s="178"/>
      <c r="G58" s="178"/>
      <c r="H58" s="16"/>
    </row>
    <row r="59" spans="2:4" x14ac:dyDescent="0.25">
      <c r="B59" s="241" t="s">
        <v>94</v>
      </c>
      <c r="C59" s="241"/>
      <c r="D59" s="242"/>
    </row>
    <row r="60" spans="2:4" x14ac:dyDescent="0.25">
      <c r="B60" s="241"/>
      <c r="C60" s="241"/>
      <c r="D60" s="242"/>
    </row>
  </sheetData>
  <mergeCells count="54">
    <mergeCell ref="A2:B2"/>
    <mergeCell ref="C2:D2"/>
    <mergeCell ref="D5:F5"/>
    <mergeCell ref="D7:F7"/>
    <mergeCell ref="D8:F8"/>
    <mergeCell ref="D10:E10"/>
    <mergeCell ref="D12:E12"/>
    <mergeCell ref="G12:H12"/>
    <mergeCell ref="C16:D16"/>
    <mergeCell ref="E16:F17"/>
    <mergeCell ref="G16:H17"/>
    <mergeCell ref="C17:D17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B59:C60"/>
    <mergeCell ref="D59:D60"/>
  </mergeCells>
  <printOptions horizontalCentered="1" verticalCentered="1"/>
  <pageMargins left="0" right="0" top="0" bottom="0" header="0" footer="0"/>
  <pageSetup paperSize="9" orientation="portrait" horizontalDpi="300" verticalDpi="300" errors="blank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Kristof Volkaerts</cp:lastModifiedBy>
  <cp:lastPrinted>2024-03-20T13:46:57Z</cp:lastPrinted>
  <dcterms:created xsi:type="dcterms:W3CDTF">2003-12-26T15:46:37Z</dcterms:created>
  <dcterms:modified xsi:type="dcterms:W3CDTF">2024-05-31T08:40:29Z</dcterms:modified>
</cp:coreProperties>
</file>