
<file path=[Content_Types].xml><?xml version="1.0" encoding="utf-8"?>
<Types xmlns="http://schemas.openxmlformats.org/package/2006/content-types">
  <Default Extension="png" ContentType="image/png"/>
  <Default Extension="emf" ContentType="image/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37110" yWindow="390" windowWidth="20625" windowHeight="19410"/>
  </bookViews>
  <sheets>
    <sheet sheetId="1" name="WERKBON" state="visible" r:id="rId4"/>
    <sheet sheetId="4" name="AFLEVERINGSBON" state="visible" r:id="rId5"/>
    <sheet sheetId="5" name="Lakkerij" state="visible" r:id="rId6"/>
    <sheet sheetId="3" name="Software" state="visible" r:id="rId7"/>
  </sheets>
  <definedNames>
    <definedName name="Picture1">'OFFSET(WERKBON'!$V$204,'MATCH(WERKBON'!$C$32</definedName>
    <definedName name="Picture2">'OFFSET(WERKBON'!$V$204,'MATCH(WERKBON'!$D$32</definedName>
    <definedName name="Picture3">'OFFSET(WERKBON'!$V$204,'MATCH(WERKBON'!$E$32</definedName>
    <definedName name="Picture4">'OFFSET(WERKBON'!$V$204,'MATCH(WERKBON'!$F$32</definedName>
    <definedName name="Picture5">'OFFSET(WERKBON'!$V$204,'MATCH(WERKBON'!$G$32</definedName>
    <definedName name="PictureList">'OFFSET(WERKBON'!$U$203</definedName>
    <definedName name="UITGANG">WERKBON!$U$204:$U$307</definedName>
    <definedName name="_xlnm.Print_Area" localSheetId="0">'WERKBON'!$A44:$L128</definedName>
    <definedName name="_xlnm.Print_Area" localSheetId="2">'Lakkerij'!$A1:$I67</definedName>
    <definedName name="_xlnm.Print_Area" localSheetId="3">'Software'!$A1:$S41</definedName>
  </definedNames>
  <calcPr calcId="171027"/>
</workbook>
</file>

<file path=xl/sharedStrings.xml><?xml version="1.0" encoding="utf-8"?>
<sst xmlns="http://schemas.openxmlformats.org/spreadsheetml/2006/main" count="1293" uniqueCount="211">
  <si>
    <t>WERKBON</t>
  </si>
  <si>
    <t>Voorzetrolluik</t>
  </si>
  <si>
    <t>Facturatie</t>
  </si>
  <si>
    <t>Leveringsadres</t>
  </si>
  <si>
    <t>L4</t>
  </si>
  <si>
    <t>Inkortmaat as Somfy motor aangepast: 2 mm langer</t>
  </si>
  <si>
    <t xml:space="preserve">Klant: </t>
  </si>
  <si>
    <t>L5</t>
  </si>
  <si>
    <t xml:space="preserve">  L3</t>
  </si>
  <si>
    <t>Inkortmaat kast aangepast: 11 mm ipv 10 mm</t>
  </si>
  <si>
    <t xml:space="preserve">Adres: </t>
  </si>
  <si>
    <t>Nieuwe berekening voor aantal lamellen</t>
  </si>
  <si>
    <t>L7</t>
  </si>
  <si>
    <t>Lamelhoogte 42 aangepast naar 41,5 mm dekhoogte</t>
  </si>
  <si>
    <t xml:space="preserve">BTW: </t>
  </si>
  <si>
    <t>L6</t>
  </si>
  <si>
    <t xml:space="preserve"> L2</t>
  </si>
  <si>
    <t>Toevoeging Solar IO &amp; Gaposa Solar 8K60</t>
  </si>
  <si>
    <t xml:space="preserve">Tel.: </t>
  </si>
  <si>
    <t xml:space="preserve">Prod. Nr: </t>
  </si>
  <si>
    <t xml:space="preserve"> L1</t>
  </si>
  <si>
    <t xml:space="preserve">GSM: </t>
  </si>
  <si>
    <t xml:space="preserve">E-mail: </t>
  </si>
  <si>
    <t xml:space="preserve">Afhaling (J/N): </t>
  </si>
  <si>
    <t>N</t>
  </si>
  <si>
    <t xml:space="preserve"> R4</t>
  </si>
  <si>
    <t>Klant verwittigen? (J/N)</t>
  </si>
  <si>
    <t xml:space="preserve">R3 </t>
  </si>
  <si>
    <t xml:space="preserve"> R5</t>
  </si>
  <si>
    <t xml:space="preserve">Referentie: </t>
  </si>
  <si>
    <t xml:space="preserve"> R7</t>
  </si>
  <si>
    <t>Rolluik 1</t>
  </si>
  <si>
    <t>Rolluik 2</t>
  </si>
  <si>
    <t>Rolluik 3</t>
  </si>
  <si>
    <t>Rolluik 4</t>
  </si>
  <si>
    <t>Rolluik 5</t>
  </si>
  <si>
    <t>R2</t>
  </si>
  <si>
    <t xml:space="preserve"> R6</t>
  </si>
  <si>
    <t xml:space="preserve">Aantal stuks: </t>
  </si>
  <si>
    <t>R1</t>
  </si>
  <si>
    <t xml:space="preserve">Type lamel: </t>
  </si>
  <si>
    <t>a42</t>
  </si>
  <si>
    <r>
      <t>P</t>
    </r>
    <r>
      <rPr>
        <color indexed="55"/>
        <family val="2"/>
        <sz val="9"/>
        <rFont val="Arial"/>
      </rPr>
      <t xml:space="preserve">VC </t>
    </r>
    <r>
      <rPr>
        <b/>
        <family val="2"/>
        <sz val="9"/>
        <rFont val="Arial"/>
      </rPr>
      <t>42</t>
    </r>
    <r>
      <rPr>
        <color indexed="55"/>
        <family val="2"/>
        <sz val="9"/>
        <rFont val="Arial"/>
      </rPr>
      <t xml:space="preserve">, </t>
    </r>
    <r>
      <rPr>
        <b/>
        <family val="2"/>
        <sz val="9"/>
        <rFont val="Arial"/>
      </rPr>
      <t>A</t>
    </r>
    <r>
      <rPr>
        <color indexed="55"/>
        <family val="2"/>
        <sz val="9"/>
        <rFont val="Arial"/>
      </rPr>
      <t xml:space="preserve">LU </t>
    </r>
    <r>
      <rPr>
        <b/>
        <family val="2"/>
        <sz val="9"/>
        <rFont val="Arial"/>
      </rPr>
      <t>42</t>
    </r>
    <r>
      <rPr>
        <color indexed="55"/>
        <family val="2"/>
        <sz val="9"/>
        <rFont val="Arial"/>
      </rPr>
      <t xml:space="preserve">, </t>
    </r>
    <r>
      <rPr>
        <b/>
        <family val="2"/>
        <sz val="9"/>
        <rFont val="Arial"/>
      </rPr>
      <t>U</t>
    </r>
    <r>
      <rPr>
        <color indexed="55"/>
        <family val="2"/>
        <sz val="9"/>
        <rFont val="Arial"/>
      </rPr>
      <t>LTRA</t>
    </r>
    <r>
      <rPr>
        <b/>
        <family val="2"/>
        <sz val="9"/>
        <rFont val="Arial"/>
      </rPr>
      <t xml:space="preserve"> 42</t>
    </r>
    <r>
      <rPr>
        <color indexed="55"/>
        <family val="2"/>
        <sz val="9"/>
        <rFont val="Arial"/>
      </rPr>
      <t>,</t>
    </r>
    <r>
      <rPr>
        <b/>
        <family val="2"/>
        <sz val="9"/>
        <rFont val="Arial"/>
      </rPr>
      <t xml:space="preserve"> U</t>
    </r>
    <r>
      <rPr>
        <color indexed="55"/>
        <family val="2"/>
        <sz val="9"/>
        <rFont val="Arial"/>
      </rPr>
      <t xml:space="preserve">LTRA </t>
    </r>
    <r>
      <rPr>
        <b/>
        <family val="2"/>
        <sz val="9"/>
        <rFont val="Arial"/>
      </rPr>
      <t>52</t>
    </r>
  </si>
  <si>
    <t xml:space="preserve">Kleur lamel: </t>
  </si>
  <si>
    <t>*R0 = Icoon van kabeluitgang verwijderen</t>
  </si>
  <si>
    <t xml:space="preserve">Open lamellen: </t>
  </si>
  <si>
    <r>
      <t>1/2</t>
    </r>
    <r>
      <rPr>
        <color indexed="55"/>
        <family val="2"/>
        <sz val="9"/>
        <rFont val="Arial"/>
      </rPr>
      <t xml:space="preserve">, </t>
    </r>
    <r>
      <rPr>
        <b/>
        <family val="2"/>
        <sz val="9"/>
        <rFont val="Arial"/>
      </rPr>
      <t>1/3</t>
    </r>
    <r>
      <rPr>
        <color indexed="55"/>
        <family val="2"/>
        <sz val="9"/>
        <rFont val="Arial"/>
      </rPr>
      <t xml:space="preserve">, </t>
    </r>
    <r>
      <rPr>
        <b/>
        <family val="2"/>
        <sz val="9"/>
        <rFont val="Arial"/>
      </rPr>
      <t>1/4</t>
    </r>
  </si>
  <si>
    <t xml:space="preserve">Gesloten lamellen: </t>
  </si>
  <si>
    <t xml:space="preserve">Kleur kast: </t>
  </si>
  <si>
    <t>RALundefined</t>
  </si>
  <si>
    <t xml:space="preserve">Kleur geleiders: </t>
  </si>
  <si>
    <t xml:space="preserve">Kleur onderlat: </t>
  </si>
  <si>
    <t xml:space="preserve">Breedte: </t>
  </si>
  <si>
    <t>RAL1500</t>
  </si>
  <si>
    <t xml:space="preserve">Hoogte: </t>
  </si>
  <si>
    <t>RAL2500</t>
  </si>
  <si>
    <t xml:space="preserve">As: </t>
  </si>
  <si>
    <r>
      <t>40</t>
    </r>
    <r>
      <rPr>
        <color indexed="55"/>
        <family val="2"/>
        <sz val="9"/>
        <rFont val="Arial"/>
      </rPr>
      <t xml:space="preserve">, </t>
    </r>
    <r>
      <rPr>
        <b/>
        <family val="2"/>
        <sz val="9"/>
        <rFont val="Arial"/>
      </rPr>
      <t>60</t>
    </r>
  </si>
  <si>
    <t xml:space="preserve">Type kast: </t>
  </si>
  <si>
    <r>
      <t>45</t>
    </r>
    <r>
      <rPr>
        <color indexed="55"/>
        <family val="2"/>
        <sz val="9"/>
        <rFont val="Arial"/>
      </rPr>
      <t xml:space="preserve">°, </t>
    </r>
    <r>
      <rPr>
        <b/>
        <family val="2"/>
        <sz val="9"/>
        <rFont val="Arial"/>
      </rPr>
      <t>R</t>
    </r>
    <r>
      <rPr>
        <color indexed="55"/>
        <family val="2"/>
        <sz val="9"/>
        <rFont val="Arial"/>
      </rPr>
      <t>ond</t>
    </r>
  </si>
  <si>
    <t xml:space="preserve">Kastgrootte: </t>
  </si>
  <si>
    <t>137, 150, 165, 180, 205</t>
  </si>
  <si>
    <t xml:space="preserve">Type geleider 1: </t>
  </si>
  <si>
    <r>
      <t>U</t>
    </r>
    <r>
      <rPr>
        <color indexed="55"/>
        <family val="2"/>
        <sz val="9"/>
        <rFont val="Arial"/>
      </rPr>
      <t>,</t>
    </r>
    <r>
      <rPr>
        <family val="2"/>
        <sz val="9"/>
        <rFont val="Arial"/>
      </rPr>
      <t xml:space="preserve"> </t>
    </r>
    <r>
      <rPr>
        <b/>
        <family val="2"/>
        <sz val="9"/>
        <rFont val="Arial"/>
      </rPr>
      <t>F</t>
    </r>
    <r>
      <rPr>
        <color indexed="55"/>
        <family val="2"/>
        <sz val="9"/>
        <rFont val="Arial"/>
      </rPr>
      <t>,</t>
    </r>
    <r>
      <rPr>
        <family val="2"/>
        <sz val="9"/>
        <rFont val="Arial"/>
      </rPr>
      <t xml:space="preserve"> </t>
    </r>
    <r>
      <rPr>
        <b/>
        <family val="2"/>
        <sz val="9"/>
        <rFont val="Arial"/>
      </rPr>
      <t>V</t>
    </r>
    <r>
      <rPr>
        <color indexed="55"/>
        <family val="2"/>
        <sz val="9"/>
        <rFont val="Arial"/>
      </rPr>
      <t>oorsprong,</t>
    </r>
    <r>
      <rPr>
        <b/>
        <family val="2"/>
        <sz val="9"/>
        <rFont val="Arial"/>
      </rPr>
      <t xml:space="preserve"> R</t>
    </r>
    <r>
      <rPr>
        <color indexed="55"/>
        <family val="2"/>
        <sz val="9"/>
        <rFont val="Arial"/>
      </rPr>
      <t xml:space="preserve">ond, </t>
    </r>
    <r>
      <rPr>
        <b/>
        <family val="2"/>
        <sz val="9"/>
        <rFont val="Arial"/>
      </rPr>
      <t>F120</t>
    </r>
  </si>
  <si>
    <t xml:space="preserve">Type geleider 2: </t>
  </si>
  <si>
    <t xml:space="preserve">Bediening: </t>
  </si>
  <si>
    <r>
      <t>L</t>
    </r>
    <r>
      <rPr>
        <color indexed="55"/>
        <family val="2"/>
        <sz val="9"/>
        <rFont val="Arial"/>
      </rPr>
      <t xml:space="preserve">int, </t>
    </r>
    <r>
      <rPr>
        <b/>
        <family val="2"/>
        <sz val="9"/>
        <rFont val="Arial"/>
      </rPr>
      <t>K</t>
    </r>
    <r>
      <rPr>
        <color indexed="55"/>
        <family val="2"/>
        <sz val="9"/>
        <rFont val="Arial"/>
      </rPr>
      <t xml:space="preserve">oord, </t>
    </r>
    <r>
      <rPr>
        <b/>
        <family val="2"/>
        <sz val="9"/>
        <rFont val="Arial"/>
      </rPr>
      <t>R</t>
    </r>
    <r>
      <rPr>
        <color indexed="55"/>
        <family val="2"/>
        <sz val="9"/>
        <rFont val="Arial"/>
      </rPr>
      <t xml:space="preserve">eductie, </t>
    </r>
    <r>
      <rPr>
        <b/>
        <family val="2"/>
        <sz val="9"/>
        <rFont val="Arial"/>
      </rPr>
      <t>V</t>
    </r>
    <r>
      <rPr>
        <color indexed="55"/>
        <family val="2"/>
        <sz val="9"/>
        <rFont val="Arial"/>
      </rPr>
      <t xml:space="preserve">eeras, </t>
    </r>
    <r>
      <rPr>
        <b/>
        <family val="2"/>
        <sz val="9"/>
        <rFont val="Arial"/>
      </rPr>
      <t>M</t>
    </r>
    <r>
      <rPr>
        <color indexed="55"/>
        <family val="2"/>
        <sz val="9"/>
        <rFont val="Arial"/>
      </rPr>
      <t>otor</t>
    </r>
  </si>
  <si>
    <t xml:space="preserve">Type motor: </t>
  </si>
  <si>
    <r>
      <rPr>
        <b/>
        <color rgb="FFFF0000"/>
        <family val="2"/>
        <sz val="10"/>
        <rFont val="Arial"/>
      </rPr>
      <t>G</t>
    </r>
    <r>
      <rPr>
        <color indexed="55"/>
        <family val="2"/>
        <sz val="10"/>
        <rFont val="Arial"/>
      </rPr>
      <t xml:space="preserve">aposa </t>
    </r>
    <r>
      <rPr>
        <color theme="0" tint="-0.3499862666707358"/>
        <family val="2"/>
        <sz val="10"/>
        <rFont val="Arial"/>
      </rPr>
      <t xml:space="preserve"> </t>
    </r>
    <r>
      <rPr>
        <b/>
        <color theme="0" tint="-0.3499862666707358"/>
        <family val="2"/>
        <sz val="10"/>
        <rFont val="Arial"/>
      </rPr>
      <t xml:space="preserve">| </t>
    </r>
    <r>
      <rPr>
        <color theme="0" tint="-0.3499862666707358"/>
        <family val="2"/>
        <sz val="10"/>
        <rFont val="Arial"/>
      </rPr>
      <t xml:space="preserve"> </t>
    </r>
    <r>
      <rPr>
        <b/>
        <color rgb="FFFF0000"/>
        <family val="2"/>
        <sz val="10"/>
        <rFont val="Arial"/>
      </rPr>
      <t>G</t>
    </r>
    <r>
      <rPr>
        <color indexed="55"/>
        <family val="2"/>
        <sz val="10"/>
        <rFont val="Arial"/>
      </rPr>
      <t xml:space="preserve">aposa </t>
    </r>
    <r>
      <rPr>
        <b/>
        <color rgb="FFFF0000"/>
        <family val="2"/>
        <sz val="10"/>
        <rFont val="Arial"/>
      </rPr>
      <t>S</t>
    </r>
    <r>
      <rPr>
        <color indexed="55"/>
        <family val="2"/>
        <sz val="10"/>
        <rFont val="Arial"/>
      </rPr>
      <t>ense</t>
    </r>
    <r>
      <rPr>
        <color theme="0" tint="-0.3499862666707358"/>
        <family val="2"/>
        <sz val="10"/>
        <rFont val="Arial"/>
      </rPr>
      <t xml:space="preserve">  |  </t>
    </r>
    <r>
      <rPr>
        <b/>
        <color rgb="FFFF0000"/>
        <family val="2"/>
        <sz val="10"/>
        <rFont val="Arial"/>
      </rPr>
      <t>S</t>
    </r>
    <r>
      <rPr>
        <color indexed="55"/>
        <family val="2"/>
        <sz val="10"/>
        <rFont val="Arial"/>
      </rPr>
      <t xml:space="preserve">olus </t>
    </r>
    <r>
      <rPr>
        <color theme="0" tint="-0.3499862666707358"/>
        <family val="2"/>
        <sz val="10"/>
        <rFont val="Arial"/>
      </rPr>
      <t xml:space="preserve"> |  </t>
    </r>
    <r>
      <rPr>
        <color indexed="55"/>
        <family val="2"/>
        <sz val="10"/>
        <rFont val="Arial"/>
      </rPr>
      <t xml:space="preserve">Oximo </t>
    </r>
    <r>
      <rPr>
        <b/>
        <color rgb="FFFF0000"/>
        <family val="2"/>
        <sz val="10"/>
        <rFont val="Arial"/>
      </rPr>
      <t>RTS</t>
    </r>
    <r>
      <rPr>
        <b/>
        <color theme="0" tint="-0.3499862666707358"/>
        <family val="2"/>
        <sz val="10"/>
        <rFont val="Arial"/>
      </rPr>
      <t xml:space="preserve">  | </t>
    </r>
    <r>
      <rPr>
        <color theme="0" tint="-0.3499862666707358"/>
        <family val="2"/>
        <sz val="10"/>
        <rFont val="Arial"/>
      </rPr>
      <t xml:space="preserve"> </t>
    </r>
    <r>
      <rPr>
        <color indexed="55"/>
        <family val="2"/>
        <sz val="10"/>
        <rFont val="Arial"/>
      </rPr>
      <t xml:space="preserve">Oximo </t>
    </r>
    <r>
      <rPr>
        <b/>
        <color rgb="FFFF0000"/>
        <family val="2"/>
        <sz val="10"/>
        <rFont val="Arial"/>
      </rPr>
      <t xml:space="preserve">IO </t>
    </r>
    <r>
      <rPr>
        <b/>
        <color theme="0" tint="-0.3499862666707358"/>
        <family val="2"/>
        <sz val="10"/>
        <rFont val="Arial"/>
      </rPr>
      <t xml:space="preserve"> |  </t>
    </r>
    <r>
      <rPr>
        <b/>
        <color rgb="FFFF0000"/>
        <family val="2"/>
        <sz val="10"/>
        <rFont val="Arial"/>
      </rPr>
      <t xml:space="preserve">CSI </t>
    </r>
    <r>
      <rPr>
        <b/>
        <color theme="0" tint="-0.3499862666707358"/>
        <family val="2"/>
        <sz val="10"/>
        <rFont val="Arial"/>
      </rPr>
      <t xml:space="preserve"> |  </t>
    </r>
    <r>
      <rPr>
        <b/>
        <color rgb="FFFF0000"/>
        <family val="2"/>
        <sz val="10"/>
        <rFont val="Arial"/>
      </rPr>
      <t>CSI RTS</t>
    </r>
    <r>
      <rPr>
        <b/>
        <color theme="0" tint="-0.3499862666707358"/>
        <family val="2"/>
        <sz val="10"/>
        <rFont val="Arial"/>
      </rPr>
      <t xml:space="preserve">  | </t>
    </r>
    <r>
      <rPr>
        <color theme="0" tint="-0.3499862666707358"/>
        <family val="2"/>
        <sz val="10"/>
        <rFont val="Arial"/>
      </rPr>
      <t xml:space="preserve"> </t>
    </r>
    <r>
      <rPr>
        <b/>
        <color rgb="FFFF0000"/>
        <family val="2"/>
        <sz val="10"/>
        <rFont val="Arial"/>
      </rPr>
      <t>S</t>
    </r>
    <r>
      <rPr>
        <color theme="0" tint="-0.3499862666707358"/>
        <family val="2"/>
        <sz val="10"/>
        <rFont val="Arial"/>
      </rPr>
      <t>olar</t>
    </r>
    <r>
      <rPr>
        <family val="2"/>
        <sz val="10"/>
        <rFont val="Arial"/>
      </rPr>
      <t xml:space="preserve"> </t>
    </r>
    <r>
      <rPr>
        <b/>
        <color rgb="FFFF0000"/>
        <family val="2"/>
        <sz val="10"/>
        <rFont val="Arial"/>
      </rPr>
      <t xml:space="preserve">IO </t>
    </r>
    <r>
      <rPr>
        <b/>
        <color theme="0" tint="-0.3499862666707358"/>
        <family val="2"/>
        <sz val="10"/>
        <rFont val="Arial"/>
      </rPr>
      <t xml:space="preserve"> | </t>
    </r>
    <r>
      <rPr>
        <color theme="0" tint="-0.3499862666707358"/>
        <family val="2"/>
        <sz val="10"/>
        <rFont val="Arial"/>
      </rPr>
      <t xml:space="preserve"> </t>
    </r>
    <r>
      <rPr>
        <b/>
        <color rgb="FFFF0000"/>
        <family val="2"/>
        <sz val="10"/>
        <rFont val="Arial"/>
      </rPr>
      <t>G</t>
    </r>
    <r>
      <rPr>
        <color theme="0" tint="-0.3499862666707358"/>
        <family val="2"/>
        <sz val="10"/>
        <rFont val="Arial"/>
      </rPr>
      <t xml:space="preserve">aposa </t>
    </r>
    <r>
      <rPr>
        <b/>
        <color rgb="FFFF0000"/>
        <family val="2"/>
        <sz val="10"/>
        <rFont val="Arial"/>
      </rPr>
      <t>S</t>
    </r>
    <r>
      <rPr>
        <color theme="0" tint="-0.3499862666707358"/>
        <family val="2"/>
        <sz val="10"/>
        <rFont val="Arial"/>
      </rPr>
      <t xml:space="preserve">ense </t>
    </r>
    <r>
      <rPr>
        <b/>
        <color rgb="FFFF0000"/>
        <family val="2"/>
        <sz val="10"/>
        <rFont val="Arial"/>
      </rPr>
      <t>S</t>
    </r>
    <r>
      <rPr>
        <color theme="0" tint="-0.3499862666707358"/>
        <family val="2"/>
        <sz val="10"/>
        <rFont val="Arial"/>
      </rPr>
      <t>olar</t>
    </r>
  </si>
  <si>
    <t xml:space="preserve">Bedieningsuitgang: </t>
  </si>
  <si>
    <r>
      <t>L1</t>
    </r>
    <r>
      <rPr>
        <color indexed="55"/>
        <family val="2"/>
        <sz val="9"/>
        <rFont val="Arial"/>
      </rPr>
      <t xml:space="preserve">, </t>
    </r>
    <r>
      <rPr>
        <b/>
        <family val="2"/>
        <sz val="9"/>
        <rFont val="Arial"/>
      </rPr>
      <t>L2</t>
    </r>
    <r>
      <rPr>
        <color indexed="55"/>
        <family val="2"/>
        <sz val="9"/>
        <rFont val="Arial"/>
      </rPr>
      <t xml:space="preserve">, </t>
    </r>
    <r>
      <rPr>
        <b/>
        <family val="2"/>
        <sz val="9"/>
        <rFont val="Arial"/>
      </rPr>
      <t>L3</t>
    </r>
    <r>
      <rPr>
        <color indexed="55"/>
        <family val="2"/>
        <sz val="9"/>
        <rFont val="Arial"/>
      </rPr>
      <t>,</t>
    </r>
    <r>
      <rPr>
        <b/>
        <family val="2"/>
        <sz val="9"/>
        <rFont val="Arial"/>
      </rPr>
      <t xml:space="preserve"> L4</t>
    </r>
    <r>
      <rPr>
        <color indexed="55"/>
        <family val="2"/>
        <sz val="9"/>
        <rFont val="Arial"/>
      </rPr>
      <t xml:space="preserve">, </t>
    </r>
    <r>
      <rPr>
        <b/>
        <family val="2"/>
        <sz val="9"/>
        <rFont val="Arial"/>
      </rPr>
      <t>L5</t>
    </r>
    <r>
      <rPr>
        <color indexed="55"/>
        <family val="2"/>
        <sz val="9"/>
        <rFont val="Arial"/>
      </rPr>
      <t>,</t>
    </r>
    <r>
      <rPr>
        <b/>
        <family val="2"/>
        <sz val="9"/>
        <rFont val="Arial"/>
      </rPr>
      <t xml:space="preserve"> L6</t>
    </r>
    <r>
      <rPr>
        <color indexed="55"/>
        <family val="2"/>
        <sz val="9"/>
        <rFont val="Arial"/>
      </rPr>
      <t>,</t>
    </r>
    <r>
      <rPr>
        <b/>
        <family val="2"/>
        <sz val="9"/>
        <rFont val="Arial"/>
      </rPr>
      <t xml:space="preserve"> L7</t>
    </r>
    <r>
      <rPr>
        <color indexed="55"/>
        <family val="2"/>
        <sz val="9"/>
        <rFont val="Arial"/>
      </rPr>
      <t xml:space="preserve">, </t>
    </r>
    <r>
      <rPr>
        <b/>
        <family val="2"/>
        <sz val="9"/>
        <rFont val="Arial"/>
      </rPr>
      <t>R1</t>
    </r>
    <r>
      <rPr>
        <color indexed="55"/>
        <family val="2"/>
        <sz val="9"/>
        <rFont val="Arial"/>
      </rPr>
      <t>,</t>
    </r>
    <r>
      <rPr>
        <b/>
        <family val="2"/>
        <sz val="9"/>
        <rFont val="Arial"/>
      </rPr>
      <t xml:space="preserve"> R2</t>
    </r>
    <r>
      <rPr>
        <color indexed="55"/>
        <family val="2"/>
        <sz val="9"/>
        <rFont val="Arial"/>
      </rPr>
      <t>,</t>
    </r>
    <r>
      <rPr>
        <b/>
        <family val="2"/>
        <sz val="9"/>
        <rFont val="Arial"/>
      </rPr>
      <t xml:space="preserve"> R3</t>
    </r>
    <r>
      <rPr>
        <color indexed="55"/>
        <family val="2"/>
        <sz val="9"/>
        <rFont val="Arial"/>
      </rPr>
      <t xml:space="preserve">, </t>
    </r>
    <r>
      <rPr>
        <b/>
        <family val="2"/>
        <sz val="9"/>
        <rFont val="Arial"/>
      </rPr>
      <t>R4</t>
    </r>
    <r>
      <rPr>
        <color indexed="55"/>
        <family val="2"/>
        <sz val="9"/>
        <rFont val="Arial"/>
      </rPr>
      <t xml:space="preserve">, </t>
    </r>
    <r>
      <rPr>
        <b/>
        <family val="2"/>
        <sz val="9"/>
        <rFont val="Arial"/>
      </rPr>
      <t>R5</t>
    </r>
    <r>
      <rPr>
        <color indexed="55"/>
        <family val="2"/>
        <sz val="9"/>
        <rFont val="Arial"/>
      </rPr>
      <t>,</t>
    </r>
    <r>
      <rPr>
        <b/>
        <family val="2"/>
        <sz val="9"/>
        <rFont val="Arial"/>
      </rPr>
      <t xml:space="preserve"> R6</t>
    </r>
    <r>
      <rPr>
        <color indexed="55"/>
        <family val="2"/>
        <sz val="9"/>
        <rFont val="Arial"/>
      </rPr>
      <t xml:space="preserve">, </t>
    </r>
    <r>
      <rPr>
        <b/>
        <family val="2"/>
        <sz val="9"/>
        <rFont val="Arial"/>
      </rPr>
      <t>R7</t>
    </r>
    <r>
      <rPr>
        <family val="2"/>
        <sz val="9"/>
        <rFont val="Arial"/>
      </rPr>
      <t xml:space="preserve">        Zonnepaneel:   </t>
    </r>
    <r>
      <rPr>
        <b/>
        <family val="2"/>
        <sz val="9"/>
        <rFont val="Arial"/>
      </rPr>
      <t>L</t>
    </r>
    <r>
      <rPr>
        <family val="2"/>
        <sz val="9"/>
        <rFont val="Arial"/>
      </rPr>
      <t xml:space="preserve">inks, </t>
    </r>
    <r>
      <rPr>
        <b/>
        <family val="2"/>
        <sz val="9"/>
        <rFont val="Arial"/>
      </rPr>
      <t>R</t>
    </r>
    <r>
      <rPr>
        <family val="2"/>
        <sz val="9"/>
        <rFont val="Arial"/>
      </rPr>
      <t>echts</t>
    </r>
  </si>
  <si>
    <t xml:space="preserve">Schakelaar of Lintoproller: </t>
  </si>
  <si>
    <r>
      <t>O</t>
    </r>
    <r>
      <rPr>
        <color indexed="55"/>
        <family val="2"/>
        <sz val="9"/>
        <rFont val="Arial"/>
      </rPr>
      <t xml:space="preserve">pbouw, </t>
    </r>
    <r>
      <rPr>
        <b/>
        <family val="2"/>
        <sz val="9"/>
        <rFont val="Arial"/>
      </rPr>
      <t>I</t>
    </r>
    <r>
      <rPr>
        <color indexed="55"/>
        <family val="2"/>
        <sz val="9"/>
        <rFont val="Arial"/>
      </rPr>
      <t xml:space="preserve">nbouw, </t>
    </r>
    <r>
      <rPr>
        <b/>
        <family val="2"/>
        <sz val="9"/>
        <rFont val="Arial"/>
      </rPr>
      <t>S</t>
    </r>
    <r>
      <rPr>
        <color indexed="55"/>
        <family val="2"/>
        <sz val="9"/>
        <rFont val="Arial"/>
      </rPr>
      <t xml:space="preserve">omfy, Inis </t>
    </r>
    <r>
      <rPr>
        <b/>
        <family val="2"/>
        <sz val="9"/>
        <rFont val="Arial"/>
      </rPr>
      <t>U</t>
    </r>
    <r>
      <rPr>
        <color indexed="55"/>
        <family val="2"/>
        <sz val="9"/>
        <rFont val="Arial"/>
      </rPr>
      <t xml:space="preserve">no, Inis </t>
    </r>
    <r>
      <rPr>
        <b/>
        <family val="2"/>
        <sz val="9"/>
        <rFont val="Arial"/>
      </rPr>
      <t>D</t>
    </r>
    <r>
      <rPr>
        <color indexed="55"/>
        <family val="2"/>
        <sz val="9"/>
        <rFont val="Arial"/>
      </rPr>
      <t xml:space="preserve">uo, </t>
    </r>
    <r>
      <rPr>
        <b/>
        <family val="2"/>
        <sz val="9"/>
        <rFont val="Arial"/>
      </rPr>
      <t>G</t>
    </r>
    <r>
      <rPr>
        <color indexed="55"/>
        <family val="2"/>
        <sz val="9"/>
        <rFont val="Arial"/>
      </rPr>
      <t>een</t>
    </r>
  </si>
  <si>
    <t xml:space="preserve">Zender protocol: </t>
  </si>
  <si>
    <r>
      <t>GS</t>
    </r>
    <r>
      <rPr>
        <family val="2"/>
        <sz val="9"/>
        <rFont val="Arial"/>
      </rPr>
      <t xml:space="preserve">, </t>
    </r>
    <r>
      <rPr>
        <b/>
        <family val="2"/>
        <sz val="9"/>
        <rFont val="Arial"/>
      </rPr>
      <t>RTS</t>
    </r>
    <r>
      <rPr>
        <color indexed="55"/>
        <family val="2"/>
        <sz val="9"/>
        <rFont val="Arial"/>
      </rPr>
      <t xml:space="preserve">, </t>
    </r>
    <r>
      <rPr>
        <b/>
        <family val="2"/>
        <sz val="9"/>
        <rFont val="Arial"/>
      </rPr>
      <t>IO</t>
    </r>
  </si>
  <si>
    <t xml:space="preserve">Zender: </t>
  </si>
  <si>
    <r>
      <t xml:space="preserve">(1) </t>
    </r>
    <r>
      <rPr>
        <family val="2"/>
        <sz val="10"/>
        <rFont val="Arial"/>
      </rPr>
      <t xml:space="preserve">Extra zender: </t>
    </r>
  </si>
  <si>
    <r>
      <t xml:space="preserve">(2) </t>
    </r>
    <r>
      <rPr>
        <family val="2"/>
        <sz val="10"/>
        <rFont val="Arial"/>
      </rPr>
      <t xml:space="preserve">Extra zender: </t>
    </r>
  </si>
  <si>
    <t xml:space="preserve">Kanaal van zender: </t>
  </si>
  <si>
    <r>
      <t>1</t>
    </r>
    <r>
      <rPr>
        <color indexed="55"/>
        <family val="2"/>
        <sz val="9"/>
        <rFont val="Arial"/>
      </rPr>
      <t xml:space="preserve">, </t>
    </r>
    <r>
      <rPr>
        <b/>
        <family val="2"/>
        <sz val="9"/>
        <rFont val="Arial"/>
      </rPr>
      <t>2</t>
    </r>
    <r>
      <rPr>
        <color indexed="55"/>
        <family val="2"/>
        <sz val="9"/>
        <rFont val="Arial"/>
      </rPr>
      <t xml:space="preserve">, </t>
    </r>
    <r>
      <rPr>
        <b/>
        <family val="2"/>
        <sz val="9"/>
        <rFont val="Arial"/>
      </rPr>
      <t>3</t>
    </r>
    <r>
      <rPr>
        <color indexed="55"/>
        <family val="2"/>
        <sz val="9"/>
        <rFont val="Arial"/>
      </rPr>
      <t xml:space="preserve">, </t>
    </r>
    <r>
      <rPr>
        <b/>
        <family val="2"/>
        <sz val="9"/>
        <rFont val="Arial"/>
      </rPr>
      <t>4</t>
    </r>
    <r>
      <rPr>
        <color indexed="55"/>
        <family val="2"/>
        <sz val="9"/>
        <rFont val="Arial"/>
      </rPr>
      <t xml:space="preserve">, </t>
    </r>
    <r>
      <rPr>
        <b/>
        <family val="2"/>
        <sz val="9"/>
        <rFont val="Arial"/>
      </rPr>
      <t>...</t>
    </r>
  </si>
  <si>
    <t xml:space="preserve">Hoogte onderlat: </t>
  </si>
  <si>
    <t xml:space="preserve">Kracht van de motor: </t>
  </si>
  <si>
    <t>Klant:</t>
  </si>
  <si>
    <t xml:space="preserve">Ref.: </t>
  </si>
  <si>
    <t>PRODUCTIEBON</t>
  </si>
  <si>
    <t>VOORZETROLLUIK</t>
  </si>
  <si>
    <t>AFBLIJVEN!</t>
  </si>
  <si>
    <t>Aantal colli's:</t>
  </si>
  <si>
    <t>Kasthoogte</t>
  </si>
  <si>
    <t>Naam</t>
  </si>
  <si>
    <t>Uitgang</t>
  </si>
  <si>
    <t>R0</t>
  </si>
  <si>
    <t>PVC 42</t>
  </si>
  <si>
    <t>ALU 42</t>
  </si>
  <si>
    <t>ULTRA 42</t>
  </si>
  <si>
    <t>ULTRA 52</t>
  </si>
  <si>
    <t>Kasthoogte 45°</t>
  </si>
  <si>
    <r>
      <t xml:space="preserve">Kasthoogte 45° </t>
    </r>
    <r>
      <rPr>
        <b/>
        <color indexed="55"/>
        <family val="2"/>
        <sz val="10"/>
        <rFont val="Arial"/>
      </rPr>
      <t>SOLAR</t>
    </r>
  </si>
  <si>
    <t>Kasthoogte Rond</t>
  </si>
  <si>
    <t>R3</t>
  </si>
  <si>
    <t>Lamelhoogte</t>
  </si>
  <si>
    <t>Aantal lamellen bij 1/2</t>
  </si>
  <si>
    <t>R4</t>
  </si>
  <si>
    <t>Type lamel</t>
  </si>
  <si>
    <t>Lamel hoogte</t>
  </si>
  <si>
    <t>Type bediening</t>
  </si>
  <si>
    <t>Afgewerkte hoogte</t>
  </si>
  <si>
    <t>Afgewerkte hoogte - 10 mm</t>
  </si>
  <si>
    <t>Geleider hoogte</t>
  </si>
  <si>
    <t>Geleider hoogte + 1 lamel</t>
  </si>
  <si>
    <t>R5</t>
  </si>
  <si>
    <t>Afg. hoogte min onderlat</t>
  </si>
  <si>
    <t>Gel. hoogte min onderlat</t>
  </si>
  <si>
    <t>Aantal lamellen (afg. H - 10 mm)</t>
  </si>
  <si>
    <t>Aantal lamellen (gel. H + 1 lamel)</t>
  </si>
  <si>
    <t>Afg. Hoogte: Aantal open lamellen:</t>
  </si>
  <si>
    <t>Afg. Hoogte: Aantal gesloten lamellen:</t>
  </si>
  <si>
    <t>Gel. hoogte + 1 lam.: Aantal open lamellen:</t>
  </si>
  <si>
    <t>Gel. hoogte + 1 lam.: Aantal gesl. lamellen:</t>
  </si>
  <si>
    <t>R6</t>
  </si>
  <si>
    <t>Lamelhoogte (Afgewerkte hoogte - 10 mm)</t>
  </si>
  <si>
    <t>Lamelhoogte (Geleiderhoogte + 1 lamel)</t>
  </si>
  <si>
    <t>Bladhoogte (Afg. hoogte - 10 mm) incl. odl.</t>
  </si>
  <si>
    <t>Bladhoogte (Gel. hoogte + 1 lamel) incl. odl.</t>
  </si>
  <si>
    <t>Verschil Gel. Hoogte + 1 lamel:</t>
  </si>
  <si>
    <t>Verschil Afg. Hoogte - 10 mm:</t>
  </si>
  <si>
    <t>R7</t>
  </si>
  <si>
    <t>Afdektoppen</t>
  </si>
  <si>
    <t>L1</t>
  </si>
  <si>
    <t>Ophangveren</t>
  </si>
  <si>
    <t>L2</t>
  </si>
  <si>
    <t>L3</t>
  </si>
  <si>
    <t>Kracht motor</t>
  </si>
  <si>
    <t>Gaposa</t>
  </si>
  <si>
    <t>Gaposa Sense</t>
  </si>
  <si>
    <t>Solus</t>
  </si>
  <si>
    <t>Somfy IO</t>
  </si>
  <si>
    <t>Somfy Solar IO</t>
  </si>
  <si>
    <t>Somfy Solar IO &amp; Gaposa Sense Solar</t>
  </si>
  <si>
    <t>Somfy RTS</t>
  </si>
  <si>
    <t>Somfy CSI</t>
  </si>
  <si>
    <t>CSI RTS</t>
  </si>
  <si>
    <t>Kracht motor - PVC 42</t>
  </si>
  <si>
    <t>Kracht motor - ALU 42</t>
  </si>
  <si>
    <t>Kracht motor - ULTRA 42</t>
  </si>
  <si>
    <t>Kracht motor - ULTRA 52</t>
  </si>
  <si>
    <t>ALUPLEX Production NV</t>
  </si>
  <si>
    <t>03 / 887 49 00</t>
  </si>
  <si>
    <t>04</t>
  </si>
  <si>
    <t>EN13659:2004+A1:2008</t>
  </si>
  <si>
    <t>Kontichsesteenweg 60 bus 2</t>
  </si>
  <si>
    <t>info@aluplex.be</t>
  </si>
  <si>
    <t>Windweerstand: Klasse 1</t>
  </si>
  <si>
    <t>B-2630 Aartselaar</t>
  </si>
  <si>
    <t>www.aluplexpro.com</t>
  </si>
  <si>
    <t>Prestatieverklaring Nr. &amp; I.D. Code : Rolluik</t>
  </si>
  <si>
    <t>Beoogd gebruik: Voor buitengebruik</t>
  </si>
  <si>
    <t>Leveringsadres:</t>
  </si>
  <si>
    <t>Facturatieadres:</t>
  </si>
  <si>
    <t>U/Ref.:</t>
  </si>
  <si>
    <t>Aantal</t>
  </si>
  <si>
    <t>Breedte</t>
  </si>
  <si>
    <t>Hoogte</t>
  </si>
  <si>
    <t>Lamel</t>
  </si>
  <si>
    <t>Kast</t>
  </si>
  <si>
    <t>Geleiders</t>
  </si>
  <si>
    <t>Onderlat</t>
  </si>
  <si>
    <t>Bediening</t>
  </si>
  <si>
    <t>Opmerking</t>
  </si>
  <si>
    <t>Prijs</t>
  </si>
  <si>
    <t>De algemene verkoopsvoorwaarde van ALUPLEX Production NV, bij bestelling gekend en aanvaard door de klant, zijn van toepassing op deze levering/afhaling.</t>
  </si>
  <si>
    <t>Voor ontvangst:</t>
  </si>
  <si>
    <t>Naam in drukletters + handtekening</t>
  </si>
  <si>
    <t>ALUPLEX Production n.v.</t>
  </si>
  <si>
    <t>Kontichsesteenweg 60 bus 2, 2630 Aartselaar</t>
  </si>
  <si>
    <t>Tel. 03 / 887 49 00</t>
  </si>
  <si>
    <t>FIRMA NAAM :</t>
  </si>
  <si>
    <t>Datum</t>
  </si>
  <si>
    <t>00/00/0000</t>
  </si>
  <si>
    <t>REF:</t>
  </si>
  <si>
    <t>KLEUR</t>
  </si>
  <si>
    <t>POEDER</t>
  </si>
  <si>
    <t>AXALTA</t>
  </si>
  <si>
    <t>(Poedercode)</t>
  </si>
  <si>
    <t/>
  </si>
  <si>
    <t xml:space="preserve"> </t>
  </si>
  <si>
    <t>LINT / Koord</t>
  </si>
  <si>
    <t>Reductie</t>
  </si>
  <si>
    <t>Motor</t>
  </si>
  <si>
    <t>Veeras</t>
  </si>
  <si>
    <t>Solar RTS (enkel ALU 42)</t>
  </si>
  <si>
    <t>minus</t>
  </si>
  <si>
    <t>zaagmaat</t>
  </si>
  <si>
    <t>Lamel :</t>
  </si>
  <si>
    <t>Kast :</t>
  </si>
  <si>
    <t>As :</t>
  </si>
  <si>
    <t>As Somfy :</t>
  </si>
  <si>
    <t>Onderlat :</t>
  </si>
  <si>
    <t>As Gaposa :</t>
  </si>
  <si>
    <t>Inkortmaten</t>
  </si>
  <si>
    <t>PVC</t>
  </si>
  <si>
    <t>Kg / M²</t>
  </si>
  <si>
    <t>mm</t>
  </si>
  <si>
    <t>ALU</t>
  </si>
  <si>
    <t>02/12/2015 Gewicht aangepast van 4,50 naar 3,50 Kg / M²</t>
  </si>
  <si>
    <t>06/12/2017 Gewicht aangepast van 3,50 naar 4,00 Kg / M²</t>
  </si>
  <si>
    <t>Solar RTS</t>
  </si>
  <si>
    <t>ULTRA</t>
  </si>
  <si>
    <t>02/12/2015 Gewicht aangepast van 6 Kg naar 4 Kg / M²</t>
  </si>
  <si>
    <t>06/12/2017 Gewicht aangepast van 4 Kg naar 4,50 Kg / M²</t>
  </si>
  <si>
    <t>(02/12/2015 Gewicht aangepast van 6 Kg naar 4,5 Kg - Oximo motoren te krachtig berekend, waardoor "klak-geluid" op het onderste eindpunt)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</si>
</sst>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"/>
  </numFmts>
  <fonts count="50" x14ac:knownFonts="1">
    <font>
      <color theme="1"/>
      <family val="2"/>
      <scheme val="minor"/>
      <sz val="11"/>
      <name val="Calibri"/>
    </font>
    <font>
      <sz val="10"/>
      <name val="Arial"/>
    </font>
    <font>
      <family val="2"/>
      <sz val="10"/>
      <name val="Arial"/>
    </font>
    <font>
      <family val="2"/>
      <sz val="14"/>
      <name val="Arial"/>
    </font>
    <font>
      <b/>
      <family val="2"/>
      <sz val="14"/>
      <name val="Arial"/>
    </font>
    <font>
      <b/>
      <color indexed="10"/>
      <family val="2"/>
      <sz val="14"/>
      <name val="Arial"/>
    </font>
    <font>
      <b/>
      <u/>
      <family val="2"/>
      <sz val="10"/>
      <name val="Arial"/>
    </font>
    <font>
      <b/>
      <family val="2"/>
      <sz val="10"/>
      <name val="Arial"/>
    </font>
    <font>
      <family val="2"/>
      <sz val="8"/>
      <name val="Arial"/>
    </font>
    <font>
      <u/>
      <color indexed="12"/>
      <family val="2"/>
      <sz val="10"/>
      <name val="Arial"/>
    </font>
    <font>
      <b/>
      <u/>
      <color indexed="12"/>
      <family val="2"/>
      <sz val="10"/>
      <name val="Arial"/>
    </font>
    <font>
      <b/>
      <family val="2"/>
      <sz val="9"/>
      <name val="Arial"/>
    </font>
    <font>
      <family val="2"/>
      <sz val="9"/>
      <name val="Arial"/>
    </font>
    <font>
      <color indexed="55"/>
      <family val="2"/>
      <sz val="9"/>
      <name val="Arial"/>
    </font>
    <font>
      <b/>
      <family val="2"/>
      <sz val="8"/>
      <name val="Arial"/>
    </font>
    <font>
      <b/>
      <family val="2"/>
      <sz val="12"/>
      <name val="Arial"/>
    </font>
    <font>
      <family val="2"/>
      <sz val="12"/>
      <name val="Arial"/>
    </font>
    <font>
      <b/>
      <color indexed="63"/>
      <family val="2"/>
      <sz val="10"/>
      <name val="Arial"/>
    </font>
    <font>
      <color indexed="63"/>
      <family val="2"/>
      <sz val="8"/>
      <name val="Arial"/>
    </font>
    <font>
      <b/>
      <color indexed="63"/>
      <family val="2"/>
      <sz val="8"/>
      <name val="Arial"/>
    </font>
    <font>
      <color indexed="55"/>
      <family val="2"/>
      <sz val="10"/>
      <name val="Arial"/>
    </font>
    <font>
      <b/>
      <color rgb="FFFFFF00"/>
      <family val="2"/>
      <sz val="11"/>
      <name val="Arial"/>
    </font>
    <font>
      <b/>
      <color indexed="55"/>
      <family val="2"/>
      <sz val="10"/>
      <name val="Arial"/>
    </font>
    <font>
      <b/>
      <color indexed="10"/>
      <family val="2"/>
      <sz val="10"/>
      <name val="Arial"/>
    </font>
    <font>
      <b/>
      <color indexed="52"/>
      <family val="2"/>
      <sz val="10"/>
      <name val="Arial"/>
    </font>
    <font>
      <b/>
      <color indexed="48"/>
      <family val="2"/>
      <sz val="10"/>
      <name val="Arial"/>
    </font>
    <font>
      <b/>
      <color indexed="20"/>
      <family val="2"/>
      <sz val="10"/>
      <name val="Arial"/>
    </font>
    <font>
      <b/>
      <color indexed="55"/>
      <family val="2"/>
      <sz val="9"/>
      <name val="Arial"/>
    </font>
    <font>
      <color theme="1" tint="0.249977111117893"/>
      <family val="2"/>
      <sz val="7"/>
      <name val="Arial"/>
    </font>
    <font>
      <b/>
      <family val="2"/>
      <sz val="20"/>
      <name val="Arial"/>
    </font>
    <font>
      <b/>
      <u/>
      <color indexed="55"/>
      <family val="2"/>
      <sz val="10"/>
      <name val="Arial"/>
    </font>
    <font>
      <u/>
      <color indexed="55"/>
      <family val="2"/>
      <sz val="10"/>
      <name val="Arial"/>
    </font>
    <font>
      <color indexed="55"/>
      <family val="2"/>
      <sz val="8"/>
      <name val="Arial"/>
    </font>
    <font>
      <b/>
      <family val="2"/>
      <sz val="16"/>
      <name val="Arial"/>
    </font>
    <font>
      <b/>
      <family val="2"/>
      <sz val="18"/>
      <name val="Arial"/>
    </font>
    <font>
      <family val="2"/>
      <sz val="11"/>
      <name val="Arial"/>
    </font>
    <font>
      <b/>
      <color indexed="55"/>
      <family val="2"/>
      <sz val="12"/>
      <name val="Arial"/>
    </font>
    <font>
      <b/>
      <color indexed="23"/>
      <family val="2"/>
      <sz val="12"/>
      <name val="Arial"/>
    </font>
    <font>
      <color indexed="55"/>
      <family val="2"/>
      <sz val="12"/>
      <name val="Arial"/>
    </font>
    <font>
      <color indexed="23"/>
      <family val="2"/>
      <sz val="12"/>
      <name val="Arial"/>
    </font>
    <font>
      <b/>
      <color indexed="23"/>
      <family val="2"/>
      <sz val="14"/>
      <name val="Arial"/>
    </font>
    <font>
      <color indexed="23"/>
      <family val="2"/>
      <sz val="10"/>
      <name val="Arial"/>
    </font>
    <font>
      <b/>
      <color indexed="8"/>
      <family val="2"/>
      <sz val="10"/>
      <name val="Arial"/>
    </font>
    <font>
      <color indexed="63"/>
      <family val="2"/>
      <sz val="10"/>
      <name val="Arial"/>
    </font>
    <font>
      <color indexed="10"/>
      <family val="2"/>
      <sz val="10"/>
      <name val="Arial"/>
    </font>
    <font>
      <b/>
      <i/>
      <family val="2"/>
      <sz val="16"/>
      <name val="Arial"/>
    </font>
    <font>
      <b/>
      <color indexed="12"/>
      <family val="2"/>
      <sz val="14"/>
      <name val="Arial"/>
    </font>
    <font>
      <b/>
      <color indexed="8"/>
      <family val="2"/>
      <sz val="12"/>
      <name val="Arial"/>
    </font>
    <font>
      <color indexed="53"/>
      <family val="2"/>
      <sz val="10"/>
      <name val="Arial"/>
    </font>
    <font>
      <b/>
      <color indexed="52"/>
      <family val="2"/>
      <sz val="9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5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2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</borders>
  <cellStyleXfs count="1">
    <xf numFmtId="0" fontId="0" fillId="0" borderId="0"/>
  </cellStyleXfs>
  <cellXfs count="401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1" fillId="0" borderId="2" xfId="0" applyFont="1" applyBorder="1"/>
    <xf numFmtId="0" fontId="1" fillId="0" borderId="3" xfId="0" applyFont="1" applyBorder="1"/>
    <xf numFmtId="0" fontId="7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14" fontId="1" fillId="0" borderId="0" xfId="0" applyNumberFormat="1" applyFont="1" applyAlignment="1">
      <alignment vertical="center"/>
    </xf>
    <xf numFmtId="0" fontId="7" fillId="3" borderId="7" xfId="0" applyFont="1" applyFill="1" applyBorder="1" applyAlignment="1">
      <alignment horizontal="right" vertical="center"/>
    </xf>
    <xf numFmtId="0" fontId="7" fillId="4" borderId="4" xfId="0" applyFont="1" applyFill="1" applyBorder="1" applyAlignment="1">
      <alignment horizontal="left" vertical="center"/>
    </xf>
    <xf numFmtId="0" fontId="7" fillId="4" borderId="5" xfId="0" applyFont="1" applyFill="1" applyBorder="1" applyAlignment="1">
      <alignment horizontal="left" vertical="center"/>
    </xf>
    <xf numFmtId="0" fontId="7" fillId="4" borderId="6" xfId="0" applyFont="1" applyFill="1" applyBorder="1" applyAlignment="1">
      <alignment horizontal="left" vertical="center"/>
    </xf>
    <xf numFmtId="0" fontId="7" fillId="3" borderId="4" xfId="0" applyFont="1" applyFill="1" applyBorder="1" applyAlignment="1">
      <alignment horizontal="right" vertical="center"/>
    </xf>
    <xf numFmtId="0" fontId="1" fillId="0" borderId="6" xfId="0" applyFont="1" applyBorder="1"/>
    <xf numFmtId="0" fontId="7" fillId="0" borderId="8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3" borderId="10" xfId="0" applyFont="1" applyFill="1" applyBorder="1" applyAlignment="1">
      <alignment horizontal="right" vertical="center"/>
    </xf>
    <xf numFmtId="0" fontId="7" fillId="4" borderId="8" xfId="0" applyFont="1" applyFill="1" applyBorder="1" applyAlignment="1">
      <alignment horizontal="left" vertical="center"/>
    </xf>
    <xf numFmtId="0" fontId="7" fillId="4" borderId="0" xfId="0" applyFont="1" applyFill="1" applyAlignment="1">
      <alignment horizontal="left" vertical="center"/>
    </xf>
    <xf numFmtId="0" fontId="7" fillId="4" borderId="9" xfId="0" applyFont="1" applyFill="1" applyBorder="1" applyAlignment="1">
      <alignment horizontal="left" vertical="center"/>
    </xf>
    <xf numFmtId="0" fontId="7" fillId="3" borderId="8" xfId="0" applyFont="1" applyFill="1" applyBorder="1" applyAlignment="1">
      <alignment horizontal="right" vertical="center"/>
    </xf>
    <xf numFmtId="0" fontId="1" fillId="0" borderId="9" xfId="0" applyFont="1" applyBorder="1"/>
    <xf numFmtId="0" fontId="8" fillId="0" borderId="0" xfId="0" applyFont="1" applyAlignment="1">
      <alignment vertical="center"/>
    </xf>
    <xf numFmtId="0" fontId="1" fillId="3" borderId="10" xfId="0" applyFont="1" applyFill="1" applyBorder="1" applyAlignment="1">
      <alignment horizontal="right" vertical="center"/>
    </xf>
    <xf numFmtId="0" fontId="1" fillId="3" borderId="11" xfId="0" applyFont="1" applyFill="1" applyBorder="1" applyAlignment="1">
      <alignment horizontal="right" vertical="center"/>
    </xf>
    <xf numFmtId="0" fontId="1" fillId="0" borderId="12" xfId="0" applyFont="1" applyBorder="1"/>
    <xf numFmtId="0" fontId="7" fillId="4" borderId="11" xfId="0" applyFont="1" applyFill="1" applyBorder="1" applyAlignment="1">
      <alignment horizontal="left" vertical="center"/>
    </xf>
    <xf numFmtId="0" fontId="7" fillId="4" borderId="13" xfId="0" applyFont="1" applyFill="1" applyBorder="1" applyAlignment="1">
      <alignment horizontal="left" vertical="center"/>
    </xf>
    <xf numFmtId="0" fontId="7" fillId="4" borderId="12" xfId="0" applyFont="1" applyFill="1" applyBorder="1" applyAlignment="1">
      <alignment horizontal="left" vertical="center"/>
    </xf>
    <xf numFmtId="0" fontId="7" fillId="0" borderId="0" xfId="0" applyFont="1" applyAlignment="1">
      <alignment vertical="center"/>
    </xf>
    <xf numFmtId="164" fontId="1" fillId="0" borderId="0" xfId="0" applyNumberFormat="1" applyFont="1" applyAlignment="1">
      <alignment vertical="center"/>
    </xf>
    <xf numFmtId="0" fontId="7" fillId="3" borderId="1" xfId="0" applyFont="1" applyFill="1" applyBorder="1" applyAlignment="1">
      <alignment horizontal="right" vertical="center"/>
    </xf>
    <xf numFmtId="0" fontId="7" fillId="3" borderId="3" xfId="0" applyFont="1" applyFill="1" applyBorder="1" applyAlignment="1">
      <alignment horizontal="right" vertical="center"/>
    </xf>
    <xf numFmtId="0" fontId="7" fillId="4" borderId="1" xfId="0" applyFont="1" applyFill="1" applyBorder="1" applyAlignment="1">
      <alignment horizontal="left" vertical="center"/>
    </xf>
    <xf numFmtId="0" fontId="7" fillId="4" borderId="2" xfId="0" applyFont="1" applyFill="1" applyBorder="1" applyAlignment="1">
      <alignment horizontal="left" vertical="center"/>
    </xf>
    <xf numFmtId="0" fontId="7" fillId="4" borderId="3" xfId="0" applyFont="1" applyFill="1" applyBorder="1" applyAlignment="1">
      <alignment horizontal="left" vertical="center"/>
    </xf>
    <xf numFmtId="0" fontId="1" fillId="0" borderId="11" xfId="0" applyFont="1" applyBorder="1" applyAlignment="1">
      <alignment vertical="center"/>
    </xf>
    <xf numFmtId="0" fontId="1" fillId="0" borderId="13" xfId="0" applyFont="1" applyBorder="1" applyAlignment="1">
      <alignment vertical="center"/>
    </xf>
    <xf numFmtId="0" fontId="7" fillId="0" borderId="12" xfId="0" applyFont="1" applyBorder="1" applyAlignment="1">
      <alignment horizontal="center" vertical="center"/>
    </xf>
    <xf numFmtId="0" fontId="7" fillId="3" borderId="14" xfId="0" applyFont="1" applyFill="1" applyBorder="1" applyAlignment="1">
      <alignment horizontal="right" vertical="center"/>
    </xf>
    <xf numFmtId="0" fontId="9" fillId="4" borderId="11" xfId="0" applyFont="1" applyFill="1" applyBorder="1" applyAlignment="1">
      <alignment horizontal="left" vertical="center"/>
    </xf>
    <xf numFmtId="0" fontId="10" fillId="4" borderId="13" xfId="0" applyFont="1" applyFill="1" applyBorder="1" applyAlignment="1">
      <alignment horizontal="left" vertical="center"/>
    </xf>
    <xf numFmtId="0" fontId="10" fillId="4" borderId="12" xfId="0" applyFont="1" applyFill="1" applyBorder="1" applyAlignment="1">
      <alignment horizontal="left" vertical="center"/>
    </xf>
    <xf numFmtId="0" fontId="7" fillId="4" borderId="15" xfId="0" applyFont="1" applyFill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8" fillId="0" borderId="0" xfId="0" applyFont="1" applyAlignment="1">
      <alignment horizontal="right" vertical="center"/>
    </xf>
    <xf numFmtId="49" fontId="7" fillId="0" borderId="9" xfId="0" applyNumberFormat="1" applyFont="1" applyBorder="1" applyAlignment="1">
      <alignment horizontal="center" vertical="center"/>
    </xf>
    <xf numFmtId="0" fontId="7" fillId="3" borderId="15" xfId="0" applyFont="1" applyFill="1" applyBorder="1" applyAlignment="1">
      <alignment horizontal="right" vertical="center"/>
    </xf>
    <xf numFmtId="49" fontId="7" fillId="4" borderId="15" xfId="0" applyNumberFormat="1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7" fillId="0" borderId="0" xfId="0" applyFont="1" applyAlignment="1">
      <alignment horizontal="right" vertical="center"/>
    </xf>
    <xf numFmtId="0" fontId="1" fillId="5" borderId="16" xfId="0" applyFont="1" applyFill="1" applyBorder="1" applyAlignment="1">
      <alignment horizontal="center" vertical="center"/>
    </xf>
    <xf numFmtId="0" fontId="1" fillId="5" borderId="17" xfId="0" applyFont="1" applyFill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right" vertical="center"/>
    </xf>
    <xf numFmtId="0" fontId="1" fillId="0" borderId="20" xfId="0" applyFont="1" applyBorder="1" applyAlignment="1">
      <alignment horizontal="right" vertical="center"/>
    </xf>
    <xf numFmtId="0" fontId="2" fillId="4" borderId="20" xfId="0" applyFont="1" applyFill="1" applyBorder="1" applyAlignment="1">
      <alignment horizontal="center" vertical="center"/>
    </xf>
    <xf numFmtId="0" fontId="1" fillId="4" borderId="20" xfId="0" applyFont="1" applyFill="1" applyBorder="1" applyAlignment="1">
      <alignment horizontal="center" vertical="center"/>
    </xf>
    <xf numFmtId="0" fontId="1" fillId="4" borderId="2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vertical="center"/>
    </xf>
    <xf numFmtId="0" fontId="1" fillId="0" borderId="22" xfId="0" applyFont="1" applyBorder="1" applyAlignment="1">
      <alignment horizontal="right" vertical="center"/>
    </xf>
    <xf numFmtId="0" fontId="1" fillId="0" borderId="15" xfId="0" applyFont="1" applyBorder="1" applyAlignment="1">
      <alignment horizontal="right" vertical="center"/>
    </xf>
    <xf numFmtId="0" fontId="2" fillId="4" borderId="15" xfId="0" applyFont="1" applyFill="1" applyBorder="1" applyAlignment="1">
      <alignment horizontal="center" vertical="center"/>
    </xf>
    <xf numFmtId="0" fontId="2" fillId="4" borderId="23" xfId="0" applyFont="1" applyFill="1" applyBorder="1" applyAlignment="1">
      <alignment horizontal="center" vertical="center"/>
    </xf>
    <xf numFmtId="4" fontId="11" fillId="0" borderId="0" xfId="0" applyNumberFormat="1" applyFont="1" applyAlignment="1">
      <alignment vertical="center"/>
    </xf>
    <xf numFmtId="0" fontId="12" fillId="0" borderId="0" xfId="0" applyFont="1" applyAlignment="1">
      <alignment vertical="center"/>
    </xf>
    <xf numFmtId="4" fontId="1" fillId="0" borderId="0" xfId="0" applyNumberFormat="1" applyFont="1" applyAlignment="1">
      <alignment vertical="center"/>
    </xf>
    <xf numFmtId="12" fontId="1" fillId="4" borderId="15" xfId="0" applyNumberFormat="1" applyFont="1" applyFill="1" applyBorder="1" applyAlignment="1">
      <alignment horizontal="center" vertical="center"/>
    </xf>
    <xf numFmtId="12" fontId="1" fillId="4" borderId="24" xfId="0" applyNumberFormat="1" applyFont="1" applyFill="1" applyBorder="1" applyAlignment="1">
      <alignment horizontal="center" vertical="center"/>
    </xf>
    <xf numFmtId="12" fontId="1" fillId="2" borderId="15" xfId="0" applyNumberFormat="1" applyFont="1" applyFill="1" applyBorder="1" applyAlignment="1">
      <alignment horizontal="center" vertical="center"/>
    </xf>
    <xf numFmtId="12" fontId="1" fillId="2" borderId="23" xfId="0" applyNumberFormat="1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0" fontId="1" fillId="4" borderId="23" xfId="0" applyFont="1" applyFill="1" applyBorder="1" applyAlignment="1">
      <alignment horizontal="center" vertical="center"/>
    </xf>
    <xf numFmtId="3" fontId="1" fillId="4" borderId="15" xfId="0" applyNumberFormat="1" applyFont="1" applyFill="1" applyBorder="1" applyAlignment="1">
      <alignment horizontal="center" vertical="center"/>
    </xf>
    <xf numFmtId="3" fontId="1" fillId="4" borderId="23" xfId="0" applyNumberFormat="1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1" fillId="3" borderId="23" xfId="0" applyFont="1" applyFill="1" applyBorder="1" applyAlignment="1">
      <alignment horizontal="center" vertical="center"/>
    </xf>
    <xf numFmtId="4" fontId="13" fillId="0" borderId="0" xfId="0" applyNumberFormat="1" applyFont="1" applyAlignment="1">
      <alignment vertical="center"/>
    </xf>
    <xf numFmtId="4" fontId="7" fillId="0" borderId="0" xfId="0" applyNumberFormat="1" applyFont="1" applyAlignment="1">
      <alignment vertical="center"/>
    </xf>
    <xf numFmtId="0" fontId="1" fillId="0" borderId="25" xfId="0" applyFont="1" applyBorder="1" applyAlignment="1">
      <alignment horizontal="right" vertical="center"/>
    </xf>
    <xf numFmtId="0" fontId="1" fillId="0" borderId="3" xfId="0" applyFont="1" applyBorder="1" applyAlignment="1">
      <alignment horizontal="right" vertical="center"/>
    </xf>
    <xf numFmtId="0" fontId="2" fillId="3" borderId="23" xfId="0" applyFont="1" applyFill="1" applyBorder="1" applyAlignment="1">
      <alignment horizontal="center" vertical="center"/>
    </xf>
    <xf numFmtId="4" fontId="14" fillId="0" borderId="0" xfId="0" applyNumberFormat="1" applyFont="1" applyAlignment="1">
      <alignment horizontal="left" vertical="center" wrapText="1"/>
    </xf>
    <xf numFmtId="4" fontId="14" fillId="0" borderId="0" xfId="0" applyNumberFormat="1" applyFont="1" applyAlignment="1">
      <alignment vertical="center" wrapText="1"/>
    </xf>
    <xf numFmtId="0" fontId="8" fillId="0" borderId="22" xfId="0" applyFont="1" applyBorder="1" applyAlignment="1">
      <alignment horizontal="right" vertical="center"/>
    </xf>
    <xf numFmtId="0" fontId="2" fillId="3" borderId="15" xfId="0" applyFont="1" applyFill="1" applyBorder="1" applyAlignment="1">
      <alignment horizontal="center" vertical="center"/>
    </xf>
    <xf numFmtId="0" fontId="1" fillId="5" borderId="22" xfId="0" applyFont="1" applyFill="1" applyBorder="1" applyAlignment="1">
      <alignment horizontal="right" vertical="center"/>
    </xf>
    <xf numFmtId="0" fontId="1" fillId="5" borderId="15" xfId="0" applyFont="1" applyFill="1" applyBorder="1" applyAlignment="1">
      <alignment horizontal="right" vertical="center"/>
    </xf>
    <xf numFmtId="0" fontId="1" fillId="5" borderId="15" xfId="0" applyFont="1" applyFill="1" applyBorder="1" applyAlignment="1">
      <alignment horizontal="center" vertical="center"/>
    </xf>
    <xf numFmtId="0" fontId="1" fillId="5" borderId="23" xfId="0" applyFont="1" applyFill="1" applyBorder="1" applyAlignment="1">
      <alignment horizontal="center" vertical="center"/>
    </xf>
    <xf numFmtId="0" fontId="1" fillId="5" borderId="25" xfId="0" applyFont="1" applyFill="1" applyBorder="1" applyAlignment="1">
      <alignment horizontal="right" vertical="center"/>
    </xf>
    <xf numFmtId="0" fontId="1" fillId="5" borderId="3" xfId="0" applyFont="1" applyFill="1" applyBorder="1" applyAlignment="1">
      <alignment horizontal="right" vertical="center"/>
    </xf>
    <xf numFmtId="0" fontId="1" fillId="2" borderId="1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2" fillId="5" borderId="26" xfId="0" applyFont="1" applyFill="1" applyBorder="1" applyAlignment="1">
      <alignment horizontal="right" vertical="center"/>
    </xf>
    <xf numFmtId="0" fontId="1" fillId="5" borderId="27" xfId="0" applyFont="1" applyFill="1" applyBorder="1" applyAlignment="1">
      <alignment horizontal="right" vertical="center"/>
    </xf>
    <xf numFmtId="0" fontId="1" fillId="2" borderId="28" xfId="0" applyFont="1" applyFill="1" applyBorder="1" applyAlignment="1">
      <alignment horizontal="center" vertical="center"/>
    </xf>
    <xf numFmtId="0" fontId="1" fillId="2" borderId="29" xfId="0" applyFont="1" applyFill="1" applyBorder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7" fillId="0" borderId="0" xfId="0" applyFont="1" applyAlignment="1">
      <alignment horizontal="left" vertical="center"/>
    </xf>
    <xf numFmtId="0" fontId="15" fillId="0" borderId="0" xfId="0" applyFont="1" applyAlignment="1">
      <alignment vertical="center"/>
    </xf>
    <xf numFmtId="0" fontId="15" fillId="5" borderId="15" xfId="0" applyFont="1" applyFill="1" applyBorder="1" applyAlignment="1">
      <alignment horizontal="left" vertical="center"/>
    </xf>
    <xf numFmtId="0" fontId="15" fillId="6" borderId="1" xfId="0" applyFont="1" applyFill="1" applyBorder="1" applyAlignment="1">
      <alignment horizontal="left" vertical="center"/>
    </xf>
    <xf numFmtId="0" fontId="15" fillId="6" borderId="2" xfId="0" applyFont="1" applyFill="1" applyBorder="1" applyAlignment="1">
      <alignment horizontal="left" vertical="center"/>
    </xf>
    <xf numFmtId="0" fontId="15" fillId="6" borderId="3" xfId="0" applyFont="1" applyFill="1" applyBorder="1" applyAlignment="1">
      <alignment horizontal="left" vertical="center"/>
    </xf>
    <xf numFmtId="0" fontId="16" fillId="0" borderId="8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0" borderId="9" xfId="0" applyFont="1" applyBorder="1" applyAlignment="1">
      <alignment horizontal="center" vertical="center"/>
    </xf>
    <xf numFmtId="0" fontId="15" fillId="5" borderId="15" xfId="0" applyFont="1" applyFill="1" applyBorder="1" applyAlignment="1">
      <alignment horizontal="right" vertical="center"/>
    </xf>
    <xf numFmtId="0" fontId="15" fillId="0" borderId="15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7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0" borderId="0" xfId="0" applyFont="1" applyAlignment="1">
      <alignment horizontal="right" vertical="center"/>
    </xf>
    <xf numFmtId="3" fontId="17" fillId="0" borderId="0" xfId="0" applyNumberFormat="1" applyFont="1" applyAlignment="1">
      <alignment horizontal="center" vertical="center"/>
    </xf>
    <xf numFmtId="0" fontId="20" fillId="0" borderId="0" xfId="0" applyFont="1" applyAlignment="1">
      <alignment horizontal="right" vertical="center"/>
    </xf>
    <xf numFmtId="0" fontId="20" fillId="0" borderId="0" xfId="0" applyFont="1" applyAlignment="1">
      <alignment horizontal="left" vertical="center"/>
    </xf>
    <xf numFmtId="0" fontId="7" fillId="4" borderId="30" xfId="0" applyFont="1" applyFill="1" applyBorder="1" applyAlignment="1">
      <alignment vertical="center"/>
    </xf>
    <xf numFmtId="0" fontId="2" fillId="0" borderId="31" xfId="0" applyFont="1" applyBorder="1" applyAlignment="1">
      <alignment vertical="center"/>
    </xf>
    <xf numFmtId="3" fontId="1" fillId="0" borderId="0" xfId="0" applyNumberFormat="1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/>
    </xf>
    <xf numFmtId="3" fontId="1" fillId="0" borderId="0" xfId="0" applyNumberFormat="1" applyFont="1" applyAlignment="1">
      <alignment vertical="center"/>
    </xf>
    <xf numFmtId="3" fontId="2" fillId="0" borderId="31" xfId="0" applyNumberFormat="1" applyFont="1" applyBorder="1" applyAlignment="1" applyProtection="1">
      <alignment horizontal="center" vertical="center"/>
      <protection locked="0"/>
    </xf>
    <xf numFmtId="0" fontId="1" fillId="0" borderId="0" xfId="0" applyFont="1" applyAlignment="1">
      <alignment horizontal="center" vertical="center" shrinkToFit="1"/>
    </xf>
    <xf numFmtId="3" fontId="2" fillId="0" borderId="3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right" vertical="center"/>
    </xf>
    <xf numFmtId="3" fontId="1" fillId="0" borderId="0" xfId="0" applyNumberFormat="1" applyFont="1" applyAlignment="1">
      <alignment horizontal="right" vertical="center"/>
    </xf>
    <xf numFmtId="0" fontId="2" fillId="0" borderId="0" xfId="0" applyFont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4" fontId="2" fillId="0" borderId="31" xfId="0" applyNumberFormat="1" applyFont="1" applyBorder="1" applyAlignment="1" applyProtection="1">
      <alignment horizontal="center" vertical="center"/>
      <protection locked="0"/>
    </xf>
    <xf numFmtId="0" fontId="17" fillId="0" borderId="0" xfId="0" applyFont="1" applyAlignment="1">
      <alignment horizontal="left" vertical="center"/>
    </xf>
    <xf numFmtId="0" fontId="2" fillId="0" borderId="32" xfId="0" applyFont="1" applyBorder="1" applyAlignment="1">
      <alignment vertical="center"/>
    </xf>
    <xf numFmtId="0" fontId="21" fillId="0" borderId="0" xfId="0" applyFont="1" applyAlignment="1">
      <alignment vertical="center"/>
    </xf>
    <xf numFmtId="0" fontId="4" fillId="0" borderId="0" xfId="0" applyFont="1" applyAlignment="1">
      <alignment horizontal="center"/>
    </xf>
    <xf numFmtId="0" fontId="22" fillId="0" borderId="33" xfId="0" applyFont="1" applyBorder="1" applyAlignment="1">
      <alignment horizontal="center" vertical="center"/>
    </xf>
    <xf numFmtId="0" fontId="22" fillId="0" borderId="34" xfId="0" applyFont="1" applyBorder="1" applyAlignment="1">
      <alignment horizontal="center" vertical="center"/>
    </xf>
    <xf numFmtId="0" fontId="22" fillId="0" borderId="35" xfId="0" applyFont="1" applyBorder="1" applyAlignment="1">
      <alignment horizontal="center" vertical="center"/>
    </xf>
    <xf numFmtId="0" fontId="22" fillId="0" borderId="0" xfId="0" applyFont="1" applyAlignment="1">
      <alignment vertical="center"/>
    </xf>
    <xf numFmtId="0" fontId="4" fillId="0" borderId="0" xfId="0" applyFont="1"/>
    <xf numFmtId="0" fontId="20" fillId="0" borderId="36" xfId="0" applyFont="1" applyBorder="1" applyAlignment="1">
      <alignment horizontal="center" vertical="center"/>
    </xf>
    <xf numFmtId="0" fontId="22" fillId="0" borderId="14" xfId="0" applyFont="1" applyBorder="1" applyAlignment="1">
      <alignment horizontal="center" vertical="center"/>
    </xf>
    <xf numFmtId="0" fontId="22" fillId="0" borderId="37" xfId="0" applyFont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2" fillId="0" borderId="22" xfId="0" applyFont="1" applyBorder="1" applyAlignment="1">
      <alignment horizontal="center" vertical="center"/>
    </xf>
    <xf numFmtId="1" fontId="20" fillId="0" borderId="15" xfId="0" applyNumberFormat="1" applyFont="1" applyBorder="1" applyAlignment="1">
      <alignment horizontal="center" vertical="center"/>
    </xf>
    <xf numFmtId="1" fontId="20" fillId="0" borderId="23" xfId="0" applyNumberFormat="1" applyFont="1" applyBorder="1" applyAlignment="1">
      <alignment horizontal="center" vertical="center"/>
    </xf>
    <xf numFmtId="1" fontId="20" fillId="0" borderId="0" xfId="0" applyNumberFormat="1" applyFont="1" applyAlignment="1">
      <alignment horizontal="center" vertical="center"/>
    </xf>
    <xf numFmtId="0" fontId="22" fillId="0" borderId="38" xfId="0" applyFont="1" applyBorder="1" applyAlignment="1">
      <alignment horizontal="center" vertical="center"/>
    </xf>
    <xf numFmtId="1" fontId="20" fillId="0" borderId="7" xfId="0" applyNumberFormat="1" applyFont="1" applyBorder="1" applyAlignment="1">
      <alignment horizontal="center" vertical="center"/>
    </xf>
    <xf numFmtId="1" fontId="20" fillId="0" borderId="39" xfId="0" applyNumberFormat="1" applyFont="1" applyBorder="1" applyAlignment="1">
      <alignment horizontal="center" vertical="center"/>
    </xf>
    <xf numFmtId="0" fontId="1" fillId="5" borderId="33" xfId="0" applyFont="1" applyFill="1" applyBorder="1" applyAlignment="1">
      <alignment vertical="center"/>
    </xf>
    <xf numFmtId="0" fontId="1" fillId="5" borderId="34" xfId="0" applyFont="1" applyFill="1" applyBorder="1" applyAlignment="1">
      <alignment vertical="center"/>
    </xf>
    <xf numFmtId="0" fontId="1" fillId="5" borderId="35" xfId="0" applyFont="1" applyFill="1" applyBorder="1" applyAlignment="1">
      <alignment vertical="center"/>
    </xf>
    <xf numFmtId="0" fontId="20" fillId="0" borderId="19" xfId="0" applyFont="1" applyBorder="1" applyAlignment="1">
      <alignment horizontal="center" vertical="center"/>
    </xf>
    <xf numFmtId="0" fontId="22" fillId="0" borderId="20" xfId="0" applyFont="1" applyBorder="1" applyAlignment="1">
      <alignment horizontal="center" vertical="center"/>
    </xf>
    <xf numFmtId="0" fontId="22" fillId="0" borderId="21" xfId="0" applyFont="1" applyBorder="1" applyAlignment="1">
      <alignment horizontal="center" vertical="center"/>
    </xf>
    <xf numFmtId="0" fontId="20" fillId="0" borderId="15" xfId="0" applyFont="1" applyBorder="1" applyAlignment="1">
      <alignment horizontal="center" vertical="center"/>
    </xf>
    <xf numFmtId="0" fontId="20" fillId="0" borderId="23" xfId="0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2" fillId="0" borderId="40" xfId="0" applyFont="1" applyBorder="1" applyAlignment="1">
      <alignment horizontal="center" vertical="center"/>
    </xf>
    <xf numFmtId="0" fontId="20" fillId="0" borderId="28" xfId="0" applyFont="1" applyBorder="1" applyAlignment="1">
      <alignment horizontal="center" vertical="center"/>
    </xf>
    <xf numFmtId="0" fontId="20" fillId="0" borderId="29" xfId="0" applyFont="1" applyBorder="1" applyAlignment="1">
      <alignment horizontal="center" vertical="center"/>
    </xf>
    <xf numFmtId="0" fontId="22" fillId="0" borderId="16" xfId="0" applyFont="1" applyBorder="1" applyAlignment="1">
      <alignment horizontal="center" vertical="center"/>
    </xf>
    <xf numFmtId="0" fontId="22" fillId="0" borderId="17" xfId="0" applyFont="1" applyBorder="1" applyAlignment="1">
      <alignment horizontal="center" vertical="center"/>
    </xf>
    <xf numFmtId="0" fontId="22" fillId="0" borderId="18" xfId="0" applyFont="1" applyBorder="1" applyAlignment="1">
      <alignment horizontal="center" vertical="center"/>
    </xf>
    <xf numFmtId="0" fontId="23" fillId="0" borderId="36" xfId="0" applyFont="1" applyBorder="1" applyAlignment="1">
      <alignment horizontal="center" vertical="center"/>
    </xf>
    <xf numFmtId="0" fontId="23" fillId="0" borderId="14" xfId="0" applyFont="1" applyBorder="1" applyAlignment="1">
      <alignment horizontal="center" vertical="center"/>
    </xf>
    <xf numFmtId="0" fontId="24" fillId="0" borderId="14" xfId="0" applyFont="1" applyBorder="1" applyAlignment="1">
      <alignment horizontal="center" vertical="center"/>
    </xf>
    <xf numFmtId="0" fontId="25" fillId="0" borderId="14" xfId="0" applyFont="1" applyBorder="1" applyAlignment="1">
      <alignment horizontal="center" vertical="center"/>
    </xf>
    <xf numFmtId="0" fontId="25" fillId="0" borderId="17" xfId="0" applyFont="1" applyBorder="1" applyAlignment="1">
      <alignment horizontal="center" vertical="center"/>
    </xf>
    <xf numFmtId="0" fontId="26" fillId="0" borderId="17" xfId="0" applyFont="1" applyBorder="1" applyAlignment="1">
      <alignment horizontal="center" vertical="center"/>
    </xf>
    <xf numFmtId="0" fontId="26" fillId="0" borderId="18" xfId="0" applyFont="1" applyBorder="1" applyAlignment="1">
      <alignment horizontal="center" vertical="center"/>
    </xf>
    <xf numFmtId="0" fontId="22" fillId="0" borderId="15" xfId="0" applyFont="1" applyBorder="1" applyAlignment="1">
      <alignment horizontal="center" vertical="center"/>
    </xf>
    <xf numFmtId="0" fontId="22" fillId="0" borderId="23" xfId="0" applyFont="1" applyBorder="1" applyAlignment="1">
      <alignment horizontal="center" vertical="center"/>
    </xf>
    <xf numFmtId="1" fontId="20" fillId="0" borderId="40" xfId="0" applyNumberFormat="1" applyFont="1" applyBorder="1" applyAlignment="1">
      <alignment horizontal="center" vertical="center"/>
    </xf>
    <xf numFmtId="1" fontId="20" fillId="0" borderId="28" xfId="0" applyNumberFormat="1" applyFont="1" applyBorder="1" applyAlignment="1">
      <alignment horizontal="center" vertical="center"/>
    </xf>
    <xf numFmtId="1" fontId="20" fillId="0" borderId="29" xfId="0" applyNumberFormat="1" applyFont="1" applyBorder="1" applyAlignment="1">
      <alignment horizontal="center" vertical="center"/>
    </xf>
    <xf numFmtId="0" fontId="22" fillId="0" borderId="41" xfId="0" applyFont="1" applyBorder="1" applyAlignment="1">
      <alignment horizontal="center" vertical="center"/>
    </xf>
    <xf numFmtId="0" fontId="22" fillId="0" borderId="42" xfId="0" applyFont="1" applyBorder="1" applyAlignment="1">
      <alignment horizontal="center" vertical="center"/>
    </xf>
    <xf numFmtId="0" fontId="22" fillId="0" borderId="43" xfId="0" applyFont="1" applyBorder="1" applyAlignment="1">
      <alignment horizontal="center" vertical="center"/>
    </xf>
    <xf numFmtId="0" fontId="22" fillId="0" borderId="44" xfId="0" applyFont="1" applyBorder="1" applyAlignment="1">
      <alignment horizontal="center" vertical="center"/>
    </xf>
    <xf numFmtId="0" fontId="22" fillId="0" borderId="19" xfId="0" applyFont="1" applyBorder="1" applyAlignment="1">
      <alignment horizontal="center" vertical="center"/>
    </xf>
    <xf numFmtId="0" fontId="27" fillId="0" borderId="25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0" fontId="22" fillId="0" borderId="36" xfId="0" applyFont="1" applyBorder="1" applyAlignment="1">
      <alignment horizontal="center" vertical="center"/>
    </xf>
    <xf numFmtId="0" fontId="22" fillId="0" borderId="12" xfId="0" applyFont="1" applyBorder="1" applyAlignment="1">
      <alignment horizontal="center" vertical="center"/>
    </xf>
    <xf numFmtId="0" fontId="22" fillId="0" borderId="45" xfId="0" applyFont="1" applyBorder="1" applyAlignment="1">
      <alignment horizontal="center" vertical="center"/>
    </xf>
    <xf numFmtId="3" fontId="22" fillId="0" borderId="36" xfId="0" applyNumberFormat="1" applyFont="1" applyBorder="1" applyAlignment="1">
      <alignment horizontal="center" vertical="center"/>
    </xf>
    <xf numFmtId="3" fontId="22" fillId="0" borderId="12" xfId="0" applyNumberFormat="1" applyFont="1" applyBorder="1" applyAlignment="1">
      <alignment horizontal="center" vertical="center"/>
    </xf>
    <xf numFmtId="3" fontId="22" fillId="0" borderId="45" xfId="0" applyNumberFormat="1" applyFont="1" applyBorder="1" applyAlignment="1">
      <alignment horizontal="center" vertical="center"/>
    </xf>
    <xf numFmtId="0" fontId="27" fillId="0" borderId="24" xfId="0" applyFont="1" applyBorder="1" applyAlignment="1">
      <alignment horizontal="center" vertical="center"/>
    </xf>
    <xf numFmtId="0" fontId="27" fillId="7" borderId="25" xfId="0" applyFont="1" applyFill="1" applyBorder="1" applyAlignment="1">
      <alignment horizontal="center" vertical="center"/>
    </xf>
    <xf numFmtId="0" fontId="27" fillId="7" borderId="2" xfId="0" applyFont="1" applyFill="1" applyBorder="1" applyAlignment="1">
      <alignment horizontal="center" vertical="center"/>
    </xf>
    <xf numFmtId="0" fontId="27" fillId="7" borderId="24" xfId="0" applyFont="1" applyFill="1" applyBorder="1" applyAlignment="1">
      <alignment horizontal="center" vertical="center"/>
    </xf>
    <xf numFmtId="0" fontId="22" fillId="7" borderId="22" xfId="0" applyFont="1" applyFill="1" applyBorder="1" applyAlignment="1">
      <alignment horizontal="center" vertical="center"/>
    </xf>
    <xf numFmtId="0" fontId="22" fillId="7" borderId="15" xfId="0" applyFont="1" applyFill="1" applyBorder="1" applyAlignment="1">
      <alignment horizontal="center" vertical="center"/>
    </xf>
    <xf numFmtId="0" fontId="22" fillId="7" borderId="23" xfId="0" applyFont="1" applyFill="1" applyBorder="1" applyAlignment="1">
      <alignment horizontal="center" vertical="center"/>
    </xf>
    <xf numFmtId="3" fontId="22" fillId="7" borderId="36" xfId="0" applyNumberFormat="1" applyFont="1" applyFill="1" applyBorder="1" applyAlignment="1">
      <alignment horizontal="center" vertical="center"/>
    </xf>
    <xf numFmtId="0" fontId="22" fillId="7" borderId="12" xfId="0" applyFont="1" applyFill="1" applyBorder="1" applyAlignment="1">
      <alignment horizontal="center" vertical="center"/>
    </xf>
    <xf numFmtId="0" fontId="22" fillId="7" borderId="45" xfId="0" applyFont="1" applyFill="1" applyBorder="1" applyAlignment="1">
      <alignment horizontal="center" vertical="center"/>
    </xf>
    <xf numFmtId="0" fontId="27" fillId="8" borderId="25" xfId="0" applyFont="1" applyFill="1" applyBorder="1" applyAlignment="1">
      <alignment horizontal="center" vertical="center"/>
    </xf>
    <xf numFmtId="0" fontId="27" fillId="8" borderId="2" xfId="0" applyFont="1" applyFill="1" applyBorder="1" applyAlignment="1">
      <alignment horizontal="center" vertical="center"/>
    </xf>
    <xf numFmtId="0" fontId="27" fillId="8" borderId="24" xfId="0" applyFont="1" applyFill="1" applyBorder="1" applyAlignment="1">
      <alignment horizontal="center" vertical="center"/>
    </xf>
    <xf numFmtId="3" fontId="22" fillId="8" borderId="22" xfId="0" applyNumberFormat="1" applyFont="1" applyFill="1" applyBorder="1" applyAlignment="1">
      <alignment horizontal="center" vertical="center"/>
    </xf>
    <xf numFmtId="3" fontId="22" fillId="8" borderId="15" xfId="0" applyNumberFormat="1" applyFont="1" applyFill="1" applyBorder="1" applyAlignment="1">
      <alignment horizontal="center" vertical="center"/>
    </xf>
    <xf numFmtId="3" fontId="22" fillId="8" borderId="23" xfId="0" applyNumberFormat="1" applyFont="1" applyFill="1" applyBorder="1" applyAlignment="1">
      <alignment horizontal="center" vertical="center"/>
    </xf>
    <xf numFmtId="0" fontId="27" fillId="9" borderId="25" xfId="0" applyFont="1" applyFill="1" applyBorder="1" applyAlignment="1">
      <alignment horizontal="center" vertical="center"/>
    </xf>
    <xf numFmtId="0" fontId="27" fillId="9" borderId="2" xfId="0" applyFont="1" applyFill="1" applyBorder="1" applyAlignment="1">
      <alignment horizontal="center" vertical="center"/>
    </xf>
    <xf numFmtId="0" fontId="27" fillId="9" borderId="24" xfId="0" applyFont="1" applyFill="1" applyBorder="1" applyAlignment="1">
      <alignment horizontal="center" vertical="center"/>
    </xf>
    <xf numFmtId="3" fontId="22" fillId="9" borderId="36" xfId="0" applyNumberFormat="1" applyFont="1" applyFill="1" applyBorder="1" applyAlignment="1">
      <alignment horizontal="center" vertical="center"/>
    </xf>
    <xf numFmtId="3" fontId="22" fillId="9" borderId="12" xfId="0" applyNumberFormat="1" applyFont="1" applyFill="1" applyBorder="1" applyAlignment="1">
      <alignment horizontal="center" vertical="center"/>
    </xf>
    <xf numFmtId="3" fontId="22" fillId="9" borderId="45" xfId="0" applyNumberFormat="1" applyFont="1" applyFill="1" applyBorder="1" applyAlignment="1">
      <alignment horizontal="center" vertical="center"/>
    </xf>
    <xf numFmtId="1" fontId="20" fillId="0" borderId="0" xfId="0" applyNumberFormat="1" applyFont="1" applyAlignment="1">
      <alignment horizontal="left" vertical="center"/>
    </xf>
    <xf numFmtId="0" fontId="27" fillId="9" borderId="26" xfId="0" applyFont="1" applyFill="1" applyBorder="1" applyAlignment="1">
      <alignment horizontal="center" vertical="center"/>
    </xf>
    <xf numFmtId="0" fontId="27" fillId="9" borderId="46" xfId="0" applyFont="1" applyFill="1" applyBorder="1" applyAlignment="1">
      <alignment horizontal="center" vertical="center"/>
    </xf>
    <xf numFmtId="0" fontId="27" fillId="9" borderId="47" xfId="0" applyFont="1" applyFill="1" applyBorder="1" applyAlignment="1">
      <alignment horizontal="center" vertical="center"/>
    </xf>
    <xf numFmtId="3" fontId="22" fillId="9" borderId="40" xfId="0" applyNumberFormat="1" applyFont="1" applyFill="1" applyBorder="1" applyAlignment="1">
      <alignment horizontal="center" vertical="center"/>
    </xf>
    <xf numFmtId="3" fontId="22" fillId="9" borderId="27" xfId="0" applyNumberFormat="1" applyFont="1" applyFill="1" applyBorder="1" applyAlignment="1">
      <alignment horizontal="center" vertical="center"/>
    </xf>
    <xf numFmtId="3" fontId="22" fillId="9" borderId="47" xfId="0" applyNumberFormat="1" applyFont="1" applyFill="1" applyBorder="1" applyAlignment="1">
      <alignment horizontal="center" vertical="center"/>
    </xf>
    <xf numFmtId="0" fontId="27" fillId="0" borderId="0" xfId="0" applyFont="1" applyAlignment="1">
      <alignment horizontal="left" vertical="center"/>
    </xf>
    <xf numFmtId="3" fontId="22" fillId="0" borderId="0" xfId="0" applyNumberFormat="1" applyFont="1" applyAlignment="1">
      <alignment horizontal="center" vertical="center"/>
    </xf>
    <xf numFmtId="3" fontId="2" fillId="0" borderId="0" xfId="0" applyNumberFormat="1" applyFont="1" applyAlignment="1">
      <alignment horizontal="center" vertical="center"/>
    </xf>
    <xf numFmtId="0" fontId="22" fillId="0" borderId="28" xfId="0" applyFont="1" applyBorder="1" applyAlignment="1">
      <alignment horizontal="center" vertical="center"/>
    </xf>
    <xf numFmtId="0" fontId="22" fillId="0" borderId="29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40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center" vertical="center" wrapText="1"/>
    </xf>
    <xf numFmtId="0" fontId="22" fillId="0" borderId="48" xfId="0" applyFont="1" applyBorder="1" applyAlignment="1">
      <alignment horizontal="center" vertical="center"/>
    </xf>
    <xf numFmtId="0" fontId="20" fillId="0" borderId="22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22" fillId="0" borderId="3" xfId="0" applyFont="1" applyBorder="1" applyAlignment="1">
      <alignment horizontal="center" vertical="center"/>
    </xf>
    <xf numFmtId="0" fontId="2" fillId="0" borderId="0" xfId="0" applyFont="1"/>
    <xf numFmtId="49" fontId="28" fillId="0" borderId="0" xfId="0" applyNumberFormat="1" applyFont="1" applyAlignment="1">
      <alignment horizontal="right" vertical="center"/>
    </xf>
    <xf numFmtId="49" fontId="28" fillId="0" borderId="0" xfId="0" applyNumberFormat="1" applyFont="1" applyAlignment="1">
      <alignment horizontal="center"/>
    </xf>
    <xf numFmtId="49" fontId="28" fillId="0" borderId="9" xfId="0" applyNumberFormat="1" applyFont="1" applyBorder="1" applyAlignment="1">
      <alignment horizontal="center"/>
    </xf>
    <xf numFmtId="0" fontId="29" fillId="0" borderId="4" xfId="0" applyFont="1" applyBorder="1" applyAlignment="1">
      <alignment horizontal="center" vertical="center"/>
    </xf>
    <xf numFmtId="0" fontId="29" fillId="0" borderId="5" xfId="0" applyFont="1" applyBorder="1" applyAlignment="1">
      <alignment horizontal="center" vertical="center"/>
    </xf>
    <xf numFmtId="0" fontId="29" fillId="0" borderId="6" xfId="0" applyFont="1" applyBorder="1" applyAlignment="1">
      <alignment horizontal="center" vertical="center"/>
    </xf>
    <xf numFmtId="0" fontId="29" fillId="0" borderId="8" xfId="0" applyFont="1" applyBorder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29" fillId="0" borderId="9" xfId="0" applyFont="1" applyBorder="1" applyAlignment="1">
      <alignment horizontal="center" vertical="center"/>
    </xf>
    <xf numFmtId="0" fontId="29" fillId="0" borderId="11" xfId="0" applyFont="1" applyBorder="1" applyAlignment="1">
      <alignment horizontal="center" vertical="center"/>
    </xf>
    <xf numFmtId="0" fontId="29" fillId="0" borderId="13" xfId="0" applyFont="1" applyBorder="1" applyAlignment="1">
      <alignment horizontal="center" vertical="center"/>
    </xf>
    <xf numFmtId="0" fontId="29" fillId="0" borderId="12" xfId="0" applyFont="1" applyBorder="1" applyAlignment="1">
      <alignment horizontal="center" vertical="center"/>
    </xf>
    <xf numFmtId="0" fontId="8" fillId="0" borderId="0" xfId="0" applyFont="1"/>
    <xf numFmtId="0" fontId="6" fillId="0" borderId="0" xfId="0" applyFont="1"/>
    <xf numFmtId="0" fontId="16" fillId="0" borderId="0" xfId="0" applyFont="1"/>
    <xf numFmtId="0" fontId="6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30" fillId="0" borderId="0" xfId="0" applyFont="1" applyAlignment="1">
      <alignment vertical="center"/>
    </xf>
    <xf numFmtId="0" fontId="7" fillId="0" borderId="0" xfId="0" applyFont="1"/>
    <xf numFmtId="0" fontId="31" fillId="0" borderId="0" xfId="0" applyFont="1" applyAlignment="1">
      <alignment horizontal="center" vertical="center"/>
    </xf>
    <xf numFmtId="0" fontId="31" fillId="0" borderId="0" xfId="0" applyFont="1"/>
    <xf numFmtId="0" fontId="31" fillId="0" borderId="49" xfId="0" applyFont="1" applyBorder="1" applyAlignment="1">
      <alignment horizontal="center" vertical="center"/>
    </xf>
    <xf numFmtId="0" fontId="7" fillId="0" borderId="50" xfId="0" applyFont="1" applyBorder="1" applyAlignment="1">
      <alignment horizontal="center" vertical="center"/>
    </xf>
    <xf numFmtId="3" fontId="7" fillId="0" borderId="51" xfId="0" applyNumberFormat="1" applyFont="1" applyBorder="1" applyAlignment="1">
      <alignment horizontal="center" vertical="center"/>
    </xf>
    <xf numFmtId="0" fontId="7" fillId="0" borderId="51" xfId="0" applyFont="1" applyBorder="1" applyAlignment="1">
      <alignment horizontal="center" vertical="center"/>
    </xf>
    <xf numFmtId="0" fontId="7" fillId="0" borderId="51" xfId="0" applyFont="1" applyBorder="1" applyAlignment="1">
      <alignment horizontal="center" vertical="top"/>
    </xf>
    <xf numFmtId="0" fontId="2" fillId="0" borderId="51" xfId="0" applyFont="1" applyBorder="1" applyAlignment="1">
      <alignment horizontal="center"/>
    </xf>
    <xf numFmtId="0" fontId="7" fillId="0" borderId="52" xfId="0" applyFont="1" applyBorder="1" applyAlignment="1">
      <alignment horizontal="center" vertical="center"/>
    </xf>
    <xf numFmtId="0" fontId="20" fillId="0" borderId="0" xfId="0" applyFont="1" applyAlignment="1">
      <alignment horizontal="center"/>
    </xf>
    <xf numFmtId="0" fontId="7" fillId="0" borderId="53" xfId="0" applyFont="1" applyBorder="1" applyAlignment="1">
      <alignment horizontal="center" vertical="center"/>
    </xf>
    <xf numFmtId="3" fontId="7" fillId="0" borderId="5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top"/>
    </xf>
    <xf numFmtId="0" fontId="1" fillId="0" borderId="54" xfId="0" applyFont="1" applyBorder="1" applyAlignment="1">
      <alignment horizontal="center" vertical="center"/>
    </xf>
    <xf numFmtId="0" fontId="2" fillId="0" borderId="55" xfId="0" applyFont="1" applyBorder="1" applyAlignment="1">
      <alignment horizontal="center"/>
    </xf>
    <xf numFmtId="0" fontId="2" fillId="0" borderId="53" xfId="0" applyFont="1" applyBorder="1" applyAlignment="1">
      <alignment horizontal="center"/>
    </xf>
    <xf numFmtId="0" fontId="7" fillId="0" borderId="53" xfId="0" applyFont="1" applyBorder="1" applyAlignment="1">
      <alignment horizontal="center" vertical="top"/>
    </xf>
    <xf numFmtId="3" fontId="7" fillId="0" borderId="54" xfId="0" applyNumberFormat="1" applyFont="1" applyBorder="1" applyAlignment="1">
      <alignment horizontal="center" vertical="top"/>
    </xf>
    <xf numFmtId="0" fontId="1" fillId="0" borderId="54" xfId="0" applyFont="1" applyBorder="1" applyAlignment="1">
      <alignment horizontal="center" vertical="top"/>
    </xf>
    <xf numFmtId="0" fontId="7" fillId="0" borderId="0" xfId="0" applyFont="1" applyAlignment="1">
      <alignment horizontal="center"/>
    </xf>
    <xf numFmtId="0" fontId="7" fillId="0" borderId="56" xfId="0" applyFont="1" applyBorder="1" applyAlignment="1">
      <alignment horizontal="center" vertical="top"/>
    </xf>
    <xf numFmtId="3" fontId="7" fillId="0" borderId="57" xfId="0" applyNumberFormat="1" applyFont="1" applyBorder="1" applyAlignment="1">
      <alignment horizontal="center" vertical="top"/>
    </xf>
    <xf numFmtId="0" fontId="1" fillId="0" borderId="57" xfId="0" applyFont="1" applyBorder="1" applyAlignment="1">
      <alignment vertical="top"/>
    </xf>
    <xf numFmtId="0" fontId="1" fillId="0" borderId="57" xfId="0" applyFont="1" applyBorder="1" applyAlignment="1">
      <alignment horizontal="center" vertical="top"/>
    </xf>
    <xf numFmtId="0" fontId="1" fillId="0" borderId="56" xfId="0" applyFont="1" applyBorder="1" applyAlignment="1">
      <alignment vertical="top"/>
    </xf>
    <xf numFmtId="0" fontId="1" fillId="0" borderId="57" xfId="0" applyFont="1" applyBorder="1" applyAlignment="1">
      <alignment horizontal="center" vertical="center"/>
    </xf>
    <xf numFmtId="0" fontId="2" fillId="0" borderId="58" xfId="0" applyFont="1" applyBorder="1" applyAlignment="1">
      <alignment horizontal="center"/>
    </xf>
    <xf numFmtId="0" fontId="2" fillId="0" borderId="49" xfId="0" applyFont="1" applyBorder="1" applyAlignment="1">
      <alignment horizontal="center"/>
    </xf>
    <xf numFmtId="0" fontId="2" fillId="0" borderId="56" xfId="0" applyFont="1" applyBorder="1" applyAlignment="1">
      <alignment horizontal="center"/>
    </xf>
    <xf numFmtId="0" fontId="7" fillId="0" borderId="57" xfId="0" applyFont="1" applyBorder="1" applyAlignment="1">
      <alignment horizontal="center"/>
    </xf>
    <xf numFmtId="0" fontId="32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33" fillId="0" borderId="0" xfId="0" applyFont="1" applyAlignment="1">
      <alignment horizontal="left" vertical="top"/>
    </xf>
    <xf numFmtId="0" fontId="32" fillId="0" borderId="0" xfId="0" applyFont="1"/>
    <xf numFmtId="0" fontId="34" fillId="0" borderId="0" xfId="0" applyFont="1"/>
    <xf numFmtId="0" fontId="35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0" fontId="8" fillId="0" borderId="0" xfId="0" applyFont="1" applyAlignment="1">
      <alignment horizontal="left"/>
    </xf>
    <xf numFmtId="0" fontId="35" fillId="0" borderId="0" xfId="0" applyFont="1"/>
    <xf numFmtId="0" fontId="2" fillId="0" borderId="0" xfId="0" applyFont="1" applyAlignment="1">
      <alignment horizontal="right"/>
    </xf>
    <xf numFmtId="0" fontId="36" fillId="0" borderId="0" xfId="0" applyFont="1"/>
    <xf numFmtId="0" fontId="37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38" fillId="0" borderId="0" xfId="0" applyFont="1"/>
    <xf numFmtId="0" fontId="39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40" fillId="0" borderId="0" xfId="0" applyFont="1" applyAlignment="1">
      <alignment horizontal="left" vertical="center"/>
    </xf>
    <xf numFmtId="49" fontId="15" fillId="0" borderId="0" xfId="0" applyNumberFormat="1" applyFont="1" applyAlignment="1">
      <alignment horizontal="center" vertical="center"/>
    </xf>
    <xf numFmtId="0" fontId="41" fillId="0" borderId="0" xfId="0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40" fillId="0" borderId="15" xfId="0" applyFont="1" applyBorder="1" applyAlignment="1">
      <alignment horizontal="center" vertical="center"/>
    </xf>
    <xf numFmtId="0" fontId="33" fillId="0" borderId="15" xfId="0" applyFont="1" applyBorder="1" applyAlignment="1">
      <alignment horizontal="center" vertical="center"/>
    </xf>
    <xf numFmtId="0" fontId="15" fillId="4" borderId="15" xfId="0" applyFont="1" applyFill="1" applyBorder="1" applyAlignment="1">
      <alignment horizontal="center" vertical="center"/>
    </xf>
    <xf numFmtId="0" fontId="39" fillId="0" borderId="15" xfId="0" applyFont="1" applyBorder="1" applyAlignment="1">
      <alignment horizontal="center" vertical="center"/>
    </xf>
    <xf numFmtId="0" fontId="17" fillId="5" borderId="15" xfId="0" applyFont="1" applyFill="1" applyBorder="1" applyAlignment="1">
      <alignment horizontal="center" vertical="center"/>
    </xf>
    <xf numFmtId="0" fontId="18" fillId="5" borderId="15" xfId="0" applyFont="1" applyFill="1" applyBorder="1" applyAlignment="1">
      <alignment horizontal="center" vertical="center"/>
    </xf>
    <xf numFmtId="0" fontId="18" fillId="5" borderId="1" xfId="0" applyFont="1" applyFill="1" applyBorder="1" applyAlignment="1">
      <alignment horizontal="center" vertical="center"/>
    </xf>
    <xf numFmtId="0" fontId="18" fillId="5" borderId="3" xfId="0" applyFont="1" applyFill="1" applyBorder="1" applyAlignment="1">
      <alignment horizontal="center" vertical="center"/>
    </xf>
    <xf numFmtId="0" fontId="42" fillId="0" borderId="0" xfId="0" applyFont="1" applyAlignment="1">
      <alignment horizontal="center" vertical="center"/>
    </xf>
    <xf numFmtId="3" fontId="7" fillId="0" borderId="0" xfId="0" applyNumberFormat="1" applyFont="1" applyAlignment="1">
      <alignment horizontal="right" vertical="center"/>
    </xf>
    <xf numFmtId="3" fontId="7" fillId="0" borderId="0" xfId="0" applyNumberFormat="1" applyFont="1" applyAlignment="1">
      <alignment horizontal="left" vertical="center"/>
    </xf>
    <xf numFmtId="3" fontId="7" fillId="0" borderId="0" xfId="0" applyNumberFormat="1" applyFont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43" fillId="0" borderId="0" xfId="0" applyFont="1"/>
    <xf numFmtId="3" fontId="1" fillId="0" borderId="0" xfId="0" applyNumberFormat="1" applyFont="1" applyAlignment="1">
      <alignment horizontal="center"/>
    </xf>
    <xf numFmtId="0" fontId="18" fillId="0" borderId="5" xfId="0" applyFont="1" applyBorder="1" applyAlignment="1">
      <alignment horizontal="center" vertical="center"/>
    </xf>
    <xf numFmtId="0" fontId="44" fillId="0" borderId="0" xfId="0" applyFont="1" applyAlignment="1">
      <alignment horizontal="left"/>
    </xf>
    <xf numFmtId="0" fontId="44" fillId="0" borderId="0" xfId="0" applyFont="1"/>
    <xf numFmtId="0" fontId="45" fillId="0" borderId="15" xfId="0" applyFont="1" applyBorder="1" applyAlignment="1">
      <alignment horizontal="center" vertical="center"/>
    </xf>
    <xf numFmtId="0" fontId="29" fillId="0" borderId="15" xfId="0" applyFont="1" applyBorder="1" applyAlignment="1">
      <alignment horizontal="center" vertical="center"/>
    </xf>
    <xf numFmtId="0" fontId="43" fillId="0" borderId="0" xfId="0" applyFont="1" applyAlignment="1">
      <alignment vertical="center"/>
    </xf>
    <xf numFmtId="0" fontId="33" fillId="0" borderId="0" xfId="0" applyFont="1" applyAlignment="1">
      <alignment vertical="center"/>
    </xf>
    <xf numFmtId="0" fontId="5" fillId="0" borderId="4" xfId="0" applyFont="1" applyBorder="1"/>
    <xf numFmtId="0" fontId="5" fillId="0" borderId="5" xfId="0" applyFont="1" applyBorder="1"/>
    <xf numFmtId="0" fontId="5" fillId="0" borderId="6" xfId="0" applyFont="1" applyBorder="1"/>
    <xf numFmtId="0" fontId="7" fillId="0" borderId="8" xfId="0" applyFont="1" applyBorder="1"/>
    <xf numFmtId="0" fontId="7" fillId="0" borderId="9" xfId="0" applyFont="1" applyBorder="1"/>
    <xf numFmtId="0" fontId="1" fillId="0" borderId="8" xfId="0" applyFont="1" applyBorder="1"/>
    <xf numFmtId="3" fontId="2" fillId="0" borderId="0" xfId="0" applyNumberFormat="1" applyFont="1" applyAlignment="1">
      <alignment horizontal="center"/>
    </xf>
    <xf numFmtId="0" fontId="1" fillId="0" borderId="9" xfId="0" applyFont="1" applyBorder="1" applyAlignment="1">
      <alignment horizontal="center"/>
    </xf>
    <xf numFmtId="3" fontId="1" fillId="0" borderId="0" xfId="0" applyNumberFormat="1" applyFont="1" applyAlignment="1">
      <alignment horizontal="right"/>
    </xf>
    <xf numFmtId="3" fontId="1" fillId="0" borderId="9" xfId="0" applyNumberFormat="1" applyFont="1" applyBorder="1" applyAlignment="1">
      <alignment horizontal="right"/>
    </xf>
    <xf numFmtId="3" fontId="1" fillId="0" borderId="0" xfId="0" applyNumberFormat="1" applyFont="1"/>
    <xf numFmtId="3" fontId="2" fillId="0" borderId="0" xfId="0" applyNumberFormat="1" applyFont="1"/>
    <xf numFmtId="0" fontId="1" fillId="0" borderId="11" xfId="0" applyFont="1" applyBorder="1"/>
    <xf numFmtId="3" fontId="1" fillId="0" borderId="13" xfId="0" applyNumberFormat="1" applyFont="1" applyBorder="1" applyAlignment="1">
      <alignment horizontal="right"/>
    </xf>
    <xf numFmtId="0" fontId="1" fillId="0" borderId="13" xfId="0" applyFont="1" applyBorder="1" applyAlignment="1">
      <alignment horizontal="center"/>
    </xf>
    <xf numFmtId="3" fontId="1" fillId="0" borderId="12" xfId="0" applyNumberFormat="1" applyFont="1" applyBorder="1" applyAlignment="1">
      <alignment horizontal="right"/>
    </xf>
    <xf numFmtId="0" fontId="24" fillId="0" borderId="11" xfId="0" applyFont="1" applyBorder="1"/>
    <xf numFmtId="0" fontId="7" fillId="0" borderId="13" xfId="0" applyFont="1" applyBorder="1"/>
    <xf numFmtId="0" fontId="7" fillId="0" borderId="12" xfId="0" applyFont="1" applyBorder="1"/>
    <xf numFmtId="0" fontId="1" fillId="5" borderId="0" xfId="0" applyFont="1" applyFill="1"/>
    <xf numFmtId="0" fontId="1" fillId="5" borderId="13" xfId="0" applyFont="1" applyFill="1" applyBorder="1"/>
    <xf numFmtId="0" fontId="46" fillId="0" borderId="4" xfId="0" applyFont="1" applyBorder="1"/>
    <xf numFmtId="0" fontId="46" fillId="0" borderId="5" xfId="0" applyFont="1" applyBorder="1"/>
    <xf numFmtId="0" fontId="46" fillId="0" borderId="5" xfId="0" applyFont="1" applyBorder="1" applyAlignment="1">
      <alignment horizontal="right"/>
    </xf>
    <xf numFmtId="0" fontId="46" fillId="0" borderId="5" xfId="0" applyFont="1" applyBorder="1" applyAlignment="1">
      <alignment horizontal="left"/>
    </xf>
    <xf numFmtId="2" fontId="47" fillId="3" borderId="5" xfId="0" applyNumberFormat="1" applyFont="1" applyFill="1" applyBorder="1"/>
    <xf numFmtId="0" fontId="47" fillId="3" borderId="5" xfId="0" applyFont="1" applyFill="1" applyBorder="1" applyAlignment="1">
      <alignment horizontal="center"/>
    </xf>
    <xf numFmtId="0" fontId="15" fillId="0" borderId="5" xfId="0" applyFont="1" applyBorder="1"/>
    <xf numFmtId="0" fontId="4" fillId="0" borderId="5" xfId="0" applyFont="1" applyBorder="1"/>
    <xf numFmtId="0" fontId="7" fillId="3" borderId="5" xfId="0" applyFont="1" applyFill="1" applyBorder="1" applyAlignment="1">
      <alignment horizontal="right"/>
    </xf>
    <xf numFmtId="0" fontId="7" fillId="3" borderId="5" xfId="0" applyFont="1" applyFill="1" applyBorder="1" applyAlignment="1">
      <alignment horizontal="center"/>
    </xf>
    <xf numFmtId="0" fontId="7" fillId="3" borderId="6" xfId="0" applyFont="1" applyFill="1" applyBorder="1" applyAlignment="1">
      <alignment horizontal="left"/>
    </xf>
    <xf numFmtId="0" fontId="5" fillId="0" borderId="0" xfId="0" applyFont="1"/>
    <xf numFmtId="0" fontId="5" fillId="0" borderId="8" xfId="0" applyFont="1" applyBorder="1"/>
    <xf numFmtId="0" fontId="5" fillId="0" borderId="9" xfId="0" applyFont="1" applyBorder="1"/>
    <xf numFmtId="0" fontId="24" fillId="0" borderId="8" xfId="0" applyFont="1" applyBorder="1"/>
    <xf numFmtId="0" fontId="48" fillId="0" borderId="5" xfId="0" applyFont="1" applyBorder="1"/>
    <xf numFmtId="0" fontId="2" fillId="0" borderId="5" xfId="0" applyFont="1" applyBorder="1" applyAlignment="1">
      <alignment horizontal="right"/>
    </xf>
    <xf numFmtId="0" fontId="2" fillId="0" borderId="5" xfId="0" applyFont="1" applyBorder="1"/>
    <xf numFmtId="0" fontId="46" fillId="0" borderId="8" xfId="0" applyFont="1" applyBorder="1"/>
    <xf numFmtId="0" fontId="46" fillId="0" borderId="0" xfId="0" applyFont="1"/>
    <xf numFmtId="0" fontId="46" fillId="0" borderId="0" xfId="0" applyFont="1" applyAlignment="1">
      <alignment horizontal="right"/>
    </xf>
    <xf numFmtId="0" fontId="46" fillId="0" borderId="0" xfId="0" applyFont="1" applyAlignment="1">
      <alignment horizontal="left"/>
    </xf>
    <xf numFmtId="2" fontId="47" fillId="0" borderId="0" xfId="0" applyNumberFormat="1" applyFont="1"/>
    <xf numFmtId="0" fontId="47" fillId="0" borderId="0" xfId="0" applyFont="1" applyAlignment="1">
      <alignment horizontal="center"/>
    </xf>
    <xf numFmtId="0" fontId="48" fillId="0" borderId="0" xfId="0" applyFont="1"/>
    <xf numFmtId="0" fontId="4" fillId="0" borderId="9" xfId="0" applyFont="1" applyBorder="1"/>
    <xf numFmtId="2" fontId="47" fillId="3" borderId="0" xfId="0" applyNumberFormat="1" applyFont="1" applyFill="1"/>
    <xf numFmtId="0" fontId="47" fillId="3" borderId="0" xfId="0" applyFont="1" applyFill="1" applyAlignment="1">
      <alignment horizontal="center"/>
    </xf>
    <xf numFmtId="0" fontId="15" fillId="0" borderId="0" xfId="0" applyFont="1" applyAlignment="1">
      <alignment horizontal="right"/>
    </xf>
    <xf numFmtId="0" fontId="1" fillId="0" borderId="5" xfId="0" applyFont="1" applyBorder="1"/>
    <xf numFmtId="0" fontId="15" fillId="0" borderId="5" xfId="0" applyFont="1" applyBorder="1" applyAlignment="1">
      <alignment horizontal="right"/>
    </xf>
    <xf numFmtId="0" fontId="49" fillId="0" borderId="0" xfId="0" applyFont="1"/>
  </cellXfs>
  <cellStyles count="1">
    <cellStyle name="Normal" xfId="0" builtinId="0"/>
  </cellStyles>
  <dxfs count="83">
    <dxf>
      <font>
        <b/>
        <i/>
        <condense/>
        <extend/>
      </font>
      <fill>
        <patternFill>
          <bgColor indexed="2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color theme="0"/>
      </font>
      <fill>
        <patternFill>
          <bgColor rgb="FFFF0000"/>
        </patternFill>
      </fill>
    </dxf>
    <dxf>
      <font>
        <b/>
        <i/>
        <condense/>
        <extend/>
      </font>
      <fill>
        <patternFill>
          <bgColor indexed="5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5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5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2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color theme="0"/>
      </font>
      <fill>
        <patternFill>
          <bgColor rgb="FFFF0000"/>
        </patternFill>
      </fill>
    </dxf>
    <dxf>
      <font>
        <b/>
        <i/>
        <condense/>
        <extend/>
      </font>
      <fill>
        <patternFill>
          <bgColor indexed="5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5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5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2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color theme="0"/>
      </font>
      <fill>
        <patternFill>
          <bgColor rgb="FFFF0000"/>
        </patternFill>
      </fill>
    </dxf>
    <dxf>
      <font>
        <b/>
        <i/>
        <condense/>
        <extend/>
      </font>
      <fill>
        <patternFill>
          <bgColor indexed="5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5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5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2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color theme="0"/>
      </font>
      <fill>
        <patternFill>
          <bgColor rgb="FFFF0000"/>
        </patternFill>
      </fill>
    </dxf>
    <dxf>
      <font>
        <b/>
        <i/>
        <condense/>
        <extend/>
      </font>
      <fill>
        <patternFill>
          <bgColor indexed="5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5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5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2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color theme="0"/>
      </font>
      <fill>
        <patternFill>
          <bgColor rgb="FFFF0000"/>
        </patternFill>
      </fill>
    </dxf>
    <dxf>
      <font>
        <b/>
        <i/>
        <condense/>
        <extend/>
      </font>
      <fill>
        <patternFill>
          <bgColor indexed="5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5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5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 patternType="none">
          <bgColor indexed="65"/>
        </patternFill>
      </fill>
      <border>
        <left/>
        <right/>
        <top style="hair">
          <color theme="0" tint="-0.14996795556505021"/>
        </top>
        <bottom style="hair">
          <color theme="0" tint="-0.14996795556505021"/>
        </bottom>
        <diagonal/>
      </border>
    </dxf>
    <dxf>
      <fill>
        <patternFill patternType="none">
          <bgColor indexed="65"/>
        </patternFill>
      </fill>
      <border>
        <left/>
        <right/>
        <top style="hair">
          <color theme="0" tint="-0.14996795556505021"/>
        </top>
        <bottom style="hair">
          <color theme="0" tint="-0.14996795556505021"/>
        </bottom>
        <diagonal/>
      </border>
    </dxf>
    <dxf>
      <fill>
        <patternFill patternType="none">
          <bgColor indexed="65"/>
        </patternFill>
      </fill>
      <border>
        <left/>
        <right/>
        <top style="hair">
          <color theme="0" tint="-0.14996795556505021"/>
        </top>
        <bottom style="hair">
          <color theme="0" tint="-0.14996795556505021"/>
        </bottom>
        <diagonal/>
      </border>
    </dxf>
    <dxf>
      <fill>
        <patternFill patternType="none">
          <bgColor indexed="65"/>
        </patternFill>
      </fill>
      <border>
        <left/>
        <right/>
        <top style="hair">
          <color theme="0" tint="-0.14996795556505021"/>
        </top>
        <bottom style="hair">
          <color theme="0" tint="-0.14996795556505021"/>
        </bottom>
        <diagonal/>
      </border>
    </dxf>
    <dxf>
      <fill>
        <patternFill patternType="none">
          <bgColor indexed="65"/>
        </patternFill>
      </fill>
      <border>
        <left/>
        <right/>
        <top style="hair">
          <color theme="0" tint="-0.14996795556505021"/>
        </top>
        <bottom style="hair">
          <color theme="0" tint="-0.14996795556505021"/>
        </bottom>
        <diagonal/>
      </border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ill>
        <patternFill>
          <bgColor indexed="2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indexed="2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indexed="2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indexed="2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indexed="2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indexed="1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indexed="1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indexed="1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indexed="1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indexed="1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indexed="1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indexed="1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indexed="1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indexed="1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indexed="1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indexed="1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indexed="1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indexed="1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indexed="1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indexed="1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/>
        <i/>
        <condense/>
        <extend/>
      </font>
      <fill>
        <patternFill>
          <bgColor indexed="5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5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5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5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5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1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3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3.png"/><Relationship Id="rId6" Type="http://schemas.openxmlformats.org/officeDocument/2006/relationships/image" Target="../media/image4.png"/><Relationship Id="rId7" Type="http://schemas.openxmlformats.org/officeDocument/2006/relationships/image" Target="../media/image5.emf"/><Relationship Id="rId8" Type="http://schemas.openxmlformats.org/officeDocument/2006/relationships/image" Target="../media/image6.emf"/><Relationship Id="rId9" Type="http://schemas.openxmlformats.org/officeDocument/2006/relationships/image" Target="../media/image3.png"/><Relationship Id="rId10" Type="http://schemas.openxmlformats.org/officeDocument/2006/relationships/image" Target="../media/image7.emf"/><Relationship Id="rId11" Type="http://schemas.openxmlformats.org/officeDocument/2006/relationships/image" Target="../media/image6.emf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Relationship Id="rId2" Type="http://schemas.openxmlformats.org/officeDocument/2006/relationships/image" Target="../media/image12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457200</xdr:colOff>
      <xdr:row>2</xdr:row>
      <xdr:rowOff>38100</xdr:rowOff>
    </xdr:from>
    <xdr:to>
      <xdr:col>15</xdr:col>
      <xdr:colOff>333375</xdr:colOff>
      <xdr:row>7</xdr:row>
      <xdr:rowOff>142875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13</xdr:col>
      <xdr:colOff>428625</xdr:colOff>
      <xdr:row>9</xdr:row>
      <xdr:rowOff>28575</xdr:rowOff>
    </xdr:from>
    <xdr:to>
      <xdr:col>15</xdr:col>
      <xdr:colOff>304800</xdr:colOff>
      <xdr:row>14</xdr:row>
      <xdr:rowOff>95250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21</xdr:col>
      <xdr:colOff>276225</xdr:colOff>
      <xdr:row>216</xdr:row>
      <xdr:rowOff>47625</xdr:rowOff>
    </xdr:from>
    <xdr:to>
      <xdr:col>22</xdr:col>
      <xdr:colOff>457200</xdr:colOff>
      <xdr:row>221</xdr:row>
      <xdr:rowOff>114300</xdr:rowOff>
    </xdr:to>
    <xdr:pic>
      <xdr:nvPicPr>
        <xdr:cNvPr id="3" name="Picture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21</xdr:col>
      <xdr:colOff>276225</xdr:colOff>
      <xdr:row>223</xdr:row>
      <xdr:rowOff>0</xdr:rowOff>
    </xdr:from>
    <xdr:to>
      <xdr:col>22</xdr:col>
      <xdr:colOff>457200</xdr:colOff>
      <xdr:row>228</xdr:row>
      <xdr:rowOff>0</xdr:rowOff>
    </xdr:to>
    <xdr:pic>
      <xdr:nvPicPr>
        <xdr:cNvPr id="4" name="Picture 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21</xdr:col>
      <xdr:colOff>276225</xdr:colOff>
      <xdr:row>230</xdr:row>
      <xdr:rowOff>9525</xdr:rowOff>
    </xdr:from>
    <xdr:to>
      <xdr:col>22</xdr:col>
      <xdr:colOff>457200</xdr:colOff>
      <xdr:row>235</xdr:row>
      <xdr:rowOff>0</xdr:rowOff>
    </xdr:to>
    <xdr:pic>
      <xdr:nvPicPr>
        <xdr:cNvPr id="5" name="Picture 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21</xdr:col>
      <xdr:colOff>209550</xdr:colOff>
      <xdr:row>237</xdr:row>
      <xdr:rowOff>114300</xdr:rowOff>
    </xdr:from>
    <xdr:to>
      <xdr:col>22</xdr:col>
      <xdr:colOff>390525</xdr:colOff>
      <xdr:row>242</xdr:row>
      <xdr:rowOff>104775</xdr:rowOff>
    </xdr:to>
    <xdr:pic>
      <xdr:nvPicPr>
        <xdr:cNvPr id="6" name="Picture 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21</xdr:col>
      <xdr:colOff>200025</xdr:colOff>
      <xdr:row>245</xdr:row>
      <xdr:rowOff>0</xdr:rowOff>
    </xdr:from>
    <xdr:to>
      <xdr:col>22</xdr:col>
      <xdr:colOff>381000</xdr:colOff>
      <xdr:row>250</xdr:row>
      <xdr:rowOff>28575</xdr:rowOff>
    </xdr:to>
    <xdr:pic>
      <xdr:nvPicPr>
        <xdr:cNvPr id="7" name="Picture 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21</xdr:col>
      <xdr:colOff>133350</xdr:colOff>
      <xdr:row>258</xdr:row>
      <xdr:rowOff>114300</xdr:rowOff>
    </xdr:from>
    <xdr:to>
      <xdr:col>22</xdr:col>
      <xdr:colOff>314325</xdr:colOff>
      <xdr:row>264</xdr:row>
      <xdr:rowOff>38100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21</xdr:col>
      <xdr:colOff>133350</xdr:colOff>
      <xdr:row>265</xdr:row>
      <xdr:rowOff>123825</xdr:rowOff>
    </xdr:from>
    <xdr:to>
      <xdr:col>22</xdr:col>
      <xdr:colOff>314325</xdr:colOff>
      <xdr:row>271</xdr:row>
      <xdr:rowOff>47625</xdr:rowOff>
    </xdr:to>
    <xdr:pic>
      <xdr:nvPicPr>
        <xdr:cNvPr id="9" name="Picture 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21</xdr:col>
      <xdr:colOff>142875</xdr:colOff>
      <xdr:row>272</xdr:row>
      <xdr:rowOff>133350</xdr:rowOff>
    </xdr:from>
    <xdr:to>
      <xdr:col>22</xdr:col>
      <xdr:colOff>323850</xdr:colOff>
      <xdr:row>278</xdr:row>
      <xdr:rowOff>57150</xdr:rowOff>
    </xdr:to>
    <xdr:pic>
      <xdr:nvPicPr>
        <xdr:cNvPr id="10" name="Picture 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21</xdr:col>
      <xdr:colOff>152400</xdr:colOff>
      <xdr:row>279</xdr:row>
      <xdr:rowOff>114300</xdr:rowOff>
    </xdr:from>
    <xdr:to>
      <xdr:col>22</xdr:col>
      <xdr:colOff>333375</xdr:colOff>
      <xdr:row>285</xdr:row>
      <xdr:rowOff>38100</xdr:rowOff>
    </xdr:to>
    <xdr:pic>
      <xdr:nvPicPr>
        <xdr:cNvPr id="11" name="Picture 1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21</xdr:col>
      <xdr:colOff>209550</xdr:colOff>
      <xdr:row>286</xdr:row>
      <xdr:rowOff>104775</xdr:rowOff>
    </xdr:from>
    <xdr:to>
      <xdr:col>22</xdr:col>
      <xdr:colOff>390525</xdr:colOff>
      <xdr:row>292</xdr:row>
      <xdr:rowOff>28575</xdr:rowOff>
    </xdr:to>
    <xdr:pic>
      <xdr:nvPicPr>
        <xdr:cNvPr id="12" name="Picture 1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21</xdr:col>
      <xdr:colOff>209550</xdr:colOff>
      <xdr:row>293</xdr:row>
      <xdr:rowOff>114300</xdr:rowOff>
    </xdr:from>
    <xdr:to>
      <xdr:col>22</xdr:col>
      <xdr:colOff>390525</xdr:colOff>
      <xdr:row>299</xdr:row>
      <xdr:rowOff>38100</xdr:rowOff>
    </xdr:to>
    <xdr:pic>
      <xdr:nvPicPr>
        <xdr:cNvPr id="13" name="Picture 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21</xdr:col>
      <xdr:colOff>200025</xdr:colOff>
      <xdr:row>252</xdr:row>
      <xdr:rowOff>0</xdr:rowOff>
    </xdr:from>
    <xdr:to>
      <xdr:col>22</xdr:col>
      <xdr:colOff>381000</xdr:colOff>
      <xdr:row>257</xdr:row>
      <xdr:rowOff>9525</xdr:rowOff>
    </xdr:to>
    <xdr:pic>
      <xdr:nvPicPr>
        <xdr:cNvPr id="14" name="Picture 1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21</xdr:col>
      <xdr:colOff>209550</xdr:colOff>
      <xdr:row>300</xdr:row>
      <xdr:rowOff>104775</xdr:rowOff>
    </xdr:from>
    <xdr:to>
      <xdr:col>22</xdr:col>
      <xdr:colOff>390525</xdr:colOff>
      <xdr:row>306</xdr:row>
      <xdr:rowOff>28575</xdr:rowOff>
    </xdr:to>
    <xdr:pic>
      <xdr:nvPicPr>
        <xdr:cNvPr id="15" name="Picture 1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21</xdr:col>
      <xdr:colOff>257175</xdr:colOff>
      <xdr:row>203</xdr:row>
      <xdr:rowOff>133350</xdr:rowOff>
    </xdr:from>
    <xdr:to>
      <xdr:col>22</xdr:col>
      <xdr:colOff>438150</xdr:colOff>
      <xdr:row>209</xdr:row>
      <xdr:rowOff>57150</xdr:rowOff>
    </xdr:to>
    <xdr:pic>
      <xdr:nvPicPr>
        <xdr:cNvPr id="16" name="Picture 1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9</xdr:col>
      <xdr:colOff>9525</xdr:colOff>
      <xdr:row>49</xdr:row>
      <xdr:rowOff>9525</xdr:rowOff>
    </xdr:from>
    <xdr:to>
      <xdr:col>12</xdr:col>
      <xdr:colOff>9525</xdr:colOff>
      <xdr:row>58</xdr:row>
      <xdr:rowOff>9525</xdr:rowOff>
    </xdr:to>
    <xdr:pic>
      <xdr:nvPicPr>
        <xdr:cNvPr id="17" name="Picture 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9</xdr:col>
      <xdr:colOff>9525</xdr:colOff>
      <xdr:row>65</xdr:row>
      <xdr:rowOff>9525</xdr:rowOff>
    </xdr:from>
    <xdr:to>
      <xdr:col>12</xdr:col>
      <xdr:colOff>9525</xdr:colOff>
      <xdr:row>74</xdr:row>
      <xdr:rowOff>9525</xdr:rowOff>
    </xdr:to>
    <xdr:pic>
      <xdr:nvPicPr>
        <xdr:cNvPr id="18" name="Picture 1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9</xdr:col>
      <xdr:colOff>9525</xdr:colOff>
      <xdr:row>81</xdr:row>
      <xdr:rowOff>9525</xdr:rowOff>
    </xdr:from>
    <xdr:to>
      <xdr:col>12</xdr:col>
      <xdr:colOff>9525</xdr:colOff>
      <xdr:row>90</xdr:row>
      <xdr:rowOff>9525</xdr:rowOff>
    </xdr:to>
    <xdr:pic>
      <xdr:nvPicPr>
        <xdr:cNvPr id="19" name="Picture 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9</xdr:col>
      <xdr:colOff>9525</xdr:colOff>
      <xdr:row>97</xdr:row>
      <xdr:rowOff>9525</xdr:rowOff>
    </xdr:from>
    <xdr:to>
      <xdr:col>12</xdr:col>
      <xdr:colOff>9525</xdr:colOff>
      <xdr:row>106</xdr:row>
      <xdr:rowOff>9525</xdr:rowOff>
    </xdr:to>
    <xdr:pic>
      <xdr:nvPicPr>
        <xdr:cNvPr id="20" name="Picture 2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9</xdr:col>
      <xdr:colOff>9525</xdr:colOff>
      <xdr:row>113</xdr:row>
      <xdr:rowOff>9525</xdr:rowOff>
    </xdr:from>
    <xdr:to>
      <xdr:col>12</xdr:col>
      <xdr:colOff>9525</xdr:colOff>
      <xdr:row>122</xdr:row>
      <xdr:rowOff>0</xdr:rowOff>
    </xdr:to>
    <xdr:pic>
      <xdr:nvPicPr>
        <xdr:cNvPr id="21" name="Picture 2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21</xdr:col>
      <xdr:colOff>247650</xdr:colOff>
      <xdr:row>210</xdr:row>
      <xdr:rowOff>9525</xdr:rowOff>
    </xdr:from>
    <xdr:to>
      <xdr:col>22</xdr:col>
      <xdr:colOff>428625</xdr:colOff>
      <xdr:row>215</xdr:row>
      <xdr:rowOff>85725</xdr:rowOff>
    </xdr:to>
    <xdr:pic>
      <xdr:nvPicPr>
        <xdr:cNvPr id="22" name="Picture 2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9</xdr:col>
      <xdr:colOff>9525</xdr:colOff>
      <xdr:row>49</xdr:row>
      <xdr:rowOff>9525</xdr:rowOff>
    </xdr:from>
    <xdr:to>
      <xdr:col>12</xdr:col>
      <xdr:colOff>9525</xdr:colOff>
      <xdr:row>58</xdr:row>
      <xdr:rowOff>9525</xdr:rowOff>
    </xdr:to>
    <xdr:pic>
      <xdr:nvPicPr>
        <xdr:cNvPr id="23" name="Picture 2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9</xdr:col>
      <xdr:colOff>9525</xdr:colOff>
      <xdr:row>65</xdr:row>
      <xdr:rowOff>9525</xdr:rowOff>
    </xdr:from>
    <xdr:to>
      <xdr:col>12</xdr:col>
      <xdr:colOff>9525</xdr:colOff>
      <xdr:row>74</xdr:row>
      <xdr:rowOff>9525</xdr:rowOff>
    </xdr:to>
    <xdr:pic>
      <xdr:nvPicPr>
        <xdr:cNvPr id="24" name="Picture 2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9</xdr:col>
      <xdr:colOff>9525</xdr:colOff>
      <xdr:row>81</xdr:row>
      <xdr:rowOff>9525</xdr:rowOff>
    </xdr:from>
    <xdr:to>
      <xdr:col>12</xdr:col>
      <xdr:colOff>9525</xdr:colOff>
      <xdr:row>90</xdr:row>
      <xdr:rowOff>9525</xdr:rowOff>
    </xdr:to>
    <xdr:pic>
      <xdr:nvPicPr>
        <xdr:cNvPr id="25" name="Picture 2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9</xdr:col>
      <xdr:colOff>9525</xdr:colOff>
      <xdr:row>97</xdr:row>
      <xdr:rowOff>9525</xdr:rowOff>
    </xdr:from>
    <xdr:to>
      <xdr:col>12</xdr:col>
      <xdr:colOff>9525</xdr:colOff>
      <xdr:row>106</xdr:row>
      <xdr:rowOff>9525</xdr:rowOff>
    </xdr:to>
    <xdr:pic>
      <xdr:nvPicPr>
        <xdr:cNvPr id="26" name="Picture 2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9</xdr:col>
      <xdr:colOff>9525</xdr:colOff>
      <xdr:row>113</xdr:row>
      <xdr:rowOff>9525</xdr:rowOff>
    </xdr:from>
    <xdr:to>
      <xdr:col>12</xdr:col>
      <xdr:colOff>9525</xdr:colOff>
      <xdr:row>122</xdr:row>
      <xdr:rowOff>0</xdr:rowOff>
    </xdr:to>
    <xdr:pic>
      <xdr:nvPicPr>
        <xdr:cNvPr id="27" name="Picture 2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371475</xdr:colOff>
      <xdr:row>4</xdr:row>
      <xdr:rowOff>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8</xdr:col>
      <xdr:colOff>76203</xdr:colOff>
      <xdr:row>1</xdr:row>
      <xdr:rowOff>38100</xdr:rowOff>
    </xdr:from>
    <xdr:to>
      <xdr:col>8</xdr:col>
      <xdr:colOff>457201</xdr:colOff>
      <xdr:row>2</xdr:row>
      <xdr:rowOff>146175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552450</xdr:colOff>
      <xdr:row>3</xdr:row>
      <xdr:rowOff>9525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a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370"/>
  <sheetViews>
    <sheetView workbookViewId="0" zoomScale="100" zoomScaleNormal="100">
      <selection activeCell="C17" sqref="C17"/>
    </sheetView>
  </sheetViews>
  <sheetFormatPr defaultRowHeight="12.75" outlineLevelRow="0" outlineLevelCol="0" x14ac:dyDescent="0.2" defaultColWidth="10.7109375" customHeight="1"/>
  <cols>
    <col min="1" max="1" width="13.85546875" style="1" customWidth="1"/>
    <col min="2" max="26" width="10.7109375" style="1" customWidth="1"/>
    <col min="27" max="27" width="11.42578125" style="2" customWidth="1"/>
    <col min="28" max="16384" width="10.7109375" style="1" customWidth="1"/>
  </cols>
  <sheetData>
    <row r="1" ht="15" customHeight="1" spans="1:27" s="3" customFormat="1" x14ac:dyDescent="0.25">
      <c r="A1" s="4" t="s">
        <v>0</v>
      </c>
      <c r="B1" s="4"/>
      <c r="C1" s="4"/>
      <c r="D1" s="4"/>
      <c r="E1" s="4"/>
      <c r="F1" s="4"/>
      <c r="G1" s="5" t="s">
        <v>1</v>
      </c>
      <c r="H1" s="5"/>
      <c r="I1" s="5"/>
      <c r="J1" s="5"/>
      <c r="K1" s="5"/>
      <c r="L1" s="5"/>
      <c r="AA1" s="3"/>
    </row>
    <row r="3" spans="1:19" x14ac:dyDescent="0.25">
      <c r="A3" s="6" t="s">
        <v>2</v>
      </c>
      <c r="B3" s="7"/>
      <c r="C3" s="7"/>
      <c r="D3" s="7"/>
      <c r="E3" s="8"/>
      <c r="F3" s="9"/>
      <c r="G3" s="6" t="s">
        <v>3</v>
      </c>
      <c r="H3" s="10"/>
      <c r="I3" s="10"/>
      <c r="J3" s="10"/>
      <c r="K3" s="10"/>
      <c r="L3" s="11"/>
      <c r="N3" s="12" t="s">
        <v>4</v>
      </c>
      <c r="O3" s="13"/>
      <c r="P3" s="14"/>
      <c r="R3" s="15">
        <v>44665</v>
      </c>
      <c r="S3" s="1" t="s">
        <v>5</v>
      </c>
    </row>
    <row r="4" spans="1:19" x14ac:dyDescent="0.25">
      <c r="A4" s="16" t="s">
        <v>6</v>
      </c>
      <c r="B4" s="17"/>
      <c r="C4" s="18"/>
      <c r="D4" s="18"/>
      <c r="E4" s="19"/>
      <c r="G4" s="20" t="s">
        <v>6</v>
      </c>
      <c r="H4" s="21"/>
      <c r="I4" s="17">
        <f>IF(B4&gt;0,B4,"")</f>
      </c>
      <c r="J4" s="18"/>
      <c r="K4" s="18"/>
      <c r="L4" s="19"/>
      <c r="N4" s="22" t="s">
        <v>7</v>
      </c>
      <c r="O4" s="23"/>
      <c r="P4" s="24" t="s">
        <v>8</v>
      </c>
      <c r="R4" s="15">
        <v>44977</v>
      </c>
      <c r="S4" s="1" t="s">
        <v>9</v>
      </c>
    </row>
    <row r="5" spans="1:19" x14ac:dyDescent="0.25">
      <c r="A5" s="25" t="s">
        <v>10</v>
      </c>
      <c r="B5" s="26"/>
      <c r="C5" s="27"/>
      <c r="D5" s="27"/>
      <c r="E5" s="28"/>
      <c r="G5" s="29" t="s">
        <v>10</v>
      </c>
      <c r="H5" s="30"/>
      <c r="I5" s="26">
        <f>IF(B5&gt;0,B5,"")</f>
      </c>
      <c r="J5" s="27"/>
      <c r="K5" s="27"/>
      <c r="L5" s="28"/>
      <c r="N5" s="22"/>
      <c r="O5" s="31"/>
      <c r="P5" s="24"/>
      <c r="R5" s="15">
        <v>45188</v>
      </c>
      <c r="S5" s="2" t="s">
        <v>11</v>
      </c>
    </row>
    <row r="6" spans="1:19" x14ac:dyDescent="0.25">
      <c r="A6" s="32"/>
      <c r="B6" s="26"/>
      <c r="C6" s="27"/>
      <c r="D6" s="27"/>
      <c r="E6" s="28"/>
      <c r="G6" s="33"/>
      <c r="H6" s="34"/>
      <c r="I6" s="35">
        <f>IF(B6&gt;0,B6,"")</f>
      </c>
      <c r="J6" s="36"/>
      <c r="K6" s="36"/>
      <c r="L6" s="37"/>
      <c r="N6" s="22" t="s">
        <v>12</v>
      </c>
      <c r="O6" s="38"/>
      <c r="P6" s="24"/>
      <c r="R6" s="15">
        <v>45195</v>
      </c>
      <c r="S6" s="1" t="s">
        <v>13</v>
      </c>
    </row>
    <row r="7" spans="1:19" x14ac:dyDescent="0.25">
      <c r="A7" s="25" t="s">
        <v>14</v>
      </c>
      <c r="B7" s="26"/>
      <c r="C7" s="27"/>
      <c r="D7" s="27"/>
      <c r="E7" s="28"/>
      <c r="G7" s="38"/>
      <c r="H7" s="38"/>
      <c r="I7" s="38"/>
      <c r="J7" s="38"/>
      <c r="K7" s="38"/>
      <c r="L7" s="38"/>
      <c r="N7" s="22" t="s">
        <v>15</v>
      </c>
      <c r="O7" s="38"/>
      <c r="P7" s="24" t="s">
        <v>16</v>
      </c>
      <c r="R7" s="39">
        <v>45296</v>
      </c>
      <c r="S7" s="2" t="s">
        <v>17</v>
      </c>
    </row>
    <row r="8" spans="1:16" x14ac:dyDescent="0.25">
      <c r="A8" s="25" t="s">
        <v>18</v>
      </c>
      <c r="B8" s="26"/>
      <c r="C8" s="27"/>
      <c r="D8" s="27"/>
      <c r="E8" s="28"/>
      <c r="G8" s="40" t="s">
        <v>19</v>
      </c>
      <c r="H8" s="41"/>
      <c r="I8" s="42"/>
      <c r="J8" s="43"/>
      <c r="K8" s="43"/>
      <c r="L8" s="44"/>
      <c r="N8" s="45"/>
      <c r="O8" s="46"/>
      <c r="P8" s="47" t="s">
        <v>20</v>
      </c>
    </row>
    <row r="9" spans="1:12" x14ac:dyDescent="0.25">
      <c r="A9" s="25" t="s">
        <v>21</v>
      </c>
      <c r="B9" s="26"/>
      <c r="C9" s="27"/>
      <c r="D9" s="27"/>
      <c r="E9" s="28"/>
      <c r="G9" s="38"/>
      <c r="H9" s="38"/>
      <c r="I9" s="38"/>
      <c r="J9" s="38"/>
      <c r="K9" s="38"/>
      <c r="L9" s="38"/>
    </row>
    <row r="10" spans="1:16" x14ac:dyDescent="0.25">
      <c r="A10" s="48" t="s">
        <v>22</v>
      </c>
      <c r="B10" s="49"/>
      <c r="C10" s="50"/>
      <c r="D10" s="50"/>
      <c r="E10" s="51"/>
      <c r="G10" s="40" t="s">
        <v>23</v>
      </c>
      <c r="H10" s="41"/>
      <c r="I10" s="52" t="s">
        <v>24</v>
      </c>
      <c r="J10" s="38"/>
      <c r="N10" s="12"/>
      <c r="O10" s="53"/>
      <c r="P10" s="54" t="s">
        <v>25</v>
      </c>
    </row>
    <row r="11" spans="7:16" x14ac:dyDescent="0.25">
      <c r="G11" s="38"/>
      <c r="H11" s="38"/>
      <c r="I11" s="38"/>
      <c r="K11" s="55" t="s">
        <v>26</v>
      </c>
      <c r="L11" s="56"/>
      <c r="N11" s="22" t="s">
        <v>27</v>
      </c>
      <c r="O11" s="57"/>
      <c r="P11" s="58" t="s">
        <v>28</v>
      </c>
    </row>
    <row r="12" spans="1:16" x14ac:dyDescent="0.25">
      <c r="A12" s="59" t="s">
        <v>29</v>
      </c>
      <c r="B12" s="42"/>
      <c r="C12" s="43"/>
      <c r="D12" s="43"/>
      <c r="E12" s="44"/>
      <c r="G12" s="40" t="str">
        <f>IF(I10="N","Leverdatum: ","Afhaaldatum: ")</f>
        <v>Leverdatum: </v>
      </c>
      <c r="H12" s="11"/>
      <c r="I12" s="60"/>
      <c r="J12" s="38"/>
      <c r="K12" s="61" t="s">
        <v>24</v>
      </c>
      <c r="L12" s="62"/>
      <c r="N12" s="22"/>
      <c r="O12" s="57"/>
      <c r="P12" s="24"/>
    </row>
    <row r="13" ht="13.5" customHeight="1" spans="9:16" x14ac:dyDescent="0.25">
      <c r="I13" s="63"/>
      <c r="J13" s="38"/>
      <c r="M13" s="38"/>
      <c r="N13" s="22"/>
      <c r="O13" s="38"/>
      <c r="P13" s="24" t="s">
        <v>30</v>
      </c>
    </row>
    <row r="14" ht="15" customHeight="1" spans="1:16" x14ac:dyDescent="0.25">
      <c r="A14" s="64"/>
      <c r="B14" s="65"/>
      <c r="C14" s="66" t="s">
        <v>31</v>
      </c>
      <c r="D14" s="66" t="s">
        <v>32</v>
      </c>
      <c r="E14" s="66" t="s">
        <v>33</v>
      </c>
      <c r="F14" s="66" t="s">
        <v>34</v>
      </c>
      <c r="G14" s="67" t="s">
        <v>35</v>
      </c>
      <c r="H14" s="23"/>
      <c r="I14" s="23"/>
      <c r="J14" s="23"/>
      <c r="K14" s="23"/>
      <c r="L14" s="23"/>
      <c r="N14" s="22" t="s">
        <v>36</v>
      </c>
      <c r="O14" s="38"/>
      <c r="P14" s="24" t="s">
        <v>37</v>
      </c>
    </row>
    <row r="15" ht="14.45" customHeight="1" spans="1:16" x14ac:dyDescent="0.25">
      <c r="A15" s="68" t="s">
        <v>38</v>
      </c>
      <c r="B15" s="69"/>
      <c r="C15" s="70">
        <v>1</v>
      </c>
      <c r="D15" s="71"/>
      <c r="E15" s="71"/>
      <c r="F15" s="71"/>
      <c r="G15" s="72"/>
      <c r="H15" s="73"/>
      <c r="I15" s="73"/>
      <c r="J15" s="73"/>
      <c r="K15" s="73"/>
      <c r="L15" s="73"/>
      <c r="N15" s="74" t="s">
        <v>39</v>
      </c>
      <c r="O15" s="46"/>
      <c r="P15" s="75"/>
    </row>
    <row r="16" ht="14.45" customHeight="1" spans="1:10" x14ac:dyDescent="0.25">
      <c r="A16" s="76" t="s">
        <v>40</v>
      </c>
      <c r="B16" s="77"/>
      <c r="C16" s="78" t="s">
        <v>41</v>
      </c>
      <c r="D16" s="78"/>
      <c r="E16" s="78"/>
      <c r="F16" s="78"/>
      <c r="G16" s="79"/>
      <c r="I16" s="80" t="s">
        <v>42</v>
      </c>
      <c r="J16" s="81"/>
    </row>
    <row r="17" ht="14.45" customHeight="1" spans="1:14" x14ac:dyDescent="0.25">
      <c r="A17" s="76" t="s">
        <v>43</v>
      </c>
      <c r="B17" s="77"/>
      <c r="C17" s="78" t="str">
        <f>=ALS(C16="P42";"WIT";"")</f>
        <v>RALundefined</v>
      </c>
      <c r="D17" s="78"/>
      <c r="E17" s="78"/>
      <c r="F17" s="78"/>
      <c r="G17" s="79"/>
      <c r="H17" s="82"/>
      <c r="I17" s="81"/>
      <c r="J17" s="81"/>
      <c r="N17" s="1" t="s">
        <v>44</v>
      </c>
    </row>
    <row r="18" ht="14.45" customHeight="1" spans="1:10" x14ac:dyDescent="0.25">
      <c r="A18" s="76" t="s">
        <v>45</v>
      </c>
      <c r="B18" s="77"/>
      <c r="C18" s="83">
        <f>IF(C15&gt;0.1,0.5,"")</f>
      </c>
      <c r="D18" s="83">
        <f>IF(D15&gt;0.1,0.5,"")</f>
      </c>
      <c r="E18" s="83">
        <f>IF(E15&gt;0.1,0.5,"")</f>
      </c>
      <c r="F18" s="83">
        <f>IF(F15&gt;0.1,0.5,"")</f>
      </c>
      <c r="G18" s="84">
        <f>IF(G15&gt;0.1,0.5,"")</f>
      </c>
      <c r="I18" s="80" t="s">
        <v>46</v>
      </c>
      <c r="J18" s="81"/>
    </row>
    <row r="19" ht="14.45" customHeight="1" spans="1:10" x14ac:dyDescent="0.25">
      <c r="A19" s="76" t="s">
        <v>47</v>
      </c>
      <c r="B19" s="77"/>
      <c r="C19" s="85" t="str">
        <f>IF(C15&gt;0.1,1-C18," ")</f>
        <v> </v>
      </c>
      <c r="D19" s="85" t="str">
        <f>IF(D15&gt;0.1,1-D18," ")</f>
        <v> </v>
      </c>
      <c r="E19" s="85" t="str">
        <f>IF(E15&gt;0.1,1-E18," ")</f>
        <v> </v>
      </c>
      <c r="F19" s="85" t="str">
        <f>IF(F15&gt;0.1,1-F18," ")</f>
        <v> </v>
      </c>
      <c r="G19" s="86" t="str">
        <f>IF(G15&gt;0.1,1-G18," ")</f>
        <v> </v>
      </c>
      <c r="I19" s="81"/>
      <c r="J19" s="81"/>
    </row>
    <row r="20" ht="14.45" customHeight="1" spans="1:10" x14ac:dyDescent="0.25">
      <c r="A20" s="76" t="s">
        <v>48</v>
      </c>
      <c r="B20" s="77"/>
      <c r="C20" s="78" t="s">
        <v>49</v>
      </c>
      <c r="D20" s="78"/>
      <c r="E20" s="78"/>
      <c r="F20" s="78"/>
      <c r="G20" s="79"/>
      <c r="I20" s="81"/>
      <c r="J20" s="81"/>
    </row>
    <row r="21" ht="14.45" customHeight="1" spans="1:10" x14ac:dyDescent="0.25">
      <c r="A21" s="76" t="s">
        <v>50</v>
      </c>
      <c r="B21" s="77"/>
      <c r="C21" s="87" t="str">
        <f>IF(C20&gt;0,C20," ")</f>
        <v> </v>
      </c>
      <c r="D21" s="87" t="str">
        <f>IF(D20&gt;0,D20," ")</f>
        <v> </v>
      </c>
      <c r="E21" s="87" t="str">
        <f>IF(E20&gt;0,E20," ")</f>
        <v> </v>
      </c>
      <c r="F21" s="87" t="str">
        <f>IF(F20&gt;0,F20," ")</f>
        <v> </v>
      </c>
      <c r="G21" s="88" t="str">
        <f>IF(G20&gt;0,G20," ")</f>
        <v> </v>
      </c>
      <c r="I21" s="81"/>
      <c r="J21" s="81"/>
    </row>
    <row r="22" ht="14.45" customHeight="1" spans="1:10" x14ac:dyDescent="0.25">
      <c r="A22" s="76" t="s">
        <v>51</v>
      </c>
      <c r="B22" s="77"/>
      <c r="C22" s="87" t="str">
        <f>IF(C20&gt;0,C20," ")</f>
        <v> </v>
      </c>
      <c r="D22" s="87" t="str">
        <f>IF(D20&gt;0,D20," ")</f>
        <v> </v>
      </c>
      <c r="E22" s="87" t="str">
        <f>IF(E20&gt;0,E20," ")</f>
        <v> </v>
      </c>
      <c r="F22" s="87" t="str">
        <f>IF(F20&gt;0,F20," ")</f>
        <v> </v>
      </c>
      <c r="G22" s="88" t="str">
        <f>IF(G20&gt;0,G20," ")</f>
        <v> </v>
      </c>
      <c r="I22" s="81"/>
      <c r="J22" s="81"/>
    </row>
    <row r="23" ht="14.45" customHeight="1" spans="1:10" x14ac:dyDescent="0.25">
      <c r="A23" s="76" t="s">
        <v>52</v>
      </c>
      <c r="B23" s="77"/>
      <c r="C23" s="89" t="s">
        <v>53</v>
      </c>
      <c r="D23" s="89"/>
      <c r="E23" s="89"/>
      <c r="F23" s="89"/>
      <c r="G23" s="90"/>
      <c r="I23" s="81"/>
      <c r="J23" s="81"/>
    </row>
    <row r="24" ht="14.45" customHeight="1" spans="1:10" x14ac:dyDescent="0.25">
      <c r="A24" s="76" t="s">
        <v>54</v>
      </c>
      <c r="B24" s="77"/>
      <c r="C24" s="89" t="s">
        <v>55</v>
      </c>
      <c r="D24" s="89"/>
      <c r="E24" s="89"/>
      <c r="F24" s="89"/>
      <c r="G24" s="90"/>
      <c r="I24" s="81"/>
      <c r="J24" s="81"/>
    </row>
    <row r="25" ht="14.45" customHeight="1" spans="1:16" x14ac:dyDescent="0.25">
      <c r="A25" s="76" t="s">
        <v>56</v>
      </c>
      <c r="B25" s="77"/>
      <c r="C25" s="87">
        <v>60</v>
      </c>
      <c r="D25" s="87"/>
      <c r="E25" s="87"/>
      <c r="F25" s="87"/>
      <c r="G25" s="88"/>
      <c r="I25" s="80" t="s">
        <v>57</v>
      </c>
      <c r="P25" s="2"/>
    </row>
    <row r="26" ht="14.45" customHeight="1" spans="1:9" x14ac:dyDescent="0.25">
      <c r="A26" s="76" t="s">
        <v>58</v>
      </c>
      <c r="B26" s="77"/>
      <c r="C26" s="87">
        <f>IF(C15&gt;0,45,"")</f>
      </c>
      <c r="D26" s="87">
        <f>IF(D15&gt;0,45,"")</f>
      </c>
      <c r="E26" s="87">
        <f>IF(E15&gt;0,45,"")</f>
      </c>
      <c r="F26" s="87">
        <f>IF(F15&gt;0,45,"")</f>
      </c>
      <c r="G26" s="88">
        <f>IF(G15&gt;0,45,"")</f>
      </c>
      <c r="I26" s="80" t="s">
        <v>59</v>
      </c>
    </row>
    <row r="27" ht="14.45" customHeight="1" spans="1:9" x14ac:dyDescent="0.25">
      <c r="A27" s="76" t="s">
        <v>60</v>
      </c>
      <c r="B27" s="77"/>
      <c r="C27" s="91">
        <f>IF(OR(C31="SIO",C31="GSS"),IF(C16="P42",I212,IF(C16="A42",I213,IF(C16="U42",I214,IF(C16="U52",I215,"")))),IF(C16="P42",B205,IF(C16="A42",B206,IF(C16="U42",B207,IF(C16="U52",B208,"")))))</f>
      </c>
      <c r="D27" s="91">
        <f>IF(OR(D31="SIO",D31="GSS"),IF(D16="P42",J212,IF(D16="A42",J213,IF(D16="U42",J214,IF(D16="U52",J215,"")))),IF(D31="SIO",J213,IF(D16="P42",C205,IF(D16="A42",C206,IF(D16="U42",C207,IF(D16="U52",C208,""))))))</f>
      </c>
      <c r="E27" s="91">
        <f>IF(OR(E31="SIO",E31="GSS"),IF(E16="P42",K212,IF(E16="A42",K213,IF(E16="U42",K214,IF(E16="U52",K215,"")))),IF(E31="SIO",K213,IF(E16="P42",D205,IF(E16="A42",D206,IF(E16="U42",D207,IF(E16="U52",D208,""))))))</f>
      </c>
      <c r="F27" s="91">
        <f>IF(OR(F31="SIO",F31="GSS"),IF(F16="P42",L212,IF(F16="A42",L213,IF(F16="U42",L214,IF(F16="U52",L215,"")))),IF(F31="SIO",L213,IF(F16="P42",E205,IF(F16="A42",E206,IF(F16="U42",E207,IF(F16="U52",E208,""))))))</f>
      </c>
      <c r="G27" s="92">
        <f>IF(OR(G31="SIO",G31="GSS"),IF(G16="P42",M212,IF(G16="A42",M213,IF(G16="U42",M214,IF(G16="U52",M215,"")))),IF(G31="SIO",M213,IF(G16="P42",F205,IF(G16="A42",F206,IF(G16="U42",F207,IF(G16="U52",F208,""))))))</f>
      </c>
      <c r="I27" s="93" t="s">
        <v>61</v>
      </c>
    </row>
    <row r="28" ht="14.45" customHeight="1" spans="1:9" x14ac:dyDescent="0.25">
      <c r="A28" s="76" t="s">
        <v>62</v>
      </c>
      <c r="B28" s="77"/>
      <c r="C28" s="87">
        <f>IF(C15&gt;0,IF(C26="R","R","U"),"")</f>
      </c>
      <c r="D28" s="87">
        <f>IF(D15&gt;0,IF(D26="R","R","U"),"")</f>
      </c>
      <c r="E28" s="87">
        <f>IF(E15&gt;0,IF(E26="R","R","U"),"")</f>
      </c>
      <c r="F28" s="87">
        <f>IF(F15&gt;0,IF(F26="R","R","U"),"")</f>
      </c>
      <c r="G28" s="88">
        <f>IF(G15&gt;0,IF(G26="R","R","U"),"")</f>
      </c>
      <c r="I28" s="80" t="s">
        <v>63</v>
      </c>
    </row>
    <row r="29" ht="14.45" customHeight="1" spans="1:9" x14ac:dyDescent="0.25">
      <c r="A29" s="76" t="s">
        <v>64</v>
      </c>
      <c r="B29" s="77"/>
      <c r="C29" s="87">
        <f>IF(C15&gt;0,IF(C26="R","R","U"),"")</f>
      </c>
      <c r="D29" s="87">
        <f>IF(D15&gt;0,IF(D26="R","R","U"),"")</f>
      </c>
      <c r="E29" s="87">
        <f>IF(E15&gt;0,IF(E26="R","R","U"),"")</f>
      </c>
      <c r="F29" s="87">
        <f>IF(F15&gt;0,IF(F26="R","R","U"),"")</f>
      </c>
      <c r="G29" s="88">
        <f>IF(G15&gt;0,IF(G26="R","R","U"),"")</f>
      </c>
      <c r="I29" s="80" t="s">
        <v>63</v>
      </c>
    </row>
    <row r="30" ht="14.45" customHeight="1" spans="1:9" x14ac:dyDescent="0.25">
      <c r="A30" s="76" t="s">
        <v>65</v>
      </c>
      <c r="B30" s="77"/>
      <c r="C30" s="78"/>
      <c r="D30" s="78"/>
      <c r="E30" s="78"/>
      <c r="F30" s="78"/>
      <c r="G30" s="79"/>
      <c r="I30" s="80" t="s">
        <v>66</v>
      </c>
    </row>
    <row r="31" ht="14.45" customHeight="1" spans="1:9" x14ac:dyDescent="0.25">
      <c r="A31" s="76" t="s">
        <v>67</v>
      </c>
      <c r="B31" s="77"/>
      <c r="C31" s="78"/>
      <c r="D31" s="78"/>
      <c r="E31" s="78"/>
      <c r="F31" s="78"/>
      <c r="G31" s="79"/>
      <c r="I31" s="94" t="s">
        <v>68</v>
      </c>
    </row>
    <row r="32" ht="14.45" customHeight="1" spans="1:9" x14ac:dyDescent="0.25">
      <c r="A32" s="76" t="s">
        <v>69</v>
      </c>
      <c r="B32" s="77"/>
      <c r="C32" s="78"/>
      <c r="D32" s="78"/>
      <c r="E32" s="78"/>
      <c r="F32" s="78"/>
      <c r="G32" s="79"/>
      <c r="I32" s="80" t="s">
        <v>70</v>
      </c>
    </row>
    <row r="33" ht="14.45" customHeight="1" spans="1:9" x14ac:dyDescent="0.25">
      <c r="A33" s="76" t="s">
        <v>71</v>
      </c>
      <c r="B33" s="77"/>
      <c r="C33" s="78"/>
      <c r="D33" s="87"/>
      <c r="E33" s="87"/>
      <c r="F33" s="78"/>
      <c r="G33" s="79"/>
      <c r="I33" s="80" t="s">
        <v>72</v>
      </c>
    </row>
    <row r="34" ht="14.45" customHeight="1" spans="1:9" x14ac:dyDescent="0.25">
      <c r="A34" s="95" t="s">
        <v>73</v>
      </c>
      <c r="B34" s="96"/>
      <c r="C34" s="87">
        <f>IF(C31="IO","IO",IF(C31="RTS","RTS",IF(C31="CSI RTS","RTS",IF(C31="GS","GS",IF(C31="SIO","IO",IF(C31="GSS","GS",""))))))</f>
      </c>
      <c r="D34" s="87">
        <f t="shared" ref="D34:G34" si="0">IF(D31="IO","IO",IF(D31="RTS","RTS",IF(D31="CSI RTS","RTS",IF(D31="GS","GS",IF(D31="SIO","IO",IF(D31="GSS","GS",""))))))</f>
      </c>
      <c r="E34" s="87">
        <f t="shared" si="0"/>
      </c>
      <c r="F34" s="87">
        <f t="shared" si="0"/>
      </c>
      <c r="G34" s="79">
        <f t="shared" si="0"/>
      </c>
      <c r="I34" s="80" t="s">
        <v>74</v>
      </c>
    </row>
    <row r="35" ht="14.45" customHeight="1" spans="1:24" x14ac:dyDescent="0.25">
      <c r="A35" s="76" t="s">
        <v>75</v>
      </c>
      <c r="B35" s="77"/>
      <c r="C35" s="91">
        <f>IF(C34="RTS","T1",IF(C34="IO","S1",IF(C34="GS","H1","")))</f>
      </c>
      <c r="D35" s="91">
        <f>IF(D34="RTS","T1",IF(D34="IO","S1",IF(D34="GS","H1","")))</f>
      </c>
      <c r="E35" s="91">
        <f>IF(E34="RTS","T1",IF(E34="IO","S1",IF(E34="GS","H1","")))</f>
      </c>
      <c r="F35" s="91">
        <f>IF(F34="RTS","T1",IF(F34="IO","S1",IF(F34="GS","H1","")))</f>
      </c>
      <c r="G35" s="97">
        <f>IF(G34="RTS","T1",IF(G34="IO","S1",IF(G34="GS","H1","")))</f>
      </c>
      <c r="H35" s="73"/>
      <c r="I35" s="98">
        <f>IF(C34="RTS","S = Smoove;   T1 = Telis 1;   T4 = Telis 4;   T6 = Telis 6    T16 = Telis 16;   K = KeyGo;   CK = Codeklavier",
IF(C34="IO","S = Smoove;   S4 = Smoove 4;   SAM = Smoove A/M    S1 = Situo 1;   S5 = Situo 5;   N = Nina;   NT = Nina Timer   C = Chronis;   K = KeyGo;   CK = Codeklavier",
IF(C34="GS","W1 = Wandzender - 1 Kan.;   W5 = Wandzender - 5 Kan.;   H1 = Handzender 1 Kan.;   H5 = Handzender 5 Kan.;   H16 = Handzender - 16 Kan.;   H16K = Handzender + Klok - 16 Kan.;   S = Sleutelhanger - 1 Kan;   Z = Zonsensor - 1 Kan.",IF(C34="",""))))</f>
      </c>
      <c r="J35" s="98"/>
      <c r="K35" s="98"/>
      <c r="L35" s="98"/>
      <c r="M35" s="98"/>
      <c r="N35" s="99"/>
      <c r="R35" s="98"/>
      <c r="S35" s="98"/>
      <c r="T35" s="98"/>
      <c r="U35" s="98"/>
      <c r="V35" s="98"/>
      <c r="W35" s="98"/>
      <c r="X35" s="98"/>
    </row>
    <row r="36" ht="14.45" customHeight="1" spans="1:24" x14ac:dyDescent="0.25">
      <c r="A36" s="100" t="s">
        <v>76</v>
      </c>
      <c r="B36" s="77"/>
      <c r="C36" s="101"/>
      <c r="D36" s="101"/>
      <c r="E36" s="101"/>
      <c r="F36" s="101"/>
      <c r="G36" s="97"/>
      <c r="H36" s="73"/>
      <c r="I36" s="98"/>
      <c r="J36" s="98"/>
      <c r="K36" s="98"/>
      <c r="L36" s="98"/>
      <c r="M36" s="98"/>
      <c r="N36" s="99"/>
      <c r="R36" s="98"/>
      <c r="S36" s="98"/>
      <c r="T36" s="98"/>
      <c r="U36" s="98"/>
      <c r="V36" s="98"/>
      <c r="W36" s="98"/>
      <c r="X36" s="98"/>
    </row>
    <row r="37" ht="14.45" customHeight="1" spans="1:24" x14ac:dyDescent="0.25">
      <c r="A37" s="100" t="s">
        <v>77</v>
      </c>
      <c r="B37" s="77"/>
      <c r="C37" s="101"/>
      <c r="D37" s="101"/>
      <c r="E37" s="101"/>
      <c r="F37" s="101"/>
      <c r="G37" s="97"/>
      <c r="H37" s="73"/>
      <c r="I37" s="98"/>
      <c r="J37" s="98"/>
      <c r="K37" s="98"/>
      <c r="L37" s="98"/>
      <c r="M37" s="98"/>
      <c r="N37" s="98"/>
      <c r="R37" s="98"/>
      <c r="S37" s="98"/>
      <c r="T37" s="98"/>
      <c r="U37" s="98"/>
      <c r="V37" s="98"/>
      <c r="W37" s="98"/>
      <c r="X37" s="98"/>
    </row>
    <row r="38" ht="14.45" customHeight="1" spans="1:24" x14ac:dyDescent="0.25">
      <c r="A38" s="102"/>
      <c r="B38" s="103"/>
      <c r="C38" s="104"/>
      <c r="D38" s="104"/>
      <c r="E38" s="104"/>
      <c r="F38" s="104"/>
      <c r="G38" s="105"/>
      <c r="I38" s="99"/>
      <c r="J38" s="99"/>
      <c r="K38" s="99"/>
      <c r="L38" s="99"/>
      <c r="R38" s="98"/>
      <c r="S38" s="98"/>
      <c r="T38" s="98"/>
      <c r="U38" s="98"/>
      <c r="V38" s="98"/>
      <c r="W38" s="98"/>
      <c r="X38" s="98"/>
    </row>
    <row r="39" ht="14.45" customHeight="1" spans="1:24" x14ac:dyDescent="0.25">
      <c r="A39" s="76" t="s">
        <v>78</v>
      </c>
      <c r="B39" s="77"/>
      <c r="C39" s="87"/>
      <c r="D39" s="87"/>
      <c r="E39" s="87"/>
      <c r="F39" s="87"/>
      <c r="G39" s="88"/>
      <c r="I39" s="80" t="s">
        <v>79</v>
      </c>
      <c r="J39" s="99"/>
      <c r="K39" s="99"/>
      <c r="L39" s="99"/>
      <c r="R39" s="99"/>
      <c r="S39" s="99"/>
      <c r="T39" s="99"/>
      <c r="U39" s="99"/>
      <c r="V39" s="99"/>
      <c r="W39" s="99"/>
      <c r="X39" s="99"/>
    </row>
    <row r="40" ht="12.95" customHeight="1" spans="1:24" x14ac:dyDescent="0.25">
      <c r="A40" s="106" t="s">
        <v>80</v>
      </c>
      <c r="B40" s="107"/>
      <c r="C40" s="108">
        <f>IF($B$50="PVC 42",Software!$R$43,IF($B$50="ALU 42",Software!$R$86,IF($B$50="ULTRA 42",Software!$R$130,IF($B$50="ULTRA 52",Software!$R$174,""))))</f>
      </c>
      <c r="D40" s="108">
        <f>IF($B$66="PVC 42",Software!$R$43,IF($B$66="ALU 42",Software!$R$86,IF($B$66="ULTRA 42",Software!$R$130,IF($B$66="ULTRA 52",Software!$R$174,""))))</f>
      </c>
      <c r="E40" s="108">
        <f>IF($B$82="PVC 42",Software!$R$43,IF($B$82="ALU 42",Software!$R$86,IF($B$82="ULTRA 42",Software!$R$130,IF($B$82="ULTRA 52",Software!$R$174,""))))</f>
      </c>
      <c r="F40" s="108">
        <f>IF($B$98="PVC 42",Software!$R$43,IF($B$98="ALU 42",Software!$R$86,IF($B$98="ULTRA 42",Software!$R$130,IF($B$98="ULTRA 52",Software!$R$174,""))))</f>
      </c>
      <c r="G40" s="109">
        <f>IF($B$114="PVC 42",Software!$R$43,IF($B$114="ALU 42",Software!$R$86,IF($B$114="ULTRA 42",Software!$R$130,IF($B$114="ULTRA 52",Software!$R$174,""))))</f>
      </c>
      <c r="H40" s="73"/>
      <c r="I40" s="73"/>
      <c r="J40" s="73"/>
      <c r="K40" s="73"/>
      <c r="L40" s="73"/>
      <c r="N40" s="80"/>
      <c r="O40" s="99"/>
      <c r="P40" s="99"/>
      <c r="Q40" s="99"/>
      <c r="R40" s="99"/>
      <c r="S40" s="99"/>
      <c r="T40" s="99"/>
      <c r="U40" s="99"/>
      <c r="V40" s="99"/>
      <c r="W40" s="99"/>
      <c r="X40" s="99"/>
    </row>
    <row r="41" ht="12.95" customHeight="1" spans="1:12" x14ac:dyDescent="0.25">
      <c r="A41" s="110" t="s">
        <v>81</v>
      </c>
      <c r="B41" s="111"/>
      <c r="C41" s="112">
        <f>IF(C31="G",B319,IF(C31="GS",B320,IF(C31="S",B321,IF(C31="IO",B322,IF(C31="RTS",B324,IF(C31="CSI",B325,IF(C31="CSI RTS",B326,IF(C31="SIO",B323,IF(C31="GSS",B323,"")))))))))</f>
      </c>
      <c r="D41" s="112">
        <f>IF(D31="G",C319,IF(D31="GS",C320,IF(D31="S",C321,IF(D31="IO",C322,IF(D31="RTS",C324,IF(D31="CSI",C325,IF(D31="CSI RTS",C326,IF(D31="SIO",C323,IF(D31="GSS",C323,"")))))))))</f>
      </c>
      <c r="E41" s="112">
        <f>IF(E31="G",D319,IF(E31="GS",D320,IF(E31="S",D321,IF(E31="IO",D322,IF(E31="RTS",D324,IF(E31="CSI",D325,IF(E31="CSI RTS",D326,IF(E31="SIO",D323,IF(E31="GSS",D323,"")))))))))</f>
      </c>
      <c r="F41" s="112">
        <f>IF(F31="G",E319,IF(F31="GS",E320,IF(F31="S",E321,IF(F31="IO",E322,IF(F31="RTS",E324,IF(F31="CSI",E325,IF(F31="CSI RTS",E326,IF(F31="SIO",E323,IF(F31="GSS",E323,"")))))))))</f>
      </c>
      <c r="G41" s="113">
        <f>IF(G31="G",F319,IF(G31="GS",F320,IF(G31="S",F321,IF(G31="IO",F322,IF(G31="RTS",F324,IF(G31="CSI",F325,IF(G31="CSI RTS",F326,IF(G31="SIO",F323,IF(G31="GSS",F323,"")))))))))</f>
      </c>
      <c r="H41" s="73"/>
      <c r="I41" s="73"/>
      <c r="J41" s="73"/>
      <c r="K41" s="73"/>
      <c r="L41" s="73"/>
    </row>
    <row r="42" ht="12.95" customHeight="1" spans="1:12" x14ac:dyDescent="0.25">
      <c r="A42" s="114"/>
      <c r="B42" s="114"/>
      <c r="C42" s="73"/>
      <c r="D42" s="73"/>
      <c r="E42" s="73"/>
      <c r="F42" s="73"/>
      <c r="G42" s="73"/>
      <c r="H42" s="73"/>
      <c r="I42" s="115">
        <f>IF(OR(C42&lt;&gt;"",D42&lt;&gt;"",E42&lt;&gt;"",F42&lt;&gt;"",G42&lt;&gt;""),"Solar afmetingen ok of te groot?","")</f>
      </c>
      <c r="J42" s="73"/>
      <c r="K42" s="73"/>
      <c r="L42" s="73"/>
    </row>
    <row r="43" ht="14.45" customHeight="1" spans="1:12" x14ac:dyDescent="0.25">
      <c r="A43" s="114"/>
      <c r="B43" s="114"/>
      <c r="C43" s="73"/>
      <c r="D43" s="73"/>
      <c r="E43" s="73"/>
      <c r="F43" s="73"/>
      <c r="G43" s="73"/>
      <c r="H43" s="73"/>
      <c r="I43" s="73"/>
      <c r="J43" s="73"/>
      <c r="K43" s="73"/>
      <c r="L43" s="73"/>
    </row>
    <row r="44" ht="15.75" customHeight="1" spans="1:12" s="116" customFormat="1" x14ac:dyDescent="0.25">
      <c r="A44" s="117" t="s">
        <v>82</v>
      </c>
      <c r="B44" s="118">
        <f>IF(B4&gt;0,B4,"")</f>
      </c>
      <c r="C44" s="119"/>
      <c r="D44" s="119"/>
      <c r="E44" s="120"/>
      <c r="F44" s="121">
        <f>IF(I8&lt;&gt;"","Prod. Nr:  "&amp;I8,"")</f>
      </c>
      <c r="G44" s="122"/>
      <c r="H44" s="123"/>
      <c r="I44" s="124" t="str">
        <f>IF(G12="Afhaaldatum: ","Afhaaldatum: ","Leverdatum: ")</f>
        <v>Leverdatum: </v>
      </c>
      <c r="J44" s="124"/>
      <c r="K44" s="125">
        <f>IF(I12&gt;0,I12,"")</f>
      </c>
      <c r="L44" s="125"/>
    </row>
    <row r="45" spans="1:1" x14ac:dyDescent="0.25">
      <c r="A45" s="126"/>
    </row>
    <row r="46" ht="15.75" customHeight="1" spans="1:12" x14ac:dyDescent="0.25">
      <c r="A46" s="117" t="s">
        <v>83</v>
      </c>
      <c r="B46" s="118">
        <f>IF(B12&gt;0,B12,"")</f>
      </c>
      <c r="C46" s="119"/>
      <c r="D46" s="119"/>
      <c r="E46" s="119"/>
      <c r="F46" s="119"/>
      <c r="G46" s="120"/>
      <c r="I46" s="23" t="s">
        <v>84</v>
      </c>
      <c r="J46" s="23"/>
      <c r="K46" s="23" t="s">
        <v>85</v>
      </c>
      <c r="L46" s="23"/>
    </row>
    <row r="47" ht="13.5" customHeight="1" x14ac:dyDescent="0.25"/>
    <row r="48" spans="1:27" x14ac:dyDescent="0.25">
      <c r="A48" s="127">
        <f>IF(C$15&gt;0,C$14,"")</f>
      </c>
      <c r="B48" s="128"/>
      <c r="C48" s="128">
        <f>IF($C$15&gt;0,"Zaagmaat","")</f>
      </c>
      <c r="D48" s="128">
        <f>IF($C$15&gt;0,"Kleur","")</f>
      </c>
      <c r="E48" s="128">
        <f>IF($C$15&gt;0,"Open","")</f>
      </c>
      <c r="F48" s="128">
        <f>IF($C$15&gt;0,"Gesloten","")</f>
      </c>
      <c r="G48" s="128">
        <f>IF($C$15&gt;0,"Bediening","")</f>
      </c>
      <c r="H48" s="128"/>
      <c r="I48" s="129">
        <f>IF($C$15&gt;0,"Afgewerkte maten (B x H):","")</f>
      </c>
      <c r="J48" s="129"/>
      <c r="K48" s="130">
        <f>IF($C$15&gt;0,$C$23,"")</f>
      </c>
      <c r="L48" s="130">
        <f>IF($C$15&gt;0,$C$24,"")</f>
      </c>
      <c r="O48" s="131"/>
      <c r="P48" s="132"/>
      <c r="AA48" s="133" t="s">
        <v>86</v>
      </c>
    </row>
    <row r="49" spans="1:27" x14ac:dyDescent="0.25">
      <c r="A49" s="63">
        <f>IF($C$15&gt;0,"Aantal:","")</f>
      </c>
      <c r="B49" s="73">
        <f>IF($C$15&gt;0,$C$15,"")</f>
      </c>
      <c r="C49" s="73"/>
      <c r="G49" s="73">
        <f>IF(OR($C$31="CSI RTS",$C$31="CSI"),"Noodbediening","")&amp;IF(G50="SENSE","GAPOSA",IF(OR(G50="Solar RTS",G50="Solar IO",G50="Sense Solar"),"Zonnepaneel",""))</f>
      </c>
      <c r="H49" s="73"/>
      <c r="AA49" s="134"/>
    </row>
    <row r="50" spans="1:27" x14ac:dyDescent="0.25">
      <c r="A50" s="63">
        <f>IF($C$15&gt;0,"Lamel:","")</f>
      </c>
      <c r="B50" s="73">
        <f>IF($C$16="P42","PVC 42",IF($C$16="A42","ALU 42",IF($C$16="U42","ULTRA 42",IF($C$16="U52","ULTRA 52",""))))</f>
      </c>
      <c r="C50" s="135">
        <f>IF(AA50&lt;&gt;"",AA50*1,"")</f>
      </c>
      <c r="D50" s="73">
        <f>IF($C$17&lt;&gt;0,$C$17,"")</f>
      </c>
      <c r="E50" s="136">
        <f>IF(OR($G50="OXIMO IO",$G50="ALTUS RS IO",$G50="OXIMO RTS",$G50="SENSE",$G50="SENSE SOLAR",$G50="SOLAR RTS",$G50="SOLAR IO"),$D$244,$D$242)</f>
      </c>
      <c r="F50" s="136">
        <f>IF(OR($G50="OXIMO IO",$G50="ALTUS RS IO",$G50="OXIMO RTS",$G50="SENSE",$G50="SENSE SOLAR",$G50="SOLAR RTS",$G50="SOLAR IO"),$D$245,$D$243)</f>
      </c>
      <c r="G50" s="73">
        <f>(IF($C$30="L","LINT",IF($C$30="K","KOORD",IF($C$30="R","REDUCTIE",IF($C$30="V","VEERAS","")))))&amp;(IF($C$31="G","GAPOSA",IF($C$31="GS","SENSE",IF($C$31="S","SOLUS",IF($C$31="RTS","OXIMO RTS",IF($C$31="IO","OXIMO IO",IF($C$31="CSI","CSI",IF($C$31="CSI RTS","CSI RTS",IF($C$31="SIO","Solar IO",IF($C$31="GSS","Sense Solar",""))))))))))</f>
      </c>
      <c r="H50" s="73">
        <f>(IF($C$32="R1","Rechts",IF($C$32="R2","Rechts",IF($C$32="R3","Rechts",IF($C$32="R4","Rechts",IF($C$32="R5","Rechts",IF($C$32="R6","Rechts",IF($C$32="R7","Rechts","")))))))&amp;IF($C$32="L1","Links",IF($C$32="L2","Links",IF($C$32="L3","Links",IF($C$32="L4","Links",IF($C$32="L5","Links",IF($C$32="L6","Links",IF($C$32="L7","Links",IF($C$32="L","Links",""))))))))&amp;IF($C$32="R","Rechts",""))</f>
      </c>
      <c r="J50" s="137"/>
      <c r="K50" s="137"/>
      <c r="L50" s="137"/>
      <c r="N50" s="138"/>
      <c r="AA50" s="139">
        <f>IF($C$30="L",Software!$D$4,IF($C$30="K",Software!$D$4,IF($C$30="R",Software!$I$4,IF($C$30="V",Software!$S$4,""))))&amp;IF($C$31="G",Software!$N$4,IF($C$31="GS",Software!$N$4,IF($C$31="S",Software!$N$4,IF($C$31="RTS",Software!$N$4,IF($C$31="IO",Software!$N$4,IF($C$31="CSI",Software!$N$4,IF($C$31="CSI RTS",Software!$N$4,"")))))))&amp;IF($C$31="SIO",Software!$X$4,IF($C$31="GSS",Software!$N$4,""))</f>
      </c>
    </row>
    <row r="51" spans="1:27" x14ac:dyDescent="0.25">
      <c r="A51" s="63">
        <f>IF($C$15&gt;0,"Onderlat:","")</f>
      </c>
      <c r="B51" s="73">
        <f>IF($AA$51&lt;&gt;"","Mini","")</f>
      </c>
      <c r="C51" s="135">
        <f>IF(AA51&lt;&gt;"",AA51*1,"")</f>
      </c>
      <c r="D51" s="73" t="str">
        <f>IF($C$22&lt;&gt;0,$C$22,"")</f>
        <v> </v>
      </c>
      <c r="G51" s="73">
        <f>IF($C$41&lt;&gt;0,$C$41,"")</f>
      </c>
      <c r="H51" s="140">
        <f>(IF($C$32="R1","Achter onder",IF($C$32="R2","Achter boven",IF($C$32="R3","Boven",IF($C$32="R4","Vooraan boven",IF($C$32="R5","Zijkap",IF($C$32="R6","Geleider",IF($C$32="R7","Vooraan onder","")))))))&amp;IF($C$32="L1","Achter onder",IF($C$32="L2","Achter boven",IF($C$32="L3","Boven",IF($C$32="L4","Vooraan boven",IF($C$32="L5","Zijkap",IF($C$32="L6","Geleider",IF($C$32="L7","Vooraan onder",""))))))))</f>
      </c>
      <c r="J51" s="137"/>
      <c r="K51" s="137"/>
      <c r="L51" s="137"/>
      <c r="AA51" s="141">
        <f>IF($C$30="L",Software!D7,IF($C$30="K",Software!D7,IF($C$30="R",Software!I7,IF($C$30="V",Software!S7,""))))&amp;IF($C$31="G",Software!N8,IF($C$31="GS",Software!N8,IF($C$31="S",Software!N8,IF($C$31="RTS",Software!N8,IF($C$31="IO",Software!N8,IF($C$31="CSI",Software!N8,IF($C$31="CSI RTS",Software!N8,"")))))))&amp;IF($C$31="SIO",Software!X7,IF($C$31="GSS",Software!N8,""))</f>
      </c>
    </row>
    <row r="52" spans="1:27" x14ac:dyDescent="0.25">
      <c r="A52" s="63">
        <f>IF($C$26=45,"Kast 45°:",IF($C$26="R","Ronde kast:",""))</f>
      </c>
      <c r="B52" s="73">
        <f>IF($C$27=0,"",IF($C$27&gt;0,$C$27))</f>
      </c>
      <c r="C52" s="135">
        <f>IF(AA52&lt;&gt;"",AA52*1,"")</f>
      </c>
      <c r="D52" s="73">
        <f>IF($C$20&lt;&gt;0,$C$20,"")</f>
      </c>
      <c r="E52" s="142"/>
      <c r="F52" s="142"/>
      <c r="J52" s="137"/>
      <c r="K52" s="137"/>
      <c r="L52" s="137"/>
      <c r="AA52" s="141">
        <f>IF($C$30="L",Software!D5,IF($C$30="K",Software!D5,IF($C$30="R",Software!I5,IF($C$30="V",Software!S5,""))))&amp;IF($C$31="G",Software!N5,IF($C$31="GS",Software!N5,IF($C$31="S",Software!N5,IF($C$31="RTS",Software!N5,IF($C$31="IO",Software!N5,IF($C$31="CSI",Software!N5,IF($C$31="CSI RTS",Software!N5,"")))))))&amp;IF($C$31="SIO",Software!X5,IF($C$31="GSS",Software!N5,""))</f>
      </c>
    </row>
    <row r="53" spans="1:27" x14ac:dyDescent="0.25">
      <c r="A53" s="63">
        <f>IF($C$15&gt;0,"As:","")</f>
      </c>
      <c r="B53" s="73">
        <f>IF($C$25&gt;0,"8K"&amp;$C$25,"")</f>
      </c>
      <c r="C53" s="135">
        <f>IF(AA54&lt;&gt;"",AA54*1,"")</f>
      </c>
      <c r="D53" s="73">
        <f>IF($C$15&lt;&gt;0,"-","")</f>
      </c>
      <c r="F53" s="2"/>
      <c r="G53" s="23">
        <f>IF($C$30="L","Lintoproller",IF($C$30="K","Koordoproller",IF($C$30="R","Lintoproller",IF($C$30="V","Bediening",IF($C$31="G","Schakelaar",IF($C$31="S","Schakelaar",IF($C$31="CSI","Schakelaar",IF($C$31="RTS","Afstandsbediening",))))))))&amp;IF($C$31="IO","Afstandsbediening",IF($C$31="CSI RTS","Afstandsbediening",IF($C$31="GS","Afstandsbediening",IF($C$31="SIO","Afstandsbediening",IF($C$31="GSS","Afstandsbediening","")))))</f>
      </c>
      <c r="H53" s="23"/>
      <c r="I53" s="23">
        <f>IF($C$39&gt;0,"Kanaal","")</f>
      </c>
      <c r="J53" s="137"/>
      <c r="K53" s="137"/>
      <c r="L53" s="137"/>
      <c r="AA53" s="134"/>
    </row>
    <row r="54" spans="1:27" x14ac:dyDescent="0.25">
      <c r="A54" s="63">
        <f>IF($C$15&gt;0,"Geleiders:","")</f>
      </c>
      <c r="B54" s="73" t="str">
        <f>IF($C$28&gt;0,$C$28&amp;" "&amp;$C$29,"")</f>
        <v> </v>
      </c>
      <c r="C54" s="135">
        <f>IF($C$24&gt;0,$C$24-$C$27,"")</f>
      </c>
      <c r="D54" s="73" t="str">
        <f>IF($C$21&lt;&gt;0,$C$21,"")</f>
        <v> </v>
      </c>
      <c r="F54" s="2"/>
      <c r="G54" s="73">
        <f>IF($C$33="O","Opbouw",IF($C$33="I","Inbouw",IF($C$33="S","Somfy",IF($C$33="U","Inis Uno",IF($C$33="D","Inis Duo",IF($C$33="G","Geen",""))))))&amp;IF($C$35="S","Smoove",IF($C$35="SAM","Smoove A/M",IF($C$35="S1","Situo 1",IF($C$35="S5","Situo 5",IF($C$35="N","Nina",IF($C$35="NT","Nina Timer",""))))))&amp;IF($C$35="C","Chronis",IF($C$35="K","KeyGo",IF($C$35="S4","Smoove 4",IF($C$35="T1","Telis 1",IF($C$35="T4","Telis 4",IF($C$35="T6","Telis 6",IF($C$35="T16","Telis 16","")))))))&amp;IF($C$35="W1","Wandzender - 1 Kan.",IF($C$35="W5","Wandzender - 5 Kan.",IF($C$35="H1","Handzender - 1 Kan.",IF($C$35="H5","Handzender - 5 Kan.",IF($C$35="H16","Handzender - 16 Kan.",IF($C$35="H16K","Handz. + Klok - 16 Kan.",IF($C$35="SH","Sleutelhanger - 1 Kan.",IF($C$35="Z","Zonsensor - 1 Kan.",""))))))))</f>
      </c>
      <c r="H54" s="73"/>
      <c r="I54" s="73">
        <f>IF($C$39&gt;0,$C$39,"")</f>
      </c>
      <c r="J54" s="137"/>
      <c r="K54" s="137"/>
      <c r="L54" s="137"/>
      <c r="AA54" s="141">
        <f>IF($C$30="L",Software!D6,IF($C$30="K",Software!D6,IF($C$30="R",Software!I6,IF($C$30="V",Software!S7,""))))&amp;IF($C$31="G",Software!N7,IF($C$31="GS",Software!N7,IF($C$31="S",Software!N6,IF($C$31="RTS",Software!N6,IF($C$31="IO",Software!N6,IF($C$31="CSI",Software!N6,IF($C$31="CSI RTS",Software!N6,"")))))))&amp;IF($C$31="SIO",Software!N6,IF($C$31="GSS",Software!N7,""))</f>
      </c>
    </row>
    <row r="55" spans="7:27" x14ac:dyDescent="0.25">
      <c r="G55" s="73"/>
      <c r="H55" s="73"/>
      <c r="J55" s="137"/>
      <c r="K55" s="137"/>
      <c r="L55" s="137"/>
      <c r="AA55" s="134"/>
    </row>
    <row r="56" spans="7:27" x14ac:dyDescent="0.25">
      <c r="G56" s="23">
        <f>IF($C$36&gt;0,"Extra zender","")</f>
      </c>
      <c r="H56" s="23"/>
      <c r="J56" s="137"/>
      <c r="K56" s="137"/>
      <c r="L56" s="137"/>
      <c r="AA56" s="134"/>
    </row>
    <row r="57" spans="1:27" x14ac:dyDescent="0.25">
      <c r="A57" s="63">
        <f>IF($C$15&gt;0,"Afdekstoppen:","")</f>
      </c>
      <c r="B57" s="73" t="str">
        <f>IF($C$15&gt;0,SUM($A$261:$A$262)&amp;" stuks"," ")</f>
        <v> </v>
      </c>
      <c r="C57" s="73">
        <f>IF($C$15&lt;&gt;0,"-","")</f>
      </c>
      <c r="D57" s="73" t="str">
        <f>IF($B$57&gt;0,$D$54,"")</f>
        <v> </v>
      </c>
      <c r="G57" s="73">
        <f>IF($C$36="S","Smoove",IF($C$36="SAM","Smoove A/M",IF($C$36="S1","Situo 1",IF($C$36="S5","Situo 5",IF($C$36="N","Nina",IF($C$36="NT","Nina Timer",""))))))&amp;IF($C$36="C","Chronis",IF($C$36="K","KeyGo",IF($C$36="S4","Smoove 4",IF($C$36="T1","Telis 1",IF($C$36="T4","Telis 4",IF($C$36="T6","Telis 6",IF($C$36="T16","Telis 16",IF($C$36="CK","Codeklavier",""))))))))&amp;IF($C$36="W1","Wandzender - 1 Kan.",IF($C$36="W5","Wandzender - 5 Kan.",IF($C$36="H1","Handzender - 1 Kan.",IF($C$36="H5","Handzender - 5 Kan.",IF($C$36="H16","Handzender - 16 Kan.",IF($C$36="H16K","Handz. + Klok - 16 Kan.",IF($C$36="SH","Sleutelhanger - 1 Kan.",IF($C$36="Z","Zonsensor - 1 Kan.",""))))))))</f>
      </c>
      <c r="H57" s="73"/>
      <c r="I57" s="2"/>
      <c r="J57" s="137"/>
      <c r="K57" s="137"/>
      <c r="L57" s="137"/>
      <c r="AA57" s="134"/>
    </row>
    <row r="58" spans="1:27" x14ac:dyDescent="0.25">
      <c r="A58" s="63">
        <f>IF($C$15&gt;0,"Ophangveren:","")</f>
      </c>
      <c r="B58" s="73">
        <f>IF($C$15&lt;&gt;"",IF($A$269=1,2&amp;" Stuks",$A$269&amp;" Stuks"),"")</f>
      </c>
      <c r="C58" s="73">
        <f>IF($C$15&gt;0,$A$267,"")</f>
      </c>
      <c r="D58" s="73"/>
      <c r="G58" s="73">
        <f>IF($C$37="S","Smoove",IF($C$37="SAM","Smoove A/M",IF($C$37="S1","Situo 1",IF($C$37="S5","Situo 5",IF($C$37="N","Nina",IF($C$37="NT","Nina Timer",""))))))&amp;IF($C$37="C","Chronis",IF($C$37="K","KeyGo",IF($C$37="S4","Smoove 4",IF($C$37="T1","Telis 1",IF($C$37="T4","Telis 4",IF($C$37="T6","Telis 6",IF($C$37="T16","Telis 16",IF($C$37="CK","Codeklavier",""))))))))&amp;IF($C$37="W1","Wandzender - 1 Kan.",IF($C$37="W5","Wandzender - 5 Kan.",IF($C$37="H1","Handzender - 1 Kan.",IF($C$37="H5","Handzender - 5 Kan.",IF($C$37="H16","Handzender - 16 Kan.",IF($C$37="H16K","Handz. + Klok - 16 Kan.",IF($C$37="SH","Sleutelhanger - 1 Kan.",IF($C$37="Z","Zonsensor - 1 Kan.",""))))))))</f>
      </c>
      <c r="H58" s="73"/>
      <c r="J58" s="137"/>
      <c r="K58" s="137"/>
      <c r="L58" s="137"/>
      <c r="AA58" s="134"/>
    </row>
    <row r="59" spans="5:27" x14ac:dyDescent="0.25">
      <c r="E59" s="136"/>
      <c r="F59" s="136"/>
      <c r="G59" s="73"/>
      <c r="H59" s="73"/>
      <c r="J59" s="143">
        <f>IF($C$15&lt;&gt;"","Bladhoogte:","")</f>
      </c>
      <c r="K59" s="144">
        <f>IF($C$15&lt;&gt;"",IF(OR($G50="OXIMO IO",$G50="ALTUS RS IO",$G50="OXIMO RTS",$G50="SENSE",$G50="SENSE SOLAR",$G50="SOLAR RTS",$G50="SOLAR IO"),$D$250,$D$249),"")</f>
      </c>
      <c r="L59" s="145">
        <f>IF($C$15&lt;&gt;"","mm","")</f>
      </c>
      <c r="AA59" s="134"/>
    </row>
    <row r="60" spans="1:27" x14ac:dyDescent="0.25">
      <c r="A60" s="63">
        <f>IF($C$15&gt;0,"Opmerking:","")</f>
      </c>
      <c r="B60" s="146"/>
      <c r="C60" s="146"/>
      <c r="D60" s="146"/>
      <c r="E60" s="146"/>
      <c r="F60" s="146"/>
      <c r="G60" s="146"/>
      <c r="H60" s="146"/>
      <c r="I60" s="146"/>
      <c r="J60" s="146"/>
      <c r="K60" s="146"/>
      <c r="L60" s="146"/>
      <c r="AA60" s="134"/>
    </row>
    <row r="61" spans="1:27" x14ac:dyDescent="0.25">
      <c r="A61" s="63">
        <f>IF($C$15&gt;0,"Opmerking:","")</f>
      </c>
      <c r="B61" s="146"/>
      <c r="C61" s="146"/>
      <c r="D61" s="146"/>
      <c r="E61" s="146"/>
      <c r="F61" s="146"/>
      <c r="G61" s="146"/>
      <c r="H61" s="146"/>
      <c r="I61" s="146"/>
      <c r="J61" s="146"/>
      <c r="K61" s="146"/>
      <c r="L61" s="146"/>
      <c r="AA61" s="134"/>
    </row>
    <row r="62" spans="1:27" x14ac:dyDescent="0.25">
      <c r="A62" s="63">
        <f>IF($C$15&gt;0,"Opmerking:","")</f>
      </c>
      <c r="B62" s="146"/>
      <c r="C62" s="146"/>
      <c r="D62" s="146"/>
      <c r="E62" s="146"/>
      <c r="F62" s="146"/>
      <c r="G62" s="146"/>
      <c r="H62" s="146"/>
      <c r="I62" s="146"/>
      <c r="J62" s="146"/>
      <c r="K62" s="146"/>
      <c r="L62" s="146"/>
      <c r="AA62" s="134"/>
    </row>
    <row r="63" spans="1:27" x14ac:dyDescent="0.25">
      <c r="A63" s="63"/>
      <c r="AA63" s="134"/>
    </row>
    <row r="64" spans="1:27" x14ac:dyDescent="0.25">
      <c r="A64" s="127">
        <f>IF(D$15&gt;0,D$14,"")</f>
      </c>
      <c r="B64" s="128"/>
      <c r="C64" s="128">
        <f>IF($D$15&gt;0,"Zaagmaat","")</f>
      </c>
      <c r="D64" s="128">
        <f>IF($D$15&gt;0,"Kleur","")</f>
      </c>
      <c r="E64" s="128">
        <f>IF($D$15&gt;0,"Open","")</f>
      </c>
      <c r="F64" s="128">
        <f>IF($D$15&gt;0,"Gesloten","")</f>
      </c>
      <c r="G64" s="128">
        <f>IF($D$15&gt;0,"Bediening","")</f>
      </c>
      <c r="H64" s="128"/>
      <c r="I64" s="129">
        <f>IF($D$15&gt;0,"Afgewerkte maten (B x H):","")</f>
      </c>
      <c r="J64" s="129"/>
      <c r="K64" s="130">
        <f>IF($D$15&gt;0,$D$23,"")</f>
      </c>
      <c r="L64" s="130">
        <f>IF($D$15&gt;0,$D$24,"")</f>
      </c>
      <c r="AA64" s="134"/>
    </row>
    <row r="65" spans="1:27" x14ac:dyDescent="0.25">
      <c r="A65" s="63">
        <f>IF($D$15&gt;0,"Aantal:","")</f>
      </c>
      <c r="B65" s="73">
        <f>IF($D$15&gt;0,$D$15,"")</f>
      </c>
      <c r="C65" s="73"/>
      <c r="G65" s="73">
        <f>IF(OR($D$31="CSI RTS",$D$31="CSI"),"Noodbediening","")&amp;IF(G66="SENSE","GAPOSA",IF(OR(G66="Solar RTS",G66="Solar IO",G66="Sense Solar"),"Zonnepaneel",""))</f>
      </c>
      <c r="H65" s="73"/>
      <c r="AA65" s="134"/>
    </row>
    <row r="66" spans="1:27" x14ac:dyDescent="0.25">
      <c r="A66" s="63">
        <f>IF($D$15&gt;0,"Lamel:","")</f>
      </c>
      <c r="B66" s="73">
        <f>IF($D$16="P42","PVC 42",IF($D$16="A42","ALU 42",IF($D$16="U42","ULTRA 42",IF($D$16="U52","ULTRA 52",""))))</f>
      </c>
      <c r="C66" s="135">
        <f>IF(AA66&lt;&gt;"",AA66*1,"")</f>
      </c>
      <c r="D66" s="73">
        <f>IF($D$17&lt;&gt;0,$D$17,"")</f>
      </c>
      <c r="E66" s="136">
        <f>IF(OR($G66="OXIMO IO",$G66="ALTUS RS IO",$G66="OXIMO RTS",$G66="SENSE",$G66="SENSE SOLAR",$G66="SOLAR RTS",$G66="SOLAR IO"),$E$244,$E$242)</f>
      </c>
      <c r="F66" s="136">
        <f>IF(OR($G66="OXIMO IO",$G66="ALTUS RS IO",$G66="OXIMO RTS",$G66="SENSE",$G66="SENSE SOLAR",$G66="SOLAR RTS",$G66="SOLAR IO"),$E$245,$E$243)</f>
      </c>
      <c r="G66" s="73">
        <f>(IF($D$30="L","LINT",IF($D$30="K","KOORD",IF($D$30="R","REDUCTIE",IF($D$30="V","VEERAS","")))))&amp;(IF($D$31="G","GAPOSA",IF($D$31="GS","SENSE",IF($D$31="S","SOLUS",IF($D$31="RTS","OXIMO RTS",IF($D$31="IO","OXIMO IO",IF($D$31="CSI","CSI",IF($D$31="CSI RTS","CSI RTS",IF($D$31="SIO","Solar IO",IF($D$31="GSS","Sense Solar",""))))))))))</f>
      </c>
      <c r="H66" s="73">
        <f>(IF($D$32="R1","Rechts",IF($D$32="R2","Rechts",IF($D$32="R3","Rechts",IF($D$32="R4","Rechts",IF($D$32="R5","Rechts",IF($D$32="R6","Rechts",IF($D$32="R7","Rechts","")))))))&amp;IF($D$32="L1","Links",IF($D$32="L2","Links",IF($D$32="L3","Links",IF($D$32="L4","Links",IF($D$32="L5","Links",IF($D$32="L6","Links",IF($D$32="L7","Links",IF($D$32="L","Links",""))))))))&amp;IF($D$32="R","Rechts",""))</f>
      </c>
      <c r="J66" s="137"/>
      <c r="K66" s="137"/>
      <c r="L66" s="137"/>
      <c r="AA66" s="141">
        <f>IF($D$30="L",Software!$D$12,IF($D$30="K",Software!$D$12,IF($D$30="R",Software!$I$12,IF($D$30="V",Software!$S$12,""))))&amp;IF($D$31="G",Software!$N$12,IF($D$31="GS",Software!$N$12,IF($D$31="S",Software!$N$12,IF($D$31="RTS",Software!$N$12,IF($D$31="IO",Software!$N$12,IF($D$31="CSI",Software!$N$12,IF($D$31="CSI RTS",Software!$N$12,"")))))))&amp;IF($D$31="SIO",Software!X12,IF($D$31="GSS",Software!$N$12,""))</f>
      </c>
    </row>
    <row r="67" spans="1:27" x14ac:dyDescent="0.25">
      <c r="A67" s="63">
        <f>IF($D$15&gt;0,"Onderlat:","")</f>
      </c>
      <c r="B67" s="73">
        <f>IF($AA$67&lt;&gt;"","Mini","")</f>
      </c>
      <c r="C67" s="135">
        <f>IF(AA67&lt;&gt;"",AA67*1,"")</f>
      </c>
      <c r="D67" s="73" t="str">
        <f>IF($D$22&lt;&gt;0,$D$22,"")</f>
        <v> </v>
      </c>
      <c r="G67" s="73">
        <f>IF($D$41&lt;&gt;0,$D$41,"")</f>
      </c>
      <c r="H67" s="140">
        <f>(IF($D$32="R1","Achter onder",IF($D$32="R2","Achter boven",IF($D$32="R3","Boven",IF($D$32="R4","Vooraan boven",IF($D$32="R5","Zijkap",IF($D$32="R6","Geleider",IF($D$32="R7","Vooraan onder","")))))))&amp;IF($D$32="L1","Achter onder",IF($D$32="L2","Achter boven",IF($D$32="L3","Boven",IF($D$32="L4","Vooraan boven",IF($D$32="L5","Zijkap",IF($D$32="L6","Geleider",IF($D$32="L7","Vooraan onder",""))))))))</f>
      </c>
      <c r="J67" s="137"/>
      <c r="K67" s="137"/>
      <c r="L67" s="137"/>
      <c r="AA67" s="141">
        <f>IF($D$30="L",Software!D15,IF($D$30="K",Software!D15,IF($D$30="R",Software!I15,IF($D$30="V",Software!S15,""))))&amp;IF($D$31="G",Software!N16,IF($D$31="GS",Software!N16,IF($D$31="S",Software!N16,IF($D$31="RTS",Software!N16,IF($D$31="IO",Software!N16,IF($D$31="CSI",Software!N16,IF($D$31="CSI RTS",Software!N16,"")))))))&amp;IF($D$31="SIO",Software!X15,IF($D$31="GSS",Software!N16,""))</f>
      </c>
    </row>
    <row r="68" spans="1:27" x14ac:dyDescent="0.25">
      <c r="A68" s="63">
        <f>IF($D$26=45,"Kast 45°:",IF($D$26="R","Ronde kast:",""))</f>
      </c>
      <c r="B68" s="73">
        <f>IF($D$27=0,"",IF($D$27&gt;0,$D$27))</f>
      </c>
      <c r="C68" s="135">
        <f>IF(AA68&lt;&gt;"",AA68*1,"")</f>
      </c>
      <c r="D68" s="73">
        <f>IF($D$20&lt;&gt;0,$D$20,"")</f>
      </c>
      <c r="E68" s="142"/>
      <c r="F68" s="142"/>
      <c r="J68" s="137"/>
      <c r="K68" s="137"/>
      <c r="L68" s="137"/>
      <c r="AA68" s="141">
        <f>IF($D$30="L",Software!D13,IF($D$30="K",Software!D13,IF($D$30="R",Software!I13,IF($D$30="V",Software!S13,""))))&amp;IF($D$31="G",Software!N13,IF($D$31="GS",Software!N13,IF($D$31="S",Software!N13,IF($D$31="RTS",Software!N13,IF($D$31="IO",Software!N13,IF($D$31="CSI",Software!N13,IF($D$31="CSI RTS",Software!N13,"")))))))&amp;IF($D$31="SIO",Software!X13,IF($D$31="GSS",Software!N13,""))</f>
      </c>
    </row>
    <row r="69" spans="1:27" x14ac:dyDescent="0.25">
      <c r="A69" s="63">
        <f>IF($D$15&gt;0,"As:","")</f>
      </c>
      <c r="B69" s="73">
        <f>IF($D$25&gt;0,"8K"&amp;$D$25,"")</f>
      </c>
      <c r="C69" s="135">
        <f>IF(AA70&lt;&gt;"",AA70*1,"")</f>
      </c>
      <c r="D69" s="73">
        <f>IF($D$15&lt;&gt;0,"-","")</f>
      </c>
      <c r="F69" s="2"/>
      <c r="G69" s="23">
        <f>IF($D$30="L","Lintoproller",IF($D$30="K","Koordoproller",IF($D$30="R","Lintoproller",IF($D$30="V","Bediening",IF($D$31="G","Schakelaar",IF($D$31="S","Schakelaar",IF($D$31="CSI","Schakelaar",IF($D$31="RTS","Afstandsbediening",))))))))&amp;IF($D$31="IO","Afstandsbediening",IF($D$31="CSI RTS","Afstandsbediening",IF($D$31="GS","Afstandsbediening",IF($D$31="SIO","Afstandsbediening",IF($D$31="GSS","Afstandsbediening","")))))</f>
      </c>
      <c r="H69" s="23"/>
      <c r="I69" s="23">
        <f>IF($D$39&gt;0,"Kanaal","")</f>
      </c>
      <c r="J69" s="137"/>
      <c r="K69" s="137"/>
      <c r="L69" s="137"/>
      <c r="AA69" s="134"/>
    </row>
    <row r="70" spans="1:27" x14ac:dyDescent="0.25">
      <c r="A70" s="63">
        <f>IF($D$15&gt;0,"Geleiders:","")</f>
      </c>
      <c r="B70" s="73" t="str">
        <f>IF($D$28&gt;0,$D$28&amp;" "&amp;$D$29,"")</f>
        <v> </v>
      </c>
      <c r="C70" s="135">
        <f>IF($D$24&gt;0,$D$24-$D$27,"")</f>
      </c>
      <c r="D70" s="73" t="str">
        <f>IF($D$21&lt;&gt;0,$D$21,"")</f>
        <v> </v>
      </c>
      <c r="F70" s="2"/>
      <c r="G70" s="73">
        <f>IF($D$33="O","Opbouw",IF($D$33="I","Inbouw",IF($D$33="S","Somfy",IF($D$33="U","Inis Uno",IF($D$33="D","Inis Duo",IF($D$33="G","Geen",""))))))&amp;IF($D$35="S","Smoove",IF($D$35="SAM","Smoove A/M",IF($D$35="S1","Situo 1",IF($D$35="S5","Situo 5",IF($D$35="N","Nina",IF($D$35="NT","Nina Timer",""))))))&amp;IF($D$35="C","Chronis",IF($D$35="K","KeyGo",IF($D$35="S4","Smoove 4",IF($D$35="T1","Telis 1",IF($D$35="T4","Telis 4",IF($D$35="T6","Telis 6",IF($D$35="T16","Telis 16","")))))))&amp;IF($D$35="W1","Wandzender - 1 Kan.",IF($D$35="W5","Wandzender - 5 Kan.",IF($D$35="H1","Handzender - 1 Kan.",IF($D$35="H5","Handzender - 5 Kan.",IF($D$35="H16","Handzender - 16 Kan.",IF($D$35="H16K","Handz. + Klok - 16 Kan.",IF($D$35="SH","Sleutelhanger - 1 Kan.",IF($D$35="Z","Zonsensor - 1 Kan.",""))))))))</f>
      </c>
      <c r="H70" s="73"/>
      <c r="I70" s="73">
        <f>IF($D$39&gt;0,$D$39,"")</f>
      </c>
      <c r="J70" s="137"/>
      <c r="K70" s="137"/>
      <c r="L70" s="137"/>
      <c r="AA70" s="141">
        <f>IF($D$30="L",Software!D14,IF($D$30="K",Software!D14,IF($D$30="R",Software!I14,IF($D$30="V",Software!S14,""))))&amp;IF($D$31="G",Software!N15,IF($D$31="GS",Software!N15,IF($D$31="S",Software!N14,IF($D$31="RTS",Software!N14,IF($D$31="IO",Software!N14,IF($D$31="CSI",Software!N14,IF($D$31="CSI RTS",Software!N14,"")))))))&amp;IF($D$31="SIO",Software!N14,IF($D$31="GSS",Software!N15,""))</f>
      </c>
    </row>
    <row r="71" spans="10:27" x14ac:dyDescent="0.25">
      <c r="J71" s="137"/>
      <c r="K71" s="137"/>
      <c r="L71" s="137"/>
      <c r="AA71" s="134"/>
    </row>
    <row r="72" spans="7:27" x14ac:dyDescent="0.25">
      <c r="G72" s="23">
        <f>IF($D$36&gt;0,"Extra zender","")</f>
      </c>
      <c r="H72" s="23"/>
      <c r="J72" s="137"/>
      <c r="K72" s="137"/>
      <c r="L72" s="137"/>
      <c r="AA72" s="134"/>
    </row>
    <row r="73" spans="1:27" x14ac:dyDescent="0.25">
      <c r="A73" s="63">
        <f>IF($D$15&gt;0,"Afdekstoppen:","")</f>
      </c>
      <c r="B73" s="73" t="str">
        <f>IF($D$15&gt;0,SUM($B$261:$B$262)&amp;" stuks"," ")</f>
        <v> </v>
      </c>
      <c r="C73" s="73">
        <f>IF($D$15&lt;&gt;0,"-","")</f>
      </c>
      <c r="D73" s="73" t="str">
        <f>IF($B$73&gt;0,$D$70,"")</f>
        <v> </v>
      </c>
      <c r="G73" s="73">
        <f>IF($D$36="S","Smoove",IF($D$36="SAM","Smoove A/M",IF($D$36="S1","Situo 1",IF($D$36="S5","Situo 5",IF($D$36="N","Nina",IF($D$36="NT","Nina Timer",""))))))&amp;IF($D$36="C","Chronis",IF($D$36="K","KeyGo",IF($D$36="S4","Smoove 4",IF($D$36="T1","Telis 1",IF($D$36="T4","Telis 4",IF($D$36="T6","Telis 6",IF($D$36="T16","Telis 16",IF($D$36="CK","Codeklavier",""))))))))&amp;IF($D$36="W1","Wandzender - 1 Kan.",IF($D$36="W5","Wandzender - 5 Kan.",IF($D$36="H1","Handzender - 1 Kan.",IF($D$36="H5","Handzender - 5 Kan.",IF($D$36="H16","Handzender - 16 Kan.",IF($D$36="H16K","Handz. + Klok - 16 Kan.",IF($D$36="SH","Sleutelhanger - 1 Kan.",IF($D$36="Z","Zonsensor - 1 Kan.",""))))))))</f>
      </c>
      <c r="H73" s="73"/>
      <c r="I73" s="2"/>
      <c r="J73" s="137"/>
      <c r="K73" s="137"/>
      <c r="L73" s="137"/>
      <c r="AA73" s="134"/>
    </row>
    <row r="74" spans="1:27" x14ac:dyDescent="0.25">
      <c r="A74" s="63">
        <f>IF($D$15&gt;0,"Ophangveren:","")</f>
      </c>
      <c r="B74" s="73">
        <f>IF($D$15&lt;&gt;"",IF($B$269=1,2&amp;" Stuks",$B$269&amp;" Stuks"),"")</f>
      </c>
      <c r="C74" s="73">
        <f>IF($D$15&gt;0,$B$267,"")</f>
      </c>
      <c r="D74" s="73"/>
      <c r="G74" s="73">
        <f>IF($D$37="S","Smoove",IF($D$37="SAM","Smoove A/M",IF($D$37="S1","Situo 1",IF($D$37="S5","Situo 5",IF($D$37="N","Nina",IF($D$37="NT","Nina Timer",""))))))&amp;IF($D$37="C","Chronis",IF($D$37="K","KeyGo",IF($D$37="S4","Smoove 4",IF($D$37="T1","Telis 1",IF($D$37="T4","Telis 4",IF($D$37="T6","Telis 6",IF($D$37="T16","Telis 16",IF($D$37="CK","Codeklavier",""))))))))&amp;IF($D$37="W1","Wandzender - 1 Kan.",IF($D$37="W5","Wandzender - 5 Kan.",IF($D$37="H1","Handzender - 1 Kan.",IF($D$37="H5","Handzender - 5 Kan.",IF($D$37="H16","Handzender - 16 Kan.",IF($D$37="H16K","Handz. + Klok - 16 Kan.",IF($D$37="SH","Sleutelhanger - 1 Kan.",IF($D$37="Z","Zonsensor - 1 Kan.",""))))))))</f>
      </c>
      <c r="H74" s="73"/>
      <c r="J74" s="137"/>
      <c r="K74" s="137"/>
      <c r="L74" s="137"/>
      <c r="AA74" s="134"/>
    </row>
    <row r="75" spans="5:27" x14ac:dyDescent="0.25">
      <c r="E75" s="136"/>
      <c r="F75" s="136"/>
      <c r="G75" s="73"/>
      <c r="H75" s="73"/>
      <c r="J75" s="143">
        <f>IF($D$15&lt;&gt;"","Bladhoogte:","")</f>
      </c>
      <c r="K75" s="144">
        <f>IF($C$15&lt;&gt;"",IF(OR($G66="OXIMO IO",$G66="ALTUS RS IO",$G66="OXIMO RTS",$G66="SENSE",$G66="SENSE SOLAR",$G66="SOLAR RTS",$G66="SOLAR IO"),$E$250,$E$249),"")</f>
      </c>
      <c r="L75" s="145">
        <f>IF($D$15&lt;&gt;"","mm","")</f>
      </c>
      <c r="N75" s="144"/>
      <c r="AA75" s="134"/>
    </row>
    <row r="76" spans="1:27" x14ac:dyDescent="0.25">
      <c r="A76" s="63">
        <f>IF($D$15&gt;0,"Opmerking:","")</f>
      </c>
      <c r="B76" s="146"/>
      <c r="C76" s="146"/>
      <c r="D76" s="146"/>
      <c r="E76" s="146"/>
      <c r="F76" s="146"/>
      <c r="G76" s="146"/>
      <c r="H76" s="146"/>
      <c r="I76" s="146"/>
      <c r="J76" s="146"/>
      <c r="K76" s="146"/>
      <c r="L76" s="146"/>
      <c r="AA76" s="134"/>
    </row>
    <row r="77" spans="1:27" x14ac:dyDescent="0.25">
      <c r="A77" s="63">
        <f>IF($D$15&gt;0,"Opmerking:","")</f>
      </c>
      <c r="B77" s="146"/>
      <c r="C77" s="146"/>
      <c r="D77" s="146"/>
      <c r="E77" s="146"/>
      <c r="F77" s="146"/>
      <c r="G77" s="146"/>
      <c r="H77" s="146"/>
      <c r="I77" s="146"/>
      <c r="J77" s="146"/>
      <c r="K77" s="146"/>
      <c r="L77" s="146"/>
      <c r="AA77" s="134"/>
    </row>
    <row r="78" spans="1:27" x14ac:dyDescent="0.25">
      <c r="A78" s="63">
        <f>IF($D$15&gt;0,"Opmerking:","")</f>
      </c>
      <c r="B78" s="146"/>
      <c r="C78" s="146"/>
      <c r="D78" s="146"/>
      <c r="E78" s="146"/>
      <c r="F78" s="146"/>
      <c r="G78" s="146"/>
      <c r="H78" s="146"/>
      <c r="I78" s="146"/>
      <c r="J78" s="146"/>
      <c r="K78" s="146"/>
      <c r="L78" s="146"/>
      <c r="AA78" s="134"/>
    </row>
    <row r="79" spans="27:27" x14ac:dyDescent="0.25">
      <c r="AA79" s="134"/>
    </row>
    <row r="80" spans="1:27" x14ac:dyDescent="0.25">
      <c r="A80" s="127">
        <f>IF(E$15&gt;0,E$14,"")</f>
      </c>
      <c r="B80" s="128"/>
      <c r="C80" s="128">
        <f>IF($E$15&gt;0,"Zaagmaat","")</f>
      </c>
      <c r="D80" s="128">
        <f>IF($E$15&gt;0,"Kleur","")</f>
      </c>
      <c r="E80" s="128">
        <f>IF($E$15&gt;0,"Open","")</f>
      </c>
      <c r="F80" s="128">
        <f>IF($E$15&gt;0,"Gesloten","")</f>
      </c>
      <c r="G80" s="128">
        <f>IF($E$15&gt;0,"Bediening","")</f>
      </c>
      <c r="H80" s="128"/>
      <c r="I80" s="129">
        <f>IF($E$15&gt;0,"Afgewerkte maten (B x H):","")</f>
      </c>
      <c r="J80" s="129"/>
      <c r="K80" s="130">
        <f>IF($E$15&gt;0,$E$23,"")</f>
      </c>
      <c r="L80" s="130">
        <f>IF($E$15&gt;0,$E$24,"")</f>
      </c>
      <c r="AA80" s="134"/>
    </row>
    <row r="81" spans="1:27" x14ac:dyDescent="0.25">
      <c r="A81" s="63">
        <f>IF($E$15&gt;0,"Aantal:","")</f>
      </c>
      <c r="B81" s="73">
        <f>IF($E$15&gt;0,$E$15,"")</f>
      </c>
      <c r="C81" s="73"/>
      <c r="G81" s="73">
        <f>IF(OR($E$31="CSI RTS",$E$31="CSI"),"Noodbediening","")&amp;IF(G82="SENSE","GAPOSA",IF(OR(G82="Solar RTS",G82="Solar IO",G82="Sense Solar"),"Zonnepaneel",""))</f>
      </c>
      <c r="H81" s="73"/>
      <c r="AA81" s="134"/>
    </row>
    <row r="82" spans="1:27" x14ac:dyDescent="0.25">
      <c r="A82" s="63">
        <f>IF($E$15&gt;0,"Lamel:","")</f>
      </c>
      <c r="B82" s="73">
        <f>IF($E$16="P42","PVC 42",IF($E$16="A42","ALU 42",IF($E$16="U42","ULTRA 42",IF($E$16="U52","ULTRA 52",""))))</f>
      </c>
      <c r="C82" s="135">
        <f>IF(AA82&lt;&gt;"",AA82*1,"")</f>
      </c>
      <c r="D82" s="73">
        <f>IF($E$17&lt;&gt;0,$E$17,"")</f>
      </c>
      <c r="E82" s="136">
        <f>IF(OR($G82="OXIMO IO",$G82="ALTUS RS IO",$G82="OXIMO RTS",$G82="SENSE",$G82="SENSE SOLAR",$G82="SOLAR RTS",$G82="SOLAR IO"),$F$244,$F$242)</f>
      </c>
      <c r="F82" s="136">
        <f>IF(OR($G82="OXIMO IO",$G82="ALTUS RS IO",$G82="OXIMO RTS",$G82="SENSE",$G82="SENSE SOLAR",$G82="SOLAR RTS",$G82="SOLAR IO"),$F$245,$F$243)</f>
      </c>
      <c r="G82" s="73">
        <f>(IF($E$30="L","LINT",IF($E$30="K","KOORD",IF($E$30="R","REDUCTIE",IF($E$30="V","VEERAS","")))))&amp;(IF($E$31="G","GAPOSA",IF($E$31="GS","SENSE",IF($E$31="S","SOLUS",IF($E$31="RTS","OXIMO RTS",IF($E$31="IO","OXIMO IO",IF($E$31="CSI","CSI",IF($E$31="CSI RTS","CSI RTS",IF($E$31="SIO","Solar IO",IF($E$31="GSS","Sense Solar",""))))))))))</f>
      </c>
      <c r="H82" s="73">
        <f>(IF($E$32="R1","Rechts",IF($E$32="R2","Rechts",IF($E$32="R3","Rechts",IF($E$32="R4","Rechts",IF($E$32="R5","Rechts",IF($E$32="R6","Rechts",IF($E$32="R7","Rechts","")))))))&amp;IF($E$32="L1","Links",IF($E$32="L2","Links",IF($E$32="L3","Links",IF($E$32="L4","Links",IF($E$32="L5","Links",IF($E$32="L6","Links",IF($E$32="L7","Links",IF($E$32="L","Links",""))))))))&amp;IF($E$32="R","Rechts",""))</f>
      </c>
      <c r="J82" s="137"/>
      <c r="K82" s="137"/>
      <c r="L82" s="137"/>
      <c r="N82" s="136"/>
      <c r="O82" s="136"/>
      <c r="AA82" s="139">
        <f>IF($E$30="L",Software!D20,IF($E$30="K",Software!D20,IF($E$30="R",Software!I20,IF($E$30="V",Software!S20,""))))&amp;IF($E$31="G",Software!N20,IF($E$31="GS",Software!N20,IF($E$31="S",Software!N20,IF($E$31="RTS",Software!N20,IF($E$31="IO",Software!N20,IF($E$31="CSI",Software!N20,IF($E$31="CSI RTS",Software!N20,"")))))))&amp;IF($E$31="SIO",Software!X20,IF($E$31="GSS",Software!N20,""))</f>
      </c>
    </row>
    <row r="83" spans="1:27" x14ac:dyDescent="0.25">
      <c r="A83" s="63">
        <f>IF($E$15&gt;0,"Onderlat:","")</f>
      </c>
      <c r="B83" s="73">
        <f>IF($AA$83&lt;&gt;"","Mini","")</f>
      </c>
      <c r="C83" s="135">
        <f>IF(AA83&lt;&gt;"",AA83*1,"")</f>
      </c>
      <c r="D83" s="73" t="str">
        <f>IF($E$22&lt;&gt;0,$E$22,"")</f>
        <v> </v>
      </c>
      <c r="G83" s="73">
        <f>IF($E$41&lt;&gt;0,$E$41,"")</f>
      </c>
      <c r="H83" s="140">
        <f>(IF($E$32="R1","Achter onder",IF($E$32="R2","Achter boven",IF($E$32="R3","Boven",IF($E$32="R4","Vooraan boven",IF($E$32="R5","Zijkap",IF($E$32="R6","Geleider",IF($E$32="R7","Vooraan onder","")))))))&amp;IF($E$32="L1","Achter onder",IF($E$32="L2","Achter boven",IF($E$32="L3","Boven",IF($E$32="L4","Vooraan boven",IF($E$32="L5","Zijkap",IF($E$32="L6","Geleider",IF($E$32="L7","Vooraan onder",""))))))))</f>
      </c>
      <c r="J83" s="137"/>
      <c r="K83" s="137"/>
      <c r="L83" s="137"/>
      <c r="AA83" s="141">
        <f>IF($E$30="L",Software!D23,IF($E$30="K",Software!D23,IF($E$30="R",Software!I23,IF($E$30="V",Software!S23,""))))&amp;IF($E$31="G",Software!N24,IF($E$31="GS",Software!N24,IF($E$31="S",Software!N24,IF($E$31="RTS",Software!N24,IF($E$31="IO",Software!N24,IF($E$31="CSI",Software!N24,IF($E$31="CSI RTS",Software!N24,"")))))))&amp;IF($E$31="SIO",Software!X23,IF($E$31="GSS",Software!N24,""))</f>
      </c>
    </row>
    <row r="84" spans="1:27" x14ac:dyDescent="0.25">
      <c r="A84" s="63">
        <f>IF($E$26=45,"Kast 45°:",IF($E$26="R","Ronde kast:",""))</f>
      </c>
      <c r="B84" s="73">
        <f>IF($E$27=0,"",IF($E$27&gt;0,$E$27))</f>
      </c>
      <c r="C84" s="135">
        <f>IF(AA84&lt;&gt;"",AA84*1,"")</f>
      </c>
      <c r="D84" s="73">
        <f>IF($E$20&lt;&gt;0,$E$20,"")</f>
      </c>
      <c r="E84" s="142"/>
      <c r="F84" s="142"/>
      <c r="J84" s="137"/>
      <c r="K84" s="137"/>
      <c r="L84" s="137"/>
      <c r="AA84" s="141">
        <f>IF($E$30="L",Software!D21,IF($E$30="K",Software!D21,IF($E$30="R",Software!I21,IF($E$30="V",Software!S21,""))))&amp;IF($E$31="G",Software!N21,IF($E$31="GS",Software!N21,IF($E$31="S",Software!N21,IF($E$31="RTS",Software!N21,IF($E$31="IO",Software!N21,IF($E$31="CSI",Software!N21,IF($E$31="CSI RTS",Software!N21,"")))))))&amp;IF($E$31="SIO",Software!X21,IF($E$31="GSS",Software!N21,""))</f>
      </c>
    </row>
    <row r="85" spans="1:27" x14ac:dyDescent="0.25">
      <c r="A85" s="63">
        <f>IF($E$15&gt;0,"As:","")</f>
      </c>
      <c r="B85" s="73">
        <f>IF($E$25&gt;0,"8K"&amp;$E$25,"")</f>
      </c>
      <c r="C85" s="135">
        <f>IF(AA86&lt;&gt;"",AA86*1,"")</f>
      </c>
      <c r="D85" s="73">
        <f>IF($E$15&lt;&gt;0,"-","")</f>
      </c>
      <c r="F85" s="2"/>
      <c r="G85" s="23">
        <f>IF($E$30="L","Lintoproller",IF($E$30="K","Koordoproller",IF($E$30="R","Lintoproller",IF($E$30="V","Bediening",IF($E$31="G","Schakelaar",IF($E$31="S","Schakelaar",IF($E$31="CSI","Schakelaar",IF($E$31="RTS","Afstandsbediening",))))))))&amp;IF($E$31="IO","Afstandsbediening",IF($E$31="CSI RTS","Afstandsbediening",IF($E$31="GS","Afstandsbediening",IF($E$31="SIO","Afstandsbediening",IF($E$31="GSS","Afstandsbediening","")))))</f>
      </c>
      <c r="H85" s="23"/>
      <c r="I85" s="23">
        <f>IF($E$39&gt;0,"Kanaal","")</f>
      </c>
      <c r="J85" s="137"/>
      <c r="K85" s="137"/>
      <c r="L85" s="137"/>
      <c r="AA85" s="134"/>
    </row>
    <row r="86" spans="1:27" x14ac:dyDescent="0.25">
      <c r="A86" s="63">
        <f>IF($E$15&gt;0,"Geleiders:","")</f>
      </c>
      <c r="B86" s="73" t="str">
        <f>IF($E$28&gt;0,$E$28&amp;" "&amp;$E$29,"")</f>
        <v> </v>
      </c>
      <c r="C86" s="135">
        <f>IF($E$24&gt;0,$E$24-$E$27,"")</f>
      </c>
      <c r="D86" s="73" t="str">
        <f>IF($E$21&lt;&gt;0,$E$21,"")</f>
        <v> </v>
      </c>
      <c r="F86" s="2"/>
      <c r="G86" s="73">
        <f>IF($E$33="O","Opbouw",IF($E$33="I","Inbouw",IF($E$33="S","Somfy",IF($E$33="U","Inis Uno",IF($E$33="D","Inis Duo",IF($E$33="G","Geen",""))))))&amp;IF($E$35="S","Smoove",IF($E$35="SAM","Smoove A/M",IF($E$35="S1","Situo 1",IF($E$35="S5","Situo 5",IF($E$35="N","Nina",IF($E$35="NT","Nina Timer",""))))))&amp;IF($E$35="C","Chronis",IF($E$35="K","KeyGo",IF($E$35="S4","Smoove 4",IF($E$35="T1","Telis 1",IF($E$35="T4","Telis 4",IF($E$35="T6","Telis 6",IF($E$35="T16","Telis 16","")))))))&amp;IF($E$35="W1","Wandzender - 1 Kan.",IF($E$35="W5","Wandzender - 5 Kan.",IF($E$35="H1","Handzender - 1 Kan.",IF($E$35="H5","Handzender - 5 Kan.",IF($E$35="H16","Handzender - 16 Kan.",IF($E$35="H16K","Handz. + Klok - 16 Kan.",IF($E$35="SH","Sleutelhanger - 1 Kan.",IF($E$35="Z","Zonsensor - 1 Kan.",""))))))))</f>
      </c>
      <c r="H86" s="73"/>
      <c r="I86" s="73">
        <f>IF($E$39&gt;0,$E$39,"")</f>
      </c>
      <c r="J86" s="137"/>
      <c r="K86" s="137"/>
      <c r="L86" s="137"/>
      <c r="AA86" s="141">
        <f>IF($E$30="L",Software!D22,IF($E$30="K",Software!D22,IF($E$30="R",Software!I22,IF($E$30="V",Software!S22,""))))&amp;IF($E$31="G",Software!N23,IF($E$31="GS",Software!N23,IF($E$31="S",Software!N22,IF($E$31="RTS",Software!N22,IF($E$31="IO",Software!N22,IF($E$31="CSI",Software!N22,IF($E$31="CSI RTS",Software!N22,"")))))))&amp;IF($E$31="SIO",Software!N22,IF($E$31="GSS",Software!N23,""))</f>
      </c>
    </row>
    <row r="87" spans="10:27" x14ac:dyDescent="0.25">
      <c r="J87" s="137"/>
      <c r="K87" s="137"/>
      <c r="L87" s="137"/>
      <c r="AA87" s="134"/>
    </row>
    <row r="88" spans="1:27" x14ac:dyDescent="0.25">
      <c r="A88" s="38"/>
      <c r="G88" s="23">
        <f>IF($E$36&gt;0,"Extra zender","")</f>
      </c>
      <c r="H88" s="23"/>
      <c r="J88" s="137"/>
      <c r="K88" s="137"/>
      <c r="L88" s="137"/>
      <c r="AA88" s="134"/>
    </row>
    <row r="89" spans="1:27" x14ac:dyDescent="0.25">
      <c r="A89" s="63">
        <f>IF($E$15&gt;0,"Afdekstoppen:","")</f>
      </c>
      <c r="B89" s="73" t="str">
        <f>IF($E$15&gt;0,SUM($C$261:$C$262)&amp;" stuks"," ")</f>
        <v> </v>
      </c>
      <c r="C89" s="73">
        <f>IF($E$15&lt;&gt;0,"-","")</f>
      </c>
      <c r="D89" s="73" t="str">
        <f>IF($B$89&gt;0,$D$86,"")</f>
        <v> </v>
      </c>
      <c r="G89" s="73">
        <f>IF($E$36="S","Smoove",IF($E$36="SAM","Smoove A/M",IF($E$36="S1","Situo 1",IF($E$36="S5","Situo 5",IF($E$36="N","Nina",IF($E$36="NT","Nina Timer",""))))))&amp;IF($E$36="C","Chronis",IF($E$36="K","KeyGo",IF($E$36="S4","Smoove 4",IF($E$36="T1","Telis 1",IF($E$36="T4","Telis 4",IF($E$36="T6","Telis 6",IF($E$36="T16","Telis 16",IF($E$36="CK","Codeklavier",""))))))))&amp;IF($E$36="W1","Wandzender - 1 Kan.",IF($E$36="W5","Wandzender - 5 Kan.",IF($E$36="H1","Handzender - 1 Kan.",IF($E$36="H5","Handzender - 5 Kan.",IF($E$36="H16","Handzender - 16 Kan.",IF($E$36="H16K","Handz. + Klok - 16 Kan.",IF($E$36="SH","Sleutelhanger - 1 Kan.",IF($E$36="Z","Zonsensor - 1 Kan.",""))))))))</f>
      </c>
      <c r="H89" s="73"/>
      <c r="I89" s="2"/>
      <c r="J89" s="137"/>
      <c r="K89" s="137"/>
      <c r="L89" s="137"/>
      <c r="AA89" s="134"/>
    </row>
    <row r="90" spans="1:27" x14ac:dyDescent="0.25">
      <c r="A90" s="63">
        <f>IF($E$15&gt;0,"Ophangveren:","")</f>
      </c>
      <c r="B90" s="73">
        <f>IF($E$15&lt;&gt;"",IF($C$269=1,2&amp;" Stuks",$C$269&amp;" Stuks"),"")</f>
      </c>
      <c r="C90" s="73">
        <f>IF($E$15&gt;0,$C$267,"")</f>
      </c>
      <c r="D90" s="73"/>
      <c r="G90" s="73">
        <f>IF($E$37="S","Smoove",IF($E$37="SAM","Smoove A/M",IF($E$37="S1","Situo 1",IF($E$37="S5","Situo 5",IF($E$37="N","Nina",IF($E$37="NT","Nina Timer",""))))))&amp;IF($E$37="C","Chronis",IF($E$37="K","KeyGo",IF($E$37="S4","Smoove 4",IF($E$37="T1","Telis 1",IF($E$37="T4","Telis 4",IF($E$37="T6","Telis 6",IF($E$37="T16","Telis 16",IF($E$37="CK","Codeklavier",""))))))))&amp;IF($E$37="W1","Wandzender - 1 Kan.",IF($E$37="W5","Wandzender - 5 Kan.",IF($E$37="H1","Handzender - 1 Kan.",IF($E$37="H5","Handzender - 5 Kan.",IF($E$37="H16","Handzender - 16 Kan.",IF($E$37="H16K","Handz. + Klok - 16 Kan.",IF($E$37="SH","Sleutelhanger - 1 Kan.",IF($E$37="Z","Zonsensor - 1 Kan.",""))))))))</f>
      </c>
      <c r="H90" s="73"/>
      <c r="J90" s="137"/>
      <c r="K90" s="137"/>
      <c r="L90" s="137"/>
      <c r="AA90" s="134"/>
    </row>
    <row r="91" spans="5:27" x14ac:dyDescent="0.25">
      <c r="E91" s="136"/>
      <c r="F91" s="136"/>
      <c r="G91" s="73"/>
      <c r="H91" s="73"/>
      <c r="J91" s="143">
        <f>IF($E$15&lt;&gt;"","Bladhoogte:","")</f>
      </c>
      <c r="K91" s="144">
        <f>IF($C$15&lt;&gt;"",IF(OR($G82="OXIMO IO",$G82="ALTUS RS IO",$G82="OXIMO RTS",$G82="SENSE",$G82="SENSE SOLAR",$G82="SOLAR RTS",$G82="SOLAR IO"),$F$250,$F$249),"")</f>
      </c>
      <c r="L91" s="145">
        <f>IF($E$15&lt;&gt;"","mm","")</f>
      </c>
      <c r="N91" s="144"/>
      <c r="AA91" s="134"/>
    </row>
    <row r="92" spans="1:27" x14ac:dyDescent="0.25">
      <c r="A92" s="63">
        <f>IF($E$15&gt;0,"Opmerking:","")</f>
      </c>
      <c r="B92" s="146"/>
      <c r="C92" s="146"/>
      <c r="D92" s="146"/>
      <c r="E92" s="146"/>
      <c r="F92" s="146"/>
      <c r="G92" s="146"/>
      <c r="H92" s="146"/>
      <c r="I92" s="146"/>
      <c r="J92" s="146"/>
      <c r="K92" s="146"/>
      <c r="L92" s="146"/>
      <c r="AA92" s="134"/>
    </row>
    <row r="93" spans="1:27" x14ac:dyDescent="0.25">
      <c r="A93" s="63">
        <f>IF($E$15&gt;0,"Opmerking:","")</f>
      </c>
      <c r="B93" s="146"/>
      <c r="C93" s="146"/>
      <c r="D93" s="146"/>
      <c r="E93" s="146"/>
      <c r="F93" s="146"/>
      <c r="G93" s="146"/>
      <c r="H93" s="146"/>
      <c r="I93" s="146"/>
      <c r="J93" s="146"/>
      <c r="K93" s="146"/>
      <c r="L93" s="146"/>
      <c r="AA93" s="134"/>
    </row>
    <row r="94" spans="1:27" x14ac:dyDescent="0.25">
      <c r="A94" s="63">
        <f>IF($E$15&gt;0,"Opmerking:","")</f>
      </c>
      <c r="B94" s="146"/>
      <c r="C94" s="146"/>
      <c r="D94" s="146"/>
      <c r="E94" s="146"/>
      <c r="F94" s="146"/>
      <c r="G94" s="146"/>
      <c r="H94" s="146"/>
      <c r="I94" s="146"/>
      <c r="J94" s="146"/>
      <c r="K94" s="146"/>
      <c r="L94" s="146"/>
      <c r="AA94" s="134"/>
    </row>
    <row r="95" spans="27:27" x14ac:dyDescent="0.25">
      <c r="AA95" s="134"/>
    </row>
    <row r="96" spans="1:27" x14ac:dyDescent="0.25">
      <c r="A96" s="127">
        <f>IF(F$15&gt;0,F$14,"")</f>
      </c>
      <c r="B96" s="128"/>
      <c r="C96" s="128">
        <f>IF($F$15&gt;0,"Zaagmaat","")</f>
      </c>
      <c r="D96" s="128">
        <f>IF($F$15&gt;0,"Kleur","")</f>
      </c>
      <c r="E96" s="128">
        <f>IF($F$15&gt;0,"Open","")</f>
      </c>
      <c r="F96" s="128">
        <f>IF($F$15&gt;0,"Gesloten","")</f>
      </c>
      <c r="G96" s="128">
        <f>IF($F$15&gt;0,"Bediening","")</f>
      </c>
      <c r="H96" s="128"/>
      <c r="I96" s="129">
        <f>IF($F$15&gt;0,"Afgewerkte maten (B x H):","")</f>
      </c>
      <c r="J96" s="129"/>
      <c r="K96" s="130">
        <f>IF($F$15&gt;0,$F$23,"")</f>
      </c>
      <c r="L96" s="130">
        <f>IF($F$15&gt;0,$F$24,"")</f>
      </c>
      <c r="AA96" s="134"/>
    </row>
    <row r="97" spans="1:27" x14ac:dyDescent="0.25">
      <c r="A97" s="63">
        <f>IF($F$15&gt;0,"Aantal:","")</f>
      </c>
      <c r="B97" s="73">
        <f>IF($F$15&gt;0,$F$15,"")</f>
      </c>
      <c r="C97" s="73"/>
      <c r="G97" s="73">
        <f>IF(OR($F$31="CSI RTS",$F$31="CSI"),"Noodbediening","")&amp;IF(G98="SENSE","GAPOSA",IF(OR(G98="Solar RTS",G98="Solar IO",G98="Sense Solar"),"Zonnepaneel",""))</f>
      </c>
      <c r="H97" s="73"/>
      <c r="AA97" s="134"/>
    </row>
    <row r="98" spans="1:27" x14ac:dyDescent="0.25">
      <c r="A98" s="63">
        <f>IF($F$15&gt;0,"Lamel:","")</f>
      </c>
      <c r="B98" s="73">
        <f>IF($F$16="P42","PVC 42",IF($F$16="A42","ALU 42",IF($F$16="U42","ULTRA 42",IF($F$16="U52","ULTRA 52",""))))</f>
      </c>
      <c r="C98" s="135">
        <f>IF(AA98&lt;&gt;"",AA98*1,"")</f>
      </c>
      <c r="D98" s="73">
        <f>IF($F$17&lt;&gt;0,$F$17,"")</f>
      </c>
      <c r="E98" s="136">
        <f>IF(OR($G98="OXIMO IO",$G98="ALTUS RS IO",$G98="OXIMO RTS",$G98="SENSE",$G98="SENSE SOLAR",$G98="SOLAR RTS",$G98="SOLAR IO"),$G$244,$G$242)</f>
      </c>
      <c r="F98" s="136">
        <f>IF(OR($G98="OXIMO IO",$G98="ALTUS RS IO",$G98="OXIMO RTS",$G98="SENSE",$G98="SENSE SOLAR",$G98="SOLAR RTS",$G98="SOLAR IO"),$G$245,$G$243)</f>
      </c>
      <c r="G98" s="73">
        <f>(IF($F$30="L","LINT",IF($F$30="K","KOORD",IF($F$30="R","REDUCTIE",IF($F$30="V","VEERAS","")))))&amp;(IF($F$31="G","GAPOSA",IF($F$31="GS","SENSE",IF($F$31="S","SOLUS",IF($F$31="RTS","OXIMO RTS",IF($F$31="IO","OXIMO IO",IF($F$31="CSI","CSI",IF($F$31="CSI RTS","CSI RTS",IF($F$31="SIO","Solar IO",IF($F$31="GSS","Sense Solar",""))))))))))</f>
      </c>
      <c r="H98" s="73">
        <f>(IF($F$32="R1","Rechts",IF($F$32="R2","Rechts",IF($F$32="R3","Rechts",IF($F$32="R4","Rechts",IF($F$32="R5","Rechts",IF($F$32="R6","Rechts",IF($F$32="R7","Rechts","")))))))&amp;IF($F$32="L1","Links",IF($F$32="L2","Links",IF($F$32="L3","Links",IF($F$32="L4","Links",IF($F$32="L5","Links",IF($F$32="L6","Links",IF($F$32="L7","Links",IF($F$32="L","Links",""))))))))&amp;IF($F$32="R","Rechts",""))</f>
      </c>
      <c r="J98" s="137"/>
      <c r="K98" s="137"/>
      <c r="L98" s="137"/>
      <c r="N98" s="136"/>
      <c r="O98" s="136"/>
      <c r="AA98" s="147">
        <f>IF($F$30="L",Software!D28,IF($F$30="K",Software!D28,IF($F$30="R",Software!I28,IF($F$30="V",Software!S28,""))))&amp;IF($F$31="G",Software!N28,IF($F$31="GS",Software!N28,IF($F$31="S",Software!N28,IF($F$31="RTS",Software!N28,IF($F$31="IO",Software!N28,IF($F$31="CSI",Software!N28,IF($F$31="CSI RTS",Software!N28,"")))))))&amp;IF($F$31="SIO",Software!X28,IF($F$31="GSS",Software!N28,""))</f>
      </c>
    </row>
    <row r="99" spans="1:27" x14ac:dyDescent="0.25">
      <c r="A99" s="63">
        <f>IF($F$15&gt;0,"Onderlat:","")</f>
      </c>
      <c r="B99" s="73">
        <f>IF($AA$99&lt;&gt;"","Mini","")</f>
      </c>
      <c r="C99" s="135">
        <f>IF(AA99&lt;&gt;"",AA99*1,"")</f>
      </c>
      <c r="D99" s="73" t="str">
        <f>IF($F$22&lt;&gt;0,$F$22,"")</f>
        <v> </v>
      </c>
      <c r="G99" s="73">
        <f>IF($F$41&lt;&gt;0,$F$41,"")</f>
      </c>
      <c r="H99" s="140">
        <f>(IF($F$32="R1","Achter onder",IF($F$32="R2","Achter boven",IF($F$32="R3","Boven",IF($F$32="R4","Vooraan boven",IF($F$32="R5","Zijkap",IF($F$32="R6","Geleider",IF($F$32="R7","Vooraan onder","")))))))&amp;IF($F$32="L1","Achter onder",IF($F$32="L2","Achter boven",IF($F$32="L3","Boven",IF($F$32="L4","Vooraan boven",IF($F$32="L5","Zijkap",IF($F$32="L6","Geleider",IF($F$32="L7","Vooraan onder",""))))))))</f>
      </c>
      <c r="J99" s="137"/>
      <c r="K99" s="137"/>
      <c r="L99" s="137"/>
      <c r="O99" s="63"/>
      <c r="P99" s="73"/>
      <c r="Q99" s="135"/>
      <c r="R99" s="73"/>
      <c r="T99" s="2"/>
      <c r="U99" s="38"/>
      <c r="V99" s="38"/>
      <c r="AA99" s="141">
        <f>IF($F$30="L",Software!D31,IF($F$30="K",Software!D31,IF($F$30="R",Software!I31,IF($F$30="V",Software!S31,""))))&amp;IF($F$31="G",Software!N32,IF($F$31="GS",Software!N32,IF($F$31="S",Software!N32,IF($F$31="RTS",Software!N32,IF($F$31="IO",Software!N32,IF($F$31="CSI",Software!N32,IF($F$31="CSI RTS",Software!N32,"")))))))&amp;IF($F$31="SIO",Software!X31,IF($F$31="GSS",Software!N32,""))</f>
      </c>
    </row>
    <row r="100" spans="1:27" x14ac:dyDescent="0.25">
      <c r="A100" s="63">
        <f>IF($F$26=45,"Kast 45°:",IF($F$26="R","Ronde kast:",""))</f>
      </c>
      <c r="B100" s="73">
        <f>IF($F$27=0,"",IF($F$27&gt;0,$F$27))</f>
      </c>
      <c r="C100" s="135">
        <f>IF(AA100&lt;&gt;"",AA100*1,"")</f>
      </c>
      <c r="D100" s="73">
        <f>IF($F$20&lt;&gt;0,$F$20,"")</f>
      </c>
      <c r="E100" s="142"/>
      <c r="F100" s="142"/>
      <c r="J100" s="137"/>
      <c r="K100" s="137"/>
      <c r="L100" s="137"/>
      <c r="O100" s="38"/>
      <c r="AA100" s="141">
        <f>IF($F$30="L",Software!D29,IF($F$30="K",Software!D29,IF($F$30="R",Software!I29,IF($F$30="V",Software!S29,""))))&amp;IF($F$31="G",Software!N29,IF($F$31="GS",Software!N29,IF($F$31="S",Software!N29,IF($F$31="RTS",Software!N29,IF($F$31="IO",Software!N29,IF($F$31="CSI",Software!N29,IF($F$31="CSI RTS",Software!N29,"")))))))&amp;IF($F$31="SIO",Software!X29,IF($F$31="GSS",Software!N29,""))</f>
      </c>
    </row>
    <row r="101" spans="1:27" x14ac:dyDescent="0.25">
      <c r="A101" s="63">
        <f>IF($F$15&gt;0,"As:","")</f>
      </c>
      <c r="B101" s="73">
        <f>IF($F$25&gt;0,"8K"&amp;$F$25,"")</f>
      </c>
      <c r="C101" s="135">
        <f>IF(AA102&lt;&gt;"",AA102*1,"")</f>
      </c>
      <c r="D101" s="73">
        <f>IF($F$15&lt;&gt;0,"-","")</f>
      </c>
      <c r="F101" s="2"/>
      <c r="G101" s="23">
        <f>IF($F$30="L","Lintoproller",IF($F$30="K","Koordoproller",IF($F$30="R","Lintoproller",IF($F$30="V","Bediening",IF($F$31="G","Schakelaar",IF($F$31="S","Schakelaar",IF($F$31="CSI","Schakelaar",IF($F$31="RTS","Afstandsbediening",))))))))&amp;IF($F$31="IO","Afstandsbediening",IF($F$31="CSI RTS","Afstandsbediening",IF($F$31="GS","Afstandsbediening",IF($F$31="SIO","Afstandsbediening",IF($F$31="GSS","Afstandsbediening","")))))</f>
      </c>
      <c r="H101" s="23"/>
      <c r="I101" s="23">
        <f>IF($F$39&gt;0,"Kanaal","")</f>
      </c>
      <c r="J101" s="137"/>
      <c r="K101" s="137"/>
      <c r="L101" s="137"/>
      <c r="O101" s="38"/>
      <c r="AA101" s="134"/>
    </row>
    <row r="102" spans="1:27" x14ac:dyDescent="0.25">
      <c r="A102" s="63">
        <f>IF($F$15&gt;0,"Geleiders:","")</f>
      </c>
      <c r="B102" s="73" t="str">
        <f>IF($F$28&gt;0,$F$28&amp;" "&amp;$F$29,"")</f>
        <v> </v>
      </c>
      <c r="C102" s="135">
        <f>IF($F$24&gt;0,$F$24-$F$27,"")</f>
      </c>
      <c r="D102" s="73" t="str">
        <f>IF($F$21&lt;&gt;0,$F$21,"")</f>
        <v> </v>
      </c>
      <c r="F102" s="2"/>
      <c r="G102" s="73">
        <f>IF($F$33="O","Opbouw",IF($F$33="I","Inbouw",IF($F$33="S","Somfy",IF($F$33="U","Inis Uno",IF($F$33="D","Inis Duo",IF($F$33="G","Geen",""))))))&amp;IF($F$35="S","Smoove",IF($F$35="SAM","Smoove A/M",IF($F$35="S1","Situo 1",IF($F$35="S5","Situo 5",IF($F$35="N","Nina",IF($F$35="NT","Nina Timer",""))))))&amp;IF($F$35="C","Chronis",IF($F$35="K","KeyGo",IF($F$35="S4","Smoove 4",IF($F$35="T1","Telis 1",IF($F$35="T4","Telis 4",IF($F$35="T6","Telis 6",IF($F$35="T16","Telis 16","")))))))&amp;IF($F$35="W1","Wandzender - 1 Kan.",IF($F$35="W5","Wandzender - 5 Kan.",IF($F$35="H1","Handzender - 1 Kan.",IF($F$35="H5","Handzender - 5 Kan.",IF($F$35="H16","Handzender - 16 Kan.",IF($F$35="H16K","Handz. + Klok - 16 Kan.",IF($F$35="SH","Sleutelhanger - 1 Kan.",IF($F$35="Z","Zonsensor - 1 Kan.",""))))))))</f>
      </c>
      <c r="H102" s="73"/>
      <c r="I102" s="73">
        <f>IF($F$39&gt;0,$F$39,"")</f>
      </c>
      <c r="J102" s="137"/>
      <c r="K102" s="137"/>
      <c r="L102" s="137"/>
      <c r="O102" s="63"/>
      <c r="P102" s="73"/>
      <c r="Q102" s="73"/>
      <c r="R102" s="73"/>
      <c r="U102" s="38"/>
      <c r="V102" s="38"/>
      <c r="AA102" s="141">
        <f>IF($F$30="L",Software!D30,IF($F$30="K",Software!D30,IF($F$30="R",Software!I30,IF($F$30="V",Software!S30,""))))&amp;IF($F$31="G",Software!N31,IF($F$31="GS",Software!N31,IF($F$31="S",Software!N30,IF($F$31="RTS",Software!N30,IF($F$31="IO",Software!N30,IF($F$31="CSI",Software!N30,IF($F$31="CSI RTS",Software!N30,"")))))))&amp;IF($F$31="SIO",Software!N30,IF($F$31="GSS",Software!N31,""))</f>
      </c>
    </row>
    <row r="103" spans="10:27" x14ac:dyDescent="0.25">
      <c r="J103" s="137"/>
      <c r="K103" s="137"/>
      <c r="L103" s="137"/>
      <c r="O103" s="63"/>
      <c r="P103" s="73"/>
      <c r="AA103" s="134"/>
    </row>
    <row r="104" spans="1:27" x14ac:dyDescent="0.25">
      <c r="A104" s="38"/>
      <c r="G104" s="23">
        <f>IF($F$36&gt;0,"Extra zender","")</f>
      </c>
      <c r="H104" s="23"/>
      <c r="J104" s="137"/>
      <c r="K104" s="137"/>
      <c r="L104" s="137"/>
      <c r="O104" s="114"/>
      <c r="P104" s="73"/>
      <c r="Q104" s="135"/>
      <c r="R104" s="73"/>
      <c r="S104" s="142"/>
      <c r="U104" s="73"/>
      <c r="V104" s="73"/>
      <c r="AA104" s="134"/>
    </row>
    <row r="105" spans="1:27" x14ac:dyDescent="0.25">
      <c r="A105" s="63">
        <f>IF($F$15&gt;0,"Afdekstoppen:","")</f>
      </c>
      <c r="B105" s="73" t="str">
        <f>IF($F$15&gt;0,SUM($D$261:$D$262)&amp;" stuks"," ")</f>
        <v> </v>
      </c>
      <c r="C105" s="73">
        <f>IF($F$15&lt;&gt;0,"-","")</f>
      </c>
      <c r="D105" s="73" t="str">
        <f>IF($B$105&gt;0,$D$102,"")</f>
        <v> </v>
      </c>
      <c r="G105" s="73">
        <f>IF($F$36="S","Smoove",IF($F$36="SAM","Smoove A/M",IF($F$36="S1","Situo 1",IF($F$36="S5","Situo 5",IF($F$36="N","Nina",IF($F$36="NT","Nina Timer",""))))))&amp;IF($F$36="C","Chronis",IF($F$36="K","KeyGo",IF($F$36="S4","Smoove 4",IF($F$36="T1","Telis 1",IF($F$36="T4","Telis 4",IF($F$36="T6","Telis 6",IF($F$36="T16","Telis 16",IF($F$36="CK","Codeklavier",""))))))))&amp;IF($F$36="W1","Wandzender - 1 Kan.",IF($F$36="W5","Wandzender - 5 Kan.",IF($F$36="H1","Handzender - 1 Kan.",IF($F$36="H5","Handzender - 5 Kan.",IF($F$36="H16","Handzender - 16 Kan.",IF($F$36="H16K","Handz. + Klok - 16 Kan.",IF($F$36="SH","Sleutelhanger - 1 Kan.",IF($F$36="Z","Zonsensor - 1 Kan.",""))))))))</f>
      </c>
      <c r="H105" s="73"/>
      <c r="I105" s="2"/>
      <c r="J105" s="137"/>
      <c r="K105" s="137"/>
      <c r="L105" s="137"/>
      <c r="O105" s="114"/>
      <c r="P105" s="73"/>
      <c r="Q105" s="135"/>
      <c r="R105" s="73"/>
      <c r="U105" s="73"/>
      <c r="V105" s="73"/>
      <c r="AA105" s="134"/>
    </row>
    <row r="106" spans="1:27" x14ac:dyDescent="0.25">
      <c r="A106" s="63">
        <f>IF($F$15&gt;0,"Ophangveren:","")</f>
      </c>
      <c r="B106" s="73">
        <f>IF($F$15&lt;&gt;"",IF($D$269=1,2&amp;" Stuks",$D$269&amp;" Stuks"),"")</f>
      </c>
      <c r="C106" s="73">
        <f>IF($F$15&gt;0,$D$267,"")</f>
      </c>
      <c r="D106" s="73"/>
      <c r="G106" s="73">
        <f>IF($F$37="S","Smoove",IF($F$37="SAM","Smoove A/M",IF($F$37="S1","Situo 1",IF($F$37="S5","Situo 5",IF($F$37="N","Nina",IF($F$37="NT","Nina Timer",""))))))&amp;IF($F$37="C","Chronis",IF($F$37="K","KeyGo",IF($F$37="S4","Smoove 4",IF($F$37="T1","Telis 1",IF($F$37="T4","Telis 4",IF($F$37="T6","Telis 6",IF($F$37="T16","Telis 16",IF($F$37="CK","Codeklavier",""))))))))&amp;IF($F$37="W1","Wandzender - 1 Kan.",IF($F$37="W5","Wandzender - 5 Kan.",IF($F$37="H1","Handzender - 1 Kan.",IF($F$37="H5","Handzender - 5 Kan.",IF($F$37="H16","Handzender - 16 Kan.",IF($F$37="H16K","Handz. + Klok - 16 Kan.",IF($F$37="SH","Sleutelhanger - 1 Kan.",IF($F$37="Z","Zonsensor - 1 Kan.",""))))))))</f>
      </c>
      <c r="H106" s="73"/>
      <c r="J106" s="137"/>
      <c r="K106" s="137"/>
      <c r="L106" s="137"/>
      <c r="O106" s="73"/>
      <c r="AA106" s="134"/>
    </row>
    <row r="107" spans="5:27" x14ac:dyDescent="0.25">
      <c r="E107" s="136"/>
      <c r="F107" s="136"/>
      <c r="G107" s="73"/>
      <c r="H107" s="73"/>
      <c r="J107" s="143">
        <f>IF($F$15&lt;&gt;"","Bladhoogte:","")</f>
      </c>
      <c r="K107" s="144">
        <f>IF($C$15&lt;&gt;"",IF(OR($G98="OXIMO IO",$G98="ALTUS RS IO",$G98="OXIMO RTS",$G98="SENSE",$G98="SENSE SOLAR",$G98="SOLAR RTS",$G98="SOLAR IO"),$G$250,$G$249),"")</f>
      </c>
      <c r="L107" s="145">
        <f>IF($F$15&lt;&gt;"","mm","")</f>
      </c>
      <c r="N107" s="144"/>
      <c r="AA107" s="134"/>
    </row>
    <row r="108" spans="1:27" x14ac:dyDescent="0.25">
      <c r="A108" s="63">
        <f>IF($F$15&gt;0,"Opmerking:","")</f>
      </c>
      <c r="B108" s="146"/>
      <c r="C108" s="146"/>
      <c r="D108" s="146"/>
      <c r="E108" s="146"/>
      <c r="F108" s="146"/>
      <c r="G108" s="146"/>
      <c r="H108" s="146"/>
      <c r="I108" s="146"/>
      <c r="J108" s="146"/>
      <c r="K108" s="146"/>
      <c r="L108" s="146"/>
      <c r="O108" s="148"/>
      <c r="P108" s="128"/>
      <c r="Q108" s="128"/>
      <c r="R108" s="128"/>
      <c r="S108" s="128"/>
      <c r="T108" s="128"/>
      <c r="U108" s="128"/>
      <c r="V108" s="128"/>
      <c r="AA108" s="134"/>
    </row>
    <row r="109" spans="1:27" x14ac:dyDescent="0.25">
      <c r="A109" s="63">
        <f>IF($F$15&gt;0,"Opmerking:","")</f>
      </c>
      <c r="B109" s="146"/>
      <c r="C109" s="146"/>
      <c r="D109" s="146"/>
      <c r="E109" s="146"/>
      <c r="F109" s="146"/>
      <c r="G109" s="146"/>
      <c r="H109" s="146"/>
      <c r="I109" s="146"/>
      <c r="J109" s="146"/>
      <c r="K109" s="146"/>
      <c r="L109" s="146"/>
      <c r="O109" s="114"/>
      <c r="P109" s="73"/>
      <c r="Q109" s="73"/>
      <c r="U109" s="73"/>
      <c r="AA109" s="134"/>
    </row>
    <row r="110" spans="1:27" x14ac:dyDescent="0.25">
      <c r="A110" s="63">
        <f>IF($F$15&gt;0,"Opmerking:","")</f>
      </c>
      <c r="B110" s="146"/>
      <c r="C110" s="146"/>
      <c r="D110" s="146"/>
      <c r="E110" s="146"/>
      <c r="F110" s="146"/>
      <c r="G110" s="146"/>
      <c r="H110" s="146"/>
      <c r="I110" s="146"/>
      <c r="J110" s="146"/>
      <c r="K110" s="146"/>
      <c r="L110" s="146"/>
      <c r="O110" s="63"/>
      <c r="P110" s="73"/>
      <c r="Q110" s="73"/>
      <c r="AA110" s="134"/>
    </row>
    <row r="111" spans="9:27" x14ac:dyDescent="0.25">
      <c r="I111" s="142"/>
      <c r="J111" s="142"/>
      <c r="K111" s="142"/>
      <c r="L111" s="142"/>
      <c r="O111" s="63"/>
      <c r="P111" s="73"/>
      <c r="Q111" s="135"/>
      <c r="R111" s="73"/>
      <c r="S111" s="136"/>
      <c r="T111" s="136"/>
      <c r="U111" s="38"/>
      <c r="V111" s="38"/>
      <c r="AA111" s="134"/>
    </row>
    <row r="112" spans="1:27" x14ac:dyDescent="0.25">
      <c r="A112" s="127">
        <f>IF($G$15&gt;0,$G$14,"")</f>
      </c>
      <c r="B112" s="128"/>
      <c r="C112" s="128">
        <f>IF($G$15&gt;0,"Zaagmaat","")</f>
      </c>
      <c r="D112" s="128">
        <f>IF($G$15&gt;0,"Kleur","")</f>
      </c>
      <c r="E112" s="128">
        <f>IF($G$15&gt;0,"Open","")</f>
      </c>
      <c r="F112" s="128">
        <f>IF($G$15&gt;0,"Gesloten","")</f>
      </c>
      <c r="G112" s="128">
        <f>IF($G$15&gt;0,"Bediening","")</f>
      </c>
      <c r="H112" s="128"/>
      <c r="I112" s="129">
        <f>IF($G$15&gt;0,"Afgewerkte maten (B x H):","")</f>
      </c>
      <c r="J112" s="129"/>
      <c r="K112" s="130">
        <f>IF($G$15&gt;0,$G$23,"")</f>
      </c>
      <c r="L112" s="130">
        <f>IF($G$15&gt;0,$G$24,"")</f>
      </c>
      <c r="O112" s="63"/>
      <c r="P112" s="73"/>
      <c r="Q112" s="135"/>
      <c r="R112" s="73"/>
      <c r="U112" s="73"/>
      <c r="V112" s="73"/>
      <c r="AA112" s="134"/>
    </row>
    <row r="113" spans="1:27" x14ac:dyDescent="0.25">
      <c r="A113" s="63">
        <f>IF($G$15&gt;0,"Aantal:","")</f>
      </c>
      <c r="B113" s="73">
        <f>IF($G$15&gt;0,$G$15,"")</f>
      </c>
      <c r="C113" s="73"/>
      <c r="G113" s="73">
        <f>IF(OR($G$31="CSI RTS",$G$31="CSI"),"Noodbediening","")&amp;IF(G114="SENSE","GAPOSA",IF(OR(G114="Solar RTS",G114="Solar IO",G114="Sense Solar"),"Zonnepaneel",""))</f>
      </c>
      <c r="H113" s="73"/>
      <c r="O113" s="63"/>
      <c r="P113" s="73"/>
      <c r="Q113" s="135"/>
      <c r="R113" s="73"/>
      <c r="S113" s="142"/>
      <c r="T113" s="142"/>
      <c r="U113" s="73"/>
      <c r="V113" s="140"/>
      <c r="AA113" s="134"/>
    </row>
    <row r="114" spans="1:27" x14ac:dyDescent="0.25">
      <c r="A114" s="63">
        <f>IF($G$15&gt;0,"Lamel:","")</f>
      </c>
      <c r="B114" s="73">
        <f>IF($G$16="P42","PVC 42",IF($G$16="A42","ALU 42",IF($G$16="U42","ULTRA 42",IF($G$16="U52","ULTRA 52",""))))</f>
      </c>
      <c r="C114" s="135">
        <f>IF(AA114&lt;&gt;"",AA114*1,"")</f>
      </c>
      <c r="D114" s="73">
        <f>IF($G$17&lt;&gt;0,$G$17,"")</f>
      </c>
      <c r="E114" s="136">
        <f>IF(OR($G114="OXIMO IO",$G114="ALTUS RS IO",$G114="OXIMO RTS",$G114="SENSE",$G114="SENSE SOLAR",$G114="SOLAR RTS",$G114="SOLAR IO"),$H$244,$H$242)</f>
      </c>
      <c r="F114" s="136">
        <f>IF(OR($G114="OXIMO IO",$G114="ALTUS RS IO",$G114="OXIMO RTS",$G114="SENSE",$G114="SENSE SOLAR",$G114="SOLAR RTS",$G114="SOLAR IO"),$H$245,$H$243)</f>
      </c>
      <c r="G114" s="73">
        <f>(IF($G$30="L","LINT",IF($G$30="K","KOORD",IF($G$30="R","REDUCTIE",IF($G$30="V","VEERAS","")))))&amp;(IF($G$31="G","GAPOSA",IF($G$31="GS","SENSE",IF($G$31="S","SOLUS",IF($G$31="RTS","OXIMO RTS",IF($G$31="IO","OXIMO IO",IF($G$31="CSI","CSI",IF($G$31="CSI RTS","CSI RTS",IF($G$31="SIO","Solar IO",IF($G$31="GSS","Sense Solar",""))))))))))</f>
      </c>
      <c r="H114" s="73">
        <f>(IF($G$32="R1","Rechts",IF($G$32="R2","Rechts",IF($G$32="R3","Rechts",IF($G$32="R4","Rechts",IF($G$32="R5","Rechts",IF($G$32="R6","Rechts",IF($G$32="R7","Rechts","")))))))&amp;IF($G$32="L1","Links",IF($G$32="L2","Links",IF($G$32="L3","Links",IF($G$32="L4","Links",IF($G$32="L5","Links",IF($G$32="L6","Links",IF($G$32="L7","Links",IF($G$32="L","Links",""))))))))&amp;IF($G$32="R","Rechts",""))</f>
      </c>
      <c r="J114" s="137"/>
      <c r="K114" s="137"/>
      <c r="L114" s="137"/>
      <c r="N114" s="136"/>
      <c r="O114" s="136"/>
      <c r="P114" s="73"/>
      <c r="Q114" s="135"/>
      <c r="R114" s="73"/>
      <c r="T114" s="2"/>
      <c r="AA114" s="147">
        <f>IF($G$30="L",Software!D36,IF($G$30="K",Software!D36,IF($G$30="R",Software!I36,IF($G$30="V",Software!S36,""))))&amp;IF($G$31="G",Software!N36,IF($G$31="GS",Software!N36,IF($G$31="S",Software!N36,IF($G$31="RTS",Software!N36,IF($G$31="IO",Software!N36,IF($G$31="CSI",Software!N36,IF($G$31="CSI RTS",Software!N36,"")))))))&amp;IF($G$31="SIO",Software!X36,IF($G$31="GSS",Software!N36,""))</f>
      </c>
    </row>
    <row r="115" spans="1:27" x14ac:dyDescent="0.25">
      <c r="A115" s="63">
        <f>IF($G$15&gt;0,"Onderlat:","")</f>
      </c>
      <c r="B115" s="73">
        <f>IF($AA$115&lt;&gt;"","Mini","")</f>
      </c>
      <c r="C115" s="135">
        <f>IF(AA115&lt;&gt;"",AA115*1,"")</f>
      </c>
      <c r="D115" s="73" t="str">
        <f>IF($G$22&lt;&gt;0,$G$22,"")</f>
        <v> </v>
      </c>
      <c r="G115" s="73">
        <f>IF($G$41&lt;&gt;0,$G$41,"")</f>
      </c>
      <c r="H115" s="140">
        <f>(IF($G$32="R1","Achter onder",IF($G$32="R2","Achter boven",IF($G$32="R3","Boven",IF($G$32="R4","Vooraan boven",IF($G$32="R5","Zijkap",IF($G$32="R6","Geleider",IF($G$32="R7","Vooraan onder","")))))))&amp;IF($G$32="L1","Achter onder",IF($G$32="L2","Achter boven",IF($G$32="L3","Boven",IF($G$32="L4","Vooraan boven",IF($G$32="L5","Zijkap",IF($G$32="L6","Geleider",IF($G$32="L7","Vooraan onder",""))))))))</f>
      </c>
      <c r="J115" s="137"/>
      <c r="K115" s="137"/>
      <c r="L115" s="137"/>
      <c r="O115" s="63"/>
      <c r="P115" s="73"/>
      <c r="Q115" s="135"/>
      <c r="R115" s="73"/>
      <c r="T115" s="2"/>
      <c r="U115" s="38"/>
      <c r="V115" s="38"/>
      <c r="AA115" s="141">
        <f>IF($G$30="L",Software!D39,IF($G$30="K",Software!D39,IF($G$30="R",Software!I39,IF($G$30="V",Software!S39,""))))&amp;IF($G$31="G",Software!N40,IF($G$31="GS",Software!N40,IF($G$31="S",Software!N40,IF($G$31="RTS",Software!N40,IF($G$31="IO",Software!N40,IF($G$31="CSI",Software!N40,IF($G$31="CSI RTS",Software!N40,"")))))))&amp;IF($G$31="SIO",Software!X39,IF($G$31="GSS",Software!N40,""))</f>
      </c>
    </row>
    <row r="116" spans="1:27" x14ac:dyDescent="0.25">
      <c r="A116" s="63">
        <f>IF($G$26=45,"Kast 45°:",IF($G$26="R","Ronde kast:",""))</f>
      </c>
      <c r="B116" s="73">
        <f>IF($G$27=0,"",IF($G$27&gt;0,$G$27))</f>
      </c>
      <c r="C116" s="135">
        <f>IF(AA116&lt;&gt;"",AA116*1,"")</f>
      </c>
      <c r="D116" s="73">
        <f>IF($G$20&lt;&gt;0,$G$20,"")</f>
      </c>
      <c r="E116" s="142"/>
      <c r="F116" s="142"/>
      <c r="J116" s="137"/>
      <c r="K116" s="137"/>
      <c r="L116" s="137"/>
      <c r="O116" s="38"/>
      <c r="AA116" s="141">
        <f>IF($G$30="L",Software!D37,IF($G$30="K",Software!D37,IF($G$30="R",Software!I37,IF($G$30="V",Software!S37,""))))&amp;IF($G$31="G",Software!N37,IF($G$31="GS",Software!N37,IF($G$31="S",Software!N37,IF($G$31="RTS",Software!N37,IF($G$31="IO",Software!N37,IF($G$31="CSI",Software!N37,IF($G$31="CSI RTS",Software!N37,"")))))))&amp;IF($G$31="SIO",Software!X37,IF($G$31="GSS",Software!N37,""))</f>
      </c>
    </row>
    <row r="117" spans="1:27" x14ac:dyDescent="0.25">
      <c r="A117" s="63">
        <f>IF($G$15&gt;0,"As:","")</f>
      </c>
      <c r="B117" s="73">
        <f>IF($G$25&gt;0,"8K"&amp;$G$25,"")</f>
      </c>
      <c r="C117" s="135">
        <f>IF(AA118&lt;&gt;"",AA118*1,"")</f>
      </c>
      <c r="D117" s="73">
        <f>IF($G$15&lt;&gt;0,"-","")</f>
      </c>
      <c r="F117" s="2"/>
      <c r="G117" s="23">
        <f>IF($G$30="L","Lintoproller",IF($G$30="K","Koordoproller",IF($G$30="R","Lintoproller",IF($G$30="V","Bediening",IF($G$31="G","Schakelaar",IF($G$31="S","Schakelaar",IF($G$31="CSI","Schakelaar",IF($G$31="RTS","Afstandsbediening",))))))))&amp;IF($G$31="IO","Afstandsbediening",IF($G$31="CSI RTS","Afstandsbediening",IF($G$31="GS","Afstandsbediening",IF($G$31="SIO","Afstandsbediening",IF($G$31="GSS","Afstandsbediening","")))))</f>
      </c>
      <c r="H117" s="23"/>
      <c r="I117" s="23">
        <f>IF($G$39&gt;0,"Kanaal","")</f>
      </c>
      <c r="J117" s="137"/>
      <c r="K117" s="137"/>
      <c r="L117" s="137"/>
      <c r="O117" s="38"/>
      <c r="AA117" s="134"/>
    </row>
    <row r="118" spans="1:27" x14ac:dyDescent="0.25">
      <c r="A118" s="63">
        <f>IF($G$15&gt;0,"Geleiders:","")</f>
      </c>
      <c r="B118" s="73" t="str">
        <f>IF($G$28&gt;0,$G$28&amp;" "&amp;$G$29,"")</f>
        <v> </v>
      </c>
      <c r="C118" s="135">
        <f>IF($G$24&gt;0,$G$24-$G$27,"")</f>
      </c>
      <c r="D118" s="73" t="str">
        <f>IF($G$21&lt;&gt;0,$G$21,"")</f>
        <v> </v>
      </c>
      <c r="F118" s="2"/>
      <c r="G118" s="73">
        <f>IF($G$33="O","Opbouw",IF($G$33="I","Inbouw",IF($G$33="S","Somfy",IF($G$33="U","Inis Uno",IF($G$33="D","Inis Duo",IF($G$33="G","Geen",""))))))&amp;IF($G$35="S","Smoove",IF($G$35="SAM","Smoove A/M",IF($G$35="S1","Situo 1",IF($G$35="S5","Situo 5",IF($G$35="N","Nina",IF($G$35="NT","Nina Timer",""))))))&amp;IF($G$35="C","Chronis",IF($G$35="K","KeyGo",IF($G$35="S4","Smoove 4",IF($G$35="T1","Telis 1",IF($G$35="T4","Telis 4",IF($G$35="T6","Telis 6",IF($G$35="T16","Telis 16","")))))))&amp;IF($G$35="W1","Wandzender - 1 Kan.",IF($G$35="W5","Wandzender - 5 Kan.",IF($G$35="H1","Handzender - 1 Kan.",IF($G$35="H5","Handzender - 5 Kan.",IF($G$35="H16","Handzender - 16 Kan.",IF($G$35="H16K","Handz. + Klok - 16 Kan.",IF($G$35="SH","Sleutelhanger - 1 Kan.",IF($G$35="Z","Zonsensor - 1 Kan.",""))))))))</f>
      </c>
      <c r="H118" s="73"/>
      <c r="I118" s="73">
        <f>IF($G$39&gt;0,$G$39,"")</f>
      </c>
      <c r="J118" s="137"/>
      <c r="K118" s="137"/>
      <c r="L118" s="137"/>
      <c r="O118" s="63"/>
      <c r="P118" s="73"/>
      <c r="Q118" s="73"/>
      <c r="R118" s="73"/>
      <c r="U118" s="38"/>
      <c r="V118" s="38"/>
      <c r="AA118" s="141">
        <f>IF($G$30="L",Software!D38,IF($G$30="K",Software!D38,IF($G$30="R",Software!I38,IF($G$30="V",Software!S38,""))))&amp;IF($G$31="G",Software!N39,IF($G$31="GS",Software!N39,IF($G$31="S",Software!N38,IF($G$31="RTS",Software!N38,IF($G$31="IO",Software!N38,IF($G$31="CSI",Software!N38,IF($G$31="CSI RTS",Software!N38,"")))))))&amp;IF($G$31="SIO",Software!N38,IF($G$31="GSS",Software!N39,""))</f>
      </c>
    </row>
    <row r="119" ht="13.5" customHeight="1" spans="10:27" x14ac:dyDescent="0.25">
      <c r="J119" s="137"/>
      <c r="K119" s="137"/>
      <c r="L119" s="137"/>
      <c r="O119" s="63"/>
      <c r="P119" s="73"/>
      <c r="AA119" s="149"/>
    </row>
    <row r="120" spans="1:22" x14ac:dyDescent="0.25">
      <c r="A120" s="38"/>
      <c r="G120" s="23">
        <f>IF($G$36&gt;0,"Extra zender","")</f>
      </c>
      <c r="H120" s="23"/>
      <c r="J120" s="137"/>
      <c r="K120" s="137"/>
      <c r="L120" s="137"/>
      <c r="O120" s="114"/>
      <c r="P120" s="73"/>
      <c r="Q120" s="135"/>
      <c r="R120" s="73"/>
      <c r="U120" s="73"/>
      <c r="V120" s="140"/>
    </row>
    <row r="121" spans="1:22" x14ac:dyDescent="0.25">
      <c r="A121" s="63">
        <f>IF($G$15&gt;0,"Afdekstoppen:","")</f>
      </c>
      <c r="B121" s="73" t="str">
        <f>IF($G$15&gt;0,SUM($E$261:$E$262)&amp;" stuks"," ")</f>
        <v> </v>
      </c>
      <c r="C121" s="73">
        <f>IF($G$15&lt;&gt;0,"-","")</f>
      </c>
      <c r="D121" s="73" t="str">
        <f>IF($B$121&gt;0,$D$118,"")</f>
        <v> </v>
      </c>
      <c r="G121" s="73">
        <f>IF($G$36="S","Smoove",IF($G$36="SAM","Smoove A/M",IF($G$36="S1","Situo 1",IF($G$36="S5","Situo 5",IF($G$36="N","Nina",IF($G$36="NT","Nina Timer",""))))))&amp;IF($G$36="C","Chronis",IF($G$36="K","KeyGo",IF($G$36="S4","Smoove 4",IF($G$36="T1","Telis 1",IF($G$36="T4","Telis 4",IF($G$36="T6","Telis 6",IF($G$36="T16","Telis 16",IF($G$36="CK","Codeklavier",""))))))))&amp;IF($G$36="W1","Wandzender - 1 Kan.",IF($G$36="W5","Wandzender - 5 Kan.",IF($G$36="H1","Handzender - 1 Kan.",IF($G$36="H5","Handzender - 5 Kan.",IF($G$36="H16","Handzender - 16 Kan.",IF($G$36="H16K","Handz. + Klok - 16 Kan.",IF($G$36="SH","Sleutelhanger - 1 Kan.",IF($G$36="Z","Zonsensor - 1 Kan.",""))))))))</f>
      </c>
      <c r="H121" s="73"/>
      <c r="I121" s="2"/>
      <c r="J121" s="137"/>
      <c r="K121" s="137"/>
      <c r="L121" s="137"/>
      <c r="O121" s="114"/>
      <c r="P121" s="73"/>
      <c r="Q121" s="135"/>
      <c r="R121" s="73"/>
      <c r="S121" s="142"/>
      <c r="U121" s="73"/>
      <c r="V121" s="73"/>
    </row>
    <row r="122" spans="1:22" x14ac:dyDescent="0.25">
      <c r="A122" s="63">
        <f>IF($G$15&gt;0,"Ophangveren:","")</f>
      </c>
      <c r="B122" s="73">
        <f>IF($G$15&lt;&gt;"",IF($E$269=1,2&amp;" Stuks",$E$269&amp;" Stuks"),"")</f>
      </c>
      <c r="C122" s="73">
        <f>IF($G$15&gt;0,$E$267,"")</f>
      </c>
      <c r="D122" s="73"/>
      <c r="G122" s="73">
        <f>IF($G$37="S","Smoove",IF($G$37="SAM","Smoove A/M",IF($G$37="S1","Situo 1",IF($G$37="S5","Situo 5",IF($G$37="N","Nina",IF($G$37="NT","Nina Timer",""))))))&amp;IF($G$37="C","Chronis",IF($G$37="K","KeyGo",IF($G$37="S4","Smoove 4",IF($G$37="T1","Telis 1",IF($G$37="T4","Telis 4",IF($G$37="T6","Telis 6",IF($G$37="T16","Telis 16",IF($G$37="CK","Codeklavier",""))))))))&amp;IF($G$37="W1","Wandzender - 1 Kan.",IF($G$37="W5","Wandzender - 5 Kan.",IF($G$37="H1","Handzender - 1 Kan.",IF($G$37="H5","Handzender - 5 Kan.",IF($G$37="H16","Handzender - 16 Kan.",IF($G$37="H16K","Handz. + Klok - 16 Kan.",IF($G$37="SH","Sleutelhanger - 1 Kan.",IF($G$37="Z","Zonsensor - 1 Kan.",""))))))))</f>
      </c>
      <c r="H122" s="73"/>
      <c r="J122" s="137"/>
      <c r="K122" s="137"/>
      <c r="L122" s="137"/>
      <c r="O122" s="114"/>
      <c r="P122" s="73"/>
      <c r="Q122" s="135"/>
      <c r="R122" s="73"/>
      <c r="S122" s="142"/>
      <c r="U122" s="73"/>
      <c r="V122" s="73"/>
    </row>
    <row r="123" spans="5:14" x14ac:dyDescent="0.25">
      <c r="E123" s="136"/>
      <c r="F123" s="136"/>
      <c r="G123" s="73"/>
      <c r="H123" s="73"/>
      <c r="J123" s="143">
        <f>IF($G$15&lt;&gt;"","Bladhoogte:","")</f>
      </c>
      <c r="K123" s="144">
        <f>IF($C$15&lt;&gt;"",IF(OR($G114="OXIMO IO",$G114="ALTUS RS IO",$G114="OXIMO RTS",$G114="SENSE",$G114="SENSE SOLAR",$G114="SOLAR RTS",$G114="SOLAR IO"),$H$250,$H$249),"")</f>
      </c>
      <c r="L123" s="145">
        <f>IF($G$15&lt;&gt;"","mm","")</f>
      </c>
      <c r="N123" s="144"/>
    </row>
    <row r="124" spans="1:12" x14ac:dyDescent="0.25">
      <c r="A124" s="63">
        <f>IF($G$15&gt;0,"Opmerking:","")</f>
      </c>
      <c r="B124" s="146"/>
      <c r="C124" s="146"/>
      <c r="D124" s="146"/>
      <c r="E124" s="146"/>
      <c r="F124" s="146"/>
      <c r="G124" s="146"/>
      <c r="H124" s="146"/>
      <c r="I124" s="146"/>
      <c r="J124" s="146"/>
      <c r="K124" s="146"/>
      <c r="L124" s="146"/>
    </row>
    <row r="125" spans="1:12" x14ac:dyDescent="0.25">
      <c r="A125" s="63">
        <f>IF($G$15&gt;0,"Opmerking:","")</f>
      </c>
      <c r="B125" s="146"/>
      <c r="C125" s="146"/>
      <c r="D125" s="146"/>
      <c r="E125" s="146"/>
      <c r="F125" s="146"/>
      <c r="G125" s="146"/>
      <c r="H125" s="146"/>
      <c r="I125" s="146"/>
      <c r="J125" s="146"/>
      <c r="K125" s="146"/>
      <c r="L125" s="146"/>
    </row>
    <row r="126" spans="1:12" x14ac:dyDescent="0.25">
      <c r="A126" s="63">
        <f>IF($G$15&gt;0,"Opmerking:","")</f>
      </c>
      <c r="B126" s="146"/>
      <c r="C126" s="146"/>
      <c r="D126" s="146"/>
      <c r="E126" s="146"/>
      <c r="F126" s="146"/>
      <c r="G126" s="146"/>
      <c r="H126" s="146"/>
      <c r="I126" s="146"/>
      <c r="J126" s="146"/>
      <c r="K126" s="146"/>
      <c r="L126" s="146"/>
    </row>
    <row r="127" ht="12.75" customHeight="1" spans="1:11" x14ac:dyDescent="0.25">
      <c r="A127" s="150"/>
      <c r="B127" s="150"/>
      <c r="C127" s="150"/>
      <c r="D127" s="150"/>
      <c r="E127" s="150"/>
      <c r="F127" s="150"/>
      <c r="J127" s="151" t="s">
        <v>87</v>
      </c>
      <c r="K127" s="151"/>
    </row>
    <row r="128" ht="12.75" customHeight="1" spans="1:12" x14ac:dyDescent="0.25">
      <c r="A128" s="38"/>
      <c r="B128" s="150"/>
      <c r="C128" s="150"/>
      <c r="D128" s="150"/>
      <c r="E128" s="150"/>
      <c r="F128" s="150"/>
      <c r="G128" s="128"/>
      <c r="H128" s="128"/>
      <c r="J128" s="151"/>
      <c r="K128" s="151"/>
      <c r="L128" s="142"/>
    </row>
    <row r="202" ht="13.5" customHeight="1" x14ac:dyDescent="0.25"/>
    <row r="203" ht="18.75" customHeight="1" spans="1:23" x14ac:dyDescent="0.25">
      <c r="A203" s="152" t="s">
        <v>88</v>
      </c>
      <c r="B203" s="153"/>
      <c r="C203" s="153"/>
      <c r="D203" s="153"/>
      <c r="E203" s="153"/>
      <c r="F203" s="154"/>
      <c r="G203" s="155"/>
      <c r="H203" s="155"/>
      <c r="I203" s="155"/>
      <c r="J203" s="155"/>
      <c r="K203" s="155"/>
      <c r="U203" s="156" t="s">
        <v>89</v>
      </c>
      <c r="V203" s="151" t="s">
        <v>90</v>
      </c>
      <c r="W203" s="151"/>
    </row>
    <row r="204" spans="1:23" x14ac:dyDescent="0.25">
      <c r="A204" s="157"/>
      <c r="B204" s="158" t="s">
        <v>31</v>
      </c>
      <c r="C204" s="158" t="s">
        <v>32</v>
      </c>
      <c r="D204" s="158" t="s">
        <v>33</v>
      </c>
      <c r="E204" s="158" t="s">
        <v>34</v>
      </c>
      <c r="F204" s="159" t="s">
        <v>35</v>
      </c>
      <c r="G204" s="160"/>
      <c r="H204" s="160"/>
      <c r="I204" s="160"/>
      <c r="J204" s="160"/>
      <c r="K204" s="160"/>
      <c r="U204" s="161" t="s">
        <v>91</v>
      </c>
      <c r="V204" s="162"/>
      <c r="W204" s="162"/>
    </row>
    <row r="205" spans="1:23" x14ac:dyDescent="0.25">
      <c r="A205" s="163" t="s">
        <v>92</v>
      </c>
      <c r="B205" s="164">
        <f>IF(C26=45,B212,IF(C26="R",B219,""))</f>
      </c>
      <c r="C205" s="164">
        <f>IF(D26=45,C212,IF(D26="R",C219,""))</f>
      </c>
      <c r="D205" s="164">
        <f>IF(E26=45,D212,IF(E26="R",D219,""))</f>
      </c>
      <c r="E205" s="164">
        <f>IF(F26=45,E212,IF(F26="R",E219,""))</f>
      </c>
      <c r="F205" s="165">
        <f>IF(G26=45,F212,IF(G26="R",F219,""))</f>
      </c>
      <c r="G205" s="166"/>
      <c r="H205" s="166"/>
      <c r="I205" s="166"/>
      <c r="J205" s="166"/>
      <c r="K205" s="166"/>
      <c r="U205" s="161"/>
      <c r="V205" s="162"/>
      <c r="W205" s="162"/>
    </row>
    <row r="206" spans="1:23" x14ac:dyDescent="0.25">
      <c r="A206" s="163" t="s">
        <v>93</v>
      </c>
      <c r="B206" s="164">
        <f>IF(C26=45,B213,IF(C26="R",B220,""))</f>
      </c>
      <c r="C206" s="164">
        <f>IF(D26=45,C213,IF(D26="R",C220,""))</f>
      </c>
      <c r="D206" s="164">
        <f>IF(E26=45,D213,IF(E26="R",D220,""))</f>
      </c>
      <c r="E206" s="164">
        <f>IF(F26=45,E213,IF(F26="R",E220,""))</f>
      </c>
      <c r="F206" s="165">
        <f>IF(G26=45,F213,IF(G26="R",F220,""))</f>
      </c>
      <c r="G206" s="166"/>
      <c r="H206" s="166"/>
      <c r="I206" s="166"/>
      <c r="J206" s="166"/>
      <c r="K206" s="166"/>
      <c r="U206" s="161"/>
      <c r="V206" s="162"/>
      <c r="W206" s="162"/>
    </row>
    <row r="207" spans="1:23" x14ac:dyDescent="0.25">
      <c r="A207" s="163" t="s">
        <v>94</v>
      </c>
      <c r="B207" s="164">
        <f>IF(C26=45,B214,IF(C26="R",B221,""))</f>
      </c>
      <c r="C207" s="164">
        <f>IF(D26=45,C214,IF(D26="R",C221,""))</f>
      </c>
      <c r="D207" s="164">
        <f>IF(E26=45,D214,IF(E26="R",D221,""))</f>
      </c>
      <c r="E207" s="164">
        <f>IF(F26=45,E214,IF(F26="R",E221,""))</f>
      </c>
      <c r="F207" s="165">
        <f>IF(G26=45,F214,IF(G26="R",F221,""))</f>
      </c>
      <c r="G207" s="166"/>
      <c r="H207" s="166"/>
      <c r="I207" s="166"/>
      <c r="J207" s="166"/>
      <c r="K207" s="166"/>
      <c r="U207" s="161"/>
      <c r="V207" s="162"/>
      <c r="W207" s="162"/>
    </row>
    <row r="208" ht="13.5" customHeight="1" spans="1:23" x14ac:dyDescent="0.25">
      <c r="A208" s="167" t="s">
        <v>95</v>
      </c>
      <c r="B208" s="168">
        <f>IF(C26=45,B215,IF(C26="R",B222,""))</f>
      </c>
      <c r="C208" s="168">
        <f>IF(D26=45,C215,IF(D26="R",C222,""))</f>
      </c>
      <c r="D208" s="168">
        <f>IF(E26=45,D215,IF(E26="R",D222,""))</f>
      </c>
      <c r="E208" s="168">
        <f>IF(F26=45,E215,IF(F26="R",E222,""))</f>
      </c>
      <c r="F208" s="169">
        <f>IF(G26=45,F215,IF(G26="R",F222,""))</f>
      </c>
      <c r="G208" s="166"/>
      <c r="H208" s="166"/>
      <c r="I208" s="166"/>
      <c r="J208" s="166"/>
      <c r="K208" s="166"/>
      <c r="U208" s="161"/>
      <c r="V208" s="162"/>
      <c r="W208" s="162"/>
    </row>
    <row r="209" ht="13.5" customHeight="1" spans="1:23" x14ac:dyDescent="0.25">
      <c r="A209" s="170"/>
      <c r="B209" s="171"/>
      <c r="C209" s="171"/>
      <c r="D209" s="171"/>
      <c r="E209" s="171"/>
      <c r="F209" s="172"/>
      <c r="U209" s="161"/>
      <c r="V209" s="162"/>
      <c r="W209" s="162"/>
    </row>
    <row r="210" ht="13.5" customHeight="1" spans="1:23" x14ac:dyDescent="0.25">
      <c r="A210" s="152" t="s">
        <v>96</v>
      </c>
      <c r="B210" s="153"/>
      <c r="C210" s="153"/>
      <c r="D210" s="153"/>
      <c r="E210" s="153"/>
      <c r="F210" s="154"/>
      <c r="G210" s="155"/>
      <c r="H210" s="152" t="s">
        <v>97</v>
      </c>
      <c r="I210" s="153"/>
      <c r="J210" s="153"/>
      <c r="K210" s="153"/>
      <c r="L210" s="153"/>
      <c r="M210" s="154"/>
      <c r="U210" s="161"/>
      <c r="V210" s="162"/>
      <c r="W210" s="162"/>
    </row>
    <row r="211" spans="1:23" x14ac:dyDescent="0.25">
      <c r="A211" s="157"/>
      <c r="B211" s="158" t="s">
        <v>31</v>
      </c>
      <c r="C211" s="158" t="s">
        <v>32</v>
      </c>
      <c r="D211" s="158" t="s">
        <v>33</v>
      </c>
      <c r="E211" s="158" t="s">
        <v>34</v>
      </c>
      <c r="F211" s="159" t="s">
        <v>35</v>
      </c>
      <c r="G211" s="160"/>
      <c r="H211" s="173"/>
      <c r="I211" s="174" t="s">
        <v>31</v>
      </c>
      <c r="J211" s="174" t="s">
        <v>32</v>
      </c>
      <c r="K211" s="174" t="s">
        <v>33</v>
      </c>
      <c r="L211" s="174" t="s">
        <v>34</v>
      </c>
      <c r="M211" s="175" t="s">
        <v>35</v>
      </c>
      <c r="U211" s="4" t="s">
        <v>39</v>
      </c>
      <c r="V211" s="162"/>
      <c r="W211" s="162"/>
    </row>
    <row r="212" spans="1:23" x14ac:dyDescent="0.25">
      <c r="A212" s="163" t="s">
        <v>92</v>
      </c>
      <c r="B212" s="164">
        <f>(IF(C25=40,IF(C24&lt;1," ",IF(C24&lt;1301,137,IF(C24&lt;1601,150,IF(C24&lt;2501,165,IF(C24&lt;2901,180,IF(C24&lt;3701,205))))))))+(IF(C25=60,IF(C24&lt;1,"",IF(C24&lt;1101,137,IF(C24&lt;1501,150,IF(C24&lt;2301,165,IF(C24&lt;2801,180,IF(C24&lt;3601,205))))))))</f>
        <v>0</v>
      </c>
      <c r="C212" s="164">
        <f>(IF(D25=40,IF(D24&lt;1," ",IF(D24&lt;1301,137,IF(D24&lt;1601,150,IF(D24&lt;2501,165,IF(D24&lt;2901,180,IF(D24&lt;3701,205))))))))+(IF(D25=60,IF(D24&lt;1,"",IF(D24&lt;1101,137,IF(D24&lt;1501,150,IF(D24&lt;2301,165,IF(D24&lt;2801,180,IF(D24&lt;3601,205))))))))</f>
        <v>0</v>
      </c>
      <c r="D212" s="164">
        <f>(IF(E25=40,IF(E24&lt;1," ",IF(E24&lt;1301,137,IF(E24&lt;1601,150,IF(E24&lt;2501,165,IF(E24&lt;2901,180,IF(E24&lt;3701,205))))))))+(IF(E25=60,IF(E24&lt;1,"",IF(E24&lt;1101,137,IF(E24&lt;1501,150,IF(E24&lt;2301,165,IF(E24&lt;2801,180,IF(E24&lt;3601,205))))))))</f>
        <v>0</v>
      </c>
      <c r="E212" s="164">
        <f>(IF(F25=40,IF(F24&lt;1," ",IF(F24&lt;1301,137,IF(F24&lt;1601,150,IF(F24&lt;2501,165,IF(F24&lt;2901,180,IF(F24&lt;3701,205))))))))+(IF(F25=60,IF(F24&lt;1,"",IF(F24&lt;1101,137,IF(F24&lt;1501,150,IF(F24&lt;2301,165,IF(F24&lt;2801,180,IF(F24&lt;3601,205))))))))</f>
        <v>0</v>
      </c>
      <c r="F212" s="165">
        <f>(IF(G25=40,IF(G24&lt;1," ",IF(G24&lt;1301,137,IF(G24&lt;1601,150,IF(G24&lt;2501,165,IF(G24&lt;2901,180,IF(G24&lt;3701,205))))))))+(IF(G25=60,IF(G24&lt;1,"",IF(G24&lt;1101,137,IF(G24&lt;1501,150,IF(G24&lt;2301,165,IF(G24&lt;2801,180,IF(G24&lt;3601,205))))))))</f>
        <v>0</v>
      </c>
      <c r="G212" s="166"/>
      <c r="H212" s="163" t="s">
        <v>92</v>
      </c>
      <c r="I212" s="176" t="b">
        <f>(IF(C$24&gt;0,IF(C$24&lt;1," ",IF(C$24&lt;1501,150,IF(C$24&lt;2301,165,IF(C$24&lt;2501,180,""))))))</f>
        <v>0</v>
      </c>
      <c r="J212" s="176" t="b">
        <f t="shared" ref="J212:M212" si="1">(IF(D$24&gt;0,IF(D$24&lt;1," ",IF(D$24&lt;1501,150,IF(D$24&lt;2301,165,IF(D$24&lt;2501,180,""))))))</f>
        <v>0</v>
      </c>
      <c r="K212" s="176" t="b">
        <f t="shared" si="1"/>
        <v>0</v>
      </c>
      <c r="L212" s="176" t="b">
        <f t="shared" si="1"/>
        <v>0</v>
      </c>
      <c r="M212" s="177" t="b">
        <f t="shared" si="1"/>
        <v>0</v>
      </c>
      <c r="U212" s="4"/>
      <c r="V212" s="162"/>
      <c r="W212" s="162"/>
    </row>
    <row r="213" spans="1:23" x14ac:dyDescent="0.25">
      <c r="A213" s="163" t="s">
        <v>93</v>
      </c>
      <c r="B213" s="176">
        <f>(IF(C25=40,IF(C24&lt;1," ",IF(C24&lt;1301,137,IF(C24&lt;1701,150,IF(C24&lt;2201,165,IF(C24&lt;2801,180,IF(C24&lt;3801,205,IF(C24&lt;4001,230)))))))))+(IF(C25=60,IF(C24&lt;1,"",IF(C24&lt;1201,137,IF(C24&lt;1601,150,IF(C24&lt;2101,165,IF(C24&lt;2701,180,IF(C24&lt;3601,205,IF(C24&lt;4001,230)))))))))</f>
        <v>0</v>
      </c>
      <c r="C213" s="176">
        <f>(IF(D25=40,IF(D24&lt;1," ",IF(D24&lt;1301,137,IF(D24&lt;1701,150,IF(D24&lt;2201,165,IF(D24&lt;2801,180,IF(D24&lt;3801,205,IF(D24&lt;4001,230)))))))))+(IF(D25=60,IF(D24&lt;1,"",IF(D24&lt;1201,137,IF(D24&lt;1601,150,IF(D24&lt;2101,165,IF(D24&lt;2701,180,IF(D24&lt;3601,205,IF(D24&lt;4001,230)))))))))</f>
        <v>0</v>
      </c>
      <c r="D213" s="176">
        <f>(IF(E25=40,IF(E24&lt;1," ",IF(E24&lt;1301,137,IF(E24&lt;1701,150,IF(E24&lt;2201,165,IF(E24&lt;2801,180,IF(E24&lt;3801,205,IF(E24&lt;4001,230)))))))))+(IF(E25=60,IF(E24&lt;1,"",IF(E24&lt;1201,137,IF(E24&lt;1601,150,IF(E24&lt;2101,165,IF(E24&lt;2701,180,IF(E24&lt;3601,205,IF(E24&lt;4001,230)))))))))</f>
        <v>0</v>
      </c>
      <c r="E213" s="176">
        <f>(IF(F25=40,IF(F24&lt;1," ",IF(F24&lt;1301,137,IF(F24&lt;1701,150,IF(F24&lt;2201,165,IF(F24&lt;2801,180,IF(F24&lt;3801,205,IF(F24&lt;4001,230)))))))))+(IF(F25=60,IF(F24&lt;1,"",IF(F24&lt;1201,137,IF(F24&lt;1601,150,IF(F24&lt;2101,165,IF(F24&lt;2701,180,IF(F24&lt;3601,205,IF(F24&lt;4001,230)))))))))</f>
        <v>0</v>
      </c>
      <c r="F213" s="177">
        <f>(IF(G25=40,IF(G24&lt;1," ",IF(G24&lt;1301,137,IF(G24&lt;1701,150,IF(G24&lt;2201,165,IF(G24&lt;2801,180,IF(G24&lt;3801,205,IF(G24&lt;4001,230)))))))))+(IF(G25=60,IF(G24&lt;1,"",IF(G24&lt;1201,137,IF(G24&lt;1601,150,IF(G24&lt;2101,165,IF(G24&lt;2701,180,IF(G24&lt;3601,205,IF(G24&lt;4001,230)))))))))</f>
        <v>0</v>
      </c>
      <c r="G213" s="178"/>
      <c r="H213" s="163" t="s">
        <v>93</v>
      </c>
      <c r="I213" s="176" t="b">
        <f>(IF(C$24&gt;0,IF(C$24&lt;1," ",IF(C$24&lt;1501,150,IF(C$24&lt;2001,165,IF(C$24&lt;2601,180,IF(C$24&lt;3001,205,"")))))))</f>
        <v>0</v>
      </c>
      <c r="J213" s="176" t="b">
        <f t="shared" ref="J213:M213" si="2">(IF(D$24&gt;0,IF(D$24&lt;1," ",IF(D$24&lt;1501,150,IF(D$24&lt;2001,165,IF(D$24&lt;2601,180,IF(D$24&lt;3001,205,"")))))))</f>
        <v>0</v>
      </c>
      <c r="K213" s="176" t="b">
        <f t="shared" si="2"/>
        <v>0</v>
      </c>
      <c r="L213" s="176" t="b">
        <f t="shared" si="2"/>
        <v>0</v>
      </c>
      <c r="M213" s="177" t="b">
        <f t="shared" si="2"/>
        <v>0</v>
      </c>
      <c r="U213" s="4"/>
      <c r="V213" s="162"/>
      <c r="W213" s="162"/>
    </row>
    <row r="214" spans="1:23" x14ac:dyDescent="0.25">
      <c r="A214" s="163" t="s">
        <v>94</v>
      </c>
      <c r="B214" s="176">
        <f>(IF(C25=40,IF(C24&lt;1," ",IF(C24&lt;1201,137,IF(C24&lt;1601,150,IF(C24&lt;2001,165,IF(C24&lt;2501,180,IF(C24&lt;3401,205))))))))+(IF(C25=60,IF(C24&lt;1,"",IF(C24&lt;1101,137,IF(C24&lt;1501,150,IF(C24&lt;1901,165,IF(C24&lt;2301,180,IF(C24&lt;3301,205))))))))</f>
        <v>0</v>
      </c>
      <c r="C214" s="176">
        <f>(IF(D25=40,IF(D24&lt;1," ",IF(D24&lt;1201,137,IF(D24&lt;1601,150,IF(D24&lt;2001,165,IF(D24&lt;2501,180,IF(D24&lt;3401,205))))))))+(IF(D25=60,IF(D24&lt;1,"",IF(D24&lt;1101,137,IF(D24&lt;1501,150,IF(D24&lt;1901,165,IF(D24&lt;2301,180,IF(D24&lt;3301,205))))))))</f>
        <v>0</v>
      </c>
      <c r="D214" s="176">
        <f>(IF(E25=40,IF(E24&lt;1," ",IF(E24&lt;1201,137,IF(E24&lt;1601,150,IF(E24&lt;2001,165,IF(E24&lt;2501,180,IF(E24&lt;3401,205))))))))+(IF(E25=60,IF(E24&lt;1,"",IF(E24&lt;1101,137,IF(E24&lt;1501,150,IF(E24&lt;1901,165,IF(E24&lt;2301,180,IF(E24&lt;3301,205))))))))</f>
        <v>0</v>
      </c>
      <c r="E214" s="176">
        <f>(IF(F25=40,IF(F24&lt;1," ",IF(F24&lt;1201,137,IF(F24&lt;1601,150,IF(F24&lt;2001,165,IF(F24&lt;2501,180,IF(F24&lt;3401,205))))))))+(IF(F25=60,IF(F24&lt;1,"",IF(F24&lt;1101,137,IF(F24&lt;1501,150,IF(F24&lt;1901,165,IF(F24&lt;2301,180,IF(F24&lt;3301,205))))))))</f>
        <v>0</v>
      </c>
      <c r="F214" s="177">
        <f>(IF(G25=40,IF(G24&lt;1," ",IF(G24&lt;1201,137,IF(G24&lt;1601,150,IF(G24&lt;2001,165,IF(G24&lt;2501,180,IF(G24&lt;3401,205))))))))+(IF(G25=60,IF(G24&lt;1,"",IF(G24&lt;1101,137,IF(G24&lt;1501,150,IF(G24&lt;1901,165,IF(G24&lt;2301,180,IF(G24&lt;3301,205))))))))</f>
        <v>0</v>
      </c>
      <c r="G214" s="178"/>
      <c r="H214" s="163" t="s">
        <v>94</v>
      </c>
      <c r="I214" s="176" t="b">
        <f>(IF(C$24&gt;0,IF(C$24&lt;1," ",IF(C$24&lt;1401,150,IF(C$24&lt;1801,165,IF(C$24&lt;2201,180,IF(C$24&lt;3001,205,"")))))))</f>
        <v>0</v>
      </c>
      <c r="J214" s="176" t="b">
        <f t="shared" ref="J214:M214" si="3">(IF(D$24&gt;0,IF(D$24&lt;1," ",IF(D$24&lt;1401,150,IF(D$24&lt;1801,165,IF(D$24&lt;2201,180,IF(D$24&lt;3001,205,"")))))))</f>
        <v>0</v>
      </c>
      <c r="K214" s="176" t="b">
        <f t="shared" si="3"/>
        <v>0</v>
      </c>
      <c r="L214" s="176" t="b">
        <f t="shared" si="3"/>
        <v>0</v>
      </c>
      <c r="M214" s="177" t="b">
        <f t="shared" si="3"/>
        <v>0</v>
      </c>
      <c r="U214" s="4"/>
      <c r="V214" s="162"/>
      <c r="W214" s="162"/>
    </row>
    <row r="215" ht="13.5" customHeight="1" spans="1:23" x14ac:dyDescent="0.25">
      <c r="A215" s="179" t="s">
        <v>95</v>
      </c>
      <c r="B215" s="180">
        <f>(IF(C25=40,IF(C24&lt;1," ",IF(C24&lt;1001,137,IF(C24&lt;1201,150,IF(C24&lt;1801,165,IF(C24&lt;2401,180,IF(C24&lt;3001,205,IF(C24&lt;3501,230)))))))))+(IF(C25=60,IF(C24&lt;1,"",IF(C24&lt;801,137,IF(C24&lt;1201,150,IF(C24&lt;1601,165,IF(C24&lt;2001,180,IF(C24&lt;2801,205,IF(C24&lt;3501,230)))))))))</f>
        <v>0</v>
      </c>
      <c r="C215" s="180">
        <f>(IF(D25=40,IF(D24&lt;1," ",IF(D24&lt;1001,137,IF(D24&lt;1201,150,IF(D24&lt;1801,165,IF(D24&lt;2401,180,IF(D24&lt;3001,205,IF(D24&lt;3501,230)))))))))+(IF(D25=60,IF(D24&lt;1,"",IF(D24&lt;801,137,IF(D24&lt;1201,150,IF(D24&lt;1601,165,IF(D24&lt;2001,180,IF(D24&lt;2801,205,IF(D24&lt;3501,230)))))))))</f>
        <v>0</v>
      </c>
      <c r="D215" s="180">
        <f>(IF(E25=40,IF(E24&lt;1," ",IF(E24&lt;1001,137,IF(E24&lt;1201,150,IF(E24&lt;1801,165,IF(E24&lt;2401,180,IF(E24&lt;3001,205,IF(E24&lt;3501,230)))))))))+(IF(E25=60,IF(E24&lt;1,"",IF(E24&lt;801,137,IF(E24&lt;1201,150,IF(E24&lt;1601,165,IF(E24&lt;2001,180,IF(E24&lt;2801,205,IF(E24&lt;3501,230)))))))))</f>
        <v>0</v>
      </c>
      <c r="E215" s="180">
        <f>(IF(F25=40,IF(F24&lt;1," ",IF(F24&lt;1001,137,IF(F24&lt;1201,150,IF(F24&lt;1801,165,IF(F24&lt;2401,180,IF(F24&lt;3001,205,IF(F24&lt;3501,230)))))))))+(IF(F25=60,IF(F24&lt;1,"",IF(F24&lt;801,137,IF(F24&lt;1201,150,IF(F24&lt;1601,165,IF(F24&lt;2001,180,IF(F24&lt;2801,205,IF(F24&lt;3501,230)))))))))</f>
        <v>0</v>
      </c>
      <c r="F215" s="181">
        <f>(IF(G25=40,IF(G24&lt;1," ",IF(G24&lt;1001,137,IF(G24&lt;1201,150,IF(G24&lt;1801,165,IF(G24&lt;2401,180,IF(G24&lt;3001,205,IF(G24&lt;3501,230)))))))))+(IF(G25=60,IF(G24&lt;1,"",IF(G24&lt;801,137,IF(G24&lt;1201,150,IF(G24&lt;1601,165,IF(G24&lt;2001,180,IF(G24&lt;2801,205,IF(G24&lt;3501,230)))))))))</f>
        <v>0</v>
      </c>
      <c r="G215" s="178"/>
      <c r="H215" s="179" t="s">
        <v>95</v>
      </c>
      <c r="I215" s="180" t="b">
        <f>(IF(C$24&gt;0,IF(C$24&lt;1," ",IF(C$24&lt;1101,150,IF(C$24&lt;1501,165,IF(C$24&lt;1901,180,IF(C$24&lt;3001,205,"")))))))</f>
        <v>0</v>
      </c>
      <c r="J215" s="180" t="b">
        <f t="shared" ref="J215:M215" si="4">(IF(D$24&gt;0,IF(D$24&lt;1," ",IF(D$24&lt;1101,150,IF(D$24&lt;1501,165,IF(D$24&lt;1901,180,IF(D$24&lt;3001,205,"")))))))</f>
        <v>0</v>
      </c>
      <c r="K215" s="180" t="b">
        <f t="shared" si="4"/>
        <v>0</v>
      </c>
      <c r="L215" s="180" t="b">
        <f t="shared" si="4"/>
        <v>0</v>
      </c>
      <c r="M215" s="181" t="b">
        <f t="shared" si="4"/>
        <v>0</v>
      </c>
      <c r="U215" s="4"/>
      <c r="V215" s="162"/>
      <c r="W215" s="162"/>
    </row>
    <row r="216" ht="13.5" customHeight="1" spans="1:23" x14ac:dyDescent="0.25">
      <c r="A216" s="170"/>
      <c r="B216" s="171"/>
      <c r="C216" s="171"/>
      <c r="D216" s="171"/>
      <c r="E216" s="171"/>
      <c r="F216" s="172"/>
      <c r="U216" s="4"/>
      <c r="V216" s="162"/>
      <c r="W216" s="162"/>
    </row>
    <row r="217" ht="13.5" customHeight="1" spans="1:23" x14ac:dyDescent="0.25">
      <c r="A217" s="152" t="s">
        <v>98</v>
      </c>
      <c r="B217" s="153"/>
      <c r="C217" s="153"/>
      <c r="D217" s="153"/>
      <c r="E217" s="153"/>
      <c r="F217" s="154"/>
      <c r="G217" s="155"/>
      <c r="U217" s="161" t="s">
        <v>36</v>
      </c>
      <c r="V217" s="162"/>
      <c r="W217" s="162"/>
    </row>
    <row r="218" spans="1:23" x14ac:dyDescent="0.25">
      <c r="A218" s="157"/>
      <c r="B218" s="158" t="s">
        <v>31</v>
      </c>
      <c r="C218" s="158" t="s">
        <v>32</v>
      </c>
      <c r="D218" s="158" t="s">
        <v>33</v>
      </c>
      <c r="E218" s="158" t="s">
        <v>34</v>
      </c>
      <c r="F218" s="159" t="s">
        <v>35</v>
      </c>
      <c r="G218" s="160"/>
      <c r="U218" s="161"/>
      <c r="V218" s="162"/>
      <c r="W218" s="162"/>
    </row>
    <row r="219" spans="1:23" x14ac:dyDescent="0.25">
      <c r="A219" s="163" t="s">
        <v>92</v>
      </c>
      <c r="B219" s="164">
        <f>IF(C25=40,IF(C24&lt;1," ",IF(C24&lt;1701,150,IF(C24&lt;2901,180,IF(C24&lt;3701,205)))))+(IF(C25=60,IF(C24&lt;1,"",IF(C24&lt;1501,150,IF(C24&lt;2801,180,IF(C24&lt;3601,205))))))</f>
        <v>0</v>
      </c>
      <c r="C219" s="164">
        <f>IF(D25=40,IF(D24&lt;1," ",IF(D24&lt;1701,150,IF(D24&lt;2901,180,IF(D24&lt;3701,205)))))+(IF(D25=60,IF(D24&lt;1,"",IF(D24&lt;1501,150,IF(D24&lt;2801,180,IF(D24&lt;3601,205))))))</f>
        <v>0</v>
      </c>
      <c r="D219" s="164">
        <f>IF(E25=40,IF(E24&lt;1," ",IF(E24&lt;1701,150,IF(E24&lt;2901,180,IF(E24&lt;3701,205)))))+(IF(E25=60,IF(E24&lt;1,"",IF(E24&lt;1501,150,IF(E24&lt;2801,180,IF(E24&lt;3601,205))))))</f>
        <v>0</v>
      </c>
      <c r="E219" s="164">
        <f>IF(F25=40,IF(F24&lt;1," ",IF(F24&lt;1701,150,IF(F24&lt;2901,180,IF(F24&lt;3701,205)))))+(IF(F25=60,IF(F24&lt;1,"",IF(F24&lt;1501,150,IF(F24&lt;2801,180,IF(F24&lt;3601,205))))))</f>
        <v>0</v>
      </c>
      <c r="F219" s="165">
        <f>IF(G25=40,IF(G24&lt;1," ",IF(G24&lt;1701,150,IF(G24&lt;2901,180,IF(G24&lt;3701,205)))))+(IF(G25=60,IF(G24&lt;1,"",IF(G24&lt;1501,150,IF(G24&lt;2801,180,IF(G24&lt;3601,205))))))</f>
        <v>0</v>
      </c>
      <c r="G219" s="166"/>
      <c r="U219" s="161"/>
      <c r="V219" s="162"/>
      <c r="W219" s="162"/>
    </row>
    <row r="220" spans="1:23" x14ac:dyDescent="0.25">
      <c r="A220" s="163" t="s">
        <v>93</v>
      </c>
      <c r="B220" s="176">
        <f>(IF(C25=40,IF(C24&lt;1," ",IF(C24&lt;1701,150,IF(C24&lt;2801,180,IF(C24&lt;3801,205))))))+(IF(C25=60,IF(C24&lt;1,"",IF(C24&lt;1601,150,IF(C24&lt;2701,180,IF(C24&lt;3601,205))))))</f>
        <v>0</v>
      </c>
      <c r="C220" s="176">
        <f>(IF(D25=40,IF(D24&lt;1," ",IF(D24&lt;1701,150,IF(D24&lt;2801,180,IF(D24&lt;3801,205,IF(D24&lt;4001,230)))))))+(IF(D25=60,IF(D24&lt;1,"",IF(D24&lt;1601,150,IF(D24&lt;2701,180,IF(D24&lt;3601,205,IF(D24&lt;4001,230)))))))</f>
        <v>0</v>
      </c>
      <c r="D220" s="176">
        <f>(IF(E25=40,IF(E24&lt;1," ",IF(E24&lt;1701,150,IF(E24&lt;2801,180,IF(E24&lt;3801,205,IF(E24&lt;4001,230)))))))+(IF(E25=60,IF(E24&lt;1,"",IF(E24&lt;1601,150,IF(E24&lt;2701,180,IF(E24&lt;3601,205,IF(E24&lt;4001,230)))))))</f>
        <v>0</v>
      </c>
      <c r="E220" s="176">
        <f>(IF(F25=40,IF(F24&lt;1," ",IF(F24&lt;1701,150,IF(F24&lt;2801,180,IF(F24&lt;3801,205,IF(F24&lt;4001,230)))))))+(IF(F25=60,IF(F24&lt;1,"",IF(F24&lt;1601,150,IF(F24&lt;2701,180,IF(F24&lt;3601,205,IF(F24&lt;4001,230)))))))</f>
        <v>0</v>
      </c>
      <c r="F220" s="177">
        <f>(IF(G25=40,IF(G24&lt;1," ",IF(G24&lt;1701,150,IF(G24&lt;2801,180,IF(G24&lt;3801,205,IF(G24&lt;4001,230)))))))+(IF(G25=60,IF(G24&lt;1,"",IF(G24&lt;1601,150,IF(G24&lt;2701,180,IF(G24&lt;3601,205,IF(G24&lt;4001,230)))))))</f>
        <v>0</v>
      </c>
      <c r="G220" s="178"/>
      <c r="U220" s="161"/>
      <c r="V220" s="162"/>
      <c r="W220" s="162"/>
    </row>
    <row r="221" spans="1:23" x14ac:dyDescent="0.25">
      <c r="A221" s="163" t="s">
        <v>94</v>
      </c>
      <c r="B221" s="176">
        <f>(IF(C25=40,IF(C24&lt;1," ",IF(C24&lt;1601,150,IF(C24&lt;2501,180,IF(C24&lt;3501,205))))))+(IF(C25=60,IF(C24&lt;1,"",IF(C24&lt;1501,150,IF(C24&lt;2301,180,IF(C24&lt;3501,205))))))</f>
        <v>0</v>
      </c>
      <c r="C221" s="176">
        <f>(IF(D25=40,IF(D24&lt;1," ",IF(D24&lt;1601,150,IF(D24&lt;2501,180,IF(D24&lt;3501,205))))))+(IF(D25=60,IF(D24&lt;1,"",IF(D24&lt;1501,150,IF(D24&lt;2301,180,IF(D24&lt;3501,205))))))</f>
        <v>0</v>
      </c>
      <c r="D221" s="176">
        <f>(IF(E25=40,IF(E24&lt;1," ",IF(E24&lt;1601,150,IF(E24&lt;2501,180,IF(E24&lt;3501,205))))))+(IF(E25=60,IF(E24&lt;1,"",IF(E24&lt;1501,150,IF(E24&lt;2301,180,IF(E24&lt;3501,205))))))</f>
        <v>0</v>
      </c>
      <c r="E221" s="176">
        <f>(IF(F25=40,IF(F24&lt;1," ",IF(F24&lt;1601,150,IF(F24&lt;2501,180,IF(F24&lt;3501,205))))))+(IF(F25=60,IF(F24&lt;1,"",IF(F24&lt;1501,150,IF(F24&lt;2301,180,IF(F24&lt;3501,205))))))</f>
        <v>0</v>
      </c>
      <c r="F221" s="177">
        <f>(IF(G25=40,IF(G24&lt;1," ",IF(G24&lt;1601,150,IF(G24&lt;2501,180,IF(G24&lt;3501,205))))))+(IF(G25=60,IF(G24&lt;1,"",IF(G24&lt;1501,150,IF(G24&lt;2301,180,IF(G24&lt;3501,205))))))</f>
        <v>0</v>
      </c>
      <c r="G221" s="178"/>
      <c r="U221" s="161"/>
      <c r="V221" s="162"/>
      <c r="W221" s="162"/>
    </row>
    <row r="222" ht="13.5" customHeight="1" spans="1:23" x14ac:dyDescent="0.25">
      <c r="A222" s="179" t="s">
        <v>95</v>
      </c>
      <c r="B222" s="180">
        <f>(IF(C25=40,IF(C24&lt;1," ",IF(C24&lt;1201,150,IF(C24&lt;2401,180,IF(C24&lt;3001,205))))))+(IF(C25=60,IF(C24&lt;1,"",IF(C24&lt;1201,150,IF(C24&lt;2001,180,IF(C24&lt;2801,205))))))</f>
        <v>0</v>
      </c>
      <c r="C222" s="180">
        <f>(IF(D25=40,IF(D24&lt;1," ",IF(D24&lt;1201,150,IF(D24&lt;2401,180,IF(D24&lt;3001,205))))))+(IF(D25=60,IF(D24&lt;1,"",IF(D24&lt;1201,150,IF(D24&lt;2001,180,IF(D24&lt;2801,205))))))</f>
        <v>0</v>
      </c>
      <c r="D222" s="180">
        <f>(IF(E25=40,IF(E24&lt;1," ",IF(E24&lt;1201,150,IF(E24&lt;2401,180,IF(E24&lt;3001,205))))))+(IF(E25=60,IF(E24&lt;1,"",IF(E24&lt;1201,150,IF(E24&lt;2001,180,IF(E24&lt;2801,205))))))</f>
        <v>0</v>
      </c>
      <c r="E222" s="180">
        <f>(IF(F25=40,IF(F24&lt;1," ",IF(F24&lt;1201,150,IF(F24&lt;2401,180,IF(F24&lt;3001,205))))))+(IF(F25=60,IF(F24&lt;1,"",IF(F24&lt;1201,150,IF(F24&lt;2001,180,IF(F24&lt;2801,205))))))</f>
        <v>0</v>
      </c>
      <c r="F222" s="181">
        <f>(IF(G25=40,IF(G24&lt;1," ",IF(G24&lt;1201,150,IF(G24&lt;2401,180,IF(G24&lt;3001,205))))))+(IF(G25=60,IF(G24&lt;1,"",IF(G24&lt;1201,150,IF(G24&lt;2001,180,IF(G24&lt;2801,205))))))</f>
        <v>0</v>
      </c>
      <c r="G222" s="178"/>
      <c r="U222" s="161"/>
      <c r="V222" s="162"/>
      <c r="W222" s="162"/>
    </row>
    <row r="223" ht="13.5" customHeight="1" spans="21:23" x14ac:dyDescent="0.25">
      <c r="U223" s="161" t="s">
        <v>99</v>
      </c>
      <c r="V223" s="162"/>
      <c r="W223" s="162"/>
    </row>
    <row r="224" ht="13.5" customHeight="1" spans="1:23" x14ac:dyDescent="0.25">
      <c r="A224" s="182" t="s">
        <v>100</v>
      </c>
      <c r="B224" s="183"/>
      <c r="C224" s="183"/>
      <c r="D224" s="183"/>
      <c r="E224" s="183"/>
      <c r="F224" s="183"/>
      <c r="G224" s="183"/>
      <c r="H224" s="184"/>
      <c r="I224" s="155"/>
      <c r="J224" s="155"/>
      <c r="K224" s="155"/>
      <c r="U224" s="161"/>
      <c r="V224" s="162"/>
      <c r="W224" s="162"/>
    </row>
    <row r="225" ht="13.5" customHeight="1" spans="1:23" x14ac:dyDescent="0.25">
      <c r="A225" s="185" t="s">
        <v>92</v>
      </c>
      <c r="B225" s="186">
        <v>41.5</v>
      </c>
      <c r="C225" s="187" t="s">
        <v>93</v>
      </c>
      <c r="D225" s="187">
        <v>41.5</v>
      </c>
      <c r="E225" s="188" t="s">
        <v>94</v>
      </c>
      <c r="F225" s="189">
        <v>41.5</v>
      </c>
      <c r="G225" s="190" t="s">
        <v>95</v>
      </c>
      <c r="H225" s="191">
        <f>Software!D174</f>
        <v>52</v>
      </c>
      <c r="I225" s="160"/>
      <c r="J225" s="160"/>
      <c r="U225" s="161"/>
      <c r="V225" s="162"/>
      <c r="W225" s="162"/>
    </row>
    <row r="226" spans="1:23" x14ac:dyDescent="0.25">
      <c r="A226" s="163" t="s">
        <v>31</v>
      </c>
      <c r="B226" s="192" t="s">
        <v>32</v>
      </c>
      <c r="C226" s="192" t="s">
        <v>33</v>
      </c>
      <c r="D226" s="192" t="s">
        <v>34</v>
      </c>
      <c r="E226" s="193" t="s">
        <v>35</v>
      </c>
      <c r="F226" s="160"/>
      <c r="G226" s="160"/>
      <c r="H226" s="160"/>
      <c r="I226" s="160"/>
      <c r="J226" s="160"/>
      <c r="U226" s="161"/>
      <c r="V226" s="162"/>
      <c r="W226" s="162"/>
    </row>
    <row r="227" ht="13.5" customHeight="1" spans="1:23" x14ac:dyDescent="0.25">
      <c r="A227" s="194">
        <f>IF(C16="P42",B225,IF(C16="A42",D225,IF(C16="U42",F225,IF(C16="U52",H225,""))))</f>
      </c>
      <c r="B227" s="195">
        <f>IF(D16="P42",B225,IF(D16="A42",D225,IF(D16="U42",F225,IF(D16="U52",H225,""))))</f>
      </c>
      <c r="C227" s="195">
        <f>IF(E16="P42",B225,IF(E16="A42",D225,IF(E16="U42",F225,IF(E16="U52",H225,""))))</f>
      </c>
      <c r="D227" s="195">
        <f>IF(F16="P42",B225,IF(F16="A42",D225,IF(F16="U42",F225,IF(F16="U52",H225,""))))</f>
      </c>
      <c r="E227" s="196">
        <f>IF(G16="P42",B225,IF(G16="A42",D225,IF(G16="U42",F225,IF(G16="U52",H225,""))))</f>
      </c>
      <c r="F227" s="166"/>
      <c r="G227" s="166"/>
      <c r="H227" s="166"/>
      <c r="I227" s="166"/>
      <c r="J227" s="166"/>
      <c r="K227" s="178"/>
      <c r="U227" s="161"/>
      <c r="V227" s="162"/>
      <c r="W227" s="162"/>
    </row>
    <row r="228" ht="13.5" customHeight="1" spans="1:23" x14ac:dyDescent="0.25">
      <c r="A228" s="160"/>
      <c r="B228" s="178"/>
      <c r="C228" s="178"/>
      <c r="D228" s="178"/>
      <c r="E228" s="178"/>
      <c r="F228" s="178"/>
      <c r="G228" s="178"/>
      <c r="H228" s="178"/>
      <c r="I228" s="178"/>
      <c r="J228" s="178"/>
      <c r="K228" s="178"/>
      <c r="U228" s="161"/>
      <c r="V228" s="162"/>
      <c r="W228" s="162"/>
    </row>
    <row r="229" ht="13.5" customHeight="1" spans="1:23" x14ac:dyDescent="0.25">
      <c r="A229" s="197" t="s">
        <v>101</v>
      </c>
      <c r="B229" s="198"/>
      <c r="C229" s="198"/>
      <c r="D229" s="153"/>
      <c r="E229" s="153"/>
      <c r="F229" s="153"/>
      <c r="G229" s="153"/>
      <c r="H229" s="154"/>
      <c r="I229" s="155"/>
      <c r="J229" s="155"/>
      <c r="K229" s="155"/>
      <c r="U229" s="161"/>
      <c r="V229" s="162"/>
      <c r="W229" s="162"/>
    </row>
    <row r="230" spans="1:23" x14ac:dyDescent="0.25">
      <c r="A230" s="199"/>
      <c r="B230" s="200"/>
      <c r="C230" s="200"/>
      <c r="D230" s="201" t="s">
        <v>31</v>
      </c>
      <c r="E230" s="174" t="s">
        <v>32</v>
      </c>
      <c r="F230" s="174" t="s">
        <v>33</v>
      </c>
      <c r="G230" s="174" t="s">
        <v>34</v>
      </c>
      <c r="H230" s="175" t="s">
        <v>35</v>
      </c>
      <c r="I230" s="160"/>
      <c r="J230" s="160"/>
      <c r="K230" s="160"/>
      <c r="U230" s="161" t="s">
        <v>102</v>
      </c>
      <c r="V230" s="162"/>
      <c r="W230" s="162"/>
    </row>
    <row r="231" spans="1:23" x14ac:dyDescent="0.25">
      <c r="A231" s="202" t="s">
        <v>103</v>
      </c>
      <c r="B231" s="203"/>
      <c r="C231" s="203"/>
      <c r="D231" s="204">
        <f>$B$50</f>
      </c>
      <c r="E231" s="205">
        <f>$B$66</f>
      </c>
      <c r="F231" s="205">
        <f>$B$82</f>
      </c>
      <c r="G231" s="205">
        <f>$B$98</f>
      </c>
      <c r="H231" s="206">
        <f>$B$114</f>
      </c>
      <c r="I231" s="160"/>
      <c r="J231" s="160"/>
      <c r="K231" s="160"/>
      <c r="U231" s="161"/>
      <c r="V231" s="162"/>
      <c r="W231" s="162"/>
    </row>
    <row r="232" spans="1:23" x14ac:dyDescent="0.25">
      <c r="A232" s="202" t="s">
        <v>104</v>
      </c>
      <c r="B232" s="203"/>
      <c r="C232" s="203"/>
      <c r="D232" s="204">
        <f>IF(D231=$A$225,$B$225,IF(D231=$C$225,$D$225,IF(D231=$E$225,$F$225,IF(D231=$G$225,$H$225,""))))</f>
      </c>
      <c r="E232" s="205">
        <f>IF(E231=$A$225,$B$225,IF(E231=$C$225,$D$225,IF(E231=$E$225,$F$225,IF(E231=$G$225,$H$225,""))))</f>
      </c>
      <c r="F232" s="205">
        <f>IF(F231=$A$225,$B$225,IF(F231=$C$225,$D$225,IF(F231=$E$225,$F$225,IF(F231=$G$225,$H$225,""))))</f>
      </c>
      <c r="G232" s="205">
        <f>IF(G231=$A$225,$B$225,IF(G231=$C$225,$D$225,IF(G231=$E$225,$F$225,IF(G231=$G$225,$H$225,""))))</f>
      </c>
      <c r="H232" s="206">
        <f>IF(H231=$A$225,$B$225,IF(H231=$C$225,$D$225,IF(H231=$E$225,$F$225,IF(H231=$G$225,$H$225,""))))</f>
      </c>
      <c r="I232" s="160"/>
      <c r="J232" s="160"/>
      <c r="K232" s="160"/>
      <c r="U232" s="161"/>
      <c r="V232" s="162"/>
      <c r="W232" s="162"/>
    </row>
    <row r="233" spans="1:23" x14ac:dyDescent="0.25">
      <c r="A233" s="202" t="s">
        <v>105</v>
      </c>
      <c r="B233" s="203"/>
      <c r="C233" s="203"/>
      <c r="D233" s="204">
        <f>$G$50</f>
      </c>
      <c r="E233" s="205">
        <f>$G$66</f>
      </c>
      <c r="F233" s="205">
        <f>$G$82</f>
      </c>
      <c r="G233" s="205">
        <f>$G$98</f>
      </c>
      <c r="H233" s="206">
        <f>$G$114</f>
      </c>
      <c r="I233" s="160"/>
      <c r="J233" s="160"/>
      <c r="K233" s="160"/>
      <c r="U233" s="161"/>
      <c r="V233" s="162"/>
      <c r="W233" s="162"/>
    </row>
    <row r="234" spans="1:23" x14ac:dyDescent="0.25">
      <c r="A234" s="202" t="s">
        <v>106</v>
      </c>
      <c r="B234" s="203"/>
      <c r="C234" s="203"/>
      <c r="D234" s="207">
        <f>IF(C15&lt;&gt;"",C24,"")</f>
      </c>
      <c r="E234" s="208">
        <f>IF(D15&lt;&gt;"",D24,"")</f>
      </c>
      <c r="F234" s="208">
        <f>IF(E15&lt;&gt;"",E24,"")</f>
      </c>
      <c r="G234" s="208">
        <f>IF(F15&lt;&gt;"",F24,"")</f>
      </c>
      <c r="H234" s="209">
        <f>IF(G15&lt;&gt;"",G24,"")</f>
      </c>
      <c r="I234" s="160"/>
      <c r="J234" s="160"/>
      <c r="K234" s="160"/>
      <c r="U234" s="161"/>
      <c r="V234" s="162"/>
      <c r="W234" s="162"/>
    </row>
    <row r="235" spans="1:23" x14ac:dyDescent="0.25">
      <c r="A235" s="202" t="s">
        <v>107</v>
      </c>
      <c r="B235" s="203"/>
      <c r="C235" s="203"/>
      <c r="D235" s="207">
        <f>IF(C15&lt;&gt;"",D234-10,"")</f>
      </c>
      <c r="E235" s="208">
        <f>IF(D15&lt;&gt;"",E234-10,"")</f>
      </c>
      <c r="F235" s="208">
        <f>IF(E15&lt;&gt;"",F234-10,"")</f>
      </c>
      <c r="G235" s="208">
        <f>IF(F15&lt;&gt;"",G234-10,"")</f>
      </c>
      <c r="H235" s="209">
        <f>IF(G15&lt;&gt;"",H234-10,"")</f>
      </c>
      <c r="I235" s="160"/>
      <c r="J235" s="160"/>
      <c r="K235" s="160"/>
      <c r="U235" s="161"/>
      <c r="V235" s="162"/>
      <c r="W235" s="162"/>
    </row>
    <row r="236" spans="1:23" x14ac:dyDescent="0.25">
      <c r="A236" s="202" t="s">
        <v>108</v>
      </c>
      <c r="B236" s="203"/>
      <c r="C236" s="203"/>
      <c r="D236" s="207">
        <f>IF(C15&lt;&gt;"",C24-C27,"")</f>
      </c>
      <c r="E236" s="208">
        <f>IF(D15&lt;&gt;"",D24-D27,"")</f>
      </c>
      <c r="F236" s="208">
        <f>IF(E15&lt;&gt;"",E24-E27,"")</f>
      </c>
      <c r="G236" s="208">
        <f>IF(F15&lt;&gt;"",F24-F27,"")</f>
      </c>
      <c r="H236" s="209">
        <f>IF(G15&lt;&gt;"",G24-G27,"")</f>
      </c>
      <c r="I236" s="160"/>
      <c r="J236" s="160"/>
      <c r="K236" s="160"/>
      <c r="U236" s="161"/>
      <c r="V236" s="162"/>
      <c r="W236" s="162"/>
    </row>
    <row r="237" spans="1:23" x14ac:dyDescent="0.25">
      <c r="A237" s="202" t="s">
        <v>109</v>
      </c>
      <c r="B237" s="203"/>
      <c r="C237" s="203"/>
      <c r="D237" s="207">
        <f>IF(C15&lt;&gt;"",D236+D232,"")</f>
      </c>
      <c r="E237" s="208">
        <f>IF(D15&lt;&gt;"",E236+E232,"")</f>
      </c>
      <c r="F237" s="208">
        <f>IF(E15&lt;&gt;"",F236+F232,"")</f>
      </c>
      <c r="G237" s="208">
        <f>IF(F15&lt;&gt;"",G236+G232,"")</f>
      </c>
      <c r="H237" s="209">
        <f>IF(G15&lt;&gt;"",H236+H232,"")</f>
      </c>
      <c r="I237" s="160"/>
      <c r="J237" s="160"/>
      <c r="K237" s="160"/>
      <c r="U237" s="161" t="s">
        <v>110</v>
      </c>
      <c r="V237" s="162"/>
      <c r="W237" s="162"/>
    </row>
    <row r="238" spans="1:23" x14ac:dyDescent="0.25">
      <c r="A238" s="202" t="s">
        <v>111</v>
      </c>
      <c r="B238" s="203"/>
      <c r="C238" s="210"/>
      <c r="D238" s="207">
        <f>IF(C15&lt;&gt;"",IF(D231&gt;0,D235-C$40,0),"")</f>
      </c>
      <c r="E238" s="208">
        <f>IF(D15&lt;&gt;"",IF(E231&gt;0,E235-D$40,0),"")</f>
      </c>
      <c r="F238" s="208">
        <f>IF(E15&lt;&gt;"",IF(F231&gt;0,F235-E$40,0),"")</f>
      </c>
      <c r="G238" s="208">
        <f>IF(F15&lt;&gt;"",IF(G231&gt;0,G235-F$40,0),"")</f>
      </c>
      <c r="H238" s="209">
        <f>IF(G15&lt;&gt;"",IF(H231&gt;0,H235-G$40,0),"")</f>
      </c>
      <c r="I238" s="160"/>
      <c r="J238" s="160"/>
      <c r="K238" s="160"/>
      <c r="U238" s="161"/>
      <c r="V238" s="162"/>
      <c r="W238" s="162"/>
    </row>
    <row r="239" spans="1:23" x14ac:dyDescent="0.25">
      <c r="A239" s="202" t="s">
        <v>112</v>
      </c>
      <c r="B239" s="203"/>
      <c r="C239" s="210"/>
      <c r="D239" s="207">
        <f>IF(C15&lt;&gt;"",D236-C$40,"")</f>
      </c>
      <c r="E239" s="208">
        <f>IF(D15&lt;&gt;"",E236-D$40,"")</f>
      </c>
      <c r="F239" s="208">
        <f>IF(E15&lt;&gt;"",F236-E$40,"")</f>
      </c>
      <c r="G239" s="208">
        <f>IF(F15&lt;&gt;"",G236-F$40,"")</f>
      </c>
      <c r="H239" s="209">
        <f>IF(G15&lt;&gt;"",H236-G$40,"")</f>
      </c>
      <c r="I239" s="160"/>
      <c r="J239" s="160"/>
      <c r="K239" s="160"/>
      <c r="U239" s="161"/>
      <c r="V239" s="162"/>
      <c r="W239" s="162"/>
    </row>
    <row r="240" spans="1:23" x14ac:dyDescent="0.25">
      <c r="A240" s="211" t="s">
        <v>113</v>
      </c>
      <c r="B240" s="212"/>
      <c r="C240" s="213"/>
      <c r="D240" s="214">
        <f>IF(C15&lt;&gt;"",ROUNDDOWN((D238/D232),0),"")</f>
      </c>
      <c r="E240" s="215">
        <f>IF(D15&lt;&gt;"",ROUNDDOWN((E238/E232),0),"")</f>
      </c>
      <c r="F240" s="215">
        <f>IF(E15&lt;&gt;"",ROUNDDOWN((F238/F232),0),"")</f>
      </c>
      <c r="G240" s="215">
        <f>IF(F15&lt;&gt;"",ROUNDDOWN((G238/G232),0),"")</f>
      </c>
      <c r="H240" s="216">
        <f>IF(G15&lt;&gt;"",ROUNDDOWN((H238/H232),0),"")</f>
      </c>
      <c r="I240" s="160"/>
      <c r="J240" s="160"/>
      <c r="K240" s="160"/>
      <c r="U240" s="161"/>
      <c r="V240" s="162"/>
      <c r="W240" s="162"/>
    </row>
    <row r="241" spans="1:23" x14ac:dyDescent="0.25">
      <c r="A241" s="211" t="s">
        <v>114</v>
      </c>
      <c r="B241" s="212"/>
      <c r="C241" s="213"/>
      <c r="D241" s="217">
        <f>IF(C15&lt;&gt;"",ROUNDUP((D239/D232),0)+1,"")</f>
      </c>
      <c r="E241" s="218">
        <f>IF(D15&lt;&gt;"",ROUNDUP((E239/E232),0)+1,"")</f>
      </c>
      <c r="F241" s="218">
        <f>IF(E15&lt;&gt;"",ROUNDUP((F239/F232),0)+1,"")</f>
      </c>
      <c r="G241" s="218">
        <f>IF(F15&lt;&gt;"",ROUNDUP((G239/G232),0)+1,"")</f>
      </c>
      <c r="H241" s="219">
        <f>IF(G15&lt;&gt;"",ROUNDUP((H239/H232),0)+1,"")</f>
      </c>
      <c r="I241" s="160"/>
      <c r="J241" s="160"/>
      <c r="K241" s="160"/>
      <c r="U241" s="161"/>
      <c r="V241" s="162"/>
      <c r="W241" s="162"/>
    </row>
    <row r="242" spans="1:23" x14ac:dyDescent="0.25">
      <c r="A242" s="220" t="s">
        <v>115</v>
      </c>
      <c r="B242" s="221"/>
      <c r="C242" s="222"/>
      <c r="D242" s="223">
        <f>IF(C15&lt;&gt;"",ROUNDDOWN((D240/2),0),"")</f>
      </c>
      <c r="E242" s="224">
        <f>IF(D15&lt;&gt;"",ROUNDDOWN((E240/2),0),"")</f>
      </c>
      <c r="F242" s="224">
        <f>IF(E15&lt;&gt;"",ROUNDDOWN((F240/2),0),"")</f>
      </c>
      <c r="G242" s="224">
        <f>IF(F15&lt;&gt;"",ROUNDDOWN((G240/2),0),"")</f>
      </c>
      <c r="H242" s="225">
        <f>IF(G15&lt;&gt;"",ROUNDDOWN((H240/2),0),"")</f>
      </c>
      <c r="I242" s="160"/>
      <c r="J242" s="160"/>
      <c r="K242" s="160"/>
      <c r="U242" s="161"/>
      <c r="V242" s="162"/>
      <c r="W242" s="162"/>
    </row>
    <row r="243" ht="15.75" customHeight="1" spans="1:23" x14ac:dyDescent="0.25">
      <c r="A243" s="220" t="s">
        <v>116</v>
      </c>
      <c r="B243" s="221"/>
      <c r="C243" s="222"/>
      <c r="D243" s="223">
        <f>IF(C15&lt;&gt;"",D240-D242,"")</f>
      </c>
      <c r="E243" s="224">
        <f>IF(D15&lt;&gt;"",E240-E242,"")</f>
      </c>
      <c r="F243" s="224">
        <f>IF(E15&lt;&gt;"",F240-F242,"")</f>
      </c>
      <c r="G243" s="224">
        <f>IF(F15&lt;&gt;"",G240-G242,"")</f>
      </c>
      <c r="H243" s="225">
        <f>IF(G15&lt;&gt;"",H240-H242,"")</f>
      </c>
      <c r="I243" s="160"/>
      <c r="J243" s="160"/>
      <c r="K243" s="160"/>
      <c r="T243" s="116"/>
      <c r="U243" s="161"/>
      <c r="V243" s="162"/>
      <c r="W243" s="162"/>
    </row>
    <row r="244" spans="1:23" x14ac:dyDescent="0.25">
      <c r="A244" s="226" t="s">
        <v>117</v>
      </c>
      <c r="B244" s="227"/>
      <c r="C244" s="228"/>
      <c r="D244" s="229">
        <f>IF(C15&lt;&gt;"",ROUNDDOWN((D241/2),0),"")</f>
      </c>
      <c r="E244" s="230">
        <f>IF(D15&lt;&gt;"",ROUNDDOWN((E241/2),0),"")</f>
      </c>
      <c r="F244" s="230">
        <f>IF(E15&lt;&gt;"",ROUNDDOWN((F241/2),0),"")</f>
      </c>
      <c r="G244" s="230">
        <f>IF(F15&lt;&gt;"",ROUNDDOWN((G241/2),0),"")</f>
      </c>
      <c r="H244" s="231">
        <f>IF(G15&lt;&gt;"",ROUNDDOWN((H241/2),0),"")</f>
      </c>
      <c r="I244" s="232"/>
      <c r="J244" s="166"/>
      <c r="K244" s="166"/>
      <c r="U244" s="161"/>
      <c r="V244" s="162"/>
      <c r="W244" s="162"/>
    </row>
    <row r="245" ht="16.5" customHeight="1" spans="1:23" x14ac:dyDescent="0.25">
      <c r="A245" s="233" t="s">
        <v>118</v>
      </c>
      <c r="B245" s="234"/>
      <c r="C245" s="235"/>
      <c r="D245" s="236">
        <f>IF(C15&lt;&gt;"",D241-D244,"")</f>
      </c>
      <c r="E245" s="237">
        <f>IF(D15&lt;&gt;"",E241-E244,"")</f>
      </c>
      <c r="F245" s="237">
        <f>IF(E15&lt;&gt;"",F241-F244,"")</f>
      </c>
      <c r="G245" s="237">
        <f>IF(F15&lt;&gt;"",G241-G244,"")</f>
      </c>
      <c r="H245" s="238">
        <f>IF(G15&lt;&gt;"",H241-H244,"")</f>
      </c>
      <c r="I245" s="232"/>
      <c r="J245" s="116"/>
      <c r="K245" s="116"/>
      <c r="L245" s="116"/>
      <c r="U245" s="161" t="s">
        <v>119</v>
      </c>
      <c r="V245" s="162"/>
      <c r="W245" s="162"/>
    </row>
    <row r="246" ht="15.75" customHeight="1" spans="9:23" x14ac:dyDescent="0.25">
      <c r="I246" s="232"/>
      <c r="J246" s="155"/>
      <c r="S246" s="116"/>
      <c r="U246" s="161"/>
      <c r="V246" s="162"/>
      <c r="W246" s="162"/>
    </row>
    <row r="247" spans="1:23" x14ac:dyDescent="0.25">
      <c r="A247" s="239" t="s">
        <v>120</v>
      </c>
      <c r="B247" s="239"/>
      <c r="C247" s="239"/>
      <c r="D247" s="240">
        <f>IF(C15&lt;&gt;"",(D242+D243)*D232,"")</f>
      </c>
      <c r="E247" s="240">
        <f>IF(D15&lt;&gt;"",(E242+E243)*E232,"")</f>
      </c>
      <c r="F247" s="240">
        <f>IF(E15&lt;&gt;"",(F242+F243)*F232,"")</f>
      </c>
      <c r="G247" s="240">
        <f>IF(F15&lt;&gt;"",(G242+G243)*G232,"")</f>
      </c>
      <c r="H247" s="240">
        <f>IF(G15&lt;&gt;"",(H242+H243)*H232,"")</f>
      </c>
      <c r="I247" s="232"/>
      <c r="J247" s="160"/>
      <c r="U247" s="161"/>
      <c r="V247" s="162"/>
      <c r="W247" s="162"/>
    </row>
    <row r="248" spans="1:23" x14ac:dyDescent="0.25">
      <c r="A248" s="239" t="s">
        <v>121</v>
      </c>
      <c r="B248" s="239"/>
      <c r="C248" s="239"/>
      <c r="D248" s="240">
        <f>IF(C15&lt;&gt;"",(D244+D245)*D232,"")</f>
      </c>
      <c r="E248" s="240">
        <f>IF(D15&lt;&gt;"",(E244+E245)*E232,"")</f>
      </c>
      <c r="F248" s="240">
        <f>IF(E15&lt;&gt;"",(F244+F245)*F232,"")</f>
      </c>
      <c r="G248" s="240">
        <f>IF(F15&lt;&gt;"",(G244+G245)*G232,"")</f>
      </c>
      <c r="H248" s="240">
        <f>IF(G15&lt;&gt;"",(H244+H245)*H232,"")</f>
      </c>
      <c r="I248" s="160"/>
      <c r="J248" s="160"/>
      <c r="U248" s="161"/>
      <c r="V248" s="162"/>
      <c r="W248" s="162"/>
    </row>
    <row r="249" spans="1:23" x14ac:dyDescent="0.25">
      <c r="A249" s="239" t="s">
        <v>122</v>
      </c>
      <c r="B249" s="239"/>
      <c r="C249" s="239"/>
      <c r="D249" s="240">
        <f>IF(C15&lt;&gt;"",D247+C40,"")</f>
      </c>
      <c r="E249" s="240">
        <f>IF(D15&lt;&gt;"",E247+D40,"")</f>
      </c>
      <c r="F249" s="240">
        <f>IF(E15&lt;&gt;"",F247+E40,"")</f>
      </c>
      <c r="G249" s="240">
        <f>IF(F15&lt;&gt;"",G247+F40,"")</f>
      </c>
      <c r="H249" s="240">
        <f>IF(G15&lt;&gt;"",H247+G40,"")</f>
      </c>
      <c r="I249" s="160"/>
      <c r="J249" s="160"/>
      <c r="U249" s="161"/>
      <c r="V249" s="162"/>
      <c r="W249" s="162"/>
    </row>
    <row r="250" spans="1:23" x14ac:dyDescent="0.25">
      <c r="A250" s="239" t="s">
        <v>123</v>
      </c>
      <c r="B250" s="239"/>
      <c r="C250" s="239"/>
      <c r="D250" s="240">
        <f>IF(C15&lt;&gt;"",D248+C40,"")</f>
      </c>
      <c r="E250" s="240">
        <f>IF(D15&lt;&gt;"",E248+D40,"")</f>
      </c>
      <c r="F250" s="240">
        <f>IF(E15&lt;&gt;"",F248+E40,"")</f>
      </c>
      <c r="G250" s="240">
        <f>IF(F15&lt;&gt;"",G248+F40,"")</f>
      </c>
      <c r="H250" s="240">
        <f>IF(G15&lt;&gt;"",H248+G40,"")</f>
      </c>
      <c r="U250" s="161"/>
      <c r="V250" s="162"/>
      <c r="W250" s="162"/>
    </row>
    <row r="251" spans="1:23" x14ac:dyDescent="0.25">
      <c r="A251" s="145" t="s">
        <v>124</v>
      </c>
      <c r="B251" s="145"/>
      <c r="C251" s="145"/>
      <c r="D251" s="241">
        <f>IF(C15&lt;&gt;"",D237-D250,"")</f>
      </c>
      <c r="E251" s="241">
        <f>IF(D15&lt;&gt;"",E237-E250,"")</f>
      </c>
      <c r="F251" s="241">
        <f>IF(E15&lt;&gt;"",F237-F250,"")</f>
      </c>
      <c r="G251" s="241">
        <f>IF(F15&lt;&gt;"",G237-G250,"")</f>
      </c>
      <c r="H251" s="241">
        <f>IF(G15&lt;&gt;"",H237-H250,"")</f>
      </c>
      <c r="U251" s="161"/>
      <c r="V251" s="162"/>
      <c r="W251" s="162"/>
    </row>
    <row r="252" spans="1:23" x14ac:dyDescent="0.25">
      <c r="A252" s="145" t="s">
        <v>125</v>
      </c>
      <c r="B252" s="145"/>
      <c r="C252" s="145"/>
      <c r="D252" s="135">
        <f>IF(C15&lt;&gt;"",D234-D249,"")</f>
      </c>
      <c r="E252" s="135">
        <f>IF(D15&lt;&gt;"",E234-E249,"")</f>
      </c>
      <c r="F252" s="135">
        <f>IF(E15&lt;&gt;"",F234-F249,"")</f>
      </c>
      <c r="G252" s="135">
        <f>IF(F15&lt;&gt;"",G234-G249,"")</f>
      </c>
      <c r="H252" s="135">
        <f>IF(G15&lt;&gt;"",H234-H249,"")</f>
      </c>
      <c r="U252" s="161" t="s">
        <v>126</v>
      </c>
      <c r="V252" s="162"/>
      <c r="W252" s="162"/>
    </row>
    <row r="253" spans="21:23" x14ac:dyDescent="0.25">
      <c r="U253" s="161"/>
      <c r="V253" s="162"/>
      <c r="W253" s="162"/>
    </row>
    <row r="254" spans="1:23" x14ac:dyDescent="0.25">
      <c r="A254" s="145"/>
      <c r="B254" s="145"/>
      <c r="C254" s="145"/>
      <c r="U254" s="161"/>
      <c r="V254" s="162"/>
      <c r="W254" s="162"/>
    </row>
    <row r="255" spans="1:23" x14ac:dyDescent="0.25">
      <c r="A255" s="145"/>
      <c r="B255" s="145"/>
      <c r="C255" s="145"/>
      <c r="D255" s="138"/>
      <c r="E255" s="138"/>
      <c r="F255" s="138"/>
      <c r="G255" s="138"/>
      <c r="H255" s="138"/>
      <c r="U255" s="161"/>
      <c r="V255" s="162"/>
      <c r="W255" s="162"/>
    </row>
    <row r="256" spans="21:23" x14ac:dyDescent="0.25">
      <c r="U256" s="161"/>
      <c r="V256" s="162"/>
      <c r="W256" s="162"/>
    </row>
    <row r="257" spans="21:23" x14ac:dyDescent="0.25">
      <c r="U257" s="161"/>
      <c r="V257" s="162"/>
      <c r="W257" s="162"/>
    </row>
    <row r="258" ht="13.5" customHeight="1" spans="21:23" x14ac:dyDescent="0.25">
      <c r="U258" s="161"/>
      <c r="V258" s="162"/>
      <c r="W258" s="162"/>
    </row>
    <row r="259" ht="13.5" customHeight="1" spans="1:23" x14ac:dyDescent="0.25">
      <c r="A259" s="152" t="s">
        <v>127</v>
      </c>
      <c r="B259" s="153"/>
      <c r="C259" s="153"/>
      <c r="D259" s="153"/>
      <c r="E259" s="154"/>
      <c r="U259" s="161" t="s">
        <v>128</v>
      </c>
      <c r="V259" s="162"/>
      <c r="W259" s="162"/>
    </row>
    <row r="260" spans="1:23" x14ac:dyDescent="0.25">
      <c r="A260" s="201" t="s">
        <v>31</v>
      </c>
      <c r="B260" s="174" t="s">
        <v>32</v>
      </c>
      <c r="C260" s="174" t="s">
        <v>33</v>
      </c>
      <c r="D260" s="174" t="s">
        <v>34</v>
      </c>
      <c r="E260" s="175" t="s">
        <v>35</v>
      </c>
      <c r="U260" s="161"/>
      <c r="V260" s="162"/>
      <c r="W260" s="162"/>
    </row>
    <row r="261" spans="1:23" x14ac:dyDescent="0.25">
      <c r="A261" s="163" t="b">
        <f>IF(OR($C$28="U",$C$28="R"),IF($C$54&lt;900,2,IF($C$54&lt;1300,3,IF($C$54&lt;1600,4,IF($C$54&lt;1900,5,IF($C$54&lt;=2200,6,IF($C$54&gt;2200,7,0)))))))</f>
        <v>0</v>
      </c>
      <c r="B261" s="192" t="b">
        <f>IF(OR($D$28="U",$D$28="R"),IF($C$70&lt;900,2,IF($C$70&lt;1300,3,IF($C$70&lt;1600,4,IF($C$70&lt;1900,5,IF($C$70&lt;=2200,6,IF($C$70&gt;2200,7,0)))))))</f>
        <v>0</v>
      </c>
      <c r="C261" s="192" t="b">
        <f>IF(OR($E$28="U",$E$28="R"),IF($C$86&lt;900,2,IF($C$86&lt;1300,3,IF($C$86&lt;1600,4,IF($C$86&lt;1900,5,IF($C$86&lt;=2200,6,IF($C$86&gt;2200,7,0)))))))</f>
        <v>0</v>
      </c>
      <c r="D261" s="192" t="b">
        <f>IF(OR($F$28="U",$F$28="R"),IF($C$102&lt;900,2,IF($C$102&lt;1300,3,IF($C$102&lt;1600,4,IF($C$102&lt;1900,5,IF($C$102&lt;=2200,6,IF($C$102&gt;2200,7,0)))))))</f>
        <v>0</v>
      </c>
      <c r="E261" s="193" t="b">
        <f>IF(OR($G$28="U",$G$28="R"),IF($C$118&lt;900,2,IF($C$118&lt;1300,3,IF($C$118&lt;1600,4,IF($C$118&lt;1900,5,IF($C$118&lt;=2200,6,IF($C$118&gt;2200,7,0)))))))</f>
        <v>0</v>
      </c>
      <c r="U261" s="161"/>
      <c r="V261" s="162"/>
      <c r="W261" s="162"/>
    </row>
    <row r="262" ht="13.5" customHeight="1" spans="1:23" x14ac:dyDescent="0.25">
      <c r="A262" s="179" t="b">
        <f>IF(OR($C$29="U",$C$29="R"),IF($C$54&lt;900,2,IF($C$54&lt;1300,3,IF($C$54&lt;1600,4,IF($C$54&lt;1900,5,IF($C$54&lt;=2200,6,IF($C$54&gt;2200,7,0)))))))</f>
        <v>0</v>
      </c>
      <c r="B262" s="242" t="b">
        <f>IF(OR($D$29="U",$D$29="R"),IF($C$70&lt;900,2,IF($C$70&lt;1300,3,IF($C$70&lt;1600,4,IF($C$70&lt;1900,5,IF($C$70&lt;=2200,6,IF($C$70&gt;2200,7,0)))))))</f>
        <v>0</v>
      </c>
      <c r="C262" s="242" t="b">
        <f>IF(OR($E$29="U",$E$29="R"),IF($C$86&lt;900,2,IF($C$86&lt;1300,3,IF($C$86&lt;1600,4,IF($C$86&lt;1900,5,IF($C$86&lt;=2200,6,IF($C$86&gt;2200,7,0)))))))</f>
        <v>0</v>
      </c>
      <c r="D262" s="242" t="b">
        <f>IF(OR($F$29="U",$F$29="R"),IF($C$102&lt;900,2,IF($C$102&lt;1300,3,IF($C$102&lt;1600,4,IF($C$102&lt;1900,5,IF($C$102&lt;=2200,6,IF($C$102&gt;2200,7,0)))))))</f>
        <v>0</v>
      </c>
      <c r="E262" s="243" t="b">
        <f>IF(OR($G$29="U",$G$29="R"),IF($C$118&lt;900,2,IF($C$118&lt;1300,3,IF($C$118&lt;1600,4,IF($C$118&lt;1900,5,IF($C$118&lt;=2200,6,IF($C$118&gt;2200,7,0)))))))</f>
        <v>0</v>
      </c>
      <c r="U262" s="161"/>
      <c r="V262" s="162"/>
      <c r="W262" s="162"/>
    </row>
    <row r="263" ht="13.5" customHeight="1" spans="21:23" x14ac:dyDescent="0.25">
      <c r="U263" s="161"/>
      <c r="V263" s="162"/>
      <c r="W263" s="162"/>
    </row>
    <row r="264" ht="13.5" customHeight="1" spans="1:23" x14ac:dyDescent="0.25">
      <c r="A264" s="152" t="s">
        <v>129</v>
      </c>
      <c r="B264" s="153"/>
      <c r="C264" s="153"/>
      <c r="D264" s="153"/>
      <c r="E264" s="154"/>
      <c r="U264" s="161"/>
      <c r="V264" s="162"/>
      <c r="W264" s="162"/>
    </row>
    <row r="265" spans="1:23" x14ac:dyDescent="0.25">
      <c r="A265" s="201" t="s">
        <v>31</v>
      </c>
      <c r="B265" s="174" t="s">
        <v>32</v>
      </c>
      <c r="C265" s="174" t="s">
        <v>33</v>
      </c>
      <c r="D265" s="174" t="s">
        <v>34</v>
      </c>
      <c r="E265" s="175" t="s">
        <v>35</v>
      </c>
      <c r="U265" s="161"/>
      <c r="V265" s="162"/>
      <c r="W265" s="162"/>
    </row>
    <row r="266" ht="13.5" customHeight="1" spans="1:23" x14ac:dyDescent="0.25">
      <c r="A266" s="167">
        <f>IF(OR(C31="RTS",C31="IO",C31="SIO",C31="GS",C31="GSS"),C23/600,C23/400)</f>
        <v>0</v>
      </c>
      <c r="B266" s="167">
        <f t="shared" ref="B266:E266" si="5">IF(OR(D31="RTS",D31="IO",D31="SIO",D31="GS",D31="GSS"),D23/600,D23/400)</f>
        <v>0</v>
      </c>
      <c r="C266" s="167">
        <f t="shared" si="5"/>
        <v>0</v>
      </c>
      <c r="D266" s="167">
        <f t="shared" si="5"/>
        <v>0</v>
      </c>
      <c r="E266" s="167">
        <f t="shared" si="5"/>
        <v>0</v>
      </c>
      <c r="U266" s="161" t="s">
        <v>130</v>
      </c>
      <c r="V266" s="162"/>
      <c r="W266" s="162"/>
    </row>
    <row r="267" spans="1:23" x14ac:dyDescent="0.25">
      <c r="A267" s="244" t="str">
        <f>IF(OR($C$31="IO",$C$31="RTS",$C$31="GS",$C$31="SIO",$C$31="GSS"),"Starre verbinding","Standaard ophangveer")</f>
        <v>Standaard ophangveer</v>
      </c>
      <c r="B267" s="245" t="str">
        <f>IF(OR($D$31="IO",$D$31="RTS",$D$31="GS",$D$31="SIO",$D$31="GSS"),"Starre verbinding","Standaard ophangveer")</f>
        <v>Standaard ophangveer</v>
      </c>
      <c r="C267" s="245" t="str">
        <f>IF(OR($E$31="IO",$E$31="RTS",$E$31="GS",$E$31="SIO",$E$31="GSS"),"Starre verbinding","Standaard ophangveer")</f>
        <v>Standaard ophangveer</v>
      </c>
      <c r="D267" s="245" t="str">
        <f>IF(OR($F$31="IO",$F$31="RTS",$F$31="GS",$F$31="SIO",$F$31="GSS"),"Starre verbinding","Standaard ophangveer")</f>
        <v>Standaard ophangveer</v>
      </c>
      <c r="E267" s="246" t="str">
        <f>IF(OR($G$31="IO",$G$31="RTS",$G$31="GS",$G$31="SIO",$G$31="GSS"),"Starre verbinding","Standaard ophangveer")</f>
        <v>Standaard ophangveer</v>
      </c>
      <c r="U267" s="161"/>
      <c r="V267" s="162"/>
      <c r="W267" s="162"/>
    </row>
    <row r="268" ht="13.5" customHeight="1" spans="1:23" x14ac:dyDescent="0.25">
      <c r="A268" s="247"/>
      <c r="B268" s="248"/>
      <c r="C268" s="248"/>
      <c r="D268" s="248"/>
      <c r="E268" s="249"/>
      <c r="U268" s="161"/>
      <c r="V268" s="162"/>
      <c r="W268" s="162"/>
    </row>
    <row r="269" spans="1:23" x14ac:dyDescent="0.25">
      <c r="A269" s="73">
        <f>IF($C$15&gt;0,ROUNDUP($A$266,0),"")</f>
      </c>
      <c r="B269" s="73">
        <f>IF($D$15&gt;0,ROUNDUP($B$266,0),"")</f>
      </c>
      <c r="C269" s="73">
        <f>IF($E$15&gt;0,ROUNDUP($C$266,0),"")</f>
      </c>
      <c r="D269" s="73">
        <f>IF($F$15&gt;0,ROUNDUP($D$266,0),"")</f>
      </c>
      <c r="E269" s="73">
        <f>IF($G$15&gt;0,ROUNDUP($E$266,0),"")</f>
      </c>
      <c r="U269" s="161"/>
      <c r="V269" s="162"/>
      <c r="W269" s="162"/>
    </row>
    <row r="270" spans="21:23" x14ac:dyDescent="0.25">
      <c r="U270" s="161"/>
      <c r="V270" s="162"/>
      <c r="W270" s="162"/>
    </row>
    <row r="271" spans="21:23" x14ac:dyDescent="0.25">
      <c r="U271" s="161"/>
      <c r="V271" s="162"/>
      <c r="W271" s="162"/>
    </row>
    <row r="272" spans="21:23" x14ac:dyDescent="0.25">
      <c r="U272" s="161"/>
      <c r="V272" s="162"/>
      <c r="W272" s="162"/>
    </row>
    <row r="273" spans="21:23" x14ac:dyDescent="0.25">
      <c r="U273" s="161" t="s">
        <v>131</v>
      </c>
      <c r="V273" s="162"/>
      <c r="W273" s="162"/>
    </row>
    <row r="274" spans="21:23" x14ac:dyDescent="0.25">
      <c r="U274" s="161"/>
      <c r="V274" s="162"/>
      <c r="W274" s="162"/>
    </row>
    <row r="275" spans="21:23" x14ac:dyDescent="0.25">
      <c r="U275" s="161"/>
      <c r="V275" s="162"/>
      <c r="W275" s="162"/>
    </row>
    <row r="276" spans="21:23" x14ac:dyDescent="0.25">
      <c r="U276" s="161"/>
      <c r="V276" s="162"/>
      <c r="W276" s="162"/>
    </row>
    <row r="277" spans="21:23" x14ac:dyDescent="0.25">
      <c r="U277" s="161"/>
      <c r="V277" s="162"/>
      <c r="W277" s="162"/>
    </row>
    <row r="278" spans="21:23" x14ac:dyDescent="0.25">
      <c r="U278" s="161"/>
      <c r="V278" s="162"/>
      <c r="W278" s="162"/>
    </row>
    <row r="279" spans="21:23" x14ac:dyDescent="0.25">
      <c r="U279" s="161"/>
      <c r="V279" s="162"/>
      <c r="W279" s="162"/>
    </row>
    <row r="280" spans="21:23" x14ac:dyDescent="0.25">
      <c r="U280" s="161" t="s">
        <v>4</v>
      </c>
      <c r="V280" s="162"/>
      <c r="W280" s="162"/>
    </row>
    <row r="281" spans="21:23" x14ac:dyDescent="0.25">
      <c r="U281" s="161"/>
      <c r="V281" s="162"/>
      <c r="W281" s="162"/>
    </row>
    <row r="282" spans="21:23" x14ac:dyDescent="0.25">
      <c r="U282" s="161"/>
      <c r="V282" s="162"/>
      <c r="W282" s="162"/>
    </row>
    <row r="283" spans="21:23" x14ac:dyDescent="0.25">
      <c r="U283" s="161"/>
      <c r="V283" s="162"/>
      <c r="W283" s="162"/>
    </row>
    <row r="284" spans="21:23" x14ac:dyDescent="0.25">
      <c r="U284" s="161"/>
      <c r="V284" s="162"/>
      <c r="W284" s="162"/>
    </row>
    <row r="285" spans="21:23" x14ac:dyDescent="0.25">
      <c r="U285" s="161"/>
      <c r="V285" s="162"/>
      <c r="W285" s="162"/>
    </row>
    <row r="286" spans="21:23" x14ac:dyDescent="0.25">
      <c r="U286" s="161"/>
      <c r="V286" s="162"/>
      <c r="W286" s="162"/>
    </row>
    <row r="287" spans="21:23" x14ac:dyDescent="0.25">
      <c r="U287" s="161" t="s">
        <v>7</v>
      </c>
      <c r="V287" s="162"/>
      <c r="W287" s="162"/>
    </row>
    <row r="288" spans="21:23" x14ac:dyDescent="0.25">
      <c r="U288" s="161"/>
      <c r="V288" s="162"/>
      <c r="W288" s="162"/>
    </row>
    <row r="289" spans="21:23" x14ac:dyDescent="0.25">
      <c r="U289" s="161"/>
      <c r="V289" s="162"/>
      <c r="W289" s="162"/>
    </row>
    <row r="290" spans="21:23" x14ac:dyDescent="0.25">
      <c r="U290" s="161"/>
      <c r="V290" s="162"/>
      <c r="W290" s="162"/>
    </row>
    <row r="291" spans="21:23" x14ac:dyDescent="0.25">
      <c r="U291" s="161"/>
      <c r="V291" s="162"/>
      <c r="W291" s="162"/>
    </row>
    <row r="292" spans="21:23" x14ac:dyDescent="0.25">
      <c r="U292" s="161"/>
      <c r="V292" s="162"/>
      <c r="W292" s="162"/>
    </row>
    <row r="293" spans="21:23" x14ac:dyDescent="0.25">
      <c r="U293" s="161"/>
      <c r="V293" s="162"/>
      <c r="W293" s="162"/>
    </row>
    <row r="294" spans="21:23" x14ac:dyDescent="0.25">
      <c r="U294" s="161" t="s">
        <v>15</v>
      </c>
      <c r="V294" s="162"/>
      <c r="W294" s="162"/>
    </row>
    <row r="295" spans="21:23" x14ac:dyDescent="0.25">
      <c r="U295" s="161"/>
      <c r="V295" s="162"/>
      <c r="W295" s="162"/>
    </row>
    <row r="296" spans="21:23" x14ac:dyDescent="0.25">
      <c r="U296" s="161"/>
      <c r="V296" s="162"/>
      <c r="W296" s="162"/>
    </row>
    <row r="297" spans="21:23" x14ac:dyDescent="0.25">
      <c r="U297" s="161"/>
      <c r="V297" s="162"/>
      <c r="W297" s="162"/>
    </row>
    <row r="298" spans="21:23" x14ac:dyDescent="0.25">
      <c r="U298" s="161"/>
      <c r="V298" s="162"/>
      <c r="W298" s="162"/>
    </row>
    <row r="299" spans="21:23" x14ac:dyDescent="0.25">
      <c r="U299" s="161"/>
      <c r="V299" s="162"/>
      <c r="W299" s="162"/>
    </row>
    <row r="300" spans="21:23" x14ac:dyDescent="0.25">
      <c r="U300" s="161"/>
      <c r="V300" s="162"/>
      <c r="W300" s="162"/>
    </row>
    <row r="301" spans="21:23" x14ac:dyDescent="0.25">
      <c r="U301" s="161" t="s">
        <v>12</v>
      </c>
      <c r="V301" s="162"/>
      <c r="W301" s="162"/>
    </row>
    <row r="302" spans="21:23" x14ac:dyDescent="0.25">
      <c r="U302" s="161"/>
      <c r="V302" s="162"/>
      <c r="W302" s="162"/>
    </row>
    <row r="303" spans="21:23" x14ac:dyDescent="0.25">
      <c r="U303" s="161"/>
      <c r="V303" s="162"/>
      <c r="W303" s="162"/>
    </row>
    <row r="304" spans="21:23" x14ac:dyDescent="0.25">
      <c r="U304" s="161"/>
      <c r="V304" s="162"/>
      <c r="W304" s="162"/>
    </row>
    <row r="305" spans="21:23" x14ac:dyDescent="0.25">
      <c r="U305" s="161"/>
      <c r="V305" s="162"/>
      <c r="W305" s="162"/>
    </row>
    <row r="306" spans="21:23" x14ac:dyDescent="0.25">
      <c r="U306" s="161"/>
      <c r="V306" s="162"/>
      <c r="W306" s="162"/>
    </row>
    <row r="307" spans="21:23" x14ac:dyDescent="0.25">
      <c r="U307" s="161"/>
      <c r="V307" s="162"/>
      <c r="W307" s="162"/>
    </row>
    <row r="316" ht="13.5" customHeight="1" x14ac:dyDescent="0.25"/>
    <row r="317" spans="1:6" x14ac:dyDescent="0.25">
      <c r="A317" s="199" t="s">
        <v>132</v>
      </c>
      <c r="B317" s="200"/>
      <c r="C317" s="200"/>
      <c r="D317" s="200"/>
      <c r="E317" s="200"/>
      <c r="F317" s="250"/>
    </row>
    <row r="318" spans="1:6" x14ac:dyDescent="0.25">
      <c r="A318" s="251"/>
      <c r="B318" s="192" t="s">
        <v>31</v>
      </c>
      <c r="C318" s="192" t="s">
        <v>32</v>
      </c>
      <c r="D318" s="192" t="s">
        <v>33</v>
      </c>
      <c r="E318" s="192" t="s">
        <v>34</v>
      </c>
      <c r="F318" s="193" t="s">
        <v>35</v>
      </c>
    </row>
    <row r="319" spans="1:6" x14ac:dyDescent="0.25">
      <c r="A319" s="163" t="s">
        <v>133</v>
      </c>
      <c r="B319" s="164" t="b">
        <f>IF(C16="P42",B330,IF(C16="A42",B341,IF(C16="U42",B352,IF(C16="U52",B363))))</f>
        <v>0</v>
      </c>
      <c r="C319" s="164" t="b">
        <f>IF(D16="P42",C330,IF(D16="A42",C341,IF(D16="U42",C352,IF(D16="U52",C363))))</f>
        <v>0</v>
      </c>
      <c r="D319" s="164" t="b">
        <f>IF(E16="P42",D330,IF(E16="A42",D341,IF(E16="U42",D352,IF(E16="U52",D363))))</f>
        <v>0</v>
      </c>
      <c r="E319" s="164" t="b">
        <f>IF(F16="P42",E330,IF(F16="A42",E341,IF(F16="U42",E352,IF(F16="U52",E363))))</f>
        <v>0</v>
      </c>
      <c r="F319" s="165" t="b">
        <f>IF(G16="P42",F330,IF(G16="A42",F341,IF(G16="U42",F352,IF(G16="U52",F363))))</f>
        <v>0</v>
      </c>
    </row>
    <row r="320" spans="1:6" x14ac:dyDescent="0.25">
      <c r="A320" s="163" t="s">
        <v>134</v>
      </c>
      <c r="B320" s="164" t="b">
        <f>IF(C16="P42",B331,IF(C16="A42",B342,IF(C16="U42",B353,IF(C16="U52",B364))))</f>
        <v>0</v>
      </c>
      <c r="C320" s="164" t="b">
        <f>IF(D16="P42",C331,IF(D16="A42",C342,IF(D16="U42",C353,IF(D16="U52",C364))))</f>
        <v>0</v>
      </c>
      <c r="D320" s="164" t="b">
        <f>IF(E16="P42",D331,IF(E16="A42",D342,IF(E16="U42",D353,IF(E16="U52",D364))))</f>
        <v>0</v>
      </c>
      <c r="E320" s="164" t="b">
        <f>IF(F16="P42",E331,IF(F16="A42",E342,IF(F16="U42",E353,IF(F16="U52",E364))))</f>
        <v>0</v>
      </c>
      <c r="F320" s="165" t="b">
        <f>IF(G16="P42",F331,IF(G16="A42",F342,IF(G16="U42",F353,IF(G16="U52",F364))))</f>
        <v>0</v>
      </c>
    </row>
    <row r="321" spans="1:6" x14ac:dyDescent="0.25">
      <c r="A321" s="163" t="s">
        <v>135</v>
      </c>
      <c r="B321" s="164" t="b">
        <f>IF(C16="P42",B332,IF(C16="A42",B343,IF(C16="U42",B354,IF(C16="U52",B365))))</f>
        <v>0</v>
      </c>
      <c r="C321" s="164" t="b">
        <f>IF(D16="P42",C332,IF(D16="A42",C343,IF(D16="U42",C354,IF(D16="U52",C365))))</f>
        <v>0</v>
      </c>
      <c r="D321" s="164" t="b">
        <f>IF(E16="P42",D332,IF(E16="A42",D343,IF(E16="U42",D354,IF(E16="U52",D365))))</f>
        <v>0</v>
      </c>
      <c r="E321" s="164" t="b">
        <f>IF(F16="P42",E332,IF(F16="A42",E343,IF(F16="U42",E354,IF(F16="U52",E365))))</f>
        <v>0</v>
      </c>
      <c r="F321" s="165" t="b">
        <f>IF(G16="P42",F332,IF(G16="A42",F343,IF(G16="U42",F354,IF(G16="U52",F365))))</f>
        <v>0</v>
      </c>
    </row>
    <row r="322" spans="1:6" x14ac:dyDescent="0.25">
      <c r="A322" s="163" t="s">
        <v>136</v>
      </c>
      <c r="B322" s="164" t="b">
        <f>IF(C16="P42",B333,IF(C16="A42",B344,IF(C16="U42",B355,IF(C16="U52",B366))))</f>
        <v>0</v>
      </c>
      <c r="C322" s="164" t="b">
        <f>IF(D16="P42",C333,IF(D16="A42",C344,IF(D16="U42",C355,IF(D16="U52",C366))))</f>
        <v>0</v>
      </c>
      <c r="D322" s="164" t="b">
        <f>IF(E16="P42",D333,IF(E16="A42",D344,IF(E16="U42",D355,IF(E16="U52",D366))))</f>
        <v>0</v>
      </c>
      <c r="E322" s="164" t="b">
        <f>IF(F16="P42",E333,IF(F16="A42",E344,IF(F16="U42",E355,IF(F16="U52",E366))))</f>
        <v>0</v>
      </c>
      <c r="F322" s="165" t="b">
        <f>IF(G16="P42",F333,IF(G16="A42",F344,IF(G16="U42",F355,IF(G16="U52",F366))))</f>
        <v>0</v>
      </c>
    </row>
    <row r="323" spans="1:10" x14ac:dyDescent="0.25">
      <c r="A323" s="163" t="s">
        <v>137</v>
      </c>
      <c r="B323" s="164" t="b">
        <f>IF(C16="P42",B334,IF(C16="A42",B345,IF(C16="U42",B356,IF(C16="U52",B367))))</f>
        <v>0</v>
      </c>
      <c r="C323" s="164" t="b">
        <f>IF(D16="P42",C334,IF(D16="A42",C345,IF(D16="U42",C356,IF(D16="U52",C367))))</f>
        <v>0</v>
      </c>
      <c r="D323" s="164" t="b">
        <f>IF(E16="P42",D334,IF(E16="A42",D345,IF(E16="U42",D356,IF(E16="U52",D367))))</f>
        <v>0</v>
      </c>
      <c r="E323" s="164" t="b">
        <f>IF(F16="P42",E334,IF(F16="A42",E345,IF(F16="U42",E356,IF(F16="U52",E367))))</f>
        <v>0</v>
      </c>
      <c r="F323" s="165" t="b">
        <f>IF(G16="P42",F334,IF(G16="A42",F345,IF(G16="U42",F356,IF(G16="U52",F367))))</f>
        <v>0</v>
      </c>
      <c r="G323" s="252" t="s">
        <v>138</v>
      </c>
      <c r="H323" s="252"/>
      <c r="I323" s="252"/>
      <c r="J323" s="253"/>
    </row>
    <row r="324" spans="1:6" x14ac:dyDescent="0.25">
      <c r="A324" s="163" t="s">
        <v>139</v>
      </c>
      <c r="B324" s="164" t="b">
        <f>IF(C16="P42",B335,IF(C16="A42",B346,IF(C16="U42",B357,IF(C16="U52",B368))))</f>
        <v>0</v>
      </c>
      <c r="C324" s="164" t="b">
        <f>IF(D16="P42",C335,IF(D16="A42",C346,IF(D16="U42",C357,IF(D16="U52",C368))))</f>
        <v>0</v>
      </c>
      <c r="D324" s="164" t="b">
        <f>IF(E16="P42",D335,IF(E16="A42",D346,IF(E16="U42",D357,IF(E16="U52",D368))))</f>
        <v>0</v>
      </c>
      <c r="E324" s="164" t="b">
        <f>IF(F16="P42",E335,IF(F16="A42",E346,IF(F16="U42",E357,IF(F16="U52",E368))))</f>
        <v>0</v>
      </c>
      <c r="F324" s="165" t="b">
        <f>IF(G16="P42",F335,IF(G16="A42",F346,IF(G16="U42",F357,IF(G16="U52",F368))))</f>
        <v>0</v>
      </c>
    </row>
    <row r="325" spans="1:6" x14ac:dyDescent="0.25">
      <c r="A325" s="163" t="s">
        <v>140</v>
      </c>
      <c r="B325" s="164" t="b">
        <f>IF(C16="P42",B336,IF(C16="A42",B347,IF(C16="U42",B358,IF(C16="U52",B369))))</f>
        <v>0</v>
      </c>
      <c r="C325" s="164" t="b">
        <f>IF(D16="P42",C336,IF(D16="A42",C347,IF(D16="U42",C358,IF(D16="U52",C369))))</f>
        <v>0</v>
      </c>
      <c r="D325" s="164" t="b">
        <f>IF(E16="P42",D336,IF(E16="A42",D347,IF(E16="U42",D358,IF(E16="U52",D369))))</f>
        <v>0</v>
      </c>
      <c r="E325" s="164" t="b">
        <f>IF(F16="P42",E336,IF(F16="A42",E347,IF(F16="U42",E358,IF(F16="U52",E369))))</f>
        <v>0</v>
      </c>
      <c r="F325" s="165" t="b">
        <f>IF(G16="P42",F336,IF(G16="A42",F347,IF(G16="U42",F358,IF(G16="U52",F369))))</f>
        <v>0</v>
      </c>
    </row>
    <row r="326" ht="13.5" customHeight="1" spans="1:6" x14ac:dyDescent="0.25">
      <c r="A326" s="179" t="s">
        <v>141</v>
      </c>
      <c r="B326" s="195" t="b">
        <f>IF(C16="P42",B337,IF(C16="A42",B348,IF(C16="U42",B359,IF(C16="U52",B370))))</f>
        <v>0</v>
      </c>
      <c r="C326" s="195" t="b">
        <f>IF(D16="P42",C337,IF(D16="A42",C348,IF(D16="U42",C359,IF(D16="U52",C370))))</f>
        <v>0</v>
      </c>
      <c r="D326" s="195" t="b">
        <f>IF(E16="P42",D337,IF(E16="A42",D348,IF(E16="U42",D359,IF(E16="U52",D370))))</f>
        <v>0</v>
      </c>
      <c r="E326" s="195" t="b">
        <f>IF(F16="P42",E337,IF(F16="A42",E348,IF(F16="U42",E359,IF(F16="U52",E370))))</f>
        <v>0</v>
      </c>
      <c r="F326" s="196" t="b">
        <f>IF(G16="P42",F337,IF(G16="A42",F348,IF(G16="U42",F359,IF(G16="U52",F370))))</f>
        <v>0</v>
      </c>
    </row>
    <row r="327" ht="13.5" customHeight="1" spans="1:6" x14ac:dyDescent="0.25">
      <c r="A327" s="170"/>
      <c r="B327" s="171"/>
      <c r="C327" s="171"/>
      <c r="D327" s="171"/>
      <c r="E327" s="171"/>
      <c r="F327" s="172"/>
    </row>
    <row r="328" spans="1:6" x14ac:dyDescent="0.25">
      <c r="A328" s="199" t="s">
        <v>142</v>
      </c>
      <c r="B328" s="200"/>
      <c r="C328" s="200"/>
      <c r="D328" s="200"/>
      <c r="E328" s="200"/>
      <c r="F328" s="250"/>
    </row>
    <row r="329" spans="1:6" x14ac:dyDescent="0.25">
      <c r="A329" s="251"/>
      <c r="B329" s="192" t="s">
        <v>31</v>
      </c>
      <c r="C329" s="192" t="s">
        <v>32</v>
      </c>
      <c r="D329" s="192" t="s">
        <v>33</v>
      </c>
      <c r="E329" s="192" t="s">
        <v>34</v>
      </c>
      <c r="F329" s="193" t="s">
        <v>35</v>
      </c>
    </row>
    <row r="330" spans="1:6" x14ac:dyDescent="0.25">
      <c r="A330" s="163" t="s">
        <v>133</v>
      </c>
      <c r="B330" s="164">
        <f>IF(C30&lt;&gt;"m","",IF(C25=40,"mini 13 Nm",IF(C25=60,IF(C23*C24/1000000*Software!$E$43&lt;15,"10 Nm",IF(C23*C24/1000000*Software!$E$43&lt;35,"20 Nm",IF(C23*C24/1000000*Software!$E$43&lt;50,"30 Nm",IF(C23*C24/1000000*Software!$E$43&lt;70,"40 Nm")))))))</f>
      </c>
      <c r="C330" s="164">
        <f>IF(D30&lt;&gt;"m","",IF(D25=40,"mini 13 Nm",IF(D25=60,IF(D23*D24/1000000*Software!$E$43&lt;15,"10 Nm",IF(D23*D24/1000000*Software!$E$43&lt;35,"20 Nm",IF(D23*D24/1000000*Software!$E$43&lt;50,"30 Nm",IF(D23*D24/1000000*Software!$E$43&lt;70,"40 Nm")))))))</f>
      </c>
      <c r="D330" s="164">
        <f>IF(E30&lt;&gt;"m","",IF(E25=40,"mini 13 Nm",IF(E25=60,IF(E23*E24/1000000*Software!$E$43&lt;15,"10 Nm",IF(E23*E24/1000000*Software!$E$43&lt;35,"20 Nm",IF(E23*E24/1000000*Software!$E$43&lt;50,"30 Nm",IF(E23*E24/1000000*Software!$E$43&lt;70,"40 Nm")))))))</f>
      </c>
      <c r="E330" s="164">
        <f>IF(F30&lt;&gt;"m","",IF(F25=40,"mini 13 Nm",IF(F25=60,IF(F23*F24/1000000*Software!$E$43&lt;15,"10 Nm",IF(F23*F24/1000000*Software!$E$43&lt;35,"20 Nm",IF(F23*F24/1000000*Software!$E$43&lt;50,"30 Nm",IF(F23*F24/1000000*Software!$E$43&lt;70,"40 Nm")))))))</f>
      </c>
      <c r="F330" s="165">
        <f>IF(G30&lt;&gt;"m","",IF(G25=40,"mini 13 Nm",IF(G25=60,IF(G23*G24/1000000*Software!$E$43&lt;15,"10 Nm",IF(G23*G24/1000000*Software!$E$43&lt;35,"20 Nm",IF(G23*G24/1000000*Software!$E$43&lt;50,"30 Nm",IF(G23*G24/1000000*Software!$E$43&lt;70,"40 Nm")))))))</f>
      </c>
    </row>
    <row r="331" spans="1:6" x14ac:dyDescent="0.25">
      <c r="A331" s="163" t="s">
        <v>134</v>
      </c>
      <c r="B331" s="164">
        <f>IF($C$30&lt;&gt;"m","",IF($C$25=40,"mini 13 Nm",IF($C$25=60,IF($C$23*$C$24/1000000*Software!$E$43&lt;8,"6 Nm",IF($C$23*$C$24/1000000*Software!$E$43&lt;15,"10 Nm",IF($C$23*$C$24/1000000*Software!$E$43&lt;20,"13 Nm",IF($C$23*$C$24/1000000*Software!$E$43&lt;35,"20 Nm",IF($C$23*$C$24/1000000*Software!$E$43&lt;50,"30 Nm"))))))))</f>
      </c>
      <c r="C331" s="164">
        <f>IF($D$30&lt;&gt;"m","",IF($D$25=40,"mini 13 Nm",IF($D$25=60,IF($D$23*$D$24/1000000*Software!$E$43&lt;8,"6 Nm",IF($D$23*$D$24/1000000*Software!$E$43&lt;15,"10 Nm",IF($D$23*$D$24/1000000*Software!$E$43&lt;20,"13 Nm",IF($D$23*$D$24/1000000*Software!$E$43&lt;35,"20 Nm",IF($D$23*$D$24/1000000*Software!$E$43&lt;50,"30 Nm"))))))))</f>
      </c>
      <c r="D331" s="164">
        <f>IF($E$30&lt;&gt;"m","",IF($E$25=40,"mini 13 Nm",IF($E$25=60,IF($E$23*$E$24/1000000*Software!$E$43&lt;8,"6 Nm",IF($E$23*$E$24/1000000*Software!$E$43&lt;15,"10 Nm",IF($E$23*$E$24/1000000*Software!$E$43&lt;20,"13 Nm",IF($E$23*$E$24/1000000*Software!$E$43&lt;35,"20 Nm",IF($E$23*$E$24/1000000*Software!$E$43&lt;50,"30 Nm"))))))))</f>
      </c>
      <c r="E331" s="164">
        <f>IF($F$30&lt;&gt;"m","",IF($F$25=40,"mini 13 Nm",IF($F$25=60,IF($F$23*$F$24/1000000*Software!$E$43&lt;8,"6 Nm",IF($F$23*$F$24/1000000*Software!$E$43&lt;15,"10 Nm",IF($F$23*$F$24/1000000*Software!$E$43&lt;20,"13 Nm",IF($F$23*$F$24/1000000*Software!$E$43&lt;35,"20 Nm",IF($F$23*$F$24/1000000*Software!$E$43&lt;50,"30 Nm"))))))))</f>
      </c>
      <c r="F331" s="165">
        <f>IF($G$30&lt;&gt;"m","",IF($G$25=40,"mini 13 Nm",IF($G$25=60,IF($G$23*$G$24/1000000*Software!$E$43&lt;8,"6 Nm",IF($G$23*$G$24/1000000*Software!$E$43&lt;15,"10 Nm",IF($G$23*$G$24/1000000*Software!$E$43&lt;20,"13 Nm",IF($G$23*$G$24/1000000*Software!$E$43&lt;35,"20 Nm",IF($G$23*$G$24/1000000*Software!$E$43&lt;50,"30 Nm"))))))))</f>
      </c>
    </row>
    <row r="332" spans="1:6" x14ac:dyDescent="0.25">
      <c r="A332" s="163" t="s">
        <v>135</v>
      </c>
      <c r="B332" s="164">
        <f>IF(C30&lt;&gt;"m","",IF(C25=40,"mini 13 Nm",IF(C25=60,IF(C23*C24/1000000*Software!$E$43&lt;15,"10 Nm",IF(C23*C24/1000000*Software!$E$43&lt;35,"20 Nm",IF(C23*C24/1000000*Software!$E$43&lt;50,"30 Nm",IF(C23*C24/1000000*Software!$E$43&lt;70,"40 Nm")))))))</f>
      </c>
      <c r="C332" s="164">
        <f>IF(D30&lt;&gt;"m","",IF(D25=40,"mini 13 Nm",IF(D25=60,IF(D23*D24/1000000*Software!$E$43&lt;15,"10 Nm",IF(D23*D24/1000000*Software!$E$43&lt;35,"20 Nm",IF(D23*D24/1000000*Software!$E$43&lt;50,"30 Nm",IF(D23*D24/1000000*Software!$E$43&lt;70,"40 Nm")))))))</f>
      </c>
      <c r="D332" s="164">
        <f>IF(E30&lt;&gt;"m","",IF(E25=40,"mini 13 Nm",IF(E25=60,IF(E23*E24/1000000*Software!$E$43&lt;15,"10 Nm",IF(E23*E24/1000000*Software!$E$43&lt;35,"20 Nm",IF(E23*E24/1000000*Software!$E$43&lt;50,"30 Nm",IF(E23*E24/1000000*Software!$E$43&lt;70,"40 Nm")))))))</f>
      </c>
      <c r="E332" s="164">
        <f>IF(F30&lt;&gt;"m","",IF(F25=40,"mini 13 Nm",IF(F25=60,IF(F23*F24/1000000*Software!$E$43&lt;15,"10 Nm",IF(F23*F24/1000000*Software!$E$43&lt;35,"20 Nm",IF(F23*F24/1000000*Software!$E$43&lt;50,"30 Nm",IF(F23*F24/1000000*Software!$E$43&lt;70,"40 Nm")))))))</f>
      </c>
      <c r="F332" s="165">
        <f>IF(G30&lt;&gt;"m","",IF(G25=40,"mini 13 Nm",IF(G25=60,IF(G23*G24/1000000*Software!$E$43&lt;15,"10 Nm",IF(G23*G24/1000000*Software!$E$43&lt;35,"20 Nm",IF(G23*G24/1000000*Software!$E$43&lt;50,"30 Nm",IF(G23*G24/1000000*Software!$E$43&lt;70,"40 Nm")))))))</f>
      </c>
    </row>
    <row r="333" spans="1:6" x14ac:dyDescent="0.25">
      <c r="A333" s="163" t="s">
        <v>136</v>
      </c>
      <c r="B333" s="164">
        <f>IF($C$30&lt;&gt;"m","",IF($C$25=40,"mini 13 Nm",IF($C$25=60,IF($C$23*$C$24/1000000*Software!$E$43&lt;8,"6 Nm",IF($C$23*$C$24/1000000*Software!$E$43&lt;15,"10 Nm",IF($C$23*$C$24/1000000*Software!$E$43&lt;25,"20 Nm",IF($C$23*$C$24/1000000*Software!$E$43&lt;35,"20 Nm",IF($C$23*$C$24/1000000*Software!$E$43&lt;50,"30 Nm"))))))))</f>
      </c>
      <c r="C333" s="164">
        <f>IF($D$30&lt;&gt;"m","",IF($D$25=40,"mini 13 Nm",IF($D$25=60,IF($D$23*$D$24/1000000*Software!$E$43&lt;8,"6 Nm",IF($D$23*$D$24/1000000*Software!$E$43&lt;15,"10 Nm",IF($D$23*$D$24/1000000*Software!$E$43&lt;25,"20 Nm",IF($D$23*$D$24/1000000*Software!$E$43&lt;35,"20 Nm",IF($D$23*$D$24/1000000*Software!$E$43&lt;50,"30 Nm"))))))))</f>
      </c>
      <c r="D333" s="164">
        <f>IF($E$30&lt;&gt;"m","",IF($E$25=40,"mini 13 Nm",IF($E$25=60,IF($E$23*$E$24/1000000*Software!$E$43&lt;8,"6 Nm",IF($E$23*$E$24/1000000*Software!$E$43&lt;15,"10 Nm",IF($E$23*$E$24/1000000*Software!$E$43&lt;25,"20 Nm",IF($E$23*$E$24/1000000*Software!$E$43&lt;35,"20 Nm",IF($E$23*$E$24/1000000*Software!$E$43&lt;50,"30 Nm"))))))))</f>
      </c>
      <c r="E333" s="164">
        <f>IF($F$30&lt;&gt;"m","",IF($F$25=40,"mini 13 Nm",IF($F$25=60,IF($F$23*$F$24/1000000*Software!$E$43&lt;8,"6 Nm",IF($F$23*$F$24/1000000*Software!$E$43&lt;15,"10 Nm",IF($F$23*$F$24/1000000*Software!$E$43&lt;25,"20 Nm",IF($F$23*$F$24/1000000*Software!$E$43&lt;35,"20 Nm",IF($F$23*$F$24/1000000*Software!$E$43&lt;50,"30 Nm"))))))))</f>
      </c>
      <c r="F333" s="165">
        <f>IF($G$30&lt;&gt;"m","",IF($G$25=40,"mini 13 Nm",IF($G$25=60,IF($G$23*$G$24/1000000*Software!$E$43&lt;8,"6 Nm",IF($G$23*$G$24/1000000*Software!$E$43&lt;15,"10 Nm",IF($G$23*$G$24/1000000*Software!$E$43&lt;25,"20 Nm",IF($G$23*$G$24/1000000*Software!$E$43&lt;35,"20 Nm",IF($G$23*$G$24/1000000*Software!$E$43&lt;50,"30 Nm"))))))))</f>
      </c>
    </row>
    <row r="334" spans="1:10" x14ac:dyDescent="0.25">
      <c r="A334" s="163" t="s">
        <v>137</v>
      </c>
      <c r="B334" s="164">
        <f>IF($C$30&lt;&gt;"m","",IF($C$25=60,IF($C$23*$C$24/1000000*Software!$E$43&lt;15,"10 Nm",IF($C$23*$C$24/1000000*Software!$E$43&lt;25,"15 Nm",IF($C$23*$C$24/1000000*Software!$E$43&lt;35,"20 Nm",IF($C$23*$C$24/1000000*Software!$E$43&gt;35,"Te Groot"))))))</f>
      </c>
      <c r="C334" s="164">
        <f>IF($D$30&lt;&gt;"m","",IF($D$25=60,IF($D$23*$D$24/1000000*Software!$E$43&lt;15,"10 Nm",IF($D$23*$D$24/1000000*Software!$E$43&lt;25,"15 Nm",IF($D$23*$D$24/1000000*Software!$E$43&lt;35,"20 Nm",IF($D$23*$D$24/1000000*Software!$E$43&gt;35,"Te Groot"))))))</f>
      </c>
      <c r="D334" s="164">
        <f>IF($E$30&lt;&gt;"m","",IF($E$25=60,IF($E$23*$E$24/1000000*Software!$E$43&lt;15,"10 Nm",IF($E$23*$E$24/1000000*Software!$E$43&lt;25,"15 Nm",IF($E$23*$E$24/1000000*Software!$E$43&lt;35,"20 Nm",IF($E$23*$E$24/1000000*Software!$E$43&gt;35,"Te Groot"))))))</f>
      </c>
      <c r="E334" s="164">
        <f>IF($F$30&lt;&gt;"m","",IF($F$25=60,IF($F$23*$F$24/1000000*Software!$E$43&lt;15,"10 Nm",IF($F$23*$F$24/1000000*Software!$E$43&lt;25,"15 Nm",IF($F$23*$F$24/1000000*Software!$E$43&lt;35,"20 Nm",IF($F$23*$F$24/1000000*Software!$E$43&gt;35,"Te Groot"))))))</f>
      </c>
      <c r="F334" s="165">
        <f>IF($G$30&lt;&gt;"m","",IF($G$25=60,IF($G$23*$G$24/1000000*Software!$E$43&lt;15,"10 Nm",IF($G$23*$G$24/1000000*Software!$E$43&lt;25,"15 Nm",IF($G$23*$G$24/1000000*Software!$E$43&lt;35,"20 Nm",IF($G$23*$G$24/1000000*Software!$E$43&gt;35,"Te Groot"))))))</f>
      </c>
      <c r="G334" s="252" t="s">
        <v>138</v>
      </c>
      <c r="H334" s="252"/>
      <c r="I334" s="252"/>
      <c r="J334" s="253"/>
    </row>
    <row r="335" spans="1:6" x14ac:dyDescent="0.25">
      <c r="A335" s="163" t="s">
        <v>139</v>
      </c>
      <c r="B335" s="164">
        <f>IF(C30&lt;&gt;"m","",IF(C25=40,"mini 13 Nm",IF(C25=60,IF(C23*C24/1000000*Software!$E$43&lt;8,"6 Nm",IF(C23*C24/1000000*Software!$E$43&lt;15,"10 Nm",IF(C23*C24/1000000*Software!$E$43&lt;25,"15 Nm",IF(C23*C24/1000000*Software!$E$43&lt;35,"20 Nm",IF(C23*C24/1000000*Software!$E$43&lt;50,"30 Nm"))))))))</f>
      </c>
      <c r="C335" s="164">
        <f>IF(D30&lt;&gt;"m","",IF(D25=40,"mini 13 Nm",IF(D25=60,IF(D23*D24/1000000*Software!$E$43&lt;8,"6 Nm",IF(D23*D24/1000000*Software!$E$43&lt;15,"10 Nm",IF(D23*D24/1000000*Software!$E$43&lt;25,"15 Nm",IF(D23*D24/1000000*Software!$E$43&lt;35,"20 Nm",IF(D23*D24/1000000*Software!$E$43&lt;50,"30 Nm"))))))))</f>
      </c>
      <c r="D335" s="164">
        <f>IF(E30&lt;&gt;"m","",IF(E25=40,"mini 13 Nm",IF(E25=60,IF(E23*E24/1000000*Software!$E$43&lt;8,"6 Nm",IF(E23*E24/1000000*Software!$E$43&lt;15,"10 Nm",IF(E23*E24/1000000*Software!$E$43&lt;25,"15 Nm",IF(E23*E24/1000000*Software!$E$43&lt;35,"20 Nm",IF(E23*E24/1000000*Software!$E$43&lt;50,"30 Nm"))))))))</f>
      </c>
      <c r="E335" s="164">
        <f>IF(F30&lt;&gt;"m","",IF(F25=40,"mini 13 Nm",IF(F25=60,IF(F23*F24/1000000*Software!$E$43&lt;8,"6 Nm",IF(F23*F24/1000000*Software!$E$43&lt;15,"10 Nm",IF(F23*F24/1000000*Software!$E$43&lt;25,"15 Nm",IF(F23*F24/1000000*Software!$E$43&lt;35,"20 Nm",IF(F23*F24/1000000*Software!$E$43&lt;50,"30 Nm"))))))))</f>
      </c>
      <c r="F335" s="165">
        <f>IF(G30&lt;&gt;"m","",IF(G25=40,"mini 13 Nm",IF(G25=60,IF(G23*G24/1000000*Software!$E$43&lt;8,"6 Nm",IF(G23*G24/1000000*Software!$E$43&lt;15,"10 Nm",IF(G23*G24/1000000*Software!$E$43&lt;25,"15 Nm",IF(G23*G24/1000000*Software!$E$43&lt;35,"20 Nm",IF(G23*G24/1000000*Software!$E$43&lt;50,"30 Nm"))))))))</f>
      </c>
    </row>
    <row r="336" spans="1:6" x14ac:dyDescent="0.25">
      <c r="A336" s="163" t="s">
        <v>140</v>
      </c>
      <c r="B336" s="164">
        <f>IF(C30&lt;&gt;"m","",IF(C25=40,"mini 13 Nm",IF(C25=60,IF(C23*C24/1000000*Software!$E$43&lt;15,"10 Nm",IF(C23*C24/1000000*Software!$E$43&lt;35,"20 Nm",IF(C23*C24/1000000*Software!$E$43&lt;50,"30 Nm",IF(C23*C24/1000000*Software!$E$43&lt;70,"40 Nm")))))))</f>
      </c>
      <c r="C336" s="164">
        <f>IF(D30&lt;&gt;"m","",IF(D25=40,"mini 13 Nm",IF(D25=60,IF(D23*D24/1000000*Software!$E$43&lt;15,"10 Nm",IF(D23*D24/1000000*Software!$E$43&lt;35,"20 Nm",IF(D23*D24/1000000*Software!$E$43&lt;50,"30 Nm",IF(D23*D24/1000000*Software!$E$43&lt;70,"40 Nm")))))))</f>
      </c>
      <c r="D336" s="164">
        <f>IF(E30&lt;&gt;"m","",IF(E25=40,"mini 13 Nm",IF(E25=60,IF(E23*E24/1000000*Software!$E$43&lt;15,"10 Nm",IF(E23*E24/1000000*Software!$E$43&lt;35,"20 Nm",IF(E23*E24/1000000*Software!$E$43&lt;50,"30 Nm",IF(E23*E24/1000000*Software!$E$43&lt;70,"40 Nm")))))))</f>
      </c>
      <c r="E336" s="164">
        <f>IF(F30&lt;&gt;"m","",IF(F25=40,"mini 13 Nm",IF(F25=60,IF(F23*F24/1000000*Software!$E$43&lt;15,"10 Nm",IF(F23*F24/1000000*Software!$E$43&lt;35,"20 Nm",IF(F23*F24/1000000*Software!$E$43&lt;50,"30 Nm",IF(F23*F24/1000000*Software!$E$43&lt;70,"40 Nm")))))))</f>
      </c>
      <c r="F336" s="165">
        <f>IF(G30&lt;&gt;"m","",IF(G25=40,"mini 13 Nm",IF(G25=60,IF(G23*G24/1000000*Software!$E$43&lt;15,"10 Nm",IF(G23*G24/1000000*Software!$E$43&lt;35,"20 Nm",IF(G23*G24/1000000*Software!$E$43&lt;50,"30 Nm",IF(G23*G24/1000000*Software!$E$43&lt;70,"40 Nm")))))))</f>
      </c>
    </row>
    <row r="337" ht="13.5" customHeight="1" spans="1:6" x14ac:dyDescent="0.25">
      <c r="A337" s="179" t="s">
        <v>141</v>
      </c>
      <c r="B337" s="164">
        <f>IF(C30&lt;&gt;"m","",IF(C25=40,"mini 13 Nm",IF(C25=60,IF(C23*C24/1000000*Software!$E$43&lt;15,"10 Nm",IF(C23*C24/1000000*Software!$E$43&lt;35,"20 Nm",IF(C23*C24/1000000*Software!$E$43&lt;50,"30 Nm",IF(C23*C24/1000000*Software!$E$43&lt;70,"40 Nm")))))))</f>
      </c>
      <c r="C337" s="164">
        <f>IF(D30&lt;&gt;"m","",IF(D25=40,"mini 13 Nm",IF(D25=60,IF(D23*D24/1000000*Software!$E$43&lt;15,"10 Nm",IF(D23*D24/1000000*Software!$E$43&lt;35,"20 Nm",IF(D23*D24/1000000*Software!$E$43&lt;50,"30 Nm",IF(D23*D24/1000000*Software!$E$43&lt;70,"40 Nm")))))))</f>
      </c>
      <c r="D337" s="164">
        <f>IF(E30&lt;&gt;"m","",IF(E25=40,"mini 13 Nm",IF(E25=60,IF(E23*E24/1000000*Software!$E$43&lt;15,"10 Nm",IF(E23*E24/1000000*Software!$E$43&lt;35,"20 Nm",IF(E23*E24/1000000*Software!$E$43&lt;50,"30 Nm",IF(E23*E24/1000000*Software!$E$43&lt;70,"40 Nm")))))))</f>
      </c>
      <c r="E337" s="164">
        <f>IF(F30&lt;&gt;"m","",IF(F25=40,"mini 13 Nm",IF(F25=60,IF(F23*F24/1000000*Software!$E$43&lt;15,"10 Nm",IF(F23*F24/1000000*Software!$E$43&lt;35,"20 Nm",IF(F23*F24/1000000*Software!$E$43&lt;50,"30 Nm",IF(F23*F24/1000000*Software!$E$43&lt;70,"40 Nm")))))))</f>
      </c>
      <c r="F337" s="165">
        <f>IF(G30&lt;&gt;"m","",IF(G25=40,"mini 13 Nm",IF(G25=60,IF(G23*G24/1000000*Software!$E$43&lt;15,"10 Nm",IF(G23*G24/1000000*Software!$E$43&lt;35,"20 Nm",IF(G23*G24/1000000*Software!$E$43&lt;50,"30 Nm",IF(G23*G24/1000000*Software!$E$43&lt;70,"40 Nm")))))))</f>
      </c>
    </row>
    <row r="338" ht="13.5" customHeight="1" spans="1:6" x14ac:dyDescent="0.25">
      <c r="A338" s="170"/>
      <c r="B338" s="171"/>
      <c r="C338" s="171"/>
      <c r="D338" s="171"/>
      <c r="E338" s="171"/>
      <c r="F338" s="172"/>
    </row>
    <row r="339" spans="1:6" x14ac:dyDescent="0.25">
      <c r="A339" s="199" t="s">
        <v>143</v>
      </c>
      <c r="B339" s="200"/>
      <c r="C339" s="200"/>
      <c r="D339" s="200"/>
      <c r="E339" s="200"/>
      <c r="F339" s="250"/>
    </row>
    <row r="340" spans="1:8" x14ac:dyDescent="0.25">
      <c r="A340" s="251"/>
      <c r="B340" s="192" t="s">
        <v>31</v>
      </c>
      <c r="C340" s="192" t="s">
        <v>32</v>
      </c>
      <c r="D340" s="192" t="s">
        <v>33</v>
      </c>
      <c r="E340" s="192" t="s">
        <v>34</v>
      </c>
      <c r="F340" s="193" t="s">
        <v>35</v>
      </c>
      <c r="H340" s="2"/>
    </row>
    <row r="341" spans="1:9" x14ac:dyDescent="0.25">
      <c r="A341" s="163" t="s">
        <v>133</v>
      </c>
      <c r="B341" s="164">
        <f>IF(C30&lt;&gt;"m","",IF(C25=40,"mini 13 Nm",IF(C25=60,IF(C23*C24/1000000*Software!$E$86&lt;15,"10 Nm",IF(C23*C24/1000000*Software!$E$86&lt;35,"20 Nm",IF(C23*C24/1000000*Software!$E$86&lt;50,"30 Nm",IF(C23*C24/1000000*Software!$E$86&lt;70,"40 Nm")))))))</f>
      </c>
      <c r="C341" s="164">
        <f>IF(D30&lt;&gt;"m","",IF(D25=40,"mini 13 Nm",IF(D25=60,IF(D23*D24/1000000*Software!$E$86&lt;15,"10 Nm",IF(D23*D24/1000000*Software!$E$86&lt;35,"20 Nm",IF(D23*D24/1000000*Software!$E$86&lt;50,"30 Nm",IF(D23*D24/1000000*Software!$E$86&lt;70,"40 Nm")))))))</f>
      </c>
      <c r="D341" s="164">
        <f>IF(E30&lt;&gt;"m","",IF(E25=40,"mini 13 Nm",IF(E25=60,IF(E23*E24/1000000*Software!$E$86&lt;15,"10 Nm",IF(E23*E24/1000000*Software!$E$86&lt;35,"20 Nm",IF(E23*E24/1000000*Software!$E$86&lt;50,"30 Nm",IF(E23*E24/1000000*Software!$E$86&lt;70,"40 Nm")))))))</f>
      </c>
      <c r="E341" s="164">
        <f>IF(F30&lt;&gt;"m","",IF(F25=40,"mini 13 Nm",IF(F25=60,IF(F23*F24/1000000*Software!$E$86&lt;15,"10 Nm",IF(F23*F24/1000000*Software!$E$86&lt;35,"20 Nm",IF(F23*F24/1000000*Software!$E$86&lt;50,"30 Nm",IF(F23*F24/1000000*Software!$E$86&lt;70,"40 Nm")))))))</f>
      </c>
      <c r="F341" s="165">
        <f>IF(G30&lt;&gt;"m","",IF(G25=40,"mini 13 Nm",IF(G25=60,IF(G23*G24/1000000*Software!$E$86&lt;15,"10 Nm",IF(G23*G24/1000000*Software!$E$86&lt;35,"20 Nm",IF(G23*G24/1000000*Software!$E$86&lt;50,"30 Nm",IF(G23*G24/1000000*Software!$E$86&lt;70,"40 Nm")))))))</f>
      </c>
      <c r="H341" s="2"/>
      <c r="I341" s="2"/>
    </row>
    <row r="342" spans="1:9" x14ac:dyDescent="0.25">
      <c r="A342" s="163" t="s">
        <v>134</v>
      </c>
      <c r="B342" s="176">
        <f>IF($C$30&lt;&gt;"m","",IF($C$25=40,"mini 13 Nm",IF($C$25=60,IF($C$23*$C$24/1000000*Software!$E$86&lt;8,"6 Nm",IF($C$23*$C$24/1000000*Software!$E$86&lt;15,"10 Nm",IF($C$23*$C$24/1000000*Software!$E$86&lt;20,"13 Nm",IF($C$23*$C$24/1000000*Software!$E$86&lt;35,"20 Nm",IF($C$23*$C$24/1000000*Software!$E$86&lt;50,"30 Nm"))))))))</f>
      </c>
      <c r="C342" s="176">
        <f>IF($D$30&lt;&gt;"m","",IF($D$25=40,"mini 13 Nm",IF($D$25=60,IF($D$23*$D$24/1000000*Software!$E$86&lt;8,"6 Nm",IF($D$23*$D$24/1000000*Software!$E$86&lt;15,"10 Nm",IF($D$23*$D$24/1000000*Software!$E$86&lt;20,"13 Nm",IF($D$23*$D$24/1000000*Software!$E$86&lt;35,"20 Nm",IF($D$23*$D$24/1000000*Software!$E$86&lt;50,"30 Nm"))))))))</f>
      </c>
      <c r="D342" s="176">
        <f>IF($E$30&lt;&gt;"m","",IF($E$25=40,"mini 13 Nm",IF($E$25=60,IF($E$23*$E$24/1000000*Software!$E$86&lt;8,"6 Nm",IF($E$23*$E$24/1000000*Software!$E$86&lt;15,"10 Nm",IF($E$23*$E$24/1000000*Software!$E$86&lt;20,"13 Nm",IF($E$23*$E$24/1000000*Software!$E$86&lt;35,"20 Nm",IF($E$23*$E$24/1000000*Software!$E$86&lt;50,"30 Nm"))))))))</f>
      </c>
      <c r="E342" s="176">
        <f>IF($F$30&lt;&gt;"m","",IF($F$25=40,"mini 13 Nm",IF($F$25=60,IF($F$23*$F$24/1000000*Software!$E$86&lt;8,"6 Nm",IF($F$23*$F$24/1000000*Software!$E$86&lt;15,"10 Nm",IF($F$23*$F$24/1000000*Software!$E$86&lt;20,"13 Nm",IF($F$23*$F$24/1000000*Software!$E$86&lt;35,"20 Nm",IF($F$23*$F$24/1000000*Software!$E$86&lt;50,"30 Nm"))))))))</f>
      </c>
      <c r="F342" s="177">
        <f>IF($G$30&lt;&gt;"m","",IF($G$25=40,"mini 13 Nm",IF($G$25=60,IF($G$23*$G$24/1000000*Software!$E$86&lt;8,"6 Nm",IF($G$23*$G$24/1000000*Software!$E$86&lt;15,"10 Nm",IF($G$23*$G$24/1000000*Software!$E$86&lt;20,"13 Nm",IF($G$23*$G$24/1000000*Software!$E$86&lt;35,"20 Nm",IF($G$23*$G$24/1000000*Software!$E$86&lt;50,"30 Nm"))))))))</f>
      </c>
      <c r="H342" s="2"/>
      <c r="I342" s="2"/>
    </row>
    <row r="343" spans="1:6" x14ac:dyDescent="0.25">
      <c r="A343" s="163" t="s">
        <v>135</v>
      </c>
      <c r="B343" s="176">
        <f>IF(C30&lt;&gt;"m","",IF(C25=40,"mini 13 Nm",IF(C25=60,IF(C23*C24/1000000*Software!$E$86&lt;15,"10 Nm",IF(C23*C24/1000000*Software!$E$86&lt;35,"20 Nm",IF(C23*C24/1000000*Software!$E$86&lt;50,"30 Nm",IF(C23*C24/1000000*Software!$E$86&lt;70,"40 Nm")))))))</f>
      </c>
      <c r="C343" s="176">
        <f>IF(D30&lt;&gt;"m","",IF(D25=40,"mini 13 Nm",IF(D25=60,IF(D23*D24/1000000*Software!$E$86&lt;15,"10 Nm",IF(D23*D24/1000000*Software!$E$86&lt;35,"20 Nm",IF(D23*D24/1000000*Software!$E$86&lt;50,"30 Nm",IF(D23*D24/1000000*Software!$E$86&lt;70,"40 Nm")))))))</f>
      </c>
      <c r="D343" s="176">
        <f>IF(E30&lt;&gt;"m","",IF(E25=40,"mini 13 Nm",IF(E25=60,IF(E23*E24/1000000*Software!$E$86&lt;15,"10 Nm",IF(E23*E24/1000000*Software!$E$86&lt;35,"20 Nm",IF(E23*E24/1000000*Software!$E$86&lt;50,"30 Nm",IF(E23*E24/1000000*Software!$E$86&lt;70,"40 Nm")))))))</f>
      </c>
      <c r="E343" s="176">
        <f>IF(F30&lt;&gt;"m","",IF(F25=40,"mini 13 Nm",IF(F25=60,IF(F23*F24/1000000*Software!$E$86&lt;15,"10 Nm",IF(F23*F24/1000000*Software!$E$86&lt;35,"20 Nm",IF(F23*F24/1000000*Software!$E$86&lt;50,"30 Nm",IF(F23*F24/1000000*Software!$E$86&lt;70,"40 Nm")))))))</f>
      </c>
      <c r="F343" s="177">
        <f>IF(G30&lt;&gt;"m","",IF(G25=40,"mini 13 Nm",IF(G25=60,IF(G23*G24/1000000*Software!$E$86&lt;15,"10 Nm",IF(G23*G24/1000000*Software!$E$86&lt;35,"20 Nm",IF(G23*G24/1000000*Software!$E$86&lt;50,"30 Nm",IF(G23*G24/1000000*Software!$E$86&lt;70,"40 Nm")))))))</f>
      </c>
    </row>
    <row r="344" spans="1:6" x14ac:dyDescent="0.25">
      <c r="A344" s="163" t="s">
        <v>136</v>
      </c>
      <c r="B344" s="176">
        <f>IF($C$30&lt;&gt;"m","",IF($C$25=40,"mini 13 Nm",IF($C$25=60,IF($C$23*$C$24/1000000*Software!$E$86&lt;8,"6 Nm",IF($C$23*$C$24/1000000*Software!$E$86&lt;15,"10 Nm",IF($C$23*$C$24/1000000*Software!$E$86&lt;25,"20 Nm",IF($C$23*$C$24/1000000*Software!$E$86&lt;35,"20 Nm",IF($C$23*$C$24/1000000*Software!$E$86&lt;50,"30 Nm"))))))))</f>
      </c>
      <c r="C344" s="176">
        <f>IF($D$30&lt;&gt;"m","",IF($D$25=40,"mini 13 Nm",IF($D$25=60,IF($D$23*$D$24/1000000*Software!$E$86&lt;8,"6 Nm",IF($D$23*$D$24/1000000*Software!$E$86&lt;15,"10 Nm",IF($D$23*$D$24/1000000*Software!$E$86&lt;25,"20 Nm",IF($D$23*$D$24/1000000*Software!$E$86&lt;35,"20 Nm",IF($D$23*$D$24/1000000*Software!$E$86&lt;50,"30 Nm"))))))))</f>
      </c>
      <c r="D344" s="176">
        <f>IF($E$30&lt;&gt;"m","",IF($E$25=40,"mini 13 Nm",IF($E$25=60,IF($E$23*$E$24/1000000*Software!$E$86&lt;8,"6 Nm",IF($E$23*$E$24/1000000*Software!$E$86&lt;15,"10 Nm",IF($E$23*$E$24/1000000*Software!$E$86&lt;25,"20 Nm",IF($E$23*$E$24/1000000*Software!$E$86&lt;35,"20 Nm",IF($E$23*$E$24/1000000*Software!$E$86&lt;50,"30 Nm"))))))))</f>
      </c>
      <c r="E344" s="176">
        <f>IF($F$30&lt;&gt;"m","",IF($F$25=40,"mini 13 Nm",IF($F$25=60,IF($F$23*$F$24/1000000*Software!$E$86&lt;8,"6 Nm",IF($F$23*$F$24/1000000*Software!$E$86&lt;15,"10 Nm",IF($F$23*$F$24/1000000*Software!$E$86&lt;25,"20 Nm",IF($F$23*$F$24/1000000*Software!$E$86&lt;35,"20 Nm",IF($F$23*$F$24/1000000*Software!$E$86&lt;50,"30 Nm"))))))))</f>
      </c>
      <c r="F344" s="177">
        <f>IF($G$30&lt;&gt;"m","",IF($G$25=40,"mini 13 Nm",IF($G$25=60,IF($G$23*$G$24/1000000*Software!$E$86&lt;8,"6 Nm",IF($G$23*$G$24/1000000*Software!$E$86&lt;15,"10 Nm",IF($G$23*$G$24/1000000*Software!$E$86&lt;25,"20 Nm",IF($G$23*$G$24/1000000*Software!$E$86&lt;35,"20 Nm",IF($G$23*$G$24/1000000*Software!$E$86&lt;50,"30 Nm"))))))))</f>
      </c>
    </row>
    <row r="345" spans="1:10" x14ac:dyDescent="0.25">
      <c r="A345" s="163" t="s">
        <v>137</v>
      </c>
      <c r="B345" s="164">
        <f>IF($C$30&lt;&gt;"m","",IF($C$25=60,IF($C$23*$C$24/1000000*Software!$E$86&lt;15,"10 Nm",IF($C$23*$C$24/1000000*Software!$E$86&lt;25,"15 Nm",IF($C$23*$C$24/1000000*Software!$E$86&lt;35,"20 Nm",IF($C$23*$C$24/1000000*Software!$E$86&gt;35,"Te Groot"))))))</f>
      </c>
      <c r="C345" s="164">
        <f>IF($D$30&lt;&gt;"m","",IF($D$25=60,IF($D$23*$D$24/1000000*Software!$E$86&lt;15,"10 Nm",IF($D$23*$D$24/1000000*Software!$E$86&lt;25,"15 Nm",IF($D$23*$D$24/1000000*Software!$E$86&lt;35,"20 Nm",IF($D$23*$D$24/1000000*Software!$E$86&gt;35,"Te Groot"))))))</f>
      </c>
      <c r="D345" s="164">
        <f>IF($E$30&lt;&gt;"m","",IF($E$25=60,IF($E$23*$E$24/1000000*Software!$E$86&lt;15,"10 Nm",IF($E$23*$E$24/1000000*Software!$E$86&lt;25,"15 Nm",IF($E$23*$E$24/1000000*Software!$E$86&lt;35,"20 Nm",IF($E$23*$E$24/1000000*Software!$E$86&gt;35,"Te Groot"))))))</f>
      </c>
      <c r="E345" s="164">
        <f>IF($F$30&lt;&gt;"m","",IF($F$25=60,IF($F$23*$F$24/1000000*Software!$E$86&lt;15,"10 Nm",IF($F$23*$F$24/1000000*Software!$E$86&lt;25,"15 Nm",IF($F$23*$F$24/1000000*Software!$E$86&lt;35,"20 Nm",IF($F$23*$F$24/1000000*Software!$E$86&gt;35,"Te Groot"))))))</f>
      </c>
      <c r="F345" s="165">
        <f>IF($G$30&lt;&gt;"m","",IF($G$25=60,IF($G$23*$G$24/1000000*Software!$E$86&lt;15,"10 Nm",IF($G$23*$G$24/1000000*Software!$E$86&lt;25,"15 Nm",IF($G$23*$G$24/1000000*Software!$E$86&lt;35,"20 Nm",IF($G$23*$G$24/1000000*Software!$E$86&gt;35,"Te Groot"))))))</f>
      </c>
      <c r="G345" s="252" t="s">
        <v>138</v>
      </c>
      <c r="H345" s="252"/>
      <c r="I345" s="252"/>
      <c r="J345" s="253"/>
    </row>
    <row r="346" spans="1:6" x14ac:dyDescent="0.25">
      <c r="A346" s="163" t="s">
        <v>139</v>
      </c>
      <c r="B346" s="176">
        <f>IF(C30&lt;&gt;"m","",IF(C25=40,"mini 13 Nm",IF(C25=60,IF(C23*C24/1000000*Software!$E$86&lt;8,"6 Nm",IF(C23*C24/1000000*Software!$E$86&lt;15,"10 Nm",IF(C23*C24/1000000*Software!$E$86&lt;25,"15 Nm",IF(C23*C24/1000000*Software!$E$86&lt;35,"20 Nm",IF(C23*C24/1000000*Software!$E$86&lt;50,"30 Nm"))))))))</f>
      </c>
      <c r="C346" s="176">
        <f>IF(D30&lt;&gt;"m","",IF(D25=40,"mini 13 Nm",IF(D25=60,IF(D23*D24/1000000*Software!$E$86&lt;8,"6 Nm",IF(D23*D24/1000000*Software!$E$86&lt;15,"10 Nm",IF(D23*D24/1000000*Software!$E$86&lt;25,"15 Nm",IF(D23*D24/1000000*Software!$E$86&lt;35,"20 Nm",IF(D23*D24/1000000*Software!$E$86&lt;50,"30 Nm"))))))))</f>
      </c>
      <c r="D346" s="176">
        <f>IF(E30&lt;&gt;"m","",IF(E25=40,"mini 13 Nm",IF(E25=60,IF(E23*E24/1000000*Software!$E$86&lt;8,"6 Nm",IF(E23*E24/1000000*Software!$E$86&lt;15,"10 Nm",IF(E23*E24/1000000*Software!$E$86&lt;25,"15 Nm",IF(E23*E24/1000000*Software!$E$86&lt;35,"20 Nm",IF(E23*E24/1000000*Software!$E$86&lt;50,"30 Nm"))))))))</f>
      </c>
      <c r="E346" s="176">
        <f>IF(F30&lt;&gt;"m","",IF(F25=40,"mini 13 Nm",IF(F25=60,IF(F23*F24/1000000*Software!$E$86&lt;8,"6 Nm",IF(F23*F24/1000000*Software!$E$86&lt;15,"10 Nm",IF(F23*F24/1000000*Software!$E$86&lt;25,"15 Nm",IF(F23*F24/1000000*Software!$E$86&lt;35,"20 Nm",IF(F23*F24/1000000*Software!$E$86&lt;50,"30 Nm"))))))))</f>
      </c>
      <c r="F346" s="177">
        <f>IF(G30&lt;&gt;"m","",IF(G25=40,"mini 13 Nm",IF(G25=60,IF(G23*G24/1000000*Software!$E$86&lt;8,"6 Nm",IF(G23*G24/1000000*Software!$E$86&lt;15,"10 Nm",IF(G23*G24/1000000*Software!$E$86&lt;25,"15 Nm",IF(G23*G24/1000000*Software!$E$86&lt;35,"20 Nm",IF(G23*G24/1000000*Software!$E$86&lt;50,"30 Nm"))))))))</f>
      </c>
    </row>
    <row r="347" spans="1:6" x14ac:dyDescent="0.25">
      <c r="A347" s="163" t="s">
        <v>140</v>
      </c>
      <c r="B347" s="176">
        <f>IF(C30&lt;&gt;"m","",IF(C25=40,"mini 13 Nm",IF(C25=60,IF(C23*C24/1000000*Software!$E$86&lt;15,"10 Nm",IF(C23*C24/1000000*Software!$E$86&lt;35,"20 Nm",IF(C23*C24/1000000*Software!$E$86&lt;50,"30 Nm",IF(C23*C24/1000000*Software!$E$86&lt;70,"40 Nm")))))))</f>
      </c>
      <c r="C347" s="176">
        <f>IF(D30&lt;&gt;"m","",IF(D25=40,"mini 13 Nm",IF(D25=60,IF(D23*D24/1000000*Software!$E$86&lt;15,"10 Nm",IF(D23*D24/1000000*Software!$E$86&lt;35,"20 Nm",IF(D23*D24/1000000*Software!$E$86&lt;50,"30 Nm",IF(D23*D24/1000000*Software!$E$86&lt;70,"40 Nm")))))))</f>
      </c>
      <c r="D347" s="176">
        <f>IF(E30&lt;&gt;"m","",IF(E25=40,"mini 13 Nm",IF(E25=60,IF(E23*E24/1000000*Software!$E$86&lt;15,"10 Nm",IF(E23*E24/1000000*Software!$E$86&lt;35,"20 Nm",IF(E23*E24/1000000*Software!$E$86&lt;50,"30 Nm",IF(E23*E24/1000000*Software!$E$86&lt;70,"40 Nm")))))))</f>
      </c>
      <c r="E347" s="176">
        <f>IF(F30&lt;&gt;"m","",IF(F25=40,"mini 13 Nm",IF(F25=60,IF(F23*F24/1000000*Software!$E$86&lt;15,"10 Nm",IF(F23*F24/1000000*Software!$E$86&lt;35,"20 Nm",IF(F23*F24/1000000*Software!$E$86&lt;50,"30 Nm",IF(F23*F24/1000000*Software!$E$86&lt;70,"40 Nm")))))))</f>
      </c>
      <c r="F347" s="177">
        <f>IF(G30&lt;&gt;"m","",IF(G25=40,"mini 13 Nm",IF(G25=60,IF(G23*G24/1000000*Software!$E$86&lt;15,"10 Nm",IF(G23*G24/1000000*Software!$E$86&lt;35,"20 Nm",IF(G23*G24/1000000*Software!$E$86&lt;50,"30 Nm",IF(G23*G24/1000000*Software!$E$86&lt;70,"40 Nm")))))))</f>
      </c>
    </row>
    <row r="348" ht="13.5" customHeight="1" spans="1:6" x14ac:dyDescent="0.25">
      <c r="A348" s="179" t="s">
        <v>141</v>
      </c>
      <c r="B348" s="180">
        <f>IF(C30&lt;&gt;"m","",IF(C25=40,"mini 13 Nm",IF(C25=60,IF(C23*C24/1000000*Software!$E$86&lt;15,"10 Nm",IF(C23*C24/1000000*Software!$E$86&lt;35,"20 Nm",IF(C23*C24/1000000*Software!$E$86&lt;50,"30 Nm",IF(C23*C24/1000000*Software!$E$86&lt;70,"40 Nm")))))))</f>
      </c>
      <c r="C348" s="180">
        <f>IF(D30&lt;&gt;"m","",IF(D25=40,"mini 13 Nm",IF(D25=60,IF(D23*D24/1000000*Software!$E$86&lt;15,"10 Nm",IF(D23*D24/1000000*Software!$E$86&lt;35,"20 Nm",IF(D23*D24/1000000*Software!$E$86&lt;50,"30 Nm",IF(D23*D24/1000000*Software!$E$86&lt;70,"40 Nm")))))))</f>
      </c>
      <c r="D348" s="180">
        <f>IF(E30&lt;&gt;"m","",IF(E25=40,"mini 13 Nm",IF(E25=60,IF(E23*E24/1000000*Software!$E$86&lt;15,"10 Nm",IF(E23*E24/1000000*Software!$E$86&lt;35,"20 Nm",IF(E23*E24/1000000*Software!$E$86&lt;50,"30 Nm",IF(E23*E24/1000000*Software!$E$86&lt;70,"40 Nm")))))))</f>
      </c>
      <c r="E348" s="180">
        <f>IF(F30&lt;&gt;"m","",IF(F25=40,"mini 13 Nm",IF(F25=60,IF(F23*F24/1000000*Software!$E$86&lt;15,"10 Nm",IF(F23*F24/1000000*Software!$E$86&lt;35,"20 Nm",IF(F23*F24/1000000*Software!$E$86&lt;50,"30 Nm",IF(F23*F24/1000000*Software!$E$86&lt;70,"40 Nm")))))))</f>
      </c>
      <c r="F348" s="181">
        <f>IF(G30&lt;&gt;"m","",IF(G25=40,"mini 13 Nm",IF(G25=60,IF(G23*G24/1000000*Software!$E$86&lt;15,"10 Nm",IF(G23*G24/1000000*Software!$E$86&lt;35,"20 Nm",IF(G23*G24/1000000*Software!$E$86&lt;50,"30 Nm",IF(G23*G24/1000000*Software!$E$86&lt;70,"40 Nm")))))))</f>
      </c>
    </row>
    <row r="349" ht="13.5" customHeight="1" spans="1:6" x14ac:dyDescent="0.25">
      <c r="A349" s="170"/>
      <c r="B349" s="171"/>
      <c r="C349" s="171"/>
      <c r="D349" s="171"/>
      <c r="E349" s="171"/>
      <c r="F349" s="172"/>
    </row>
    <row r="350" spans="1:6" x14ac:dyDescent="0.25">
      <c r="A350" s="199" t="s">
        <v>144</v>
      </c>
      <c r="B350" s="200"/>
      <c r="C350" s="200"/>
      <c r="D350" s="200"/>
      <c r="E350" s="200"/>
      <c r="F350" s="250"/>
    </row>
    <row r="351" spans="1:6" x14ac:dyDescent="0.25">
      <c r="A351" s="251"/>
      <c r="B351" s="192" t="s">
        <v>31</v>
      </c>
      <c r="C351" s="192" t="s">
        <v>32</v>
      </c>
      <c r="D351" s="192" t="s">
        <v>33</v>
      </c>
      <c r="E351" s="192" t="s">
        <v>34</v>
      </c>
      <c r="F351" s="193" t="s">
        <v>35</v>
      </c>
    </row>
    <row r="352" spans="1:6" x14ac:dyDescent="0.25">
      <c r="A352" s="163" t="s">
        <v>133</v>
      </c>
      <c r="B352" s="164">
        <f>IF(C30&lt;&gt;"m","",IF(C25=40,"mini 13 Nm",IF(C25=60,IF(C23*C24/1000000*Software!$E$130&lt;15,"10 Nm",IF(C23*C24/1000000*Software!$E$130&lt;35,"20 Nm",IF(C23*C24/1000000*Software!$E$130&lt;50,"30 Nm",IF(C23*C24/1000000*Software!$E$130&lt;70,"40 Nm")))))))</f>
      </c>
      <c r="C352" s="164">
        <f>IF(D30&lt;&gt;"m","",IF(D25=40,"mini 13 Nm",IF(D25=60,IF(D23*D24/1000000*Software!$E$130&lt;15,"10 Nm",IF(D23*D24/1000000*Software!$E$130&lt;35,"20 Nm",IF(D23*D24/1000000*Software!$E$130&lt;50,"30 Nm",IF(D23*D24/1000000*Software!$E$130&lt;70,"40 Nm")))))))</f>
      </c>
      <c r="D352" s="164">
        <f>IF(E30&lt;&gt;"m","",IF(E25=40,"mini 13 Nm",IF(E25=60,IF(E23*E24/1000000*Software!$E$130&lt;15,"10 Nm",IF(E23*E24/1000000*Software!$E$130&lt;35,"20 Nm",IF(E23*E24/1000000*Software!$E$130&lt;50,"30 Nm",IF(E23*E24/1000000*Software!$E$130&lt;70,"40 Nm")))))))</f>
      </c>
      <c r="E352" s="164">
        <f>IF(F30&lt;&gt;"m","",IF(F25=40,"mini 13 Nm",IF(F25=60,IF(F23*F24/1000000*Software!$E$130&lt;15,"10 Nm",IF(F23*F24/1000000*Software!$E$130&lt;35,"20 Nm",IF(F23*F24/1000000*Software!$E$130&lt;50,"30 Nm",IF(F23*F24/1000000*Software!$E$130&lt;70,"40 Nm")))))))</f>
      </c>
      <c r="F352" s="165">
        <f>IF(G30&lt;&gt;"m","",IF(G25=40,"mini 13 Nm",IF(G25=60,IF(G23*G24/1000000*Software!$E$130&lt;15,"10 Nm",IF(G23*G24/1000000*Software!$E$130&lt;35,"20 Nm",IF(G23*G24/1000000*Software!$E$130&lt;50,"30 Nm",IF(G23*G24/1000000*Software!$E$130&lt;70,"40 Nm")))))))</f>
      </c>
    </row>
    <row r="353" spans="1:6" x14ac:dyDescent="0.25">
      <c r="A353" s="163" t="s">
        <v>134</v>
      </c>
      <c r="B353" s="176">
        <f>IF($C$30&lt;&gt;"m","",IF($C$25=40,"mini 13 Nm",IF($C$25=60,IF($C$23*$C$24/1000000*Software!$E$130&lt;8,"6 Nm",IF($C$23*$C$24/1000000*Software!$E$130&lt;15,"10 Nm",IF($C$23*$C$24/1000000*Software!$E$130&lt;20,"13 Nm",IF($C$23*$C$24/1000000*Software!$E$130&lt;35,"20 Nm",IF($C$23*$C$24/1000000*Software!$E$130&lt;50,"30 Nm"))))))))</f>
      </c>
      <c r="C353" s="176">
        <f>IF($D$30&lt;&gt;"m","",IF($D$25=40,"mini 13 Nm",IF($D$25=60,IF($D$23*$D$24/1000000*Software!$E$130&lt;8,"6 Nm",IF($D$23*$D$24/1000000*Software!$E$130&lt;15,"10 Nm",IF($D$23*$D$24/1000000*Software!$E$130&lt;20,"13 Nm",IF($D$23*$D$24/1000000*Software!$E$130&lt;35,"20 Nm",IF($D$23*$D$24/1000000*Software!$E$130&lt;50,"30 Nm"))))))))</f>
      </c>
      <c r="D353" s="176">
        <f>IF($E$30&lt;&gt;"m","",IF($E$25=40,"mini 13 Nm",IF($E$25=60,IF($E$23*$E$24/1000000*Software!$E$130&lt;8,"6 Nm",IF($E$23*$E$24/1000000*Software!$E$130&lt;15,"10 Nm",IF($E$23*$E$24/1000000*Software!$E$130&lt;20,"13 Nm",IF($E$23*$E$24/1000000*Software!$E$130&lt;35,"20 Nm",IF($E$23*$E$24/1000000*Software!$E$130&lt;50,"30 Nm"))))))))</f>
      </c>
      <c r="E353" s="176">
        <f>IF($F$30&lt;&gt;"m","",IF($F$25=40,"mini 13 Nm",IF($F$25=60,IF($F$23*$F$24/1000000*Software!$E$130&lt;8,"6 Nm",IF($F$23*$F$24/1000000*Software!$E$130&lt;15,"10 Nm",IF($F$23*$F$24/1000000*Software!$E$130&lt;20,"13 Nm",IF($F$23*$F$24/1000000*Software!$E$130&lt;35,"20 Nm",IF($F$23*$F$24/1000000*Software!$E$130&lt;50,"30 Nm"))))))))</f>
      </c>
      <c r="F353" s="177">
        <f>IF($G$30&lt;&gt;"m","",IF($G$25=40,"mini 13 Nm",IF($G$25=60,IF($G$23*$G$24/1000000*Software!$E$130&lt;8,"6 Nm",IF($G$23*$G$24/1000000*Software!$E$130&lt;15,"10 Nm",IF($G$23*$G$24/1000000*Software!$E$130&lt;20,"13 Nm",IF($G$23*$G$24/1000000*Software!$E$130&lt;35,"20 Nm",IF($G$23*$G$24/1000000*Software!$E$130&lt;50,"30 Nm"))))))))</f>
      </c>
    </row>
    <row r="354" spans="1:6" x14ac:dyDescent="0.25">
      <c r="A354" s="163" t="s">
        <v>135</v>
      </c>
      <c r="B354" s="176">
        <f>IF(C30&lt;&gt;"m","",IF(C25=40,"mini 13 Nm",IF(C25=60,IF(C23*C24/1000000*Software!$E$130&lt;15,"10 Nm",IF(C23*C24/1000000*Software!$E$130&lt;35,"20 Nm",IF(C23*C24/1000000*Software!$E$130&lt;50,"30 Nm",IF(C23*C24/1000000*Software!$E$130&lt;70,"40 Nm")))))))</f>
      </c>
      <c r="C354" s="176">
        <f>IF(D30&lt;&gt;"m","",IF(D25=40,"mini 13 Nm",IF(D25=60,IF(D23*D24/1000000*Software!$E$130&lt;15,"10 Nm",IF(D23*D24/1000000*Software!$E$130&lt;35,"20 Nm",IF(D23*D24/1000000*Software!$E$130&lt;50,"30 Nm",IF(D23*D24/1000000*Software!$E$130&lt;70,"40 Nm")))))))</f>
      </c>
      <c r="D354" s="176">
        <f>IF(E30&lt;&gt;"m","",IF(E25=40,"mini 13 Nm",IF(E25=60,IF(E23*E24/1000000*Software!$E$130&lt;15,"10 Nm",IF(E23*E24/1000000*Software!$E$130&lt;35,"20 Nm",IF(E23*E24/1000000*Software!$E$130&lt;50,"30 Nm",IF(E23*E24/1000000*Software!$E$130&lt;70,"40 Nm")))))))</f>
      </c>
      <c r="E354" s="176">
        <f>IF(F30&lt;&gt;"m","",IF(F25=40,"mini 13 Nm",IF(F25=60,IF(F23*F24/1000000*Software!$E$130&lt;15,"10 Nm",IF(F23*F24/1000000*Software!$E$130&lt;35,"20 Nm",IF(F23*F24/1000000*Software!$E$130&lt;50,"30 Nm",IF(F23*F24/1000000*Software!$E$130&lt;70,"40 Nm")))))))</f>
      </c>
      <c r="F354" s="177">
        <f>IF(G30&lt;&gt;"m","",IF(G25=40,"mini 13 Nm",IF(G25=60,IF(G23*G24/1000000*Software!$E$130&lt;15,"10 Nm",IF(G23*G24/1000000*Software!$E$130&lt;35,"20 Nm",IF(G23*G24/1000000*Software!$E$130&lt;50,"30 Nm",IF(G23*G24/1000000*Software!$E$130&lt;70,"40 Nm")))))))</f>
      </c>
    </row>
    <row r="355" spans="1:6" x14ac:dyDescent="0.25">
      <c r="A355" s="163" t="s">
        <v>136</v>
      </c>
      <c r="B355" s="176">
        <f>IF($C$30&lt;&gt;"m","",IF($C$25=40,"mini 13 Nm",IF($C$25=60,IF($C$23*$C$24/1000000*Software!$E$130&lt;8,"6 Nm",IF($C$23*$C$24/1000000*Software!$E$130&lt;15,"10 Nm",IF($C$23*$C$24/1000000*Software!$E$130&lt;25,"20 Nm",IF($C$23*$C$24/1000000*Software!$E$130&lt;35,"20 Nm",IF($C$23*$C$24/1000000*Software!$E$130&lt;50,"30 Nm"))))))))</f>
      </c>
      <c r="C355" s="176">
        <f>IF($D$30&lt;&gt;"m","",IF($D$25=40,"mini 13 Nm",IF($D$25=60,IF($D$23*$D$24/1000000*Software!$E$130&lt;8,"6 Nm",IF($D$23*$D$24/1000000*Software!$E$130&lt;15,"10 Nm",IF($D$23*$D$24/1000000*Software!$E$130&lt;25,"20 Nm",IF($D$23*$D$24/1000000*Software!$E$130&lt;35,"20 Nm",IF($D$23*$D$24/1000000*Software!$E$130&lt;50,"30 Nm"))))))))</f>
      </c>
      <c r="D355" s="176">
        <f>IF($E$30&lt;&gt;"m","",IF($E$25=40,"mini 13 Nm",IF($E$25=60,IF($E$23*$E$24/1000000*Software!$E$130&lt;8,"6 Nm",IF($E$23*$E$24/1000000*Software!$E$130&lt;15,"10 Nm",IF($E$23*$E$24/1000000*Software!$E$130&lt;25,"20 Nm",IF($E$23*$E$24/1000000*Software!$E$130&lt;35,"20 Nm",IF($E$23*$E$24/1000000*Software!$E$130&lt;50,"30 Nm"))))))))</f>
      </c>
      <c r="E355" s="176">
        <f>IF($F$30&lt;&gt;"m","",IF($F$25=40,"mini 13 Nm",IF($F$25=60,IF($F$23*$F$24/1000000*Software!$E$130&lt;8,"6 Nm",IF($F$23*$F$24/1000000*Software!$E$130&lt;15,"10 Nm",IF($F$23*$F$24/1000000*Software!$E$130&lt;25,"20 Nm",IF($F$23*$F$24/1000000*Software!$E$130&lt;35,"20 Nm",IF($F$23*$F$24/1000000*Software!$E$130&lt;50,"30 Nm"))))))))</f>
      </c>
      <c r="F355" s="177">
        <f>IF($G$30&lt;&gt;"m","",IF($G$25=40,"mini 13 Nm",IF($G$25=60,IF($G$23*$G$24/1000000*Software!$E$130&lt;8,"6 Nm",IF($G$23*$G$24/1000000*Software!$E$130&lt;15,"10 Nm",IF($G$23*$G$24/1000000*Software!$E$130&lt;25,"20 Nm",IF($G$23*$G$24/1000000*Software!$E$130&lt;35,"20 Nm",IF($G$23*$G$24/1000000*Software!$E$130&lt;50,"30 Nm"))))))))</f>
      </c>
    </row>
    <row r="356" spans="1:10" x14ac:dyDescent="0.25">
      <c r="A356" s="163" t="s">
        <v>137</v>
      </c>
      <c r="B356" s="164">
        <f>IF($C$30&lt;&gt;"m","",IF($C$25=60,IF($C$23*$C$24/1000000*Software!$E$130&lt;15,"10 Nm",IF($C$23*$C$24/1000000*Software!$E$130&lt;25,"15 Nm",IF($C$23*$C$24/1000000*Software!$E$130&lt;35,"20 Nm",IF($C$23*$C$24/1000000*Software!$E$130&gt;35,"Te Groot"))))))</f>
      </c>
      <c r="C356" s="164">
        <f>IF($D$30&lt;&gt;"m","",IF($D$25=60,IF($D$23*$D$24/1000000*Software!$E$130&lt;15,"10 Nm",IF($D$23*$D$24/1000000*Software!$E$130&lt;25,"15 Nm",IF($D$23*$D$24/1000000*Software!$E$130&lt;35,"20 Nm",IF($D$23*$D$24/1000000*Software!$E$130&gt;35,"Te Groot"))))))</f>
      </c>
      <c r="D356" s="164">
        <f>IF($E$30&lt;&gt;"m","",IF($E$25=60,IF($E$23*$E$24/1000000*Software!$E$130&lt;15,"10 Nm",IF($E$23*$E$24/1000000*Software!$E$130&lt;25,"15 Nm",IF($E$23*$E$24/1000000*Software!$E$130&lt;35,"20 Nm",IF($E$23*$E$24/1000000*Software!$E$130&gt;35,"Te Groot"))))))</f>
      </c>
      <c r="E356" s="164">
        <f>IF($F$30&lt;&gt;"m","",IF($F$25=60,IF($F$23*$F$24/1000000*Software!$E$130&lt;15,"10 Nm",IF($F$23*$F$24/1000000*Software!$E$130&lt;25,"15 Nm",IF($F$23*$F$24/1000000*Software!$E$130&lt;35,"20 Nm",IF($F$23*$F$24/1000000*Software!$E$130&gt;35,"Te Groot"))))))</f>
      </c>
      <c r="F356" s="165">
        <f>IF($G$30&lt;&gt;"m","",IF($G$25=60,IF($G$23*$G$24/1000000*Software!$E$130&lt;15,"10 Nm",IF($G$23*$G$24/1000000*Software!$E$130&lt;25,"15 Nm",IF($G$23*$G$24/1000000*Software!$E$130&lt;35,"20 Nm",IF($G$23*$G$24/1000000*Software!$E$130&gt;35,"Te Groot"))))))</f>
      </c>
      <c r="G356" s="252" t="s">
        <v>138</v>
      </c>
      <c r="H356" s="252"/>
      <c r="I356" s="252"/>
      <c r="J356" s="253"/>
    </row>
    <row r="357" spans="1:6" x14ac:dyDescent="0.25">
      <c r="A357" s="163" t="s">
        <v>139</v>
      </c>
      <c r="B357" s="176">
        <f>IF(C30&lt;&gt;"m","",IF(C25=40,"mini 13 Nm",IF(C25=60,IF(C23*C24/1000000*Software!$E$130&lt;8,"6 Nm",IF(C23*C24/1000000*Software!$E$130&lt;15,"10 Nm",IF(C23*C24/1000000*Software!$E$130&lt;25,"15 Nm",IF(C23*C24/1000000*Software!$E$130&lt;35,"20 Nm",IF(C23*C24/1000000*Software!$E$130&lt;50,"30 Nm"))))))))</f>
      </c>
      <c r="C357" s="176">
        <f>IF(D30&lt;&gt;"m","",IF(D25=40,"mini 13 Nm",IF(D25=60,IF(D23*D24/1000000*Software!$E$130&lt;8,"6 Nm",IF(D23*D24/1000000*Software!$E$130&lt;15,"10 Nm",IF(D23*D24/1000000*Software!$E$130&lt;25,"15 Nm",IF(D23*D24/1000000*Software!$E$130&lt;35,"20 Nm",IF(D23*D24/1000000*Software!$E$130&lt;50,"30 Nm"))))))))</f>
      </c>
      <c r="D357" s="176">
        <f>IF(E30&lt;&gt;"m","",IF(E25=40,"mini 13 Nm",IF(E25=60,IF(E23*E24/1000000*Software!$E$130&lt;8,"6 Nm",IF(E23*E24/1000000*Software!$E$130&lt;15,"10 Nm",IF(E23*E24/1000000*Software!$E$130&lt;25,"15 Nm",IF(E23*E24/1000000*Software!$E$130&lt;35,"20 Nm",IF(E23*E24/1000000*Software!$E$130&lt;50,"30 Nm"))))))))</f>
      </c>
      <c r="E357" s="176">
        <f>IF(F30&lt;&gt;"m","",IF(F25=40,"mini 13 Nm",IF(F25=60,IF(F23*F24/1000000*Software!$E$130&lt;8,"6 Nm",IF(F23*F24/1000000*Software!$E$130&lt;15,"10 Nm",IF(F23*F24/1000000*Software!$E$130&lt;25,"15 Nm",IF(F23*F24/1000000*Software!$E$130&lt;35,"20 Nm",IF(F23*F24/1000000*Software!$E$130&lt;50,"30 Nm"))))))))</f>
      </c>
      <c r="F357" s="177">
        <f>IF(G30&lt;&gt;"m","",IF(G25=40,"mini 13 Nm",IF(G25=60,IF(G23*G24/1000000*Software!$E$130&lt;8,"6 Nm",IF(G23*G24/1000000*Software!$E$130&lt;15,"10 Nm",IF(G23*G24/1000000*Software!$E$130&lt;25,"15 Nm",IF(G23*G24/1000000*Software!$E$130&lt;35,"20 Nm",IF(G23*G24/1000000*Software!$E$130&lt;50,"30 Nm"))))))))</f>
      </c>
    </row>
    <row r="358" spans="1:6" x14ac:dyDescent="0.25">
      <c r="A358" s="163" t="s">
        <v>140</v>
      </c>
      <c r="B358" s="176">
        <f>IF(C30&lt;&gt;"m","",IF(C25=40,"mini 13 Nm",IF(C25=60,IF(C23*C24/1000000*Software!$E$130&lt;15,"10 Nm",IF(C23*C24/1000000*Software!$E$130&lt;35,"20 Nm",IF(C23*C24/1000000*Software!$E$130&lt;50,"30 Nm",IF(C23*C24/1000000*Software!$E$130&lt;70,"40 Nm")))))))</f>
      </c>
      <c r="C358" s="176">
        <f>IF(D30&lt;&gt;"m","",IF(D25=40,"mini 13 Nm",IF(D25=60,IF(D23*D24/1000000*Software!$E$130&lt;15,"10 Nm",IF(D23*D24/1000000*Software!$E$130&lt;35,"20 Nm",IF(D23*D24/1000000*Software!$E$130&lt;50,"30 Nm",IF(D23*D24/1000000*Software!$E$130&lt;70,"40 Nm")))))))</f>
      </c>
      <c r="D358" s="176">
        <f>IF(E30&lt;&gt;"m","",IF(E25=40,"mini 13 Nm",IF(E25=60,IF(E23*E24/1000000*Software!$E$130&lt;15,"10 Nm",IF(E23*E24/1000000*Software!$E$130&lt;35,"20 Nm",IF(E23*E24/1000000*Software!$E$130&lt;50,"30 Nm",IF(E23*E24/1000000*Software!$E$130&lt;70,"40 Nm")))))))</f>
      </c>
      <c r="E358" s="176">
        <f>IF(F30&lt;&gt;"m","",IF(F25=40,"mini 13 Nm",IF(F25=60,IF(F23*F24/1000000*Software!$E$130&lt;15,"10 Nm",IF(F23*F24/1000000*Software!$E$130&lt;35,"20 Nm",IF(F23*F24/1000000*Software!$E$130&lt;50,"30 Nm",IF(F23*F24/1000000*Software!$E$130&lt;70,"40 Nm")))))))</f>
      </c>
      <c r="F358" s="177">
        <f>IF(G30&lt;&gt;"m","",IF(G25=40,"mini 13 Nm",IF(G25=60,IF(G23*G24/1000000*Software!$E$130&lt;15,"10 Nm",IF(G23*G24/1000000*Software!$E$130&lt;35,"20 Nm",IF(G23*G24/1000000*Software!$E$130&lt;50,"30 Nm",IF(G23*G24/1000000*Software!$E$130&lt;70,"40 Nm")))))))</f>
      </c>
    </row>
    <row r="359" ht="13.5" customHeight="1" spans="1:6" x14ac:dyDescent="0.25">
      <c r="A359" s="179" t="s">
        <v>141</v>
      </c>
      <c r="B359" s="180">
        <f>IF(C30&lt;&gt;"m","",IF(C25=40,"mini 13 Nm",IF(C25=60,IF(C23*C24/1000000*Software!$E$130&lt;15,"10 Nm",IF(C23*C24/1000000*Software!$E$130&lt;35,"20 Nm",IF(C23*C24/1000000*Software!$E$130&lt;50,"30 Nm",IF(C23*C24/1000000*Software!$E$130&lt;70,"40 Nm")))))))</f>
      </c>
      <c r="C359" s="180">
        <f>IF(D30&lt;&gt;"m","",IF(D25=40,"mini 13 Nm",IF(D25=60,IF(D23*D24/1000000*Software!$E$130&lt;15,"10 Nm",IF(D23*D24/1000000*Software!$E$130&lt;35,"20 Nm",IF(D23*D24/1000000*Software!$E$130&lt;50,"30 Nm",IF(D23*D24/1000000*Software!$E$130&lt;70,"40 Nm")))))))</f>
      </c>
      <c r="D359" s="180">
        <f>IF(E30&lt;&gt;"m","",IF(E25=40,"mini 13 Nm",IF(E25=60,IF(E23*E24/1000000*Software!$E$130&lt;15,"10 Nm",IF(E23*E24/1000000*Software!$E$130&lt;35,"20 Nm",IF(E23*E24/1000000*Software!$E$130&lt;50,"30 Nm",IF(E23*E24/1000000*Software!$E$130&lt;70,"40 Nm")))))))</f>
      </c>
      <c r="E359" s="180">
        <f>IF(F30&lt;&gt;"m","",IF(F25=40,"mini 13 Nm",IF(F25=60,IF(F23*F24/1000000*Software!$E$130&lt;15,"10 Nm",IF(F23*F24/1000000*Software!$E$130&lt;35,"20 Nm",IF(F23*F24/1000000*Software!$E$130&lt;50,"30 Nm",IF(F23*F24/1000000*Software!$E$130&lt;70,"40 Nm")))))))</f>
      </c>
      <c r="F359" s="181">
        <f>IF(G30&lt;&gt;"m","",IF(G25=40,"mini 13 Nm",IF(G25=60,IF(G23*G24/1000000*Software!$E$130&lt;15,"10 Nm",IF(G23*G24/1000000*Software!$E$130&lt;35,"20 Nm",IF(G23*G24/1000000*Software!$E$130&lt;50,"30 Nm",IF(G23*G24/1000000*Software!$E$130&lt;70,"40 Nm")))))))</f>
      </c>
    </row>
    <row r="360" ht="13.5" customHeight="1" spans="1:6" x14ac:dyDescent="0.25">
      <c r="A360" s="170"/>
      <c r="B360" s="171"/>
      <c r="C360" s="171"/>
      <c r="D360" s="171"/>
      <c r="E360" s="171"/>
      <c r="F360" s="172"/>
    </row>
    <row r="361" spans="1:6" x14ac:dyDescent="0.25">
      <c r="A361" s="199" t="s">
        <v>145</v>
      </c>
      <c r="B361" s="200"/>
      <c r="C361" s="200"/>
      <c r="D361" s="200"/>
      <c r="E361" s="200"/>
      <c r="F361" s="250"/>
    </row>
    <row r="362" spans="1:6" x14ac:dyDescent="0.25">
      <c r="A362" s="251"/>
      <c r="B362" s="192" t="s">
        <v>31</v>
      </c>
      <c r="C362" s="192" t="s">
        <v>32</v>
      </c>
      <c r="D362" s="192" t="s">
        <v>33</v>
      </c>
      <c r="E362" s="192" t="s">
        <v>34</v>
      </c>
      <c r="F362" s="193" t="s">
        <v>35</v>
      </c>
    </row>
    <row r="363" spans="1:6" x14ac:dyDescent="0.25">
      <c r="A363" s="163" t="s">
        <v>133</v>
      </c>
      <c r="B363" s="164">
        <f>IF(C30&lt;&gt;"m","",IF(C25=40,"mini 13 Nm",IF(C25=60,IF(C23*C24/1000000*Software!$E$174&lt;15,"10 Nm",IF(C23*C24/1000000*Software!$E$174&lt;35,"20 Nm",IF(C23*C24/1000000*Software!$E$174&lt;50,"30 Nm",IF(C23*C24/1000000*Software!$E$174&lt;70,"40 Nm")))))))</f>
      </c>
      <c r="C363" s="164">
        <f>IF(D30&lt;&gt;"m","",IF(D25=40,"mini 13 Nm",IF(D25=60,IF(D23*D24/1000000*Software!$E$174&lt;15,"10 Nm",IF(D23*D24/1000000*Software!$E$174&lt;35,"20 Nm",IF(D23*D24/1000000*Software!$E$174&lt;50,"30 Nm",IF(D23*D24/1000000*Software!$E$174&lt;70,"40 Nm")))))))</f>
      </c>
      <c r="D363" s="164">
        <f>IF(E30&lt;&gt;"m","",IF(E25=40,"mini 13 Nm",IF(E25=60,IF(E23*E24/1000000*Software!$E$174&lt;15,"10 Nm",IF(E23*E24/1000000*Software!$E$174&lt;35,"20 Nm",IF(E23*E24/1000000*Software!$E$174&lt;50,"30 Nm",IF(E23*E24/1000000*Software!$E$174&lt;70,"40 Nm")))))))</f>
      </c>
      <c r="E363" s="164">
        <f>IF(F30&lt;&gt;"m","",IF(F25=40,"mini 13 Nm",IF(F25=60,IF(F23*F24/1000000*Software!$E$174&lt;15,"10 Nm",IF(F23*F24/1000000*Software!$E$174&lt;35,"20 Nm",IF(F23*F24/1000000*Software!$E$174&lt;50,"30 Nm",IF(F23*F24/1000000*Software!$E$174&lt;70,"40 Nm")))))))</f>
      </c>
      <c r="F363" s="165">
        <f>IF(G30&lt;&gt;"m","",IF(G25=40,"mini 13 Nm",IF(G25=60,IF(G23*G24/1000000*Software!$E$174&lt;15,"10 Nm",IF(G23*G24/1000000*Software!$E$174&lt;35,"20 Nm",IF(G23*G24/1000000*Software!$E$174&lt;50,"30 Nm",IF(G23*G24/1000000*Software!$E$174&lt;70,"40 Nm")))))))</f>
      </c>
    </row>
    <row r="364" spans="1:6" x14ac:dyDescent="0.25">
      <c r="A364" s="163" t="s">
        <v>134</v>
      </c>
      <c r="B364" s="176">
        <f>IF($C$30&lt;&gt;"m","",IF($C$25=40,"mini 13 Nm",IF($C$25=60,IF($C$23*$C$24/1000000*Software!$E$174&lt;8,"6 Nm",IF($C$23*$C$24/1000000*Software!$E$174&lt;15,"10 Nm",IF($C$23*$C$24/1000000*Software!$E$174&lt;20,"13 Nm",IF($C$23*$C$24/1000000*Software!$E$174&lt;35,"20 Nm",IF($C$23*$C$24/1000000*Software!$E$174&lt;50,"30 Nm"))))))))</f>
      </c>
      <c r="C364" s="176">
        <f>IF($D$30&lt;&gt;"m","",IF($D$25=40,"mini 13 Nm",IF($D$25=60,IF($D$23*$D$24/1000000*Software!$E$174&lt;8,"6 Nm",IF($D$23*$D$24/1000000*Software!$E$174&lt;15,"10 Nm",IF($D$23*$D$24/1000000*Software!$E$174&lt;20,"13 Nm",IF($D$23*$D$24/1000000*Software!$E$174&lt;35,"20 Nm",IF($D$23*$D$24/1000000*Software!$E$174&lt;50,"30 Nm"))))))))</f>
      </c>
      <c r="D364" s="176">
        <f>IF($E$30&lt;&gt;"m","",IF($E$25=40,"mini 13 Nm",IF($E$25=60,IF($E$23*$E$24/1000000*Software!$E$174&lt;8,"6 Nm",IF($E$23*$E$24/1000000*Software!$E$174&lt;15,"10 Nm",IF($E$23*$E$24/1000000*Software!$E$174&lt;20,"13 Nm",IF($E$23*$E$24/1000000*Software!$E$174&lt;35,"20 Nm",IF($E$23*$E$24/1000000*Software!$E$174&lt;50,"30 Nm"))))))))</f>
      </c>
      <c r="E364" s="176">
        <f>IF($F$30&lt;&gt;"m","",IF($F$25=40,"mini 13 Nm",IF($F$25=60,IF($F$23*$F$24/1000000*Software!$E$174&lt;8,"6 Nm",IF($F$23*$F$24/1000000*Software!$E$174&lt;15,"10 Nm",IF($F$23*$F$24/1000000*Software!$E$174&lt;20,"13 Nm",IF($F$23*$F$24/1000000*Software!$E$174&lt;35,"20 Nm",IF($F$23*$F$24/1000000*Software!$E$174&lt;50,"30 Nm"))))))))</f>
      </c>
      <c r="F364" s="177">
        <f>IF($G$30&lt;&gt;"m","",IF($G$25=40,"mini 13 Nm",IF($G$25=60,IF($G$23*$G$24/1000000*Software!$E$174&lt;8,"6 Nm",IF($G$23*$G$24/1000000*Software!$E$174&lt;15,"10 Nm",IF($G$23*$G$24/1000000*Software!$E$174&lt;20,"13 Nm",IF($G$23*$G$24/1000000*Software!$E$174&lt;35,"20 Nm",IF($G$23*$G$24/1000000*Software!$E$174&lt;50,"30 Nm"))))))))</f>
      </c>
    </row>
    <row r="365" spans="1:6" x14ac:dyDescent="0.25">
      <c r="A365" s="163" t="s">
        <v>135</v>
      </c>
      <c r="B365" s="176">
        <f>IF(C30&lt;&gt;"m","",IF(C25=40,"mini 13 Nm",IF(C25=60,IF(C23*C24/1000000*Software!$E$174&lt;15,"10 Nm",IF(C23*C24/1000000*Software!$E$174&lt;35,"20 Nm",IF(C23*C24/1000000*Software!$E$174&lt;50,"30 Nm",IF(C23*C24/1000000*Software!$E$174&lt;70,"40 Nm")))))))</f>
      </c>
      <c r="C365" s="176">
        <f>IF(D30&lt;&gt;"m","",IF(D25=40,"mini 13 Nm",IF(D25=60,IF(D23*D24/1000000*Software!$E$174&lt;15,"10 Nm",IF(D23*D24/1000000*Software!$E$174&lt;35,"20 Nm",IF(D23*D24/1000000*Software!$E$174&lt;50,"30 Nm",IF(D23*D24/1000000*Software!$E$174&lt;70,"40 Nm")))))))</f>
      </c>
      <c r="D365" s="176">
        <f>IF(E30&lt;&gt;"m","",IF(E25=40,"mini 13 Nm",IF(E25=60,IF(E23*E24/1000000*Software!$E$174&lt;15,"10 Nm",IF(E23*E24/1000000*Software!$E$174&lt;35,"20 Nm",IF(E23*E24/1000000*Software!$E$174&lt;50,"30 Nm",IF(E23*E24/1000000*Software!$E$174&lt;70,"40 Nm")))))))</f>
      </c>
      <c r="E365" s="176">
        <f>IF(F30&lt;&gt;"m","",IF(F25=40,"mini 13 Nm",IF(F25=60,IF(F23*F24/1000000*Software!$E$174&lt;15,"10 Nm",IF(F23*F24/1000000*Software!$E$174&lt;35,"20 Nm",IF(F23*F24/1000000*Software!$E$174&lt;50,"30 Nm",IF(F23*F24/1000000*Software!$E$174&lt;70,"40 Nm")))))))</f>
      </c>
      <c r="F365" s="177">
        <f>IF(G30&lt;&gt;"m","",IF(G25=40,"mini 13 Nm",IF(G25=60,IF(G23*G24/1000000*Software!$E$174&lt;15,"10 Nm",IF(G23*G24/1000000*Software!$E$174&lt;35,"20 Nm",IF(G23*G24/1000000*Software!$E$174&lt;50,"30 Nm",IF(G23*G24/1000000*Software!$E$174&lt;70,"40 Nm")))))))</f>
      </c>
    </row>
    <row r="366" spans="1:6" x14ac:dyDescent="0.25">
      <c r="A366" s="163" t="s">
        <v>136</v>
      </c>
      <c r="B366" s="176">
        <f>IF($C$30&lt;&gt;"m","",IF($C$25=40,"mini 13 Nm",IF($C$25=60,IF($C$23*$C$24/1000000*Software!$E$174&lt;8,"6 Nm",IF($C$23*$C$24/1000000*Software!$E$174&lt;15,"10 Nm",IF($C$23*$C$24/1000000*Software!$E$174&lt;25,"20 Nm",IF($C$23*$C$24/1000000*Software!$E$174&lt;35,"20 Nm",IF($C$23*$C$24/1000000*Software!$E$174&lt;50,"30 Nm"))))))))</f>
      </c>
      <c r="C366" s="176">
        <f>IF($D$30&lt;&gt;"m","",IF($D$25=40,"mini 13 Nm",IF($D$25=60,IF($D$23*$D$24/1000000*Software!$E$174&lt;8,"6 Nm",IF($D$23*$D$24/1000000*Software!$E$174&lt;15,"10 Nm",IF($D$23*$D$24/1000000*Software!$E$174&lt;25,"20 Nm",IF($D$23*$D$24/1000000*Software!$E$174&lt;35,"20 Nm",IF($D$23*$D$24/1000000*Software!$E$174&lt;50,"30 Nm"))))))))</f>
      </c>
      <c r="D366" s="176">
        <f>IF($E$30&lt;&gt;"m","",IF($E$25=40,"mini 13 Nm",IF($E$25=60,IF($E$23*$E$24/1000000*Software!$E$174&lt;8,"6 Nm",IF($E$23*$E$24/1000000*Software!$E$174&lt;15,"10 Nm",IF($E$23*$E$24/1000000*Software!$E$174&lt;25,"20 Nm",IF($E$23*$E$24/1000000*Software!$E$174&lt;35,"20 Nm",IF($E$23*$E$24/1000000*Software!$E$174&lt;50,"30 Nm"))))))))</f>
      </c>
      <c r="E366" s="176">
        <f>IF($F$30&lt;&gt;"m","",IF($F$25=40,"mini 13 Nm",IF($F$25=60,IF($F$23*$F$24/1000000*Software!$E$174&lt;8,"6 Nm",IF($F$23*$F$24/1000000*Software!$E$174&lt;15,"10 Nm",IF($F$23*$F$24/1000000*Software!$E$174&lt;25,"20 Nm",IF($F$23*$F$24/1000000*Software!$E$174&lt;35,"20 Nm",IF($F$23*$F$24/1000000*Software!$E$174&lt;50,"30 Nm"))))))))</f>
      </c>
      <c r="F366" s="177">
        <f>IF($G$30&lt;&gt;"m","",IF($G$25=40,"mini 13 Nm",IF($G$25=60,IF($G$23*$G$24/1000000*Software!$E$174&lt;8,"6 Nm",IF($G$23*$G$24/1000000*Software!$E$174&lt;15,"10 Nm",IF($G$23*$G$24/1000000*Software!$E$174&lt;25,"20 Nm",IF($G$23*$G$24/1000000*Software!$E$174&lt;35,"20 Nm",IF($G$23*$G$24/1000000*Software!$E$174&lt;50,"30 Nm"))))))))</f>
      </c>
    </row>
    <row r="367" spans="1:10" x14ac:dyDescent="0.25">
      <c r="A367" s="163" t="s">
        <v>137</v>
      </c>
      <c r="B367" s="164">
        <f>IF($C$30&lt;&gt;"m","",IF($C$25=60,IF($C$23*$C$24/1000000*Software!$E$174&lt;15,"10 Nm",IF($C$23*$C$24/1000000*Software!$E$174&lt;25,"15 Nm",IF($C$23*$C$24/1000000*Software!$E$174&lt;35,"20 Nm",IF($C$23*$C$24/1000000*Software!$E$174&gt;35,"Te Groot"))))))</f>
      </c>
      <c r="C367" s="164">
        <f>IF($D$30&lt;&gt;"m","",IF($D$25=60,IF($D$23*$D$24/1000000*Software!$E$174&lt;15,"10 Nm",IF($D$23*$D$24/1000000*Software!$E$174&lt;25,"15 Nm",IF($D$23*$D$24/1000000*Software!$E$174&lt;35,"20 Nm",IF($D$23*$D$24/1000000*Software!$E$174&gt;35,"Te Groot"))))))</f>
      </c>
      <c r="D367" s="164">
        <f>IF($E$30&lt;&gt;"m","",IF($E$25=60,IF($E$23*$E$24/1000000*Software!$E$174&lt;15,"10 Nm",IF($E$23*$E$24/1000000*Software!$E$174&lt;25,"15 Nm",IF($E$23*$E$24/1000000*Software!$E$174&lt;35,"20 Nm",IF($E$23*$E$24/1000000*Software!$E$174&gt;35,"Te Groot"))))))</f>
      </c>
      <c r="E367" s="164">
        <f>IF($F$30&lt;&gt;"m","",IF($F$25=60,IF($F$23*$F$24/1000000*Software!$E$174&lt;15,"10 Nm",IF($F$23*$F$24/1000000*Software!$E$174&lt;25,"15 Nm",IF($F$23*$F$24/1000000*Software!$E$174&lt;35,"20 Nm",IF($F$23*$F$24/1000000*Software!$E$174&gt;35,"Te Groot"))))))</f>
      </c>
      <c r="F367" s="165">
        <f>IF($G$30&lt;&gt;"m","",IF($G$25=60,IF($G$23*$G$24/1000000*Software!$E$174&lt;15,"10 Nm",IF($G$23*$G$24/1000000*Software!$E$174&lt;25,"15 Nm",IF($G$23*$G$24/1000000*Software!$E$174&lt;35,"20 Nm",IF($G$23*$G$24/1000000*Software!$E$174&gt;35,"Te Groot"))))))</f>
      </c>
      <c r="G367" s="252" t="s">
        <v>138</v>
      </c>
      <c r="H367" s="252"/>
      <c r="I367" s="252"/>
      <c r="J367" s="253"/>
    </row>
    <row r="368" spans="1:6" x14ac:dyDescent="0.25">
      <c r="A368" s="163" t="s">
        <v>139</v>
      </c>
      <c r="B368" s="176">
        <f>IF(C30&lt;&gt;"m","",IF(C25=40,"mini 13 Nm",IF(C25=60,IF(C23*C24/1000000*Software!$E$174&lt;8,"6 Nm",IF(C23*C24/1000000*Software!$E$174&lt;15,"10 Nm",IF(C23*C24/1000000*Software!$E$174&lt;25,"15 Nm",IF(C23*C24/1000000*Software!$E$174&lt;35,"20 Nm",IF(C23*C24/1000000*Software!$E$174&lt;50,"30 Nm"))))))))</f>
      </c>
      <c r="C368" s="176">
        <f>IF(D30&lt;&gt;"m","",IF(D25=40,"mini 13 Nm",IF(D25=60,IF(D23*D24/1000000*Software!$E$174&lt;8,"6 Nm",IF(D23*D24/1000000*Software!$E$174&lt;15,"10 Nm",IF(D23*D24/1000000*Software!$E$174&lt;25,"15 Nm",IF(D23*D24/1000000*Software!$E$174&lt;35,"20 Nm",IF(D23*D24/1000000*Software!$E$174&lt;50,"30 Nm"))))))))</f>
      </c>
      <c r="D368" s="176">
        <f>IF(E30&lt;&gt;"m","",IF(E25=40,"mini 13 Nm",IF(E25=60,IF(E23*E24/1000000*Software!$E$174&lt;8,"6 Nm",IF(E23*E24/1000000*Software!$E$174&lt;15,"10 Nm",IF(E23*E24/1000000*Software!$E$174&lt;25,"15 Nm",IF(E23*E24/1000000*Software!$E$174&lt;35,"20 Nm",IF(E23*E24/1000000*Software!$E$174&lt;50,"30 Nm"))))))))</f>
      </c>
      <c r="E368" s="176">
        <f>IF(F30&lt;&gt;"m","",IF(F25=40,"mini 13 Nm",IF(F25=60,IF(F23*F24/1000000*Software!$E$174&lt;8,"6 Nm",IF(F23*F24/1000000*Software!$E$174&lt;15,"10 Nm",IF(F23*F24/1000000*Software!$E$174&lt;25,"15 Nm",IF(F23*F24/1000000*Software!$E$174&lt;35,"20 Nm",IF(F23*F24/1000000*Software!$E$174&lt;50,"30 Nm"))))))))</f>
      </c>
      <c r="F368" s="177">
        <f>IF(G30&lt;&gt;"m","",IF(G25=40,"mini 13 Nm",IF(G25=60,IF(G23*G24/1000000*Software!$E$174&lt;8,"6 Nm",IF(G23*G24/1000000*Software!$E$174&lt;15,"10 Nm",IF(G23*G24/1000000*Software!$E$174&lt;25,"15 Nm",IF(G23*G24/1000000*Software!$E$174&lt;35,"20 Nm",IF(G23*G24/1000000*Software!$E$174&lt;50,"30 Nm"))))))))</f>
      </c>
    </row>
    <row r="369" spans="1:6" x14ac:dyDescent="0.25">
      <c r="A369" s="163" t="s">
        <v>140</v>
      </c>
      <c r="B369" s="176">
        <f>IF(C30&lt;&gt;"m","",IF(C25=40,"mini 13 Nm",IF(C25=60,IF(C23*C24/1000000*Software!$E$174&lt;15,"10 Nm",IF(C23*C24/1000000*Software!$E$174&lt;35,"20 Nm",IF(C23*C24/1000000*Software!$E$174&lt;50,"30 Nm",IF(C23*C24/1000000*Software!$E$174&lt;70,"40 Nm")))))))</f>
      </c>
      <c r="C369" s="176">
        <f>IF(D30&lt;&gt;"m","",IF(D25=40,"mini 13 Nm",IF(D25=60,IF(D23*D24/1000000*Software!$E$174&lt;15,"10 Nm",IF(D23*D24/1000000*Software!$E$174&lt;35,"20 Nm",IF(D23*D24/1000000*Software!$E$174&lt;50,"30 Nm",IF(D23*D24/1000000*Software!$E$174&lt;70,"40 Nm")))))))</f>
      </c>
      <c r="D369" s="176">
        <f>IF(E30&lt;&gt;"m","",IF(E25=40,"mini 13 Nm",IF(E25=60,IF(E23*E24/1000000*Software!$E$174&lt;15,"10 Nm",IF(E23*E24/1000000*Software!$E$174&lt;35,"20 Nm",IF(E23*E24/1000000*Software!$E$174&lt;50,"30 Nm",IF(E23*E24/1000000*Software!$E$174&lt;70,"40 Nm")))))))</f>
      </c>
      <c r="E369" s="176">
        <f>IF(F30&lt;&gt;"m","",IF(F25=40,"mini 13 Nm",IF(F25=60,IF(F23*F24/1000000*Software!$E$174&lt;15,"10 Nm",IF(F23*F24/1000000*Software!$E$174&lt;35,"20 Nm",IF(F23*F24/1000000*Software!$E$174&lt;50,"30 Nm",IF(F23*F24/1000000*Software!$E$174&lt;70,"40 Nm")))))))</f>
      </c>
      <c r="F369" s="177">
        <f>IF(G30&lt;&gt;"m","",IF(G25=40,"mini 13 Nm",IF(G25=60,IF(G23*G24/1000000*Software!$E$174&lt;15,"10 Nm",IF(G23*G24/1000000*Software!$E$174&lt;35,"20 Nm",IF(G23*G24/1000000*Software!$E$174&lt;50,"30 Nm",IF(G23*G24/1000000*Software!$E$174&lt;70,"40 Nm")))))))</f>
      </c>
    </row>
    <row r="370" ht="13.5" customHeight="1" spans="1:6" x14ac:dyDescent="0.25">
      <c r="A370" s="179" t="s">
        <v>141</v>
      </c>
      <c r="B370" s="180">
        <f>IF(C30&lt;&gt;"m","",IF(C25=40,"mini 13 Nm",IF(C25=60,IF(C23*C24/1000000*Software!$E$174&lt;15,"10 Nm",IF(C23*C24/1000000*Software!$E$174&lt;35,"20 Nm",IF(C23*C24/1000000*Software!$E$174&lt;50,"30 Nm",IF(C23*C24/1000000*Software!$E$174&lt;70,"40 Nm")))))))</f>
      </c>
      <c r="C370" s="180">
        <f>IF(D30&lt;&gt;"m","",IF(D25=40,"mini 13 Nm",IF(D25=60,IF(D23*D24/1000000*Software!$E$174&lt;15,"10 Nm",IF(D23*D24/1000000*Software!$E$174&lt;35,"20 Nm",IF(D23*D24/1000000*Software!$E$174&lt;50,"30 Nm",IF(D23*D24/1000000*Software!$E$174&lt;70,"40 Nm")))))))</f>
      </c>
      <c r="D370" s="180">
        <f>IF(E30&lt;&gt;"m","",IF(E25=40,"mini 13 Nm",IF(E25=60,IF(E23*E24/1000000*Software!$E$174&lt;15,"10 Nm",IF(E23*E24/1000000*Software!$E$174&lt;35,"20 Nm",IF(E23*E24/1000000*Software!$E$174&lt;50,"30 Nm",IF(E23*E24/1000000*Software!$E$174&lt;70,"40 Nm")))))))</f>
      </c>
      <c r="E370" s="180">
        <f>IF(F30&lt;&gt;"m","",IF(F25=40,"mini 13 Nm",IF(F25=60,IF(F23*F24/1000000*Software!$E$174&lt;15,"10 Nm",IF(F23*F24/1000000*Software!$E$174&lt;35,"20 Nm",IF(F23*F24/1000000*Software!$E$174&lt;50,"30 Nm",IF(F23*F24/1000000*Software!$E$174&lt;70,"40 Nm")))))))</f>
      </c>
      <c r="F370" s="181">
        <f>IF(G30&lt;&gt;"m","",IF(G25=40,"mini 13 Nm",IF(G25=60,IF(G23*G24/1000000*Software!$E$174&lt;15,"10 Nm",IF(G23*G24/1000000*Software!$E$174&lt;35,"20 Nm",IF(G23*G24/1000000*Software!$E$174&lt;50,"30 Nm",IF(G23*G24/1000000*Software!$E$174&lt;70,"40 Nm")))))))</f>
      </c>
    </row>
  </sheetData>
  <mergeCells count="206">
    <mergeCell ref="A1:F1"/>
    <mergeCell ref="G1:L1"/>
    <mergeCell ref="A3:E3"/>
    <mergeCell ref="G3:L3"/>
    <mergeCell ref="B4:E4"/>
    <mergeCell ref="G4:H4"/>
    <mergeCell ref="I4:L4"/>
    <mergeCell ref="B5:E5"/>
    <mergeCell ref="G5:H5"/>
    <mergeCell ref="I5:L5"/>
    <mergeCell ref="B6:E6"/>
    <mergeCell ref="G6:H6"/>
    <mergeCell ref="I6:L6"/>
    <mergeCell ref="B7:E7"/>
    <mergeCell ref="B8:E8"/>
    <mergeCell ref="G8:H8"/>
    <mergeCell ref="I8:L8"/>
    <mergeCell ref="B9:E9"/>
    <mergeCell ref="B10:E10"/>
    <mergeCell ref="G10:H10"/>
    <mergeCell ref="K11:L11"/>
    <mergeCell ref="B12:E12"/>
    <mergeCell ref="G12:H12"/>
    <mergeCell ref="K12:L12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  <mergeCell ref="A34:B34"/>
    <mergeCell ref="A35:B35"/>
    <mergeCell ref="I35:M37"/>
    <mergeCell ref="A36:B36"/>
    <mergeCell ref="H35:H37"/>
    <mergeCell ref="A37:B37"/>
    <mergeCell ref="A38:B38"/>
    <mergeCell ref="A39:B39"/>
    <mergeCell ref="A40:B40"/>
    <mergeCell ref="A41:B41"/>
    <mergeCell ref="A42:B42"/>
    <mergeCell ref="B44:E44"/>
    <mergeCell ref="F44:H44"/>
    <mergeCell ref="I44:J44"/>
    <mergeCell ref="K44:L44"/>
    <mergeCell ref="B46:G46"/>
    <mergeCell ref="I46:J46"/>
    <mergeCell ref="K46:L46"/>
    <mergeCell ref="G48:H48"/>
    <mergeCell ref="I48:J48"/>
    <mergeCell ref="G49:H49"/>
    <mergeCell ref="J50:L58"/>
    <mergeCell ref="G53:H53"/>
    <mergeCell ref="G54:H54"/>
    <mergeCell ref="G55:H55"/>
    <mergeCell ref="G56:H56"/>
    <mergeCell ref="G57:H57"/>
    <mergeCell ref="C58:D58"/>
    <mergeCell ref="G58:H58"/>
    <mergeCell ref="B60:L60"/>
    <mergeCell ref="B61:L61"/>
    <mergeCell ref="B62:L62"/>
    <mergeCell ref="G64:H64"/>
    <mergeCell ref="I64:J64"/>
    <mergeCell ref="G65:H65"/>
    <mergeCell ref="J66:L74"/>
    <mergeCell ref="G69:H69"/>
    <mergeCell ref="G70:H70"/>
    <mergeCell ref="G72:H72"/>
    <mergeCell ref="G73:H73"/>
    <mergeCell ref="C74:D74"/>
    <mergeCell ref="G74:H74"/>
    <mergeCell ref="B76:L76"/>
    <mergeCell ref="B77:L77"/>
    <mergeCell ref="B78:L78"/>
    <mergeCell ref="G80:H80"/>
    <mergeCell ref="I80:J80"/>
    <mergeCell ref="G81:H81"/>
    <mergeCell ref="J82:L90"/>
    <mergeCell ref="G85:H85"/>
    <mergeCell ref="G86:H86"/>
    <mergeCell ref="G88:H88"/>
    <mergeCell ref="G89:H89"/>
    <mergeCell ref="C90:D90"/>
    <mergeCell ref="G90:H90"/>
    <mergeCell ref="B92:L92"/>
    <mergeCell ref="B93:L93"/>
    <mergeCell ref="B94:L94"/>
    <mergeCell ref="G96:H96"/>
    <mergeCell ref="I96:J96"/>
    <mergeCell ref="G97:H97"/>
    <mergeCell ref="J98:L106"/>
    <mergeCell ref="G101:H101"/>
    <mergeCell ref="G102:H102"/>
    <mergeCell ref="G104:H104"/>
    <mergeCell ref="G105:H105"/>
    <mergeCell ref="C106:D106"/>
    <mergeCell ref="G106:H106"/>
    <mergeCell ref="B108:L108"/>
    <mergeCell ref="B109:L109"/>
    <mergeCell ref="B110:L110"/>
    <mergeCell ref="G112:H112"/>
    <mergeCell ref="I112:J112"/>
    <mergeCell ref="G113:H113"/>
    <mergeCell ref="J114:L122"/>
    <mergeCell ref="G117:H117"/>
    <mergeCell ref="G118:H118"/>
    <mergeCell ref="G120:H120"/>
    <mergeCell ref="G121:H121"/>
    <mergeCell ref="C122:D122"/>
    <mergeCell ref="G122:H122"/>
    <mergeCell ref="B124:L124"/>
    <mergeCell ref="B125:L125"/>
    <mergeCell ref="B126:L126"/>
    <mergeCell ref="J127:K128"/>
    <mergeCell ref="A203:F203"/>
    <mergeCell ref="V203:W203"/>
    <mergeCell ref="V204:W210"/>
    <mergeCell ref="U204:U210"/>
    <mergeCell ref="A210:F210"/>
    <mergeCell ref="H210:M210"/>
    <mergeCell ref="V211:W216"/>
    <mergeCell ref="U211:U216"/>
    <mergeCell ref="A217:F217"/>
    <mergeCell ref="V217:W222"/>
    <mergeCell ref="U217:U222"/>
    <mergeCell ref="V223:W229"/>
    <mergeCell ref="A224:H224"/>
    <mergeCell ref="U223:U229"/>
    <mergeCell ref="A229:H229"/>
    <mergeCell ref="A230:C230"/>
    <mergeCell ref="V230:W236"/>
    <mergeCell ref="A231:C231"/>
    <mergeCell ref="U230:U236"/>
    <mergeCell ref="A232:C232"/>
    <mergeCell ref="A233:C233"/>
    <mergeCell ref="A234:C234"/>
    <mergeCell ref="A235:C235"/>
    <mergeCell ref="A236:C236"/>
    <mergeCell ref="A237:C237"/>
    <mergeCell ref="V237:W244"/>
    <mergeCell ref="A238:C238"/>
    <mergeCell ref="U237:U244"/>
    <mergeCell ref="A239:C239"/>
    <mergeCell ref="A240:C240"/>
    <mergeCell ref="A241:C241"/>
    <mergeCell ref="A242:C242"/>
    <mergeCell ref="A243:C243"/>
    <mergeCell ref="A244:C244"/>
    <mergeCell ref="A245:C245"/>
    <mergeCell ref="V245:W251"/>
    <mergeCell ref="U245:U251"/>
    <mergeCell ref="A247:C247"/>
    <mergeCell ref="A248:C248"/>
    <mergeCell ref="A249:C249"/>
    <mergeCell ref="A250:C250"/>
    <mergeCell ref="A251:C251"/>
    <mergeCell ref="A252:C252"/>
    <mergeCell ref="V252:W258"/>
    <mergeCell ref="U252:U258"/>
    <mergeCell ref="A255:C255"/>
    <mergeCell ref="A259:E259"/>
    <mergeCell ref="V259:W265"/>
    <mergeCell ref="U259:U265"/>
    <mergeCell ref="A264:E264"/>
    <mergeCell ref="V266:W272"/>
    <mergeCell ref="U266:U272"/>
    <mergeCell ref="A267:A268"/>
    <mergeCell ref="B267:B268"/>
    <mergeCell ref="C267:C268"/>
    <mergeCell ref="D267:D268"/>
    <mergeCell ref="E267:E268"/>
    <mergeCell ref="V273:W279"/>
    <mergeCell ref="U273:U279"/>
    <mergeCell ref="V280:W286"/>
    <mergeCell ref="U280:U286"/>
    <mergeCell ref="V287:W293"/>
    <mergeCell ref="U287:U293"/>
    <mergeCell ref="V294:W300"/>
    <mergeCell ref="U294:U300"/>
    <mergeCell ref="V301:W307"/>
    <mergeCell ref="U301:U307"/>
    <mergeCell ref="A317:F317"/>
    <mergeCell ref="G323:J323"/>
    <mergeCell ref="A328:F328"/>
    <mergeCell ref="G334:J334"/>
    <mergeCell ref="A339:F339"/>
    <mergeCell ref="G345:J345"/>
    <mergeCell ref="A350:F350"/>
    <mergeCell ref="G356:J356"/>
    <mergeCell ref="A361:F361"/>
    <mergeCell ref="G367:J367"/>
  </mergeCells>
  <conditionalFormatting sqref="A48">
    <cfRule type="expression" dxfId="0" priority="57">
      <formula>$C$15&gt;0</formula>
    </cfRule>
  </conditionalFormatting>
  <conditionalFormatting sqref="A52">
    <cfRule type="expression" dxfId="1" priority="44">
      <formula>$A$52="Ronde kast:"</formula>
    </cfRule>
  </conditionalFormatting>
  <conditionalFormatting sqref="A60">
    <cfRule type="expression" dxfId="2" priority="75">
      <formula>$B$60&gt;0</formula>
    </cfRule>
  </conditionalFormatting>
  <conditionalFormatting sqref="A61">
    <cfRule type="expression" dxfId="3" priority="76">
      <formula>$B$61&gt;0</formula>
    </cfRule>
  </conditionalFormatting>
  <conditionalFormatting sqref="A62">
    <cfRule type="expression" dxfId="4" priority="77">
      <formula>$B$62&gt;0</formula>
    </cfRule>
  </conditionalFormatting>
  <conditionalFormatting sqref="A64">
    <cfRule type="expression" dxfId="5" priority="60">
      <formula>$D$15&gt;0</formula>
    </cfRule>
  </conditionalFormatting>
  <conditionalFormatting sqref="A68">
    <cfRule type="expression" dxfId="6" priority="43">
      <formula>$A$68="Ronde kast:"</formula>
    </cfRule>
  </conditionalFormatting>
  <conditionalFormatting sqref="A76">
    <cfRule type="expression" dxfId="7" priority="78">
      <formula>$B$76&gt;0</formula>
    </cfRule>
  </conditionalFormatting>
  <conditionalFormatting sqref="A77">
    <cfRule type="expression" dxfId="8" priority="79">
      <formula>$B$77&gt;0</formula>
    </cfRule>
  </conditionalFormatting>
  <conditionalFormatting sqref="A78">
    <cfRule type="expression" dxfId="9" priority="80">
      <formula>$B$78&gt;0</formula>
    </cfRule>
  </conditionalFormatting>
  <conditionalFormatting sqref="A80">
    <cfRule type="expression" dxfId="10" priority="63">
      <formula>$E$15&gt;0</formula>
    </cfRule>
  </conditionalFormatting>
  <conditionalFormatting sqref="A84">
    <cfRule type="expression" dxfId="11" priority="42">
      <formula>$A$84="Ronde kast:"</formula>
    </cfRule>
  </conditionalFormatting>
  <conditionalFormatting sqref="A92">
    <cfRule type="expression" dxfId="12" priority="87">
      <formula>$B$92&gt;0</formula>
    </cfRule>
  </conditionalFormatting>
  <conditionalFormatting sqref="A93">
    <cfRule type="expression" dxfId="13" priority="88">
      <formula>$B$93&gt;0</formula>
    </cfRule>
  </conditionalFormatting>
  <conditionalFormatting sqref="A94">
    <cfRule type="expression" dxfId="14" priority="89">
      <formula>$B$94&gt;0</formula>
    </cfRule>
  </conditionalFormatting>
  <conditionalFormatting sqref="A96">
    <cfRule type="expression" dxfId="15" priority="66">
      <formula>$F$15&gt;0</formula>
    </cfRule>
  </conditionalFormatting>
  <conditionalFormatting sqref="A100">
    <cfRule type="expression" dxfId="16" priority="41">
      <formula>$A$100="Ronde kast:"</formula>
    </cfRule>
  </conditionalFormatting>
  <conditionalFormatting sqref="A108">
    <cfRule type="expression" dxfId="17" priority="90">
      <formula>$B$108&gt;0</formula>
    </cfRule>
  </conditionalFormatting>
  <conditionalFormatting sqref="A109">
    <cfRule type="expression" dxfId="18" priority="91">
      <formula>$B$109&gt;0</formula>
    </cfRule>
  </conditionalFormatting>
  <conditionalFormatting sqref="A110">
    <cfRule type="expression" dxfId="19" priority="92">
      <formula>$B$110&gt;0</formula>
    </cfRule>
  </conditionalFormatting>
  <conditionalFormatting sqref="A112">
    <cfRule type="expression" dxfId="20" priority="69">
      <formula>$G$15&gt;0</formula>
    </cfRule>
  </conditionalFormatting>
  <conditionalFormatting sqref="A116">
    <cfRule type="expression" dxfId="21" priority="40">
      <formula>$A$116="Ronde kast:"</formula>
    </cfRule>
  </conditionalFormatting>
  <conditionalFormatting sqref="A124">
    <cfRule type="expression" dxfId="22" priority="96">
      <formula>$B$124&gt;0</formula>
    </cfRule>
  </conditionalFormatting>
  <conditionalFormatting sqref="A125">
    <cfRule type="expression" dxfId="23" priority="97">
      <formula>$B$125&gt;0</formula>
    </cfRule>
  </conditionalFormatting>
  <conditionalFormatting sqref="A126">
    <cfRule type="expression" dxfId="24" priority="98">
      <formula>$B$126&gt;0</formula>
    </cfRule>
  </conditionalFormatting>
  <conditionalFormatting sqref="A50:D50 A52:D52 A54:D54">
    <cfRule type="expression" dxfId="25" priority="14">
      <formula>$C$15&lt;&gt;""</formula>
    </cfRule>
  </conditionalFormatting>
  <conditionalFormatting sqref="A66:D66 A68:D68 A70:D70">
    <cfRule type="expression" dxfId="26" priority="15">
      <formula>$D$15&lt;&gt;""</formula>
    </cfRule>
  </conditionalFormatting>
  <conditionalFormatting sqref="A82:D82 A84:D84 A86:D86">
    <cfRule type="expression" dxfId="27" priority="17">
      <formula>$E$15&lt;&gt;""</formula>
    </cfRule>
  </conditionalFormatting>
  <conditionalFormatting sqref="A98:D98 A100:D100 A102:D102">
    <cfRule type="expression" dxfId="28" priority="13">
      <formula>$F$15&lt;&gt;""</formula>
    </cfRule>
  </conditionalFormatting>
  <conditionalFormatting sqref="A114:D114 A116:D116 A118:D118">
    <cfRule type="expression" dxfId="29" priority="12">
      <formula>$G$15&lt;&gt;""</formula>
    </cfRule>
  </conditionalFormatting>
  <conditionalFormatting sqref="B49">
    <cfRule type="expression" dxfId="30" priority="35">
      <formula>$C$15&gt;1</formula>
    </cfRule>
  </conditionalFormatting>
  <conditionalFormatting sqref="B54">
    <cfRule type="expression" priority="32">
      <formula>$C$28=""</formula>
    </cfRule>
    <cfRule type="expression" dxfId="31" priority="33">
      <formula>$C$29&lt;&gt;"U"</formula>
    </cfRule>
    <cfRule type="expression" dxfId="32" priority="34">
      <formula>$C$28&lt;&gt;"U"</formula>
    </cfRule>
  </conditionalFormatting>
  <conditionalFormatting sqref="B65">
    <cfRule type="expression" dxfId="33" priority="37">
      <formula>$D$15&gt;1</formula>
    </cfRule>
  </conditionalFormatting>
  <conditionalFormatting sqref="B70">
    <cfRule type="expression" priority="29">
      <formula>$D$28=""</formula>
    </cfRule>
    <cfRule type="expression" dxfId="34" priority="30">
      <formula>$D$29&lt;&gt;"U"</formula>
    </cfRule>
    <cfRule type="expression" dxfId="35" priority="31">
      <formula>$D$28&lt;&gt;"U"</formula>
    </cfRule>
  </conditionalFormatting>
  <conditionalFormatting sqref="B81">
    <cfRule type="expression" dxfId="36" priority="36">
      <formula>$E$15&gt;1</formula>
    </cfRule>
  </conditionalFormatting>
  <conditionalFormatting sqref="B86">
    <cfRule type="expression" dxfId="37" priority="27">
      <formula>$E$29&lt;&gt;"U"</formula>
    </cfRule>
    <cfRule type="expression" dxfId="38" priority="28">
      <formula>$E$28&lt;&gt;"U"</formula>
    </cfRule>
    <cfRule type="expression" priority="26">
      <formula>$E$28=""</formula>
    </cfRule>
  </conditionalFormatting>
  <conditionalFormatting sqref="B97">
    <cfRule type="expression" dxfId="39" priority="38">
      <formula>$F$15&gt;1</formula>
    </cfRule>
  </conditionalFormatting>
  <conditionalFormatting sqref="B102">
    <cfRule type="expression" priority="23">
      <formula>$F$28=""</formula>
    </cfRule>
    <cfRule type="expression" dxfId="40" priority="24">
      <formula>$F$29&lt;&gt;"U"</formula>
    </cfRule>
    <cfRule type="expression" dxfId="41" priority="25">
      <formula>$F$28&lt;&gt;"U"</formula>
    </cfRule>
  </conditionalFormatting>
  <conditionalFormatting sqref="B113">
    <cfRule type="expression" dxfId="42" priority="39">
      <formula>$G$15&gt;1</formula>
    </cfRule>
  </conditionalFormatting>
  <conditionalFormatting sqref="B118">
    <cfRule type="expression" priority="20">
      <formula>$G$28=""</formula>
    </cfRule>
    <cfRule type="expression" dxfId="43" priority="22">
      <formula>$G$28&lt;&gt;"U"</formula>
    </cfRule>
    <cfRule type="expression" dxfId="44" priority="21">
      <formula>$G$29&lt;&gt;"U"</formula>
    </cfRule>
  </conditionalFormatting>
  <conditionalFormatting sqref="B48:H48">
    <cfRule type="expression" dxfId="45" priority="58">
      <formula>$C$15&gt;0</formula>
    </cfRule>
  </conditionalFormatting>
  <conditionalFormatting sqref="B64:H64">
    <cfRule type="expression" dxfId="46" priority="61">
      <formula>$D$15&gt;0</formula>
    </cfRule>
  </conditionalFormatting>
  <conditionalFormatting sqref="B80:H80">
    <cfRule type="expression" dxfId="47" priority="64">
      <formula>$E$15&gt;0</formula>
    </cfRule>
  </conditionalFormatting>
  <conditionalFormatting sqref="B96:H96">
    <cfRule type="expression" dxfId="48" priority="67">
      <formula>$F$15&gt;0</formula>
    </cfRule>
  </conditionalFormatting>
  <conditionalFormatting sqref="B112:H112">
    <cfRule type="expression" dxfId="49" priority="70">
      <formula>$G$15&gt;0</formula>
    </cfRule>
  </conditionalFormatting>
  <conditionalFormatting sqref="B60:L60">
    <cfRule type="expression" dxfId="50" priority="72">
      <formula>$B$60&gt;0</formula>
    </cfRule>
  </conditionalFormatting>
  <conditionalFormatting sqref="B61:L61">
    <cfRule type="expression" dxfId="51" priority="73">
      <formula>$B$61&gt;0</formula>
    </cfRule>
  </conditionalFormatting>
  <conditionalFormatting sqref="B62:L62">
    <cfRule type="expression" dxfId="52" priority="74">
      <formula>$B$62&gt;0</formula>
    </cfRule>
  </conditionalFormatting>
  <conditionalFormatting sqref="B76:L76">
    <cfRule type="expression" dxfId="53" priority="81">
      <formula>$B$76&gt;0</formula>
    </cfRule>
  </conditionalFormatting>
  <conditionalFormatting sqref="B77:L77">
    <cfRule type="expression" dxfId="54" priority="82">
      <formula>$B$77&gt;0</formula>
    </cfRule>
  </conditionalFormatting>
  <conditionalFormatting sqref="B78:L78">
    <cfRule type="expression" dxfId="55" priority="83">
      <formula>$B$78&gt;0</formula>
    </cfRule>
  </conditionalFormatting>
  <conditionalFormatting sqref="B92:L92">
    <cfRule type="expression" dxfId="56" priority="84">
      <formula>$B$92&gt;0</formula>
    </cfRule>
  </conditionalFormatting>
  <conditionalFormatting sqref="B93:L93">
    <cfRule type="expression" dxfId="57" priority="85">
      <formula>$B$93&gt;0</formula>
    </cfRule>
  </conditionalFormatting>
  <conditionalFormatting sqref="B94:L94">
    <cfRule type="expression" dxfId="58" priority="86">
      <formula>$B$94&gt;0</formula>
    </cfRule>
  </conditionalFormatting>
  <conditionalFormatting sqref="B108:L108">
    <cfRule type="expression" dxfId="59" priority="93">
      <formula>$B$108&gt;0</formula>
    </cfRule>
  </conditionalFormatting>
  <conditionalFormatting sqref="B109:L109">
    <cfRule type="expression" dxfId="60" priority="94">
      <formula>$B$109&gt;0</formula>
    </cfRule>
  </conditionalFormatting>
  <conditionalFormatting sqref="B110:L110">
    <cfRule type="expression" dxfId="61" priority="95">
      <formula>$B$110&gt;0</formula>
    </cfRule>
  </conditionalFormatting>
  <conditionalFormatting sqref="B124:L124">
    <cfRule type="expression" dxfId="62" priority="99">
      <formula>$B$124&gt;0</formula>
    </cfRule>
  </conditionalFormatting>
  <conditionalFormatting sqref="B125:L125">
    <cfRule type="expression" dxfId="63" priority="100">
      <formula>$B$125&gt;0</formula>
    </cfRule>
  </conditionalFormatting>
  <conditionalFormatting sqref="B126:L126">
    <cfRule type="expression" dxfId="64" priority="101">
      <formula>$B$126&gt;0</formula>
    </cfRule>
  </conditionalFormatting>
  <conditionalFormatting sqref="C14:C16 C19:C20 C22:C41">
    <cfRule type="expression" dxfId="65" priority="7">
      <formula>$C$41="Te Groot"</formula>
    </cfRule>
  </conditionalFormatting>
  <conditionalFormatting sqref="C17:C18">
    <cfRule type="expression" dxfId="66" priority="2">
      <formula>$D$41="Te Groot"</formula>
    </cfRule>
  </conditionalFormatting>
  <conditionalFormatting sqref="C21">
    <cfRule type="expression" dxfId="67" priority="1">
      <formula>$D$41="Te Groot"</formula>
    </cfRule>
  </conditionalFormatting>
  <conditionalFormatting sqref="D14:D41">
    <cfRule type="expression" dxfId="68" priority="8">
      <formula>$D$41="Te Groot"</formula>
    </cfRule>
  </conditionalFormatting>
  <conditionalFormatting sqref="E14:E41">
    <cfRule type="expression" dxfId="69" priority="9">
      <formula>$E$41="Te Groot"</formula>
    </cfRule>
  </conditionalFormatting>
  <conditionalFormatting sqref="F14:F41">
    <cfRule type="expression" dxfId="70" priority="10">
      <formula>$F$41="Te Groot"</formula>
    </cfRule>
  </conditionalFormatting>
  <conditionalFormatting sqref="G14:G41">
    <cfRule type="expression" dxfId="71" priority="11">
      <formula>$G$41="Te Groot"</formula>
    </cfRule>
  </conditionalFormatting>
  <conditionalFormatting sqref="I48:J48">
    <cfRule type="expression" dxfId="72" priority="59">
      <formula>$C$15&gt;0</formula>
    </cfRule>
  </conditionalFormatting>
  <conditionalFormatting sqref="I64:J64">
    <cfRule type="expression" dxfId="73" priority="62">
      <formula>$D$15&gt;0</formula>
    </cfRule>
  </conditionalFormatting>
  <conditionalFormatting sqref="I80:J80">
    <cfRule type="expression" dxfId="74" priority="65">
      <formula>$E$15&gt;0</formula>
    </cfRule>
  </conditionalFormatting>
  <conditionalFormatting sqref="I96:J96">
    <cfRule type="expression" dxfId="75" priority="68">
      <formula>$F$15&gt;0</formula>
    </cfRule>
  </conditionalFormatting>
  <conditionalFormatting sqref="I112:J112">
    <cfRule type="expression" dxfId="76" priority="71">
      <formula>$G$15&gt;0</formula>
    </cfRule>
  </conditionalFormatting>
  <conditionalFormatting sqref="K48:L48">
    <cfRule type="expression" dxfId="77" priority="102">
      <formula>$C$15&gt;0</formula>
    </cfRule>
  </conditionalFormatting>
  <conditionalFormatting sqref="K64:L64">
    <cfRule type="expression" dxfId="78" priority="103">
      <formula>$D$15&gt;0</formula>
    </cfRule>
  </conditionalFormatting>
  <conditionalFormatting sqref="K80:L80">
    <cfRule type="expression" dxfId="79" priority="104">
      <formula>$E$15&gt;0</formula>
    </cfRule>
  </conditionalFormatting>
  <conditionalFormatting sqref="K96:L96">
    <cfRule type="expression" dxfId="80" priority="105">
      <formula>$F$15&gt;0</formula>
    </cfRule>
  </conditionalFormatting>
  <conditionalFormatting sqref="K112:L112">
    <cfRule type="expression" dxfId="81" priority="106">
      <formula>$G$15&gt;0</formula>
    </cfRule>
  </conditionalFormatting>
  <printOptions horizontalCentered="1" verticalCentered="1"/>
  <pageMargins left="0.3937007874015748" right="0.3937007874015748" top="0.3937007874015748" bottom="0.3937007874015748" header="0.31496062992125984" footer="0.31496062992125984"/>
  <pageSetup paperSize="9" orientation="portrait" horizontalDpi="4294967295" verticalDpi="4294967295" scale="73" fitToWidth="1" fitToHeight="1" firstPageNumber="1" useFirstPageNumber="1" copies="1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216"/>
  <sheetViews>
    <sheetView workbookViewId="0" zoomScale="100" zoomScaleNormal="100">
      <selection activeCell="A39" sqref="A39"/>
    </sheetView>
  </sheetViews>
  <sheetFormatPr defaultRowHeight="12.75" outlineLevelRow="0" outlineLevelCol="0" x14ac:dyDescent="0.2" defaultColWidth="9.140625" customHeight="1"/>
  <cols>
    <col min="5" max="5" width="7" customWidth="1"/>
    <col min="10" max="10" width="4.7109375" customWidth="1"/>
    <col min="11" max="11" width="11.85546875" customWidth="1"/>
    <col min="15" max="15" width="4.7109375" customWidth="1"/>
    <col min="21" max="21" width="10.140625" customWidth="1"/>
  </cols>
  <sheetData>
    <row r="1" ht="18" customHeight="1" spans="1:24" x14ac:dyDescent="0.25">
      <c r="A1" s="348" t="s">
        <v>186</v>
      </c>
      <c r="B1" s="349"/>
      <c r="C1" s="349"/>
      <c r="D1" s="349"/>
      <c r="E1" s="349"/>
      <c r="F1" s="349" t="s">
        <v>187</v>
      </c>
      <c r="G1" s="349"/>
      <c r="H1" s="349"/>
      <c r="I1" s="349"/>
      <c r="J1" s="349"/>
      <c r="K1" s="349" t="s">
        <v>188</v>
      </c>
      <c r="L1" s="349"/>
      <c r="M1" s="349"/>
      <c r="N1" s="349"/>
      <c r="O1" s="349"/>
      <c r="P1" s="349" t="s">
        <v>189</v>
      </c>
      <c r="Q1" s="349"/>
      <c r="R1" s="349"/>
      <c r="S1" s="350"/>
      <c r="U1" s="348" t="s">
        <v>190</v>
      </c>
      <c r="V1" s="349"/>
      <c r="W1" s="349"/>
      <c r="X1" s="350"/>
    </row>
    <row r="2" spans="1:24" x14ac:dyDescent="0.25">
      <c r="A2" s="351" t="s">
        <v>31</v>
      </c>
      <c r="B2" s="273"/>
      <c r="C2" s="273"/>
      <c r="D2" s="273"/>
      <c r="E2" s="273"/>
      <c r="F2" s="273" t="s">
        <v>31</v>
      </c>
      <c r="G2" s="273"/>
      <c r="H2" s="273"/>
      <c r="I2" s="273"/>
      <c r="J2" s="294"/>
      <c r="K2" s="273" t="s">
        <v>31</v>
      </c>
      <c r="L2" s="273"/>
      <c r="M2" s="273"/>
      <c r="N2" s="273"/>
      <c r="O2" s="273"/>
      <c r="P2" s="273" t="s">
        <v>31</v>
      </c>
      <c r="Q2" s="273"/>
      <c r="R2" s="273"/>
      <c r="S2" s="352"/>
      <c r="U2" s="351" t="s">
        <v>31</v>
      </c>
      <c r="V2" s="273"/>
      <c r="W2" s="273"/>
      <c r="X2" s="352"/>
    </row>
    <row r="3" spans="1:24" x14ac:dyDescent="0.25">
      <c r="A3" s="353"/>
      <c r="B3" s="137" t="s">
        <v>161</v>
      </c>
      <c r="C3" s="137" t="s">
        <v>191</v>
      </c>
      <c r="D3" s="137" t="s">
        <v>192</v>
      </c>
      <c r="G3" s="137" t="s">
        <v>161</v>
      </c>
      <c r="H3" s="137" t="s">
        <v>191</v>
      </c>
      <c r="I3" s="137" t="s">
        <v>192</v>
      </c>
      <c r="J3" s="354"/>
      <c r="L3" s="137" t="s">
        <v>161</v>
      </c>
      <c r="M3" s="137" t="s">
        <v>191</v>
      </c>
      <c r="N3" s="137" t="s">
        <v>192</v>
      </c>
      <c r="Q3" s="137" t="s">
        <v>161</v>
      </c>
      <c r="R3" s="137" t="s">
        <v>191</v>
      </c>
      <c r="S3" s="355" t="s">
        <v>192</v>
      </c>
      <c r="U3" s="353"/>
      <c r="V3" s="137" t="s">
        <v>161</v>
      </c>
      <c r="W3" s="137" t="s">
        <v>191</v>
      </c>
      <c r="X3" s="355" t="s">
        <v>192</v>
      </c>
    </row>
    <row r="4" spans="1:24" x14ac:dyDescent="0.25">
      <c r="A4" s="353" t="s">
        <v>193</v>
      </c>
      <c r="B4" s="356">
        <f>WERKBON!$C$23</f>
        <v>0</v>
      </c>
      <c r="C4" s="340">
        <f>IF(WERKBON!$C$16="P42",Software!C47,IF(WERKBON!$C$16="A42",Software!C91,IF(WERKBON!$C$16="U42",Software!C135,IF(WERKBON!$C$16="U52",Software!C179,""))))</f>
      </c>
      <c r="D4" s="356" t="e">
        <f>B4-C4</f>
        <v>#VALUE!</v>
      </c>
      <c r="F4" t="s">
        <v>193</v>
      </c>
      <c r="G4" s="356">
        <f>WERKBON!$C$23</f>
        <v>0</v>
      </c>
      <c r="H4" s="340">
        <f>IF(WERKBON!$C$16="P42",Software!H47,IF(WERKBON!$C$16="A42",Software!H91,IF(WERKBON!$C$16="U42",Software!H135,IF(WERKBON!$C$16="U52",Software!H179,""))))</f>
      </c>
      <c r="I4" s="356" t="e">
        <f>G4-H4</f>
        <v>#VALUE!</v>
      </c>
      <c r="J4" s="354"/>
      <c r="K4" t="s">
        <v>193</v>
      </c>
      <c r="L4" s="356">
        <f>WERKBON!$C$23</f>
        <v>0</v>
      </c>
      <c r="M4" s="340">
        <f>IF(WERKBON!$C$16="P42",Software!M47,IF(WERKBON!$C$16="A42",Software!M91,IF(WERKBON!$C$16="U42",Software!M135,IF(WERKBON!$C$16="U52",Software!M179,""))))</f>
      </c>
      <c r="N4" s="356" t="e">
        <f>L4-M4</f>
        <v>#VALUE!</v>
      </c>
      <c r="P4" t="s">
        <v>193</v>
      </c>
      <c r="Q4" s="356">
        <f>WERKBON!$C$23</f>
        <v>0</v>
      </c>
      <c r="R4" s="340">
        <f>IF(WERKBON!$C$16="P42",Software!R47,IF(WERKBON!$C$16="A42",Software!R91,IF(WERKBON!$C$16="U42",Software!R135,IF(WERKBON!$C$16="U52",Software!R179,""))))</f>
      </c>
      <c r="S4" s="357" t="e">
        <f>Q4-R4</f>
        <v>#VALUE!</v>
      </c>
      <c r="U4" s="353" t="s">
        <v>193</v>
      </c>
      <c r="V4" s="356">
        <f>WERKBON!$C$23</f>
        <v>0</v>
      </c>
      <c r="W4" s="340">
        <f>W91</f>
        <v>74</v>
      </c>
      <c r="X4" s="357">
        <f>V4-W4</f>
        <v>-74</v>
      </c>
    </row>
    <row r="5" spans="1:24" x14ac:dyDescent="0.25">
      <c r="A5" s="353" t="s">
        <v>194</v>
      </c>
      <c r="B5" s="356">
        <f>B4</f>
        <v>0</v>
      </c>
      <c r="C5" s="340">
        <f>IF(WERKBON!$C$16="P42",Software!C48,IF(WERKBON!$C$16="A42",Software!C92,IF(WERKBON!$C$16="U42",Software!C136,IF(WERKBON!$C$16="U52",Software!C180,""))))</f>
      </c>
      <c r="D5" s="356" t="e">
        <f>B5-C5</f>
        <v>#VALUE!</v>
      </c>
      <c r="F5" t="s">
        <v>194</v>
      </c>
      <c r="G5" s="356">
        <f>G4</f>
        <v>0</v>
      </c>
      <c r="H5" s="340">
        <f>IF(WERKBON!$C$16="P42",Software!H48,IF(WERKBON!$C$16="A42",Software!H92,IF(WERKBON!$C$16="U42",Software!H136,IF(WERKBON!$C$16="U52",Software!H180,""))))</f>
      </c>
      <c r="I5" s="356" t="e">
        <f>G5-H5</f>
        <v>#VALUE!</v>
      </c>
      <c r="J5" s="354"/>
      <c r="K5" t="s">
        <v>194</v>
      </c>
      <c r="L5" s="356">
        <f>L4</f>
        <v>0</v>
      </c>
      <c r="M5" s="340">
        <f>IF(WERKBON!$C$16="P42",Software!M48,IF(WERKBON!$C$16="A42",Software!M92,IF(WERKBON!$C$16="U42",Software!M136,IF(WERKBON!$C$16="U52",Software!M180,""))))</f>
      </c>
      <c r="N5" s="356" t="e">
        <f>L5-M5</f>
        <v>#VALUE!</v>
      </c>
      <c r="P5" t="s">
        <v>194</v>
      </c>
      <c r="Q5" s="356">
        <f>Q4</f>
        <v>0</v>
      </c>
      <c r="R5" s="340">
        <f>IF(WERKBON!$C$16="P42",Software!R48,IF(WERKBON!$C$16="A42",Software!R92,IF(WERKBON!$C$16="U42",Software!R136,IF(WERKBON!$C$16="U52",Software!R180,""))))</f>
      </c>
      <c r="S5" s="357" t="e">
        <f>Q5-R5</f>
        <v>#VALUE!</v>
      </c>
      <c r="U5" s="353" t="s">
        <v>194</v>
      </c>
      <c r="V5" s="356">
        <f>V4</f>
        <v>0</v>
      </c>
      <c r="W5" s="340">
        <f>W92</f>
        <v>11</v>
      </c>
      <c r="X5" s="357">
        <f>V5-W5</f>
        <v>-11</v>
      </c>
    </row>
    <row r="6" spans="1:24" x14ac:dyDescent="0.25">
      <c r="A6" s="353" t="s">
        <v>195</v>
      </c>
      <c r="B6" s="356">
        <f>B4</f>
        <v>0</v>
      </c>
      <c r="C6" s="340">
        <f>IF(WERKBON!$C$16="P42",Software!C49,IF(WERKBON!$C$16="A42",Software!C93,IF(WERKBON!$C$16="U42",Software!C137,IF(WERKBON!$C$16="U52",Software!C181,""))))</f>
      </c>
      <c r="D6" s="356" t="e">
        <f>B6-C6</f>
        <v>#VALUE!</v>
      </c>
      <c r="F6" t="s">
        <v>195</v>
      </c>
      <c r="G6" s="356">
        <f>G4</f>
        <v>0</v>
      </c>
      <c r="H6" s="340">
        <f>IF(WERKBON!$C$16="P42",Software!H49,IF(WERKBON!$C$16="A42",Software!H93,IF(WERKBON!$C$16="U42",Software!H137,IF(WERKBON!$C$16="U52",Software!H181,""))))</f>
      </c>
      <c r="I6" s="356" t="e">
        <f>G6-H6</f>
        <v>#VALUE!</v>
      </c>
      <c r="J6" s="354"/>
      <c r="K6" t="s">
        <v>196</v>
      </c>
      <c r="L6" s="356">
        <f>L4</f>
        <v>0</v>
      </c>
      <c r="M6" s="340">
        <f>IF(WERKBON!$C$16="P42",Software!M49,IF(WERKBON!$C$16="A42",Software!M93,IF(WERKBON!$C$16="U42",Software!M137,IF(WERKBON!$C$16="U52",Software!M181,""))))</f>
      </c>
      <c r="N6" s="356" t="e">
        <f>L6-M6</f>
        <v>#VALUE!</v>
      </c>
      <c r="P6" t="s">
        <v>195</v>
      </c>
      <c r="Q6" s="356">
        <f>Q4</f>
        <v>0</v>
      </c>
      <c r="R6" s="340">
        <f>IF(WERKBON!$C$16="P42",Software!R49,IF(WERKBON!$C$16="A42",Software!R93,IF(WERKBON!$C$16="U42",Software!R137,IF(WERKBON!$C$16="U52",Software!R181,""))))</f>
      </c>
      <c r="S6" s="357" t="e">
        <f>Q6-R6</f>
        <v>#VALUE!</v>
      </c>
      <c r="U6" s="353" t="s">
        <v>195</v>
      </c>
      <c r="V6" s="356">
        <f>V4</f>
        <v>0</v>
      </c>
      <c r="W6" s="137">
        <f>W93</f>
        <v>52</v>
      </c>
      <c r="X6" s="357">
        <f>V6-W6</f>
        <v>-52</v>
      </c>
    </row>
    <row r="7" spans="1:24" x14ac:dyDescent="0.25">
      <c r="A7" s="353" t="s">
        <v>197</v>
      </c>
      <c r="B7" s="356">
        <f>B4</f>
        <v>0</v>
      </c>
      <c r="C7" s="340">
        <f>IF(WERKBON!$C$16="P42",Software!C50,IF(WERKBON!$C$16="A42",Software!C94,IF(WERKBON!$C$16="U42",Software!C138,IF(WERKBON!$C$16="U52",Software!C182,""))))</f>
      </c>
      <c r="D7" s="356" t="e">
        <f>B7-C7</f>
        <v>#VALUE!</v>
      </c>
      <c r="F7" t="s">
        <v>197</v>
      </c>
      <c r="G7" s="356">
        <f>G4</f>
        <v>0</v>
      </c>
      <c r="H7" s="340">
        <f>IF(WERKBON!$C$16="P42",Software!H50,IF(WERKBON!$C$16="A42",Software!H94,IF(WERKBON!$C$16="U42",Software!H138,IF(WERKBON!$C$16="U52",Software!H182,""))))</f>
      </c>
      <c r="I7" s="356" t="e">
        <f>G7-H7</f>
        <v>#VALUE!</v>
      </c>
      <c r="J7" s="354"/>
      <c r="K7" t="s">
        <v>198</v>
      </c>
      <c r="L7" s="356">
        <f>L4</f>
        <v>0</v>
      </c>
      <c r="M7" s="340">
        <f>IF(WERKBON!$C$16="P42",Software!M50,IF(WERKBON!$C$16="A42",Software!M94,IF(WERKBON!$C$16="U42",Software!M138,IF(WERKBON!$C$16="U52",Software!M182,""))))</f>
      </c>
      <c r="N7" s="356" t="e">
        <f>L7-M7</f>
        <v>#VALUE!</v>
      </c>
      <c r="P7" t="s">
        <v>197</v>
      </c>
      <c r="Q7" s="356">
        <f>Q4</f>
        <v>0</v>
      </c>
      <c r="R7" s="340">
        <f>IF(WERKBON!$C$16="P42",Software!R50,IF(WERKBON!$C$16="A42",Software!R94,IF(WERKBON!$C$16="U42",Software!R138,IF(WERKBON!$C$16="U52",Software!R182,""))))</f>
      </c>
      <c r="S7" s="357" t="e">
        <f>Q7-R7</f>
        <v>#VALUE!</v>
      </c>
      <c r="U7" s="353" t="s">
        <v>197</v>
      </c>
      <c r="V7" s="356">
        <f>V4</f>
        <v>0</v>
      </c>
      <c r="W7" s="137">
        <f>W94</f>
        <v>74</v>
      </c>
      <c r="X7" s="357">
        <f>V7-W7</f>
        <v>-74</v>
      </c>
    </row>
    <row r="8" spans="1:24" x14ac:dyDescent="0.25">
      <c r="A8" s="353"/>
      <c r="B8" s="356"/>
      <c r="C8" s="137"/>
      <c r="D8" s="356"/>
      <c r="G8" s="356"/>
      <c r="H8" s="137"/>
      <c r="I8" s="356"/>
      <c r="J8" s="354"/>
      <c r="K8" t="s">
        <v>197</v>
      </c>
      <c r="L8" s="356">
        <f>L4</f>
        <v>0</v>
      </c>
      <c r="M8" s="340">
        <f>IF(WERKBON!$C$16="P42",Software!M51,IF(WERKBON!$C$16="A42",Software!M95,IF(WERKBON!$C$16="U42",Software!M139,IF(WERKBON!$C$16="U52",Software!M183,""))))</f>
      </c>
      <c r="N8" s="356" t="e">
        <f>L8-M8</f>
        <v>#VALUE!</v>
      </c>
      <c r="Q8" s="356"/>
      <c r="R8" s="137"/>
      <c r="S8" s="357"/>
      <c r="U8" s="353"/>
      <c r="X8" s="30"/>
    </row>
    <row r="9" spans="1:24" x14ac:dyDescent="0.25">
      <c r="A9" s="353"/>
      <c r="F9" s="354"/>
      <c r="G9" s="340"/>
      <c r="H9" s="340"/>
      <c r="I9" s="354"/>
      <c r="J9" s="354"/>
      <c r="S9" s="30"/>
      <c r="U9" s="353"/>
      <c r="X9" s="30"/>
    </row>
    <row r="10" spans="1:24" x14ac:dyDescent="0.25">
      <c r="A10" s="351" t="s">
        <v>32</v>
      </c>
      <c r="B10" s="273"/>
      <c r="C10" s="273"/>
      <c r="D10" s="273"/>
      <c r="E10" s="273"/>
      <c r="F10" s="273" t="s">
        <v>32</v>
      </c>
      <c r="G10" s="273"/>
      <c r="H10" s="273"/>
      <c r="I10" s="273"/>
      <c r="J10" s="354"/>
      <c r="K10" s="273" t="s">
        <v>32</v>
      </c>
      <c r="L10" s="273"/>
      <c r="M10" s="273"/>
      <c r="N10" s="273"/>
      <c r="O10" s="273"/>
      <c r="P10" s="273" t="s">
        <v>32</v>
      </c>
      <c r="Q10" s="273"/>
      <c r="R10" s="273"/>
      <c r="S10" s="352"/>
      <c r="U10" s="351" t="s">
        <v>32</v>
      </c>
      <c r="V10" s="273"/>
      <c r="W10" s="273"/>
      <c r="X10" s="352"/>
    </row>
    <row r="11" spans="1:24" x14ac:dyDescent="0.25">
      <c r="A11" s="353"/>
      <c r="B11" s="137" t="s">
        <v>161</v>
      </c>
      <c r="C11" s="137" t="s">
        <v>191</v>
      </c>
      <c r="D11" s="137" t="s">
        <v>192</v>
      </c>
      <c r="G11" s="137" t="s">
        <v>161</v>
      </c>
      <c r="H11" s="137" t="s">
        <v>191</v>
      </c>
      <c r="I11" s="137" t="s">
        <v>192</v>
      </c>
      <c r="J11" s="354"/>
      <c r="L11" s="137" t="s">
        <v>161</v>
      </c>
      <c r="M11" s="137" t="s">
        <v>191</v>
      </c>
      <c r="N11" s="137" t="s">
        <v>192</v>
      </c>
      <c r="Q11" s="137" t="s">
        <v>161</v>
      </c>
      <c r="R11" s="137" t="s">
        <v>191</v>
      </c>
      <c r="S11" s="355" t="s">
        <v>192</v>
      </c>
      <c r="U11" s="353"/>
      <c r="V11" s="137" t="s">
        <v>161</v>
      </c>
      <c r="W11" s="137" t="s">
        <v>191</v>
      </c>
      <c r="X11" s="355" t="s">
        <v>192</v>
      </c>
    </row>
    <row r="12" spans="1:24" x14ac:dyDescent="0.25">
      <c r="A12" s="353" t="s">
        <v>193</v>
      </c>
      <c r="B12" s="356">
        <f>WERKBON!$D$23</f>
        <v>0</v>
      </c>
      <c r="C12" s="340">
        <f>IF(WERKBON!$D$16="P42",Software!C55,IF(WERKBON!$D$16="A42",Software!C99,IF(WERKBON!$D$16="U42",Software!C143,IF(WERKBON!$D$16="U52",Software!C187,""))))</f>
      </c>
      <c r="D12" s="356" t="e">
        <f>B12-C12</f>
        <v>#VALUE!</v>
      </c>
      <c r="F12" t="s">
        <v>193</v>
      </c>
      <c r="G12" s="356">
        <f>WERKBON!$D$23</f>
        <v>0</v>
      </c>
      <c r="H12" s="340">
        <f>IF(WERKBON!$D$16="P42",Software!H55,IF(WERKBON!$D$16="A42",Software!H99,IF(WERKBON!$D$16="U42",Software!H143,IF(WERKBON!$D$16="U52",Software!H187,""))))</f>
      </c>
      <c r="I12" s="356" t="e">
        <f>G12-H12</f>
        <v>#VALUE!</v>
      </c>
      <c r="J12" s="354"/>
      <c r="K12" t="s">
        <v>193</v>
      </c>
      <c r="L12" s="356">
        <f>WERKBON!$D$23</f>
        <v>0</v>
      </c>
      <c r="M12" s="340">
        <f>IF(WERKBON!$D$16="P42",Software!M55,IF(WERKBON!$D$16="A42",Software!M99,IF(WERKBON!$D$16="U42",Software!M143,IF(WERKBON!$D$16="U52",Software!M187,""))))</f>
      </c>
      <c r="N12" s="356" t="e">
        <f>L12-M12</f>
        <v>#VALUE!</v>
      </c>
      <c r="P12" t="s">
        <v>193</v>
      </c>
      <c r="Q12" s="356">
        <f>WERKBON!$D$23</f>
        <v>0</v>
      </c>
      <c r="R12" s="340">
        <f>IF(WERKBON!$D$16="P42",Software!R55,IF(WERKBON!$D$16="A42",Software!R99,IF(WERKBON!$D$16="U42",Software!R143,IF(WERKBON!$D$16="U52",Software!R187,""))))</f>
      </c>
      <c r="S12" s="357" t="e">
        <f>Q12-R12</f>
        <v>#VALUE!</v>
      </c>
      <c r="U12" s="353" t="s">
        <v>193</v>
      </c>
      <c r="V12" s="356">
        <f>WERKBON!$D$23</f>
        <v>0</v>
      </c>
      <c r="W12" s="340">
        <f>W4</f>
        <v>74</v>
      </c>
      <c r="X12" s="357">
        <f>V12-W12</f>
        <v>-74</v>
      </c>
    </row>
    <row r="13" spans="1:24" x14ac:dyDescent="0.25">
      <c r="A13" s="353" t="s">
        <v>194</v>
      </c>
      <c r="B13" s="356">
        <f>B12</f>
        <v>0</v>
      </c>
      <c r="C13" s="340">
        <f>IF(WERKBON!$D$16="P42",Software!C56,IF(WERKBON!$D$16="A42",Software!C100,IF(WERKBON!$D$16="U42",Software!C144,IF(WERKBON!$D$16="U52",Software!C188,""))))</f>
      </c>
      <c r="D13" s="356" t="e">
        <f>B13-C13</f>
        <v>#VALUE!</v>
      </c>
      <c r="F13" t="s">
        <v>194</v>
      </c>
      <c r="G13" s="356">
        <f>G12</f>
        <v>0</v>
      </c>
      <c r="H13" s="340">
        <f>IF(WERKBON!$D$16="P42",Software!H56,IF(WERKBON!$D$16="A42",Software!H100,IF(WERKBON!$D$16="U42",Software!H144,IF(WERKBON!$D$16="U52",Software!H188,""))))</f>
      </c>
      <c r="I13" s="356" t="e">
        <f>G13-H13</f>
        <v>#VALUE!</v>
      </c>
      <c r="K13" t="s">
        <v>194</v>
      </c>
      <c r="L13" s="356">
        <f>L12</f>
        <v>0</v>
      </c>
      <c r="M13" s="340">
        <f>IF(WERKBON!$D$16="P42",Software!M56,IF(WERKBON!$D$16="A42",Software!M100,IF(WERKBON!$D$16="U42",Software!M144,IF(WERKBON!$D$16="U52",Software!M188,""))))</f>
      </c>
      <c r="N13" s="356" t="e">
        <f>L13-M13</f>
        <v>#VALUE!</v>
      </c>
      <c r="P13" t="s">
        <v>194</v>
      </c>
      <c r="Q13" s="356">
        <f>Q12</f>
        <v>0</v>
      </c>
      <c r="R13" s="340">
        <f>IF(WERKBON!$D$16="P42",Software!R56,IF(WERKBON!$D$16="A42",Software!R100,IF(WERKBON!$D$16="U42",Software!R144,IF(WERKBON!$D$16="U52",Software!R188,""))))</f>
      </c>
      <c r="S13" s="357" t="e">
        <f>Q13-R13</f>
        <v>#VALUE!</v>
      </c>
      <c r="U13" s="353" t="s">
        <v>194</v>
      </c>
      <c r="V13" s="356">
        <f>V12</f>
        <v>0</v>
      </c>
      <c r="W13" s="340">
        <f>W5</f>
        <v>11</v>
      </c>
      <c r="X13" s="357">
        <f>V13-W13</f>
        <v>-11</v>
      </c>
    </row>
    <row r="14" spans="1:24" x14ac:dyDescent="0.25">
      <c r="A14" s="353" t="s">
        <v>195</v>
      </c>
      <c r="B14" s="356">
        <f>B12</f>
        <v>0</v>
      </c>
      <c r="C14" s="340">
        <f>IF(WERKBON!$D$16="P42",Software!C57,IF(WERKBON!$D$16="A42",Software!C101,IF(WERKBON!$D$16="U42",Software!C145,IF(WERKBON!$D$16="U52",Software!C189,""))))</f>
      </c>
      <c r="D14" s="356" t="e">
        <f>B14-C14</f>
        <v>#VALUE!</v>
      </c>
      <c r="F14" t="s">
        <v>195</v>
      </c>
      <c r="G14" s="356">
        <f>G12</f>
        <v>0</v>
      </c>
      <c r="H14" s="340">
        <f>IF(WERKBON!$D$16="P42",Software!H57,IF(WERKBON!$D$16="A42",Software!H101,IF(WERKBON!$D$16="U42",Software!H145,IF(WERKBON!$D$16="U52",Software!H189,""))))</f>
      </c>
      <c r="I14" s="356" t="e">
        <f>G14-H14</f>
        <v>#VALUE!</v>
      </c>
      <c r="K14" t="s">
        <v>196</v>
      </c>
      <c r="L14" s="356">
        <f>L12</f>
        <v>0</v>
      </c>
      <c r="M14" s="340">
        <f>IF(WERKBON!$D$16="P42",Software!M57,IF(WERKBON!$D$16="A42",Software!M101,IF(WERKBON!$D$16="U42",Software!M145,IF(WERKBON!$D$16="U52",Software!M189,""))))</f>
      </c>
      <c r="N14" s="356" t="e">
        <f>L14-M14</f>
        <v>#VALUE!</v>
      </c>
      <c r="P14" t="s">
        <v>195</v>
      </c>
      <c r="Q14" s="356">
        <f>Q12</f>
        <v>0</v>
      </c>
      <c r="R14" s="340">
        <f>IF(WERKBON!$D$16="P42",Software!R57,IF(WERKBON!$D$16="A42",Software!R101,IF(WERKBON!$D$16="U42",Software!R145,IF(WERKBON!$D$16="U52",Software!R189,""))))</f>
      </c>
      <c r="S14" s="357" t="e">
        <f>Q14-R14</f>
        <v>#VALUE!</v>
      </c>
      <c r="U14" s="353" t="s">
        <v>195</v>
      </c>
      <c r="V14" s="356">
        <f>V12</f>
        <v>0</v>
      </c>
      <c r="W14" s="137">
        <f>W6</f>
        <v>52</v>
      </c>
      <c r="X14" s="357">
        <f>V14-W14</f>
        <v>-52</v>
      </c>
    </row>
    <row r="15" spans="1:24" x14ac:dyDescent="0.25">
      <c r="A15" s="353" t="s">
        <v>197</v>
      </c>
      <c r="B15" s="356">
        <f>B12</f>
        <v>0</v>
      </c>
      <c r="C15" s="340">
        <f>IF(WERKBON!$D$16="P42",Software!C58,IF(WERKBON!$D$16="A42",Software!C102,IF(WERKBON!$D$16="U42",Software!C146,IF(WERKBON!$D$16="U52",Software!C190,""))))</f>
      </c>
      <c r="D15" s="356" t="e">
        <f>B15-C15</f>
        <v>#VALUE!</v>
      </c>
      <c r="F15" t="s">
        <v>197</v>
      </c>
      <c r="G15" s="356">
        <f>G12</f>
        <v>0</v>
      </c>
      <c r="H15" s="340">
        <f>IF(WERKBON!$D$16="P42",Software!H58,IF(WERKBON!$D$16="A42",Software!H102,IF(WERKBON!$D$16="U42",Software!H146,IF(WERKBON!$D$16="U52",Software!H190,""))))</f>
      </c>
      <c r="I15" s="356" t="e">
        <f>G15-H15</f>
        <v>#VALUE!</v>
      </c>
      <c r="J15" s="358"/>
      <c r="K15" t="s">
        <v>198</v>
      </c>
      <c r="L15" s="356">
        <f>L12</f>
        <v>0</v>
      </c>
      <c r="M15" s="340">
        <f>IF(WERKBON!$D$16="P42",Software!M58,IF(WERKBON!$D$16="A42",Software!M102,IF(WERKBON!$D$16="U42",Software!M146,IF(WERKBON!$D$16="U52",Software!M190,""))))</f>
      </c>
      <c r="N15" s="356" t="e">
        <f>L15-M15</f>
        <v>#VALUE!</v>
      </c>
      <c r="P15" t="s">
        <v>197</v>
      </c>
      <c r="Q15" s="356">
        <f>Q12</f>
        <v>0</v>
      </c>
      <c r="R15" s="340">
        <f>IF(WERKBON!$D$16="P42",Software!R58,IF(WERKBON!$D$16="A42",Software!R102,IF(WERKBON!$D$16="U42",Software!R146,IF(WERKBON!$D$16="U52",Software!R190,""))))</f>
      </c>
      <c r="S15" s="357" t="e">
        <f>Q15-R15</f>
        <v>#VALUE!</v>
      </c>
      <c r="U15" s="353" t="s">
        <v>197</v>
      </c>
      <c r="V15" s="356">
        <f>V12</f>
        <v>0</v>
      </c>
      <c r="W15" s="137">
        <f>W7</f>
        <v>74</v>
      </c>
      <c r="X15" s="357">
        <f>V15-W15</f>
        <v>-74</v>
      </c>
    </row>
    <row r="16" spans="1:24" x14ac:dyDescent="0.25">
      <c r="A16" s="353"/>
      <c r="B16" s="356"/>
      <c r="C16" s="137"/>
      <c r="D16" s="356"/>
      <c r="G16" s="356"/>
      <c r="H16" s="137"/>
      <c r="I16" s="356"/>
      <c r="J16" s="358"/>
      <c r="K16" t="s">
        <v>197</v>
      </c>
      <c r="L16" s="356">
        <f>L12</f>
        <v>0</v>
      </c>
      <c r="M16" s="340">
        <f>IF(WERKBON!$D$16="P42",Software!M59,IF(WERKBON!$D$16="A42",Software!M103,IF(WERKBON!$D$16="U42",Software!M147,IF(WERKBON!$D$16="U52",Software!M191,""))))</f>
      </c>
      <c r="N16" s="356" t="e">
        <f>L16-M16</f>
        <v>#VALUE!</v>
      </c>
      <c r="Q16" s="356"/>
      <c r="R16" s="137"/>
      <c r="S16" s="357"/>
      <c r="U16" s="353"/>
      <c r="X16" s="30"/>
    </row>
    <row r="17" spans="1:24" x14ac:dyDescent="0.25">
      <c r="A17" s="353"/>
      <c r="I17" s="358"/>
      <c r="J17" s="358"/>
      <c r="S17" s="30"/>
      <c r="U17" s="353"/>
      <c r="X17" s="30"/>
    </row>
    <row r="18" spans="1:24" x14ac:dyDescent="0.25">
      <c r="A18" s="351" t="s">
        <v>33</v>
      </c>
      <c r="B18" s="273"/>
      <c r="C18" s="273"/>
      <c r="D18" s="273"/>
      <c r="E18" s="273"/>
      <c r="F18" s="273" t="s">
        <v>33</v>
      </c>
      <c r="G18" s="273"/>
      <c r="H18" s="273"/>
      <c r="I18" s="273"/>
      <c r="J18" s="359"/>
      <c r="K18" s="273" t="s">
        <v>33</v>
      </c>
      <c r="L18" s="273"/>
      <c r="M18" s="273"/>
      <c r="N18" s="273"/>
      <c r="O18" s="273"/>
      <c r="P18" s="273" t="s">
        <v>33</v>
      </c>
      <c r="Q18" s="273"/>
      <c r="R18" s="273"/>
      <c r="S18" s="352"/>
      <c r="U18" s="351" t="s">
        <v>33</v>
      </c>
      <c r="V18" s="273"/>
      <c r="W18" s="273"/>
      <c r="X18" s="352"/>
    </row>
    <row r="19" spans="1:24" x14ac:dyDescent="0.25">
      <c r="A19" s="353"/>
      <c r="B19" s="137" t="s">
        <v>161</v>
      </c>
      <c r="C19" s="137" t="s">
        <v>191</v>
      </c>
      <c r="D19" s="137" t="s">
        <v>192</v>
      </c>
      <c r="G19" s="137" t="s">
        <v>161</v>
      </c>
      <c r="H19" s="137" t="s">
        <v>191</v>
      </c>
      <c r="I19" s="137" t="s">
        <v>192</v>
      </c>
      <c r="J19" s="358"/>
      <c r="L19" s="137" t="s">
        <v>161</v>
      </c>
      <c r="M19" s="137" t="s">
        <v>191</v>
      </c>
      <c r="N19" s="137" t="s">
        <v>192</v>
      </c>
      <c r="Q19" s="137" t="s">
        <v>161</v>
      </c>
      <c r="R19" s="137" t="s">
        <v>191</v>
      </c>
      <c r="S19" s="355" t="s">
        <v>192</v>
      </c>
      <c r="U19" s="353"/>
      <c r="V19" s="137" t="s">
        <v>161</v>
      </c>
      <c r="W19" s="137" t="s">
        <v>191</v>
      </c>
      <c r="X19" s="355" t="s">
        <v>192</v>
      </c>
    </row>
    <row r="20" spans="1:24" x14ac:dyDescent="0.25">
      <c r="A20" s="353" t="s">
        <v>193</v>
      </c>
      <c r="B20" s="356">
        <f>WERKBON!$E$23</f>
        <v>0</v>
      </c>
      <c r="C20" s="340">
        <f>IF(WERKBON!$E$16="P42",Software!C63,IF(WERKBON!$E$16="A42",Software!C107,IF(WERKBON!$E$16="U42",Software!C151,IF(WERKBON!$E$16="U52",Software!C195,""))))</f>
      </c>
      <c r="D20" s="356" t="e">
        <f>B20-C20</f>
        <v>#VALUE!</v>
      </c>
      <c r="F20" t="s">
        <v>193</v>
      </c>
      <c r="G20" s="356">
        <f>WERKBON!$E$23</f>
        <v>0</v>
      </c>
      <c r="H20" s="340">
        <f>IF(WERKBON!$E$16="P42",Software!H63,IF(WERKBON!$E$16="A42",Software!H107,IF(WERKBON!$E$16="U42",Software!H151,IF(WERKBON!$E$16="U52",Software!H195,""))))</f>
      </c>
      <c r="I20" s="356" t="e">
        <f>G20-H20</f>
        <v>#VALUE!</v>
      </c>
      <c r="J20" s="358"/>
      <c r="K20" t="s">
        <v>193</v>
      </c>
      <c r="L20" s="356">
        <f>WERKBON!$E$23</f>
        <v>0</v>
      </c>
      <c r="M20" s="340">
        <f>IF(WERKBON!$E$16="P42",Software!M63,IF(WERKBON!$E$16="A42",Software!M107,IF(WERKBON!$E$16="U42",Software!M151,IF(WERKBON!$E$16="U52",Software!M195,""))))</f>
      </c>
      <c r="N20" s="356" t="e">
        <f>L20-M20</f>
        <v>#VALUE!</v>
      </c>
      <c r="P20" t="s">
        <v>193</v>
      </c>
      <c r="Q20" s="356">
        <f>WERKBON!$E$23</f>
        <v>0</v>
      </c>
      <c r="R20" s="340">
        <f>IF(WERKBON!$E$16="P42",Software!R63,IF(WERKBON!$E$16="A42",Software!R107,IF(WERKBON!$E$16="U42",Software!R151,IF(WERKBON!$E$16="U52",Software!R195,""))))</f>
      </c>
      <c r="S20" s="357" t="e">
        <f>Q20-R20</f>
        <v>#VALUE!</v>
      </c>
      <c r="U20" s="353" t="s">
        <v>193</v>
      </c>
      <c r="V20" s="356">
        <f>WERKBON!$E$23</f>
        <v>0</v>
      </c>
      <c r="W20" s="340">
        <f>W4</f>
        <v>74</v>
      </c>
      <c r="X20" s="357">
        <f>V20-W20</f>
        <v>-74</v>
      </c>
    </row>
    <row r="21" spans="1:24" x14ac:dyDescent="0.25">
      <c r="A21" s="353" t="s">
        <v>194</v>
      </c>
      <c r="B21" s="356">
        <f>B20</f>
        <v>0</v>
      </c>
      <c r="C21" s="340">
        <f>IF(WERKBON!$E$16="P42",Software!C64,IF(WERKBON!$E$16="A42",Software!C108,IF(WERKBON!$E$16="U42",Software!C152,IF(WERKBON!$E$16="U52",Software!C196,""))))</f>
      </c>
      <c r="D21" s="356" t="e">
        <f>B21-C21</f>
        <v>#VALUE!</v>
      </c>
      <c r="F21" t="s">
        <v>194</v>
      </c>
      <c r="G21" s="356">
        <f>G20</f>
        <v>0</v>
      </c>
      <c r="H21" s="340">
        <f>IF(WERKBON!$E$16="P42",Software!H64,IF(WERKBON!$E$16="A42",Software!H108,IF(WERKBON!$E$16="U42",Software!H152,IF(WERKBON!$E$16="U52",Software!H196,""))))</f>
      </c>
      <c r="I21" s="356" t="e">
        <f>G21-H21</f>
        <v>#VALUE!</v>
      </c>
      <c r="J21" s="358"/>
      <c r="K21" t="s">
        <v>194</v>
      </c>
      <c r="L21" s="356">
        <f>L20</f>
        <v>0</v>
      </c>
      <c r="M21" s="340">
        <f>IF(WERKBON!$E$16="P42",Software!M64,IF(WERKBON!$E$16="A42",Software!M108,IF(WERKBON!$E$16="U42",Software!M152,IF(WERKBON!$E$16="U52",Software!M196,""))))</f>
      </c>
      <c r="N21" s="356" t="e">
        <f>L21-M21</f>
        <v>#VALUE!</v>
      </c>
      <c r="P21" t="s">
        <v>194</v>
      </c>
      <c r="Q21" s="356">
        <f>Q20</f>
        <v>0</v>
      </c>
      <c r="R21" s="340">
        <f>IF(WERKBON!$E$16="P42",Software!R64,IF(WERKBON!$E$16="A42",Software!R108,IF(WERKBON!$E$16="U42",Software!R152,IF(WERKBON!$E$16="U52",Software!R196,""))))</f>
      </c>
      <c r="S21" s="357" t="e">
        <f>Q21-R21</f>
        <v>#VALUE!</v>
      </c>
      <c r="U21" s="353" t="s">
        <v>194</v>
      </c>
      <c r="V21" s="356">
        <f>V20</f>
        <v>0</v>
      </c>
      <c r="W21" s="340">
        <f>W5</f>
        <v>11</v>
      </c>
      <c r="X21" s="357">
        <f>V21-W21</f>
        <v>-11</v>
      </c>
    </row>
    <row r="22" spans="1:24" x14ac:dyDescent="0.25">
      <c r="A22" s="353" t="s">
        <v>195</v>
      </c>
      <c r="B22" s="356">
        <f>B20</f>
        <v>0</v>
      </c>
      <c r="C22" s="340">
        <f>IF(WERKBON!$E$16="P42",Software!C65,IF(WERKBON!$E$16="A42",Software!C109,IF(WERKBON!$E$16="U42",Software!C153,IF(WERKBON!$E$16="U52",Software!C197,""))))</f>
      </c>
      <c r="D22" s="356" t="e">
        <f>B22-C22</f>
        <v>#VALUE!</v>
      </c>
      <c r="F22" t="s">
        <v>195</v>
      </c>
      <c r="G22" s="356">
        <f>G20</f>
        <v>0</v>
      </c>
      <c r="H22" s="340">
        <f>IF(WERKBON!$E$16="P42",Software!H65,IF(WERKBON!$E$16="A42",Software!H109,IF(WERKBON!$E$16="U42",Software!H153,IF(WERKBON!$E$16="U52",Software!H197,""))))</f>
      </c>
      <c r="I22" s="356" t="e">
        <f>G22-H22</f>
        <v>#VALUE!</v>
      </c>
      <c r="K22" t="s">
        <v>196</v>
      </c>
      <c r="L22" s="356">
        <f>L20</f>
        <v>0</v>
      </c>
      <c r="M22" s="340">
        <f>IF(WERKBON!$E$16="P42",Software!M65,IF(WERKBON!$E$16="A42",Software!M109,IF(WERKBON!$E$16="U42",Software!M153,IF(WERKBON!$E$16="U52",Software!M197,""))))</f>
      </c>
      <c r="N22" s="356" t="e">
        <f>L22-M22</f>
        <v>#VALUE!</v>
      </c>
      <c r="P22" t="s">
        <v>195</v>
      </c>
      <c r="Q22" s="356">
        <f>Q20</f>
        <v>0</v>
      </c>
      <c r="R22" s="340">
        <f>IF(WERKBON!$E$16="P42",Software!R65,IF(WERKBON!$E$16="A42",Software!R109,IF(WERKBON!$E$16="U42",Software!R153,IF(WERKBON!$E$16="U52",Software!R197,""))))</f>
      </c>
      <c r="S22" s="357" t="e">
        <f>Q22-R22</f>
        <v>#VALUE!</v>
      </c>
      <c r="U22" s="353" t="s">
        <v>195</v>
      </c>
      <c r="V22" s="356">
        <f>V20</f>
        <v>0</v>
      </c>
      <c r="W22" s="137">
        <f>W6</f>
        <v>52</v>
      </c>
      <c r="X22" s="357">
        <f>V22-W22</f>
        <v>-52</v>
      </c>
    </row>
    <row r="23" spans="1:24" x14ac:dyDescent="0.25">
      <c r="A23" s="353" t="s">
        <v>197</v>
      </c>
      <c r="B23" s="356">
        <f>B20</f>
        <v>0</v>
      </c>
      <c r="C23" s="340">
        <f>IF(WERKBON!$E$16="P42",Software!C66,IF(WERKBON!$E$16="A42",Software!C110,IF(WERKBON!$E$16="U42",Software!C154,IF(WERKBON!$E$16="U52",Software!C198,""))))</f>
      </c>
      <c r="D23" s="356" t="e">
        <f>B23-C23</f>
        <v>#VALUE!</v>
      </c>
      <c r="F23" t="s">
        <v>197</v>
      </c>
      <c r="G23" s="356">
        <f>G20</f>
        <v>0</v>
      </c>
      <c r="H23" s="340">
        <f>IF(WERKBON!$E$16="P42",Software!H66,IF(WERKBON!$E$16="A42",Software!H110,IF(WERKBON!$E$16="U42",Software!H154,IF(WERKBON!$E$16="U52",Software!H198,""))))</f>
      </c>
      <c r="I23" s="356" t="e">
        <f>G23-H23</f>
        <v>#VALUE!</v>
      </c>
      <c r="K23" t="s">
        <v>198</v>
      </c>
      <c r="L23" s="356">
        <f>L20</f>
        <v>0</v>
      </c>
      <c r="M23" s="340">
        <f>IF(WERKBON!$E$16="P42",Software!M66,IF(WERKBON!$E$16="A42",Software!M110,IF(WERKBON!$E$16="U42",Software!M154,IF(WERKBON!$E$16="U52",Software!M198,""))))</f>
      </c>
      <c r="N23" s="356" t="e">
        <f>L23-M23</f>
        <v>#VALUE!</v>
      </c>
      <c r="P23" t="s">
        <v>197</v>
      </c>
      <c r="Q23" s="356">
        <f>Q20</f>
        <v>0</v>
      </c>
      <c r="R23" s="340">
        <f>IF(WERKBON!$E$16="P42",Software!R66,IF(WERKBON!$E$16="A42",Software!R110,IF(WERKBON!$E$16="U42",Software!R154,IF(WERKBON!$E$16="U52",Software!R198,""))))</f>
      </c>
      <c r="S23" s="357" t="e">
        <f>Q23-R23</f>
        <v>#VALUE!</v>
      </c>
      <c r="U23" s="353" t="s">
        <v>197</v>
      </c>
      <c r="V23" s="356">
        <f>V20</f>
        <v>0</v>
      </c>
      <c r="W23" s="137">
        <f>W7</f>
        <v>74</v>
      </c>
      <c r="X23" s="357">
        <f>V23-W23</f>
        <v>-74</v>
      </c>
    </row>
    <row r="24" spans="1:24" x14ac:dyDescent="0.25">
      <c r="A24" s="353"/>
      <c r="B24" s="356"/>
      <c r="C24" s="137"/>
      <c r="D24" s="356"/>
      <c r="G24" s="356"/>
      <c r="H24" s="137"/>
      <c r="I24" s="356"/>
      <c r="K24" t="s">
        <v>197</v>
      </c>
      <c r="L24" s="356">
        <f>L20</f>
        <v>0</v>
      </c>
      <c r="M24" s="340">
        <f>IF(WERKBON!$E$16="P42",Software!M67,IF(WERKBON!$E$16="A42",Software!M111,IF(WERKBON!$E$16="U42",Software!M155,IF(WERKBON!$E$16="U52",Software!M199,""))))</f>
      </c>
      <c r="N24" s="356" t="e">
        <f>L24-M24</f>
        <v>#VALUE!</v>
      </c>
      <c r="Q24" s="356"/>
      <c r="R24" s="137"/>
      <c r="S24" s="357"/>
      <c r="U24" s="353"/>
      <c r="X24" s="30"/>
    </row>
    <row r="25" spans="1:24" x14ac:dyDescent="0.25">
      <c r="A25" s="353"/>
      <c r="S25" s="30"/>
      <c r="U25" s="353"/>
      <c r="X25" s="30"/>
    </row>
    <row r="26" spans="1:24" x14ac:dyDescent="0.25">
      <c r="A26" s="351" t="s">
        <v>34</v>
      </c>
      <c r="B26" s="273"/>
      <c r="C26" s="273"/>
      <c r="D26" s="273"/>
      <c r="E26" s="273"/>
      <c r="F26" s="273" t="s">
        <v>34</v>
      </c>
      <c r="G26" s="273"/>
      <c r="H26" s="273"/>
      <c r="I26" s="273"/>
      <c r="J26" s="273"/>
      <c r="K26" s="273" t="s">
        <v>34</v>
      </c>
      <c r="L26" s="273"/>
      <c r="M26" s="273"/>
      <c r="N26" s="273"/>
      <c r="O26" s="273"/>
      <c r="P26" s="273" t="s">
        <v>34</v>
      </c>
      <c r="Q26" s="273"/>
      <c r="R26" s="273"/>
      <c r="S26" s="352"/>
      <c r="U26" s="351" t="s">
        <v>34</v>
      </c>
      <c r="V26" s="273"/>
      <c r="W26" s="273"/>
      <c r="X26" s="352"/>
    </row>
    <row r="27" spans="1:24" x14ac:dyDescent="0.25">
      <c r="A27" s="353"/>
      <c r="B27" s="137" t="s">
        <v>161</v>
      </c>
      <c r="C27" s="137" t="s">
        <v>191</v>
      </c>
      <c r="D27" s="137" t="s">
        <v>192</v>
      </c>
      <c r="G27" s="137" t="s">
        <v>161</v>
      </c>
      <c r="H27" s="137" t="s">
        <v>191</v>
      </c>
      <c r="I27" s="137" t="s">
        <v>192</v>
      </c>
      <c r="L27" s="137" t="s">
        <v>161</v>
      </c>
      <c r="M27" s="137" t="s">
        <v>191</v>
      </c>
      <c r="N27" s="137" t="s">
        <v>192</v>
      </c>
      <c r="Q27" s="137" t="s">
        <v>161</v>
      </c>
      <c r="R27" s="137" t="s">
        <v>191</v>
      </c>
      <c r="S27" s="355" t="s">
        <v>192</v>
      </c>
      <c r="U27" s="353"/>
      <c r="V27" s="137" t="s">
        <v>161</v>
      </c>
      <c r="W27" s="137" t="s">
        <v>191</v>
      </c>
      <c r="X27" s="355" t="s">
        <v>192</v>
      </c>
    </row>
    <row r="28" spans="1:24" x14ac:dyDescent="0.25">
      <c r="A28" s="353" t="s">
        <v>193</v>
      </c>
      <c r="B28" s="356">
        <f>WERKBON!$F$23</f>
        <v>0</v>
      </c>
      <c r="C28" s="340">
        <f>IF(WERKBON!$F$16="P42",Software!C71,IF(WERKBON!$F$16="A42",Software!C115,IF(WERKBON!$F$16="U42",Software!C159,IF(WERKBON!$F$16="U52",Software!C203,""))))</f>
      </c>
      <c r="D28" s="356" t="e">
        <f>B28-C28</f>
        <v>#VALUE!</v>
      </c>
      <c r="F28" t="s">
        <v>193</v>
      </c>
      <c r="G28" s="356">
        <f>WERKBON!$F$23</f>
        <v>0</v>
      </c>
      <c r="H28" s="340">
        <f>IF(WERKBON!$F$16="P42",Software!H71,IF(WERKBON!$F$16="A42",Software!H115,IF(WERKBON!$F$16="U42",Software!H159,IF(WERKBON!$F$16="U52",Software!H203,""))))</f>
      </c>
      <c r="I28" s="356" t="e">
        <f>G28-H28</f>
        <v>#VALUE!</v>
      </c>
      <c r="K28" t="s">
        <v>193</v>
      </c>
      <c r="L28" s="356">
        <f>WERKBON!$F$23</f>
        <v>0</v>
      </c>
      <c r="M28" s="340">
        <f>IF(WERKBON!$F$16="P42",Software!M71,IF(WERKBON!$F$16="A42",Software!M115,IF(WERKBON!$F$16="U42",Software!M159,IF(WERKBON!$F$16="U52",Software!M203,""))))</f>
      </c>
      <c r="N28" s="356" t="e">
        <f>L28-M28</f>
        <v>#VALUE!</v>
      </c>
      <c r="P28" t="s">
        <v>193</v>
      </c>
      <c r="Q28" s="356">
        <f>WERKBON!$F$23</f>
        <v>0</v>
      </c>
      <c r="R28" s="340">
        <f>IF(WERKBON!$F$16="P42",Software!R71,IF(WERKBON!$F$16="A42",Software!R115,IF(WERKBON!$F$16="U42",Software!R159,IF(WERKBON!$F$16="U52",Software!R203,""))))</f>
      </c>
      <c r="S28" s="357" t="e">
        <f>Q28-R28</f>
        <v>#VALUE!</v>
      </c>
      <c r="U28" s="353" t="s">
        <v>193</v>
      </c>
      <c r="V28" s="356">
        <f>WERKBON!$F$23</f>
        <v>0</v>
      </c>
      <c r="W28" s="340">
        <f>W4</f>
        <v>74</v>
      </c>
      <c r="X28" s="357">
        <f>V28-W28</f>
        <v>-74</v>
      </c>
    </row>
    <row r="29" spans="1:24" x14ac:dyDescent="0.25">
      <c r="A29" s="353" t="s">
        <v>194</v>
      </c>
      <c r="B29" s="356">
        <f>B28</f>
        <v>0</v>
      </c>
      <c r="C29" s="340">
        <f>IF(WERKBON!$F$16="P42",Software!C72,IF(WERKBON!$F$16="A42",Software!C116,IF(WERKBON!$F$16="U42",Software!C160,IF(WERKBON!$F$16="U52",Software!C204,""))))</f>
      </c>
      <c r="D29" s="356" t="e">
        <f>B29-C29</f>
        <v>#VALUE!</v>
      </c>
      <c r="F29" t="s">
        <v>194</v>
      </c>
      <c r="G29" s="356">
        <f>G28</f>
        <v>0</v>
      </c>
      <c r="H29" s="340">
        <f>IF(WERKBON!$F$16="P42",Software!H72,IF(WERKBON!$F$16="A42",Software!H116,IF(WERKBON!$F$16="U42",Software!H160,IF(WERKBON!$F$16="U52",Software!H204,""))))</f>
      </c>
      <c r="I29" s="356" t="e">
        <f>G29-H29</f>
        <v>#VALUE!</v>
      </c>
      <c r="K29" t="s">
        <v>194</v>
      </c>
      <c r="L29" s="356">
        <f>L28</f>
        <v>0</v>
      </c>
      <c r="M29" s="340">
        <f>IF(WERKBON!$F$16="P42",Software!M72,IF(WERKBON!$F$16="A42",Software!M116,IF(WERKBON!$F$16="U42",Software!M160,IF(WERKBON!$F$16="U52",Software!M204,""))))</f>
      </c>
      <c r="N29" s="356" t="e">
        <f>L29-M29</f>
        <v>#VALUE!</v>
      </c>
      <c r="P29" t="s">
        <v>194</v>
      </c>
      <c r="Q29" s="356">
        <f>Q28</f>
        <v>0</v>
      </c>
      <c r="R29" s="340">
        <f>IF(WERKBON!$F$16="P42",Software!R72,IF(WERKBON!$F$16="A42",Software!R116,IF(WERKBON!$F$16="U42",Software!R160,IF(WERKBON!$F$16="U52",Software!R204,""))))</f>
      </c>
      <c r="S29" s="357" t="e">
        <f>Q29-R29</f>
        <v>#VALUE!</v>
      </c>
      <c r="U29" s="353" t="s">
        <v>194</v>
      </c>
      <c r="V29" s="356">
        <f>V28</f>
        <v>0</v>
      </c>
      <c r="W29" s="340">
        <f>W5</f>
        <v>11</v>
      </c>
      <c r="X29" s="357">
        <f>V29-W29</f>
        <v>-11</v>
      </c>
    </row>
    <row r="30" spans="1:24" x14ac:dyDescent="0.25">
      <c r="A30" s="353" t="s">
        <v>195</v>
      </c>
      <c r="B30" s="356">
        <f>B28</f>
        <v>0</v>
      </c>
      <c r="C30" s="340">
        <f>IF(WERKBON!$F$16="P42",Software!C73,IF(WERKBON!$F$16="A42",Software!C117,IF(WERKBON!$F$16="U42",Software!C161,IF(WERKBON!$F$16="U52",Software!C205,""))))</f>
      </c>
      <c r="D30" s="356" t="e">
        <f>B30-C30</f>
        <v>#VALUE!</v>
      </c>
      <c r="F30" t="s">
        <v>195</v>
      </c>
      <c r="G30" s="356">
        <f>G28</f>
        <v>0</v>
      </c>
      <c r="H30" s="340">
        <f>IF(WERKBON!$F$16="P42",Software!H73,IF(WERKBON!$F$16="A42",Software!H117,IF(WERKBON!$F$16="U42",Software!H161,IF(WERKBON!$F$16="U52",Software!H205,""))))</f>
      </c>
      <c r="I30" s="356" t="e">
        <f>G30-H30</f>
        <v>#VALUE!</v>
      </c>
      <c r="K30" t="s">
        <v>196</v>
      </c>
      <c r="L30" s="356">
        <f>L28</f>
        <v>0</v>
      </c>
      <c r="M30" s="340">
        <f>IF(WERKBON!$F$16="P42",Software!M73,IF(WERKBON!$F$16="A42",Software!M117,IF(WERKBON!$F$16="U42",Software!M161,IF(WERKBON!$F$16="U52",Software!M205,""))))</f>
      </c>
      <c r="N30" s="356" t="e">
        <f>L30-M30</f>
        <v>#VALUE!</v>
      </c>
      <c r="P30" t="s">
        <v>195</v>
      </c>
      <c r="Q30" s="356">
        <f>Q28</f>
        <v>0</v>
      </c>
      <c r="R30" s="340">
        <f>IF(WERKBON!$F$16="P42",Software!R73,IF(WERKBON!$F$16="A42",Software!R117,IF(WERKBON!$F$16="U42",Software!R161,IF(WERKBON!$F$16="U52",Software!R205,""))))</f>
      </c>
      <c r="S30" s="357" t="e">
        <f>Q30-R30</f>
        <v>#VALUE!</v>
      </c>
      <c r="U30" s="353" t="s">
        <v>195</v>
      </c>
      <c r="V30" s="356">
        <f>V28</f>
        <v>0</v>
      </c>
      <c r="W30" s="137">
        <f>W6</f>
        <v>52</v>
      </c>
      <c r="X30" s="357">
        <f>V30-W30</f>
        <v>-52</v>
      </c>
    </row>
    <row r="31" spans="1:24" x14ac:dyDescent="0.25">
      <c r="A31" s="353" t="s">
        <v>197</v>
      </c>
      <c r="B31" s="356">
        <f>B28</f>
        <v>0</v>
      </c>
      <c r="C31" s="340">
        <f>IF(WERKBON!$F$16="P42",Software!C74,IF(WERKBON!$F$16="A42",Software!C118,IF(WERKBON!$F$16="U42",Software!C162,IF(WERKBON!$F$16="U52",Software!C206,""))))</f>
      </c>
      <c r="D31" s="356" t="e">
        <f>B31-C31</f>
        <v>#VALUE!</v>
      </c>
      <c r="F31" t="s">
        <v>197</v>
      </c>
      <c r="G31" s="356">
        <f>G28</f>
        <v>0</v>
      </c>
      <c r="H31" s="340">
        <f>IF(WERKBON!$F$16="P42",Software!H74,IF(WERKBON!$F$16="A42",Software!H118,IF(WERKBON!$F$16="U42",Software!H162,IF(WERKBON!$F$16="U52",Software!H206,""))))</f>
      </c>
      <c r="I31" s="356" t="e">
        <f>G31-H31</f>
        <v>#VALUE!</v>
      </c>
      <c r="K31" t="s">
        <v>198</v>
      </c>
      <c r="L31" s="356">
        <f>L28</f>
        <v>0</v>
      </c>
      <c r="M31" s="340">
        <f>IF(WERKBON!$F$16="P42",Software!M74,IF(WERKBON!$F$16="A42",Software!M118,IF(WERKBON!$F$16="U42",Software!M162,IF(WERKBON!$F$16="U52",Software!M206,""))))</f>
      </c>
      <c r="N31" s="356" t="e">
        <f>L31-M31</f>
        <v>#VALUE!</v>
      </c>
      <c r="P31" t="s">
        <v>197</v>
      </c>
      <c r="Q31" s="356">
        <f>Q28</f>
        <v>0</v>
      </c>
      <c r="R31" s="340">
        <f>IF(WERKBON!$F$16="P42",Software!R74,IF(WERKBON!$F$16="A42",Software!R118,IF(WERKBON!$F$16="U42",Software!R162,IF(WERKBON!$F$16="U52",Software!R206,""))))</f>
      </c>
      <c r="S31" s="357" t="e">
        <f>Q31-R31</f>
        <v>#VALUE!</v>
      </c>
      <c r="U31" s="353" t="s">
        <v>197</v>
      </c>
      <c r="V31" s="356">
        <f>V28</f>
        <v>0</v>
      </c>
      <c r="W31" s="137">
        <f>W7</f>
        <v>74</v>
      </c>
      <c r="X31" s="357">
        <f>V31-W31</f>
        <v>-74</v>
      </c>
    </row>
    <row r="32" spans="1:24" x14ac:dyDescent="0.25">
      <c r="A32" s="353"/>
      <c r="B32" s="356"/>
      <c r="C32" s="137"/>
      <c r="D32" s="356"/>
      <c r="G32" s="356"/>
      <c r="H32" s="137"/>
      <c r="I32" s="356"/>
      <c r="K32" t="s">
        <v>197</v>
      </c>
      <c r="L32" s="356">
        <f>L28</f>
        <v>0</v>
      </c>
      <c r="M32" s="340">
        <f>IF(WERKBON!$F$16="P42",Software!M75,IF(WERKBON!$F$16="A42",Software!M119,IF(WERKBON!$F$16="U42",Software!M163,IF(WERKBON!$F$16="U52",Software!M207,""))))</f>
      </c>
      <c r="N32" s="356" t="e">
        <f>L32-M32</f>
        <v>#VALUE!</v>
      </c>
      <c r="Q32" s="356"/>
      <c r="R32" s="137"/>
      <c r="S32" s="357"/>
      <c r="U32" s="353"/>
      <c r="X32" s="30"/>
    </row>
    <row r="33" spans="1:24" x14ac:dyDescent="0.25">
      <c r="A33" s="353"/>
      <c r="S33" s="30"/>
      <c r="U33" s="353"/>
      <c r="X33" s="30"/>
    </row>
    <row r="34" spans="1:24" x14ac:dyDescent="0.25">
      <c r="A34" s="351" t="s">
        <v>35</v>
      </c>
      <c r="B34" s="273"/>
      <c r="C34" s="273"/>
      <c r="D34" s="273"/>
      <c r="E34" s="273"/>
      <c r="F34" s="273" t="s">
        <v>35</v>
      </c>
      <c r="G34" s="273"/>
      <c r="H34" s="273"/>
      <c r="I34" s="273"/>
      <c r="J34" s="273"/>
      <c r="K34" s="273" t="s">
        <v>35</v>
      </c>
      <c r="L34" s="273"/>
      <c r="M34" s="273"/>
      <c r="N34" s="273"/>
      <c r="O34" s="273"/>
      <c r="P34" s="273" t="s">
        <v>35</v>
      </c>
      <c r="Q34" s="273"/>
      <c r="R34" s="273"/>
      <c r="S34" s="352"/>
      <c r="U34" s="351" t="s">
        <v>35</v>
      </c>
      <c r="V34" s="273"/>
      <c r="W34" s="273"/>
      <c r="X34" s="352"/>
    </row>
    <row r="35" spans="1:24" x14ac:dyDescent="0.25">
      <c r="A35" s="353"/>
      <c r="B35" s="137" t="s">
        <v>161</v>
      </c>
      <c r="C35" s="137" t="s">
        <v>191</v>
      </c>
      <c r="D35" s="137" t="s">
        <v>192</v>
      </c>
      <c r="G35" s="137" t="s">
        <v>161</v>
      </c>
      <c r="H35" s="137" t="s">
        <v>191</v>
      </c>
      <c r="I35" s="137" t="s">
        <v>192</v>
      </c>
      <c r="L35" s="137" t="s">
        <v>161</v>
      </c>
      <c r="M35" s="137" t="s">
        <v>191</v>
      </c>
      <c r="N35" s="137" t="s">
        <v>192</v>
      </c>
      <c r="Q35" s="137" t="s">
        <v>161</v>
      </c>
      <c r="R35" s="137" t="s">
        <v>191</v>
      </c>
      <c r="S35" s="355" t="s">
        <v>192</v>
      </c>
      <c r="U35" s="353"/>
      <c r="V35" s="137" t="s">
        <v>161</v>
      </c>
      <c r="W35" s="137" t="s">
        <v>191</v>
      </c>
      <c r="X35" s="355" t="s">
        <v>192</v>
      </c>
    </row>
    <row r="36" spans="1:24" x14ac:dyDescent="0.25">
      <c r="A36" s="353" t="s">
        <v>193</v>
      </c>
      <c r="B36" s="356">
        <f>WERKBON!$G$23</f>
        <v>0</v>
      </c>
      <c r="C36" s="340">
        <f>IF(WERKBON!$G$16="P42",Software!C79,IF(WERKBON!$G$16="A42",Software!C123,IF(WERKBON!$G$16="U42",Software!C167,IF(WERKBON!$G$16="U52",Software!C211,""))))</f>
      </c>
      <c r="D36" s="356" t="e">
        <f>B36-C36</f>
        <v>#VALUE!</v>
      </c>
      <c r="F36" t="s">
        <v>193</v>
      </c>
      <c r="G36" s="356">
        <f>WERKBON!$G$23</f>
        <v>0</v>
      </c>
      <c r="H36" s="340">
        <f>IF(WERKBON!$G$16="P42",Software!H79,IF(WERKBON!$G$16="A42",Software!H123,IF(WERKBON!$G$16="U42",Software!H167,IF(WERKBON!$G$16="U52",Software!H211,""))))</f>
      </c>
      <c r="I36" s="356" t="e">
        <f>G36-H36</f>
        <v>#VALUE!</v>
      </c>
      <c r="K36" t="s">
        <v>193</v>
      </c>
      <c r="L36" s="356">
        <f>WERKBON!$G$23</f>
        <v>0</v>
      </c>
      <c r="M36" s="340">
        <f>IF(WERKBON!$G$16="P42",Software!M79,IF(WERKBON!$G$16="A42",Software!M123,IF(WERKBON!$G$16="U42",Software!M167,IF(WERKBON!$G$16="U52",Software!M211,""))))</f>
      </c>
      <c r="N36" s="356" t="e">
        <f>L36-M36</f>
        <v>#VALUE!</v>
      </c>
      <c r="P36" t="s">
        <v>193</v>
      </c>
      <c r="Q36" s="356">
        <f>WERKBON!$G$23</f>
        <v>0</v>
      </c>
      <c r="R36" s="340">
        <f>IF(WERKBON!$G$16="P42",Software!R79,IF(WERKBON!$G$16="A42",Software!R123,IF(WERKBON!$G$16="U42",Software!R167,IF(WERKBON!$G$16="U52",Software!R211,""))))</f>
      </c>
      <c r="S36" s="357" t="e">
        <f>Q36-R36</f>
        <v>#VALUE!</v>
      </c>
      <c r="U36" s="353" t="s">
        <v>193</v>
      </c>
      <c r="V36" s="356">
        <f>WERKBON!$G$23</f>
        <v>0</v>
      </c>
      <c r="W36" s="340">
        <f>W4</f>
        <v>74</v>
      </c>
      <c r="X36" s="357">
        <f>V36-W36</f>
        <v>-74</v>
      </c>
    </row>
    <row r="37" spans="1:24" x14ac:dyDescent="0.25">
      <c r="A37" s="353" t="s">
        <v>194</v>
      </c>
      <c r="B37" s="356">
        <f>B36</f>
        <v>0</v>
      </c>
      <c r="C37" s="340">
        <f>IF(WERKBON!$G$16="P42",Software!C80,IF(WERKBON!$G$16="A42",Software!C124,IF(WERKBON!$G$16="U42",Software!C168,IF(WERKBON!$G$16="U52",Software!C212,""))))</f>
      </c>
      <c r="D37" s="356" t="e">
        <f>B37-C37</f>
        <v>#VALUE!</v>
      </c>
      <c r="F37" t="s">
        <v>194</v>
      </c>
      <c r="G37" s="356">
        <f>G36</f>
        <v>0</v>
      </c>
      <c r="H37" s="340">
        <f>IF(WERKBON!$G$16="P42",Software!H80,IF(WERKBON!$G$16="A42",Software!H124,IF(WERKBON!$G$16="U42",Software!H168,IF(WERKBON!$G$16="U52",Software!H212,""))))</f>
      </c>
      <c r="I37" s="356" t="e">
        <f>G37-H37</f>
        <v>#VALUE!</v>
      </c>
      <c r="K37" t="s">
        <v>194</v>
      </c>
      <c r="L37" s="356">
        <f>L36</f>
        <v>0</v>
      </c>
      <c r="M37" s="340">
        <f>IF(WERKBON!$G$16="P42",Software!M80,IF(WERKBON!$G$16="A42",Software!M124,IF(WERKBON!$G$16="U42",Software!M168,IF(WERKBON!$G$16="U52",Software!M212,""))))</f>
      </c>
      <c r="N37" s="356" t="e">
        <f>L37-M37</f>
        <v>#VALUE!</v>
      </c>
      <c r="P37" t="s">
        <v>194</v>
      </c>
      <c r="Q37" s="356">
        <f>Q36</f>
        <v>0</v>
      </c>
      <c r="R37" s="340">
        <f>IF(WERKBON!$G$16="P42",Software!R80,IF(WERKBON!$G$16="A42",Software!R124,IF(WERKBON!$G$16="U42",Software!R168,IF(WERKBON!$G$16="U52",Software!R212,""))))</f>
      </c>
      <c r="S37" s="357" t="e">
        <f>Q37-R37</f>
        <v>#VALUE!</v>
      </c>
      <c r="U37" s="353" t="s">
        <v>194</v>
      </c>
      <c r="V37" s="356">
        <f>V36</f>
        <v>0</v>
      </c>
      <c r="W37" s="340">
        <f>W5</f>
        <v>11</v>
      </c>
      <c r="X37" s="357">
        <f>V37-W37</f>
        <v>-11</v>
      </c>
    </row>
    <row r="38" spans="1:24" x14ac:dyDescent="0.25">
      <c r="A38" s="353" t="s">
        <v>195</v>
      </c>
      <c r="B38" s="356">
        <f>B36</f>
        <v>0</v>
      </c>
      <c r="C38" s="340">
        <f>IF(WERKBON!$G$16="P42",Software!C81,IF(WERKBON!$G$16="A42",Software!C125,IF(WERKBON!$G$16="U42",Software!C169,IF(WERKBON!$G$16="U52",Software!C213,""))))</f>
      </c>
      <c r="D38" s="356" t="e">
        <f>B38-C38</f>
        <v>#VALUE!</v>
      </c>
      <c r="F38" t="s">
        <v>195</v>
      </c>
      <c r="G38" s="356">
        <f>G36</f>
        <v>0</v>
      </c>
      <c r="H38" s="340">
        <f>IF(WERKBON!$G$16="P42",Software!H81,IF(WERKBON!$G$16="A42",Software!H125,IF(WERKBON!$G$16="U42",Software!H169,IF(WERKBON!$G$16="U52",Software!H213,""))))</f>
      </c>
      <c r="I38" s="356" t="e">
        <f>G38-H38</f>
        <v>#VALUE!</v>
      </c>
      <c r="K38" t="s">
        <v>196</v>
      </c>
      <c r="L38" s="356">
        <f>L36</f>
        <v>0</v>
      </c>
      <c r="M38" s="340">
        <f>IF(WERKBON!$G$16="P42",Software!M81,IF(WERKBON!$G$16="A42",Software!M125,IF(WERKBON!$G$16="U42",Software!M169,IF(WERKBON!$G$16="U52",Software!M213,""))))</f>
      </c>
      <c r="N38" s="356" t="e">
        <f>L38-M38</f>
        <v>#VALUE!</v>
      </c>
      <c r="P38" t="s">
        <v>195</v>
      </c>
      <c r="Q38" s="356">
        <f>Q36</f>
        <v>0</v>
      </c>
      <c r="R38" s="340">
        <f>IF(WERKBON!$G$16="P42",Software!R81,IF(WERKBON!$G$16="A42",Software!R125,IF(WERKBON!$G$16="U42",Software!R169,IF(WERKBON!$G$16="U52",Software!R213,""))))</f>
      </c>
      <c r="S38" s="357" t="e">
        <f>Q38-R38</f>
        <v>#VALUE!</v>
      </c>
      <c r="U38" s="353" t="s">
        <v>195</v>
      </c>
      <c r="V38" s="356">
        <f>V36</f>
        <v>0</v>
      </c>
      <c r="W38" s="137">
        <f>W6</f>
        <v>52</v>
      </c>
      <c r="X38" s="357">
        <f>V38-W38</f>
        <v>-52</v>
      </c>
    </row>
    <row r="39" spans="1:24" x14ac:dyDescent="0.25">
      <c r="A39" s="353" t="s">
        <v>197</v>
      </c>
      <c r="B39" s="356">
        <f>B36</f>
        <v>0</v>
      </c>
      <c r="C39" s="340">
        <f>IF(WERKBON!$G$16="P42",Software!C82,IF(WERKBON!$G$16="A42",Software!C126,IF(WERKBON!$G$16="U42",Software!C170,IF(WERKBON!$G$16="U52",Software!C214,""))))</f>
      </c>
      <c r="D39" s="356" t="e">
        <f>B39-C39</f>
        <v>#VALUE!</v>
      </c>
      <c r="F39" t="s">
        <v>197</v>
      </c>
      <c r="G39" s="356">
        <f>G36</f>
        <v>0</v>
      </c>
      <c r="H39" s="340">
        <f>IF(WERKBON!$G$16="P42",Software!H82,IF(WERKBON!$G$16="A42",Software!H126,IF(WERKBON!$G$16="U42",Software!H170,IF(WERKBON!$G$16="U52",Software!H214,""))))</f>
      </c>
      <c r="I39" s="356" t="e">
        <f>G39-H39</f>
        <v>#VALUE!</v>
      </c>
      <c r="K39" t="s">
        <v>198</v>
      </c>
      <c r="L39" s="356">
        <f>L36</f>
        <v>0</v>
      </c>
      <c r="M39" s="340">
        <f>IF(WERKBON!$G$16="P42",Software!M82,IF(WERKBON!$G$16="A42",Software!M126,IF(WERKBON!$G$16="U42",Software!M170,IF(WERKBON!$G$16="U52",Software!M214,""))))</f>
      </c>
      <c r="N39" s="356" t="e">
        <f>L39-M39</f>
        <v>#VALUE!</v>
      </c>
      <c r="P39" t="s">
        <v>197</v>
      </c>
      <c r="Q39" s="356">
        <f>Q36</f>
        <v>0</v>
      </c>
      <c r="R39" s="340">
        <f>IF(WERKBON!$G$16="P42",Software!R82,IF(WERKBON!$G$16="A42",Software!R126,IF(WERKBON!$G$16="U42",Software!R170,IF(WERKBON!$G$16="U52",Software!R214,""))))</f>
      </c>
      <c r="S39" s="357" t="e">
        <f>Q39-R39</f>
        <v>#VALUE!</v>
      </c>
      <c r="U39" s="360" t="s">
        <v>197</v>
      </c>
      <c r="V39" s="361">
        <f>V36</f>
        <v>0</v>
      </c>
      <c r="W39" s="362">
        <f>W7</f>
        <v>74</v>
      </c>
      <c r="X39" s="363">
        <f>V39-W39</f>
        <v>-74</v>
      </c>
    </row>
    <row r="40" spans="1:19" x14ac:dyDescent="0.25">
      <c r="A40" s="353"/>
      <c r="K40" t="s">
        <v>197</v>
      </c>
      <c r="L40" s="356">
        <f>L36</f>
        <v>0</v>
      </c>
      <c r="M40" s="340">
        <f>IF(WERKBON!$G$16="P42",Software!M83,IF(WERKBON!$G$16="A42",Software!M127,IF(WERKBON!$G$16="U42",Software!M171,IF(WERKBON!$G$16="U52",Software!M215,""))))</f>
      </c>
      <c r="N40" s="356" t="e">
        <f>L40-M40</f>
        <v>#VALUE!</v>
      </c>
      <c r="S40" s="30"/>
    </row>
    <row r="41" spans="1:19" x14ac:dyDescent="0.25">
      <c r="A41" s="364"/>
      <c r="B41" s="365"/>
      <c r="C41" s="365"/>
      <c r="D41" s="365"/>
      <c r="E41" s="365"/>
      <c r="F41" s="365"/>
      <c r="G41" s="365"/>
      <c r="H41" s="365"/>
      <c r="I41" s="365"/>
      <c r="J41" s="365"/>
      <c r="K41" s="365"/>
      <c r="L41" s="365"/>
      <c r="M41" s="365"/>
      <c r="N41" s="365"/>
      <c r="O41" s="365"/>
      <c r="P41" s="365"/>
      <c r="Q41" s="365"/>
      <c r="R41" s="365"/>
      <c r="S41" s="366"/>
    </row>
    <row r="42" spans="1:19" x14ac:dyDescent="0.25">
      <c r="A42" s="367"/>
      <c r="B42" s="367"/>
      <c r="C42" s="367"/>
      <c r="D42" s="367"/>
      <c r="E42" s="367"/>
      <c r="F42" s="367"/>
      <c r="G42" s="367"/>
      <c r="H42" s="367"/>
      <c r="I42" s="367"/>
      <c r="J42" s="367"/>
      <c r="K42" s="367"/>
      <c r="L42" s="367"/>
      <c r="M42" s="368"/>
      <c r="N42" s="367"/>
      <c r="O42" s="367"/>
      <c r="P42" s="367"/>
      <c r="Q42" s="367"/>
      <c r="R42" s="367"/>
      <c r="S42" s="367"/>
    </row>
    <row r="43" ht="18" customHeight="1" spans="1:19" s="156" customFormat="1" x14ac:dyDescent="0.25">
      <c r="A43" s="369" t="s">
        <v>199</v>
      </c>
      <c r="B43" s="370"/>
      <c r="C43" s="371" t="s">
        <v>200</v>
      </c>
      <c r="D43" s="372">
        <v>42</v>
      </c>
      <c r="E43" s="373">
        <v>3.5</v>
      </c>
      <c r="F43" s="374" t="s">
        <v>201</v>
      </c>
      <c r="G43" s="375"/>
      <c r="H43" s="376"/>
      <c r="I43" s="376"/>
      <c r="J43" s="376"/>
      <c r="K43" s="376"/>
      <c r="L43" s="376"/>
      <c r="M43" s="376"/>
      <c r="N43" s="376"/>
      <c r="O43" s="376"/>
      <c r="P43" s="377" t="s">
        <v>80</v>
      </c>
      <c r="Q43" s="377"/>
      <c r="R43" s="378">
        <v>52</v>
      </c>
      <c r="S43" s="379" t="s">
        <v>202</v>
      </c>
    </row>
    <row r="44" ht="18" customHeight="1" spans="1:19" s="380" customFormat="1" x14ac:dyDescent="0.25">
      <c r="A44" s="381" t="s">
        <v>186</v>
      </c>
      <c r="F44" s="380" t="s">
        <v>187</v>
      </c>
      <c r="K44" s="380" t="s">
        <v>188</v>
      </c>
      <c r="P44" s="380" t="s">
        <v>189</v>
      </c>
      <c r="S44" s="382"/>
    </row>
    <row r="45" spans="1:19" s="273" customFormat="1" x14ac:dyDescent="0.25">
      <c r="A45" s="351" t="s">
        <v>31</v>
      </c>
      <c r="F45" s="273" t="s">
        <v>31</v>
      </c>
      <c r="J45" s="294"/>
      <c r="K45" s="273" t="s">
        <v>31</v>
      </c>
      <c r="P45" s="273" t="s">
        <v>31</v>
      </c>
      <c r="S45" s="352"/>
    </row>
    <row r="46" spans="1:19" x14ac:dyDescent="0.25">
      <c r="A46" s="353"/>
      <c r="B46" s="137" t="s">
        <v>161</v>
      </c>
      <c r="C46" s="137" t="s">
        <v>191</v>
      </c>
      <c r="D46" s="137" t="s">
        <v>192</v>
      </c>
      <c r="G46" s="137" t="s">
        <v>161</v>
      </c>
      <c r="H46" s="137" t="s">
        <v>191</v>
      </c>
      <c r="I46" s="137" t="s">
        <v>192</v>
      </c>
      <c r="J46" s="354"/>
      <c r="L46" s="137" t="s">
        <v>161</v>
      </c>
      <c r="M46" s="137" t="s">
        <v>191</v>
      </c>
      <c r="N46" s="137" t="s">
        <v>192</v>
      </c>
      <c r="Q46" s="137" t="s">
        <v>161</v>
      </c>
      <c r="R46" s="137" t="s">
        <v>191</v>
      </c>
      <c r="S46" s="355" t="s">
        <v>192</v>
      </c>
    </row>
    <row r="47" spans="1:19" x14ac:dyDescent="0.25">
      <c r="A47" s="353" t="s">
        <v>193</v>
      </c>
      <c r="B47" s="356">
        <f>WERKBON!$C$23</f>
        <v>0</v>
      </c>
      <c r="C47" s="340">
        <v>60</v>
      </c>
      <c r="D47" s="356">
        <f>B47-C47</f>
        <v>-60</v>
      </c>
      <c r="F47" t="s">
        <v>193</v>
      </c>
      <c r="G47" s="356">
        <f>WERKBON!$C$23</f>
        <v>0</v>
      </c>
      <c r="H47" s="340">
        <v>60</v>
      </c>
      <c r="I47" s="356">
        <f>G47-H47</f>
        <v>-60</v>
      </c>
      <c r="J47" s="354"/>
      <c r="K47" t="s">
        <v>193</v>
      </c>
      <c r="L47" s="356">
        <f>WERKBON!$C$23</f>
        <v>0</v>
      </c>
      <c r="M47" s="340">
        <v>60</v>
      </c>
      <c r="N47" s="356">
        <f>L47-M47</f>
        <v>-60</v>
      </c>
      <c r="P47" t="s">
        <v>193</v>
      </c>
      <c r="Q47" s="356">
        <f>WERKBON!$C$23</f>
        <v>0</v>
      </c>
      <c r="R47" s="340">
        <v>60</v>
      </c>
      <c r="S47" s="357">
        <f>Q47-R47</f>
        <v>-60</v>
      </c>
    </row>
    <row r="48" spans="1:19" x14ac:dyDescent="0.25">
      <c r="A48" s="353" t="s">
        <v>194</v>
      </c>
      <c r="B48" s="356">
        <f>B47</f>
        <v>0</v>
      </c>
      <c r="C48" s="340">
        <v>11</v>
      </c>
      <c r="D48" s="356">
        <f>B48-C48</f>
        <v>-11</v>
      </c>
      <c r="F48" t="s">
        <v>194</v>
      </c>
      <c r="G48" s="356">
        <f>G47</f>
        <v>0</v>
      </c>
      <c r="H48" s="340">
        <v>11</v>
      </c>
      <c r="I48" s="356">
        <f>G48-H48</f>
        <v>-11</v>
      </c>
      <c r="J48" s="354"/>
      <c r="K48" t="s">
        <v>194</v>
      </c>
      <c r="L48" s="356">
        <f>L47</f>
        <v>0</v>
      </c>
      <c r="M48" s="340">
        <v>11</v>
      </c>
      <c r="N48" s="356">
        <f>L48-M48</f>
        <v>-11</v>
      </c>
      <c r="P48" t="s">
        <v>194</v>
      </c>
      <c r="Q48" s="356">
        <f>Q47</f>
        <v>0</v>
      </c>
      <c r="R48" s="340">
        <v>11</v>
      </c>
      <c r="S48" s="357">
        <f>Q48-R48</f>
        <v>-11</v>
      </c>
    </row>
    <row r="49" spans="1:19" x14ac:dyDescent="0.25">
      <c r="A49" s="353" t="s">
        <v>195</v>
      </c>
      <c r="B49" s="356">
        <f>B47</f>
        <v>0</v>
      </c>
      <c r="C49" s="137">
        <v>52</v>
      </c>
      <c r="D49" s="356">
        <f>B49-C49</f>
        <v>-52</v>
      </c>
      <c r="F49" t="s">
        <v>195</v>
      </c>
      <c r="G49" s="356">
        <f>G47</f>
        <v>0</v>
      </c>
      <c r="H49" s="137">
        <v>57</v>
      </c>
      <c r="I49" s="356">
        <f>G49-H49</f>
        <v>-57</v>
      </c>
      <c r="J49" s="354"/>
      <c r="K49" t="s">
        <v>196</v>
      </c>
      <c r="L49" s="356">
        <f>L47</f>
        <v>0</v>
      </c>
      <c r="M49" s="137">
        <v>66</v>
      </c>
      <c r="N49" s="356">
        <f>L49-M49</f>
        <v>-66</v>
      </c>
      <c r="P49" t="s">
        <v>195</v>
      </c>
      <c r="Q49" s="356">
        <f>Q47</f>
        <v>0</v>
      </c>
      <c r="R49" s="137">
        <v>68</v>
      </c>
      <c r="S49" s="357">
        <f>Q49-R49</f>
        <v>-68</v>
      </c>
    </row>
    <row r="50" spans="1:19" x14ac:dyDescent="0.25">
      <c r="A50" s="353" t="s">
        <v>197</v>
      </c>
      <c r="B50" s="356">
        <f>B47</f>
        <v>0</v>
      </c>
      <c r="C50" s="137">
        <v>70</v>
      </c>
      <c r="D50" s="356">
        <f>B50-C50</f>
        <v>-70</v>
      </c>
      <c r="F50" t="s">
        <v>197</v>
      </c>
      <c r="G50" s="356">
        <f>G47</f>
        <v>0</v>
      </c>
      <c r="H50" s="137">
        <v>70</v>
      </c>
      <c r="I50" s="356">
        <f>G50-H50</f>
        <v>-70</v>
      </c>
      <c r="J50" s="354"/>
      <c r="K50" t="s">
        <v>198</v>
      </c>
      <c r="L50" s="356">
        <f>L47</f>
        <v>0</v>
      </c>
      <c r="M50" s="137">
        <v>60</v>
      </c>
      <c r="N50" s="356">
        <f>L50-M50</f>
        <v>-60</v>
      </c>
      <c r="P50" t="s">
        <v>197</v>
      </c>
      <c r="Q50" s="356">
        <f>Q47</f>
        <v>0</v>
      </c>
      <c r="R50" s="137">
        <v>70</v>
      </c>
      <c r="S50" s="357">
        <f>Q50-R50</f>
        <v>-70</v>
      </c>
    </row>
    <row r="51" spans="1:19" x14ac:dyDescent="0.25">
      <c r="A51" s="353"/>
      <c r="B51" s="356"/>
      <c r="C51" s="137"/>
      <c r="D51" s="356"/>
      <c r="G51" s="356"/>
      <c r="H51" s="137"/>
      <c r="I51" s="356"/>
      <c r="J51" s="354"/>
      <c r="K51" t="s">
        <v>197</v>
      </c>
      <c r="L51" s="356">
        <f>L47</f>
        <v>0</v>
      </c>
      <c r="M51" s="137">
        <v>70</v>
      </c>
      <c r="N51" s="356">
        <f>L51-M51</f>
        <v>-70</v>
      </c>
      <c r="Q51" s="356"/>
      <c r="R51" s="137"/>
      <c r="S51" s="357"/>
    </row>
    <row r="52" spans="1:19" x14ac:dyDescent="0.25">
      <c r="A52" s="353"/>
      <c r="F52" s="354"/>
      <c r="G52" s="340"/>
      <c r="H52" s="340"/>
      <c r="I52" s="354"/>
      <c r="J52" s="354"/>
      <c r="S52" s="30"/>
    </row>
    <row r="53" spans="1:19" s="273" customFormat="1" x14ac:dyDescent="0.25">
      <c r="A53" s="351" t="s">
        <v>32</v>
      </c>
      <c r="F53" s="273" t="s">
        <v>32</v>
      </c>
      <c r="J53" s="354"/>
      <c r="K53" s="273" t="s">
        <v>32</v>
      </c>
      <c r="P53" s="273" t="s">
        <v>32</v>
      </c>
      <c r="S53" s="352"/>
    </row>
    <row r="54" spans="1:19" x14ac:dyDescent="0.25">
      <c r="A54" s="353"/>
      <c r="B54" s="137" t="s">
        <v>161</v>
      </c>
      <c r="C54" s="137" t="s">
        <v>191</v>
      </c>
      <c r="D54" s="137" t="s">
        <v>192</v>
      </c>
      <c r="G54" s="137" t="s">
        <v>161</v>
      </c>
      <c r="H54" s="137" t="s">
        <v>191</v>
      </c>
      <c r="I54" s="137" t="s">
        <v>192</v>
      </c>
      <c r="J54" s="354"/>
      <c r="L54" s="137" t="s">
        <v>161</v>
      </c>
      <c r="M54" s="137" t="s">
        <v>191</v>
      </c>
      <c r="N54" s="137" t="s">
        <v>192</v>
      </c>
      <c r="Q54" s="137" t="s">
        <v>161</v>
      </c>
      <c r="R54" s="137" t="s">
        <v>191</v>
      </c>
      <c r="S54" s="355" t="s">
        <v>192</v>
      </c>
    </row>
    <row r="55" spans="1:19" x14ac:dyDescent="0.25">
      <c r="A55" s="353" t="s">
        <v>193</v>
      </c>
      <c r="B55" s="356">
        <f>WERKBON!$D$23</f>
        <v>0</v>
      </c>
      <c r="C55" s="340">
        <f>C47</f>
        <v>60</v>
      </c>
      <c r="D55" s="356">
        <f>B55-C55</f>
        <v>-60</v>
      </c>
      <c r="F55" t="s">
        <v>193</v>
      </c>
      <c r="G55" s="356">
        <f>WERKBON!$D$23</f>
        <v>0</v>
      </c>
      <c r="H55" s="340">
        <f>H47</f>
        <v>60</v>
      </c>
      <c r="I55" s="356">
        <f>G55-H55</f>
        <v>-60</v>
      </c>
      <c r="J55" s="354"/>
      <c r="K55" t="s">
        <v>193</v>
      </c>
      <c r="L55" s="356">
        <f>WERKBON!$D$23</f>
        <v>0</v>
      </c>
      <c r="M55" s="340">
        <f>M47</f>
        <v>60</v>
      </c>
      <c r="N55" s="356">
        <f>L55-M55</f>
        <v>-60</v>
      </c>
      <c r="P55" t="s">
        <v>193</v>
      </c>
      <c r="Q55" s="356">
        <f>WERKBON!$D$23</f>
        <v>0</v>
      </c>
      <c r="R55" s="340">
        <f>R47</f>
        <v>60</v>
      </c>
      <c r="S55" s="357">
        <f>Q55-R55</f>
        <v>-60</v>
      </c>
    </row>
    <row r="56" spans="1:19" x14ac:dyDescent="0.25">
      <c r="A56" s="353" t="s">
        <v>194</v>
      </c>
      <c r="B56" s="356">
        <f>B55</f>
        <v>0</v>
      </c>
      <c r="C56" s="340">
        <f>C48</f>
        <v>11</v>
      </c>
      <c r="D56" s="356">
        <f>B56-C56</f>
        <v>-11</v>
      </c>
      <c r="F56" t="s">
        <v>194</v>
      </c>
      <c r="G56" s="356">
        <f>G55</f>
        <v>0</v>
      </c>
      <c r="H56" s="340">
        <f>H48</f>
        <v>11</v>
      </c>
      <c r="I56" s="356">
        <f>G56-H56</f>
        <v>-11</v>
      </c>
      <c r="K56" t="s">
        <v>194</v>
      </c>
      <c r="L56" s="356">
        <f>L55</f>
        <v>0</v>
      </c>
      <c r="M56" s="340">
        <f>M48</f>
        <v>11</v>
      </c>
      <c r="N56" s="356">
        <f>L56-M56</f>
        <v>-11</v>
      </c>
      <c r="P56" t="s">
        <v>194</v>
      </c>
      <c r="Q56" s="356">
        <f>Q55</f>
        <v>0</v>
      </c>
      <c r="R56" s="340">
        <f>R48</f>
        <v>11</v>
      </c>
      <c r="S56" s="357">
        <f>Q56-R56</f>
        <v>-11</v>
      </c>
    </row>
    <row r="57" spans="1:19" x14ac:dyDescent="0.25">
      <c r="A57" s="353" t="s">
        <v>195</v>
      </c>
      <c r="B57" s="356">
        <f>B55</f>
        <v>0</v>
      </c>
      <c r="C57" s="137">
        <f>C49</f>
        <v>52</v>
      </c>
      <c r="D57" s="356">
        <f>B57-C57</f>
        <v>-52</v>
      </c>
      <c r="F57" t="s">
        <v>195</v>
      </c>
      <c r="G57" s="356">
        <f>G55</f>
        <v>0</v>
      </c>
      <c r="H57" s="137">
        <f>H49</f>
        <v>57</v>
      </c>
      <c r="I57" s="356">
        <f>G57-H57</f>
        <v>-57</v>
      </c>
      <c r="K57" t="s">
        <v>196</v>
      </c>
      <c r="L57" s="356">
        <f>L55</f>
        <v>0</v>
      </c>
      <c r="M57" s="137">
        <v>66</v>
      </c>
      <c r="N57" s="356">
        <f>L57-M57</f>
        <v>-66</v>
      </c>
      <c r="P57" t="s">
        <v>195</v>
      </c>
      <c r="Q57" s="356">
        <f>Q55</f>
        <v>0</v>
      </c>
      <c r="R57" s="137">
        <f>R49</f>
        <v>68</v>
      </c>
      <c r="S57" s="357">
        <f>Q57-R57</f>
        <v>-68</v>
      </c>
    </row>
    <row r="58" spans="1:19" x14ac:dyDescent="0.25">
      <c r="A58" s="353" t="s">
        <v>197</v>
      </c>
      <c r="B58" s="356">
        <f>B55</f>
        <v>0</v>
      </c>
      <c r="C58" s="137">
        <f>C50</f>
        <v>70</v>
      </c>
      <c r="D58" s="356">
        <f>B58-C58</f>
        <v>-70</v>
      </c>
      <c r="F58" t="s">
        <v>197</v>
      </c>
      <c r="G58" s="356">
        <f>G55</f>
        <v>0</v>
      </c>
      <c r="H58" s="137">
        <f>H50</f>
        <v>70</v>
      </c>
      <c r="I58" s="356">
        <f>G58-H58</f>
        <v>-70</v>
      </c>
      <c r="J58" s="358"/>
      <c r="K58" t="s">
        <v>198</v>
      </c>
      <c r="L58" s="356">
        <f>L55</f>
        <v>0</v>
      </c>
      <c r="M58" s="137">
        <v>60</v>
      </c>
      <c r="N58" s="356">
        <f>L58-M58</f>
        <v>-60</v>
      </c>
      <c r="P58" t="s">
        <v>197</v>
      </c>
      <c r="Q58" s="356">
        <f>Q55</f>
        <v>0</v>
      </c>
      <c r="R58" s="137">
        <f>R50</f>
        <v>70</v>
      </c>
      <c r="S58" s="357">
        <f>Q58-R58</f>
        <v>-70</v>
      </c>
    </row>
    <row r="59" spans="1:19" x14ac:dyDescent="0.25">
      <c r="A59" s="353"/>
      <c r="B59" s="356"/>
      <c r="C59" s="137"/>
      <c r="D59" s="356"/>
      <c r="G59" s="356"/>
      <c r="H59" s="137"/>
      <c r="I59" s="356"/>
      <c r="J59" s="358"/>
      <c r="K59" t="s">
        <v>197</v>
      </c>
      <c r="L59" s="356">
        <f>L55</f>
        <v>0</v>
      </c>
      <c r="M59" s="137">
        <f>M51</f>
        <v>70</v>
      </c>
      <c r="N59" s="356">
        <f>L59-M59</f>
        <v>-70</v>
      </c>
      <c r="Q59" s="356"/>
      <c r="R59" s="137"/>
      <c r="S59" s="357"/>
    </row>
    <row r="60" spans="1:19" x14ac:dyDescent="0.25">
      <c r="A60" s="353"/>
      <c r="I60" s="358"/>
      <c r="J60" s="358"/>
      <c r="S60" s="30"/>
    </row>
    <row r="61" spans="1:19" s="273" customFormat="1" x14ac:dyDescent="0.25">
      <c r="A61" s="351" t="s">
        <v>33</v>
      </c>
      <c r="F61" s="273" t="s">
        <v>33</v>
      </c>
      <c r="J61" s="359"/>
      <c r="K61" s="273" t="s">
        <v>33</v>
      </c>
      <c r="P61" s="273" t="s">
        <v>33</v>
      </c>
      <c r="S61" s="352"/>
    </row>
    <row r="62" spans="1:19" x14ac:dyDescent="0.25">
      <c r="A62" s="353"/>
      <c r="B62" s="137" t="s">
        <v>161</v>
      </c>
      <c r="C62" s="137" t="s">
        <v>191</v>
      </c>
      <c r="D62" s="137" t="s">
        <v>192</v>
      </c>
      <c r="G62" s="137" t="s">
        <v>161</v>
      </c>
      <c r="H62" s="137" t="s">
        <v>191</v>
      </c>
      <c r="I62" s="137" t="s">
        <v>192</v>
      </c>
      <c r="J62" s="358"/>
      <c r="L62" s="137" t="s">
        <v>161</v>
      </c>
      <c r="M62" s="137" t="s">
        <v>191</v>
      </c>
      <c r="N62" s="137" t="s">
        <v>192</v>
      </c>
      <c r="Q62" s="137" t="s">
        <v>161</v>
      </c>
      <c r="R62" s="137" t="s">
        <v>191</v>
      </c>
      <c r="S62" s="355" t="s">
        <v>192</v>
      </c>
    </row>
    <row r="63" spans="1:19" x14ac:dyDescent="0.25">
      <c r="A63" s="353" t="s">
        <v>193</v>
      </c>
      <c r="B63" s="356">
        <f>WERKBON!$E$23</f>
        <v>0</v>
      </c>
      <c r="C63" s="340">
        <f>C47</f>
        <v>60</v>
      </c>
      <c r="D63" s="356">
        <f>B63-C63</f>
        <v>-60</v>
      </c>
      <c r="F63" t="s">
        <v>193</v>
      </c>
      <c r="G63" s="356">
        <f>WERKBON!$E$23</f>
        <v>0</v>
      </c>
      <c r="H63" s="340">
        <f>H47</f>
        <v>60</v>
      </c>
      <c r="I63" s="356">
        <f>G63-H63</f>
        <v>-60</v>
      </c>
      <c r="J63" s="358"/>
      <c r="K63" t="s">
        <v>193</v>
      </c>
      <c r="L63" s="356">
        <f>WERKBON!$E$23</f>
        <v>0</v>
      </c>
      <c r="M63" s="340">
        <f>M47</f>
        <v>60</v>
      </c>
      <c r="N63" s="356">
        <f>L63-M63</f>
        <v>-60</v>
      </c>
      <c r="P63" t="s">
        <v>193</v>
      </c>
      <c r="Q63" s="356">
        <f>WERKBON!$E$23</f>
        <v>0</v>
      </c>
      <c r="R63" s="340">
        <f>R47</f>
        <v>60</v>
      </c>
      <c r="S63" s="357">
        <f>Q63-R63</f>
        <v>-60</v>
      </c>
    </row>
    <row r="64" spans="1:19" x14ac:dyDescent="0.25">
      <c r="A64" s="353" t="s">
        <v>194</v>
      </c>
      <c r="B64" s="356">
        <f>B63</f>
        <v>0</v>
      </c>
      <c r="C64" s="340">
        <f>C48</f>
        <v>11</v>
      </c>
      <c r="D64" s="356">
        <f>B64-C64</f>
        <v>-11</v>
      </c>
      <c r="F64" t="s">
        <v>194</v>
      </c>
      <c r="G64" s="356">
        <f>G63</f>
        <v>0</v>
      </c>
      <c r="H64" s="340">
        <f>H48</f>
        <v>11</v>
      </c>
      <c r="I64" s="356">
        <f>G64-H64</f>
        <v>-11</v>
      </c>
      <c r="J64" s="358"/>
      <c r="K64" t="s">
        <v>194</v>
      </c>
      <c r="L64" s="356">
        <f>L63</f>
        <v>0</v>
      </c>
      <c r="M64" s="340">
        <f>M48</f>
        <v>11</v>
      </c>
      <c r="N64" s="356">
        <f>L64-M64</f>
        <v>-11</v>
      </c>
      <c r="P64" t="s">
        <v>194</v>
      </c>
      <c r="Q64" s="356">
        <f>Q63</f>
        <v>0</v>
      </c>
      <c r="R64" s="340">
        <f>R48</f>
        <v>11</v>
      </c>
      <c r="S64" s="357">
        <f>Q64-R64</f>
        <v>-11</v>
      </c>
    </row>
    <row r="65" spans="1:19" x14ac:dyDescent="0.25">
      <c r="A65" s="353" t="s">
        <v>195</v>
      </c>
      <c r="B65" s="356">
        <f>B63</f>
        <v>0</v>
      </c>
      <c r="C65" s="137">
        <f>C49</f>
        <v>52</v>
      </c>
      <c r="D65" s="356">
        <f>B65-C65</f>
        <v>-52</v>
      </c>
      <c r="F65" t="s">
        <v>195</v>
      </c>
      <c r="G65" s="356">
        <f>G63</f>
        <v>0</v>
      </c>
      <c r="H65" s="137">
        <f>H49</f>
        <v>57</v>
      </c>
      <c r="I65" s="356">
        <f>G65-H65</f>
        <v>-57</v>
      </c>
      <c r="K65" t="s">
        <v>196</v>
      </c>
      <c r="L65" s="356">
        <f>L63</f>
        <v>0</v>
      </c>
      <c r="M65" s="137">
        <v>66</v>
      </c>
      <c r="N65" s="356">
        <f>L65-M65</f>
        <v>-66</v>
      </c>
      <c r="P65" t="s">
        <v>195</v>
      </c>
      <c r="Q65" s="356">
        <f>Q63</f>
        <v>0</v>
      </c>
      <c r="R65" s="137">
        <f>R49</f>
        <v>68</v>
      </c>
      <c r="S65" s="357">
        <f>Q65-R65</f>
        <v>-68</v>
      </c>
    </row>
    <row r="66" spans="1:19" x14ac:dyDescent="0.25">
      <c r="A66" s="353" t="s">
        <v>197</v>
      </c>
      <c r="B66" s="356">
        <f>B63</f>
        <v>0</v>
      </c>
      <c r="C66" s="137">
        <f>C50</f>
        <v>70</v>
      </c>
      <c r="D66" s="356">
        <f>B66-C66</f>
        <v>-70</v>
      </c>
      <c r="F66" t="s">
        <v>197</v>
      </c>
      <c r="G66" s="356">
        <f>G63</f>
        <v>0</v>
      </c>
      <c r="H66" s="137">
        <f>H50</f>
        <v>70</v>
      </c>
      <c r="I66" s="356">
        <f>G66-H66</f>
        <v>-70</v>
      </c>
      <c r="K66" t="s">
        <v>198</v>
      </c>
      <c r="L66" s="356">
        <f>L63</f>
        <v>0</v>
      </c>
      <c r="M66" s="137">
        <v>60</v>
      </c>
      <c r="N66" s="356">
        <f>L66-M66</f>
        <v>-60</v>
      </c>
      <c r="P66" t="s">
        <v>197</v>
      </c>
      <c r="Q66" s="356">
        <f>Q63</f>
        <v>0</v>
      </c>
      <c r="R66" s="137">
        <f>R50</f>
        <v>70</v>
      </c>
      <c r="S66" s="357">
        <f>Q66-R66</f>
        <v>-70</v>
      </c>
    </row>
    <row r="67" spans="1:19" x14ac:dyDescent="0.25">
      <c r="A67" s="353"/>
      <c r="B67" s="356"/>
      <c r="C67" s="137"/>
      <c r="D67" s="356"/>
      <c r="G67" s="356"/>
      <c r="H67" s="137"/>
      <c r="I67" s="356"/>
      <c r="K67" t="s">
        <v>197</v>
      </c>
      <c r="L67" s="356">
        <f>L63</f>
        <v>0</v>
      </c>
      <c r="M67" s="137">
        <f>M51</f>
        <v>70</v>
      </c>
      <c r="N67" s="356">
        <f>L67-M67</f>
        <v>-70</v>
      </c>
      <c r="Q67" s="356"/>
      <c r="R67" s="137"/>
      <c r="S67" s="357"/>
    </row>
    <row r="68" spans="1:19" x14ac:dyDescent="0.25">
      <c r="A68" s="353"/>
      <c r="S68" s="30"/>
    </row>
    <row r="69" spans="1:19" s="273" customFormat="1" x14ac:dyDescent="0.25">
      <c r="A69" s="351" t="s">
        <v>34</v>
      </c>
      <c r="F69" s="273" t="s">
        <v>34</v>
      </c>
      <c r="K69" s="273" t="s">
        <v>34</v>
      </c>
      <c r="P69" s="273" t="s">
        <v>34</v>
      </c>
      <c r="S69" s="352"/>
    </row>
    <row r="70" spans="1:19" x14ac:dyDescent="0.25">
      <c r="A70" s="353"/>
      <c r="B70" s="137" t="s">
        <v>161</v>
      </c>
      <c r="C70" s="137" t="s">
        <v>191</v>
      </c>
      <c r="D70" s="137" t="s">
        <v>192</v>
      </c>
      <c r="G70" s="137" t="s">
        <v>161</v>
      </c>
      <c r="H70" s="137" t="s">
        <v>191</v>
      </c>
      <c r="I70" s="137" t="s">
        <v>192</v>
      </c>
      <c r="L70" s="137" t="s">
        <v>161</v>
      </c>
      <c r="M70" s="137" t="s">
        <v>191</v>
      </c>
      <c r="N70" s="137" t="s">
        <v>192</v>
      </c>
      <c r="Q70" s="137" t="s">
        <v>161</v>
      </c>
      <c r="R70" s="137" t="s">
        <v>191</v>
      </c>
      <c r="S70" s="355" t="s">
        <v>192</v>
      </c>
    </row>
    <row r="71" spans="1:19" x14ac:dyDescent="0.25">
      <c r="A71" s="353" t="s">
        <v>193</v>
      </c>
      <c r="B71" s="356">
        <f>WERKBON!$F$23</f>
        <v>0</v>
      </c>
      <c r="C71" s="340">
        <f>C47</f>
        <v>60</v>
      </c>
      <c r="D71" s="356">
        <f>B71-C71</f>
        <v>-60</v>
      </c>
      <c r="F71" t="s">
        <v>193</v>
      </c>
      <c r="G71" s="356">
        <f>WERKBON!$F$23</f>
        <v>0</v>
      </c>
      <c r="H71" s="340">
        <f>H47</f>
        <v>60</v>
      </c>
      <c r="I71" s="356">
        <f>G71-H71</f>
        <v>-60</v>
      </c>
      <c r="K71" t="s">
        <v>193</v>
      </c>
      <c r="L71" s="356">
        <f>WERKBON!$F$23</f>
        <v>0</v>
      </c>
      <c r="M71" s="340">
        <f>M47</f>
        <v>60</v>
      </c>
      <c r="N71" s="356">
        <f>L71-M71</f>
        <v>-60</v>
      </c>
      <c r="P71" t="s">
        <v>193</v>
      </c>
      <c r="Q71" s="356">
        <f>WERKBON!$F$23</f>
        <v>0</v>
      </c>
      <c r="R71" s="340">
        <f>R47</f>
        <v>60</v>
      </c>
      <c r="S71" s="357">
        <f>Q71-R71</f>
        <v>-60</v>
      </c>
    </row>
    <row r="72" spans="1:19" x14ac:dyDescent="0.25">
      <c r="A72" s="353" t="s">
        <v>194</v>
      </c>
      <c r="B72" s="356">
        <f>B71</f>
        <v>0</v>
      </c>
      <c r="C72" s="340">
        <f>C48</f>
        <v>11</v>
      </c>
      <c r="D72" s="356">
        <f>B72-C72</f>
        <v>-11</v>
      </c>
      <c r="F72" t="s">
        <v>194</v>
      </c>
      <c r="G72" s="356">
        <f>G71</f>
        <v>0</v>
      </c>
      <c r="H72" s="340">
        <f>H48</f>
        <v>11</v>
      </c>
      <c r="I72" s="356">
        <f>G72-H72</f>
        <v>-11</v>
      </c>
      <c r="K72" t="s">
        <v>194</v>
      </c>
      <c r="L72" s="356">
        <f>L71</f>
        <v>0</v>
      </c>
      <c r="M72" s="340">
        <f>M48</f>
        <v>11</v>
      </c>
      <c r="N72" s="356">
        <f>L72-M72</f>
        <v>-11</v>
      </c>
      <c r="P72" t="s">
        <v>194</v>
      </c>
      <c r="Q72" s="356">
        <f>Q71</f>
        <v>0</v>
      </c>
      <c r="R72" s="340">
        <f>R48</f>
        <v>11</v>
      </c>
      <c r="S72" s="357">
        <f>Q72-R72</f>
        <v>-11</v>
      </c>
    </row>
    <row r="73" spans="1:19" x14ac:dyDescent="0.25">
      <c r="A73" s="353" t="s">
        <v>195</v>
      </c>
      <c r="B73" s="356">
        <f>B71</f>
        <v>0</v>
      </c>
      <c r="C73" s="137">
        <f>C49</f>
        <v>52</v>
      </c>
      <c r="D73" s="356">
        <f>B73-C73</f>
        <v>-52</v>
      </c>
      <c r="F73" t="s">
        <v>195</v>
      </c>
      <c r="G73" s="356">
        <f>G71</f>
        <v>0</v>
      </c>
      <c r="H73" s="137">
        <f>H49</f>
        <v>57</v>
      </c>
      <c r="I73" s="356">
        <f>G73-H73</f>
        <v>-57</v>
      </c>
      <c r="K73" t="s">
        <v>196</v>
      </c>
      <c r="L73" s="356">
        <f>L71</f>
        <v>0</v>
      </c>
      <c r="M73" s="137">
        <v>66</v>
      </c>
      <c r="N73" s="356">
        <f>L73-M73</f>
        <v>-66</v>
      </c>
      <c r="P73" t="s">
        <v>195</v>
      </c>
      <c r="Q73" s="356">
        <f>Q71</f>
        <v>0</v>
      </c>
      <c r="R73" s="137">
        <f>R49</f>
        <v>68</v>
      </c>
      <c r="S73" s="357">
        <f>Q73-R73</f>
        <v>-68</v>
      </c>
    </row>
    <row r="74" spans="1:19" x14ac:dyDescent="0.25">
      <c r="A74" s="353" t="s">
        <v>197</v>
      </c>
      <c r="B74" s="356">
        <f>B71</f>
        <v>0</v>
      </c>
      <c r="C74" s="137">
        <f>C50</f>
        <v>70</v>
      </c>
      <c r="D74" s="356">
        <f>B74-C74</f>
        <v>-70</v>
      </c>
      <c r="F74" t="s">
        <v>197</v>
      </c>
      <c r="G74" s="356">
        <f>G71</f>
        <v>0</v>
      </c>
      <c r="H74" s="137">
        <f>H50</f>
        <v>70</v>
      </c>
      <c r="I74" s="356">
        <f>G74-H74</f>
        <v>-70</v>
      </c>
      <c r="K74" t="s">
        <v>198</v>
      </c>
      <c r="L74" s="356">
        <f>L71</f>
        <v>0</v>
      </c>
      <c r="M74" s="137">
        <v>60</v>
      </c>
      <c r="N74" s="356">
        <f>L74-M74</f>
        <v>-60</v>
      </c>
      <c r="P74" t="s">
        <v>197</v>
      </c>
      <c r="Q74" s="356">
        <f>Q71</f>
        <v>0</v>
      </c>
      <c r="R74" s="137">
        <f>R50</f>
        <v>70</v>
      </c>
      <c r="S74" s="357">
        <f>Q74-R74</f>
        <v>-70</v>
      </c>
    </row>
    <row r="75" spans="1:19" x14ac:dyDescent="0.25">
      <c r="A75" s="353"/>
      <c r="B75" s="356"/>
      <c r="C75" s="137"/>
      <c r="D75" s="356"/>
      <c r="G75" s="356"/>
      <c r="H75" s="137"/>
      <c r="I75" s="356"/>
      <c r="K75" t="s">
        <v>197</v>
      </c>
      <c r="L75" s="356">
        <f>L71</f>
        <v>0</v>
      </c>
      <c r="M75" s="137">
        <f>M51</f>
        <v>70</v>
      </c>
      <c r="N75" s="356">
        <f>L75-M75</f>
        <v>-70</v>
      </c>
      <c r="Q75" s="356"/>
      <c r="R75" s="137"/>
      <c r="S75" s="357"/>
    </row>
    <row r="76" spans="1:19" x14ac:dyDescent="0.25">
      <c r="A76" s="353"/>
      <c r="S76" s="30"/>
    </row>
    <row r="77" spans="1:19" s="273" customFormat="1" x14ac:dyDescent="0.25">
      <c r="A77" s="351" t="s">
        <v>35</v>
      </c>
      <c r="F77" s="273" t="s">
        <v>35</v>
      </c>
      <c r="K77" s="273" t="s">
        <v>35</v>
      </c>
      <c r="P77" s="273" t="s">
        <v>35</v>
      </c>
      <c r="S77" s="352"/>
    </row>
    <row r="78" spans="1:19" x14ac:dyDescent="0.25">
      <c r="A78" s="353"/>
      <c r="B78" s="137" t="s">
        <v>161</v>
      </c>
      <c r="C78" s="137" t="s">
        <v>191</v>
      </c>
      <c r="D78" s="137" t="s">
        <v>192</v>
      </c>
      <c r="G78" s="137" t="s">
        <v>161</v>
      </c>
      <c r="H78" s="137" t="s">
        <v>191</v>
      </c>
      <c r="I78" s="137" t="s">
        <v>192</v>
      </c>
      <c r="L78" s="137" t="s">
        <v>161</v>
      </c>
      <c r="M78" s="137" t="s">
        <v>191</v>
      </c>
      <c r="N78" s="137" t="s">
        <v>192</v>
      </c>
      <c r="Q78" s="137" t="s">
        <v>161</v>
      </c>
      <c r="R78" s="137" t="s">
        <v>191</v>
      </c>
      <c r="S78" s="355" t="s">
        <v>192</v>
      </c>
    </row>
    <row r="79" spans="1:19" x14ac:dyDescent="0.25">
      <c r="A79" s="353" t="s">
        <v>193</v>
      </c>
      <c r="B79" s="356">
        <f>WERKBON!$G$23</f>
        <v>0</v>
      </c>
      <c r="C79" s="340">
        <f>C47</f>
        <v>60</v>
      </c>
      <c r="D79" s="356">
        <f>B79-C79</f>
        <v>-60</v>
      </c>
      <c r="F79" t="s">
        <v>193</v>
      </c>
      <c r="G79" s="356">
        <f>WERKBON!$G$23</f>
        <v>0</v>
      </c>
      <c r="H79" s="340">
        <f>H47</f>
        <v>60</v>
      </c>
      <c r="I79" s="356">
        <f>G79-H79</f>
        <v>-60</v>
      </c>
      <c r="K79" t="s">
        <v>193</v>
      </c>
      <c r="L79" s="356">
        <f>WERKBON!$G$23</f>
        <v>0</v>
      </c>
      <c r="M79" s="340">
        <f>M47</f>
        <v>60</v>
      </c>
      <c r="N79" s="356">
        <f>L79-M79</f>
        <v>-60</v>
      </c>
      <c r="P79" t="s">
        <v>193</v>
      </c>
      <c r="Q79" s="356">
        <f>WERKBON!$G$23</f>
        <v>0</v>
      </c>
      <c r="R79" s="340">
        <f>R47</f>
        <v>60</v>
      </c>
      <c r="S79" s="357">
        <f>Q79-R79</f>
        <v>-60</v>
      </c>
    </row>
    <row r="80" spans="1:19" x14ac:dyDescent="0.25">
      <c r="A80" s="353" t="s">
        <v>194</v>
      </c>
      <c r="B80" s="356">
        <f>B79</f>
        <v>0</v>
      </c>
      <c r="C80" s="340">
        <f>C48</f>
        <v>11</v>
      </c>
      <c r="D80" s="356">
        <f>B80-C80</f>
        <v>-11</v>
      </c>
      <c r="F80" t="s">
        <v>194</v>
      </c>
      <c r="G80" s="356">
        <f>G79</f>
        <v>0</v>
      </c>
      <c r="H80" s="340">
        <f>H48</f>
        <v>11</v>
      </c>
      <c r="I80" s="356">
        <f>G80-H80</f>
        <v>-11</v>
      </c>
      <c r="K80" t="s">
        <v>194</v>
      </c>
      <c r="L80" s="356">
        <f>L79</f>
        <v>0</v>
      </c>
      <c r="M80" s="340">
        <f>M48</f>
        <v>11</v>
      </c>
      <c r="N80" s="356">
        <f>L80-M80</f>
        <v>-11</v>
      </c>
      <c r="P80" t="s">
        <v>194</v>
      </c>
      <c r="Q80" s="356">
        <f>Q79</f>
        <v>0</v>
      </c>
      <c r="R80" s="340">
        <f>R48</f>
        <v>11</v>
      </c>
      <c r="S80" s="357">
        <f>Q80-R80</f>
        <v>-11</v>
      </c>
    </row>
    <row r="81" spans="1:19" x14ac:dyDescent="0.25">
      <c r="A81" s="353" t="s">
        <v>195</v>
      </c>
      <c r="B81" s="356">
        <f>B79</f>
        <v>0</v>
      </c>
      <c r="C81" s="137">
        <f>C49</f>
        <v>52</v>
      </c>
      <c r="D81" s="356">
        <f>B81-C81</f>
        <v>-52</v>
      </c>
      <c r="F81" t="s">
        <v>195</v>
      </c>
      <c r="G81" s="356">
        <f>G79</f>
        <v>0</v>
      </c>
      <c r="H81" s="137">
        <f>H49</f>
        <v>57</v>
      </c>
      <c r="I81" s="356">
        <f>G81-H81</f>
        <v>-57</v>
      </c>
      <c r="K81" t="s">
        <v>196</v>
      </c>
      <c r="L81" s="356">
        <f>L79</f>
        <v>0</v>
      </c>
      <c r="M81" s="137">
        <v>66</v>
      </c>
      <c r="N81" s="356">
        <f>L81-M81</f>
        <v>-66</v>
      </c>
      <c r="P81" t="s">
        <v>195</v>
      </c>
      <c r="Q81" s="356">
        <f>Q79</f>
        <v>0</v>
      </c>
      <c r="R81" s="137">
        <f>R49</f>
        <v>68</v>
      </c>
      <c r="S81" s="357">
        <f>Q81-R81</f>
        <v>-68</v>
      </c>
    </row>
    <row r="82" spans="1:19" x14ac:dyDescent="0.25">
      <c r="A82" s="353" t="s">
        <v>197</v>
      </c>
      <c r="B82" s="356">
        <f>B79</f>
        <v>0</v>
      </c>
      <c r="C82" s="137">
        <f>C50</f>
        <v>70</v>
      </c>
      <c r="D82" s="356">
        <f>B82-C82</f>
        <v>-70</v>
      </c>
      <c r="F82" t="s">
        <v>197</v>
      </c>
      <c r="G82" s="356">
        <f>G79</f>
        <v>0</v>
      </c>
      <c r="H82" s="137">
        <f>H50</f>
        <v>70</v>
      </c>
      <c r="I82" s="356">
        <f>G82-H82</f>
        <v>-70</v>
      </c>
      <c r="K82" t="s">
        <v>198</v>
      </c>
      <c r="L82" s="356">
        <f>L79</f>
        <v>0</v>
      </c>
      <c r="M82" s="137">
        <v>60</v>
      </c>
      <c r="N82" s="356">
        <f>L82-M82</f>
        <v>-60</v>
      </c>
      <c r="P82" t="s">
        <v>197</v>
      </c>
      <c r="Q82" s="356">
        <f>Q79</f>
        <v>0</v>
      </c>
      <c r="R82" s="137">
        <f>R50</f>
        <v>70</v>
      </c>
      <c r="S82" s="357">
        <f>Q82-R82</f>
        <v>-70</v>
      </c>
    </row>
    <row r="83" spans="1:19" x14ac:dyDescent="0.25">
      <c r="A83" s="353"/>
      <c r="K83" t="s">
        <v>197</v>
      </c>
      <c r="L83" s="356">
        <f>L79</f>
        <v>0</v>
      </c>
      <c r="M83" s="137">
        <f>M51</f>
        <v>70</v>
      </c>
      <c r="N83" s="356">
        <f>L83-M83</f>
        <v>-70</v>
      </c>
      <c r="S83" s="30"/>
    </row>
    <row r="84" spans="1:19" s="273" customFormat="1" x14ac:dyDescent="0.25">
      <c r="A84" s="383"/>
      <c r="S84" s="352"/>
    </row>
    <row r="85" spans="1:19" x14ac:dyDescent="0.25">
      <c r="A85" s="367"/>
      <c r="B85" s="367"/>
      <c r="C85" s="367"/>
      <c r="D85" s="367"/>
      <c r="E85" s="367"/>
      <c r="F85" s="367"/>
      <c r="G85" s="367"/>
      <c r="H85" s="367"/>
      <c r="I85" s="367"/>
      <c r="J85" s="367"/>
      <c r="K85" s="367"/>
      <c r="L85" s="367"/>
      <c r="M85" s="367"/>
      <c r="N85" s="367"/>
      <c r="O85" s="367"/>
      <c r="P85" s="367"/>
      <c r="Q85" s="367"/>
      <c r="R85" s="367"/>
      <c r="S85" s="367"/>
    </row>
    <row r="86" ht="18" customHeight="1" spans="1:19" x14ac:dyDescent="0.25">
      <c r="A86" s="369" t="s">
        <v>199</v>
      </c>
      <c r="B86" s="370"/>
      <c r="C86" s="371" t="s">
        <v>203</v>
      </c>
      <c r="D86" s="372">
        <v>42</v>
      </c>
      <c r="E86" s="373">
        <v>4</v>
      </c>
      <c r="F86" s="374" t="s">
        <v>201</v>
      </c>
      <c r="G86" s="384" t="s">
        <v>204</v>
      </c>
      <c r="H86" s="385"/>
      <c r="I86" s="386"/>
      <c r="J86" s="386"/>
      <c r="K86" s="386"/>
      <c r="L86" s="386"/>
      <c r="M86" s="386"/>
      <c r="N86" s="376"/>
      <c r="O86" s="376"/>
      <c r="P86" s="377" t="s">
        <v>80</v>
      </c>
      <c r="Q86" s="377"/>
      <c r="R86" s="378">
        <v>52</v>
      </c>
      <c r="S86" s="379" t="s">
        <v>202</v>
      </c>
    </row>
    <row r="87" ht="18" customHeight="1" spans="1:19" x14ac:dyDescent="0.25">
      <c r="A87" s="387"/>
      <c r="B87" s="388"/>
      <c r="C87" s="389"/>
      <c r="D87" s="390"/>
      <c r="E87" s="391"/>
      <c r="F87" s="392"/>
      <c r="G87" s="393" t="s">
        <v>205</v>
      </c>
      <c r="H87" s="315"/>
      <c r="I87" s="254"/>
      <c r="J87" s="254"/>
      <c r="K87" s="254"/>
      <c r="L87" s="254"/>
      <c r="M87" s="254"/>
      <c r="N87" s="156"/>
      <c r="O87" s="156"/>
      <c r="P87" s="156"/>
      <c r="Q87" s="156"/>
      <c r="R87" s="156"/>
      <c r="S87" s="394"/>
    </row>
    <row r="88" ht="18" customHeight="1" spans="1:24" x14ac:dyDescent="0.25">
      <c r="A88" s="381" t="s">
        <v>186</v>
      </c>
      <c r="B88" s="380"/>
      <c r="C88" s="380"/>
      <c r="D88" s="380"/>
      <c r="E88" s="380"/>
      <c r="F88" s="380" t="s">
        <v>187</v>
      </c>
      <c r="G88" s="380"/>
      <c r="H88" s="380"/>
      <c r="I88" s="380"/>
      <c r="J88" s="380"/>
      <c r="K88" s="380" t="s">
        <v>188</v>
      </c>
      <c r="L88" s="380"/>
      <c r="M88" s="380"/>
      <c r="N88" s="380"/>
      <c r="O88" s="380"/>
      <c r="P88" s="380" t="s">
        <v>189</v>
      </c>
      <c r="Q88" s="380"/>
      <c r="R88" s="380"/>
      <c r="S88" s="382"/>
      <c r="U88" s="380" t="s">
        <v>206</v>
      </c>
      <c r="V88" s="380"/>
      <c r="W88" s="380"/>
      <c r="X88" s="382"/>
    </row>
    <row r="89" spans="1:24" x14ac:dyDescent="0.25">
      <c r="A89" s="351" t="s">
        <v>31</v>
      </c>
      <c r="B89" s="273"/>
      <c r="C89" s="273"/>
      <c r="D89" s="273"/>
      <c r="E89" s="273"/>
      <c r="F89" s="273" t="s">
        <v>31</v>
      </c>
      <c r="G89" s="273"/>
      <c r="H89" s="273"/>
      <c r="I89" s="273"/>
      <c r="J89" s="294"/>
      <c r="K89" s="273" t="s">
        <v>31</v>
      </c>
      <c r="L89" s="273"/>
      <c r="M89" s="273"/>
      <c r="N89" s="273"/>
      <c r="O89" s="273"/>
      <c r="P89" s="273" t="s">
        <v>31</v>
      </c>
      <c r="Q89" s="273"/>
      <c r="R89" s="273"/>
      <c r="S89" s="352"/>
      <c r="U89" s="273" t="s">
        <v>31</v>
      </c>
      <c r="V89" s="273"/>
      <c r="W89" s="273"/>
      <c r="X89" s="352"/>
    </row>
    <row r="90" spans="1:24" x14ac:dyDescent="0.25">
      <c r="A90" s="353"/>
      <c r="B90" s="137" t="s">
        <v>161</v>
      </c>
      <c r="C90" s="137" t="s">
        <v>191</v>
      </c>
      <c r="D90" s="137" t="s">
        <v>192</v>
      </c>
      <c r="G90" s="137" t="s">
        <v>161</v>
      </c>
      <c r="H90" s="137" t="s">
        <v>191</v>
      </c>
      <c r="I90" s="137" t="s">
        <v>192</v>
      </c>
      <c r="J90" s="354"/>
      <c r="L90" s="137" t="s">
        <v>161</v>
      </c>
      <c r="M90" s="137" t="s">
        <v>191</v>
      </c>
      <c r="N90" s="137" t="s">
        <v>192</v>
      </c>
      <c r="Q90" s="137" t="s">
        <v>161</v>
      </c>
      <c r="R90" s="137" t="s">
        <v>191</v>
      </c>
      <c r="S90" s="355" t="s">
        <v>192</v>
      </c>
      <c r="V90" s="137" t="s">
        <v>161</v>
      </c>
      <c r="W90" s="137" t="s">
        <v>191</v>
      </c>
      <c r="X90" s="355" t="s">
        <v>192</v>
      </c>
    </row>
    <row r="91" spans="1:24" x14ac:dyDescent="0.25">
      <c r="A91" s="353" t="s">
        <v>193</v>
      </c>
      <c r="B91" s="356">
        <f>WERKBON!$C$23</f>
        <v>0</v>
      </c>
      <c r="C91" s="340">
        <v>74</v>
      </c>
      <c r="D91" s="356">
        <f>B91-C91</f>
        <v>-74</v>
      </c>
      <c r="F91" t="s">
        <v>193</v>
      </c>
      <c r="G91" s="356">
        <f>WERKBON!$C$23</f>
        <v>0</v>
      </c>
      <c r="H91" s="340">
        <v>74</v>
      </c>
      <c r="I91" s="356">
        <f>G91-H91</f>
        <v>-74</v>
      </c>
      <c r="J91" s="354"/>
      <c r="K91" t="s">
        <v>193</v>
      </c>
      <c r="L91" s="356">
        <f>WERKBON!$C$23</f>
        <v>0</v>
      </c>
      <c r="M91" s="340">
        <v>74</v>
      </c>
      <c r="N91" s="356">
        <f>L91-M91</f>
        <v>-74</v>
      </c>
      <c r="P91" t="s">
        <v>193</v>
      </c>
      <c r="Q91" s="356">
        <f>WERKBON!$C$23</f>
        <v>0</v>
      </c>
      <c r="R91" s="340">
        <v>74</v>
      </c>
      <c r="S91" s="357">
        <f>Q91-R91</f>
        <v>-74</v>
      </c>
      <c r="U91" t="s">
        <v>193</v>
      </c>
      <c r="V91" s="356">
        <f>WERKBON!$C$23</f>
        <v>0</v>
      </c>
      <c r="W91" s="340">
        <v>74</v>
      </c>
      <c r="X91" s="357">
        <f>V91-W91</f>
        <v>-74</v>
      </c>
    </row>
    <row r="92" spans="1:24" x14ac:dyDescent="0.25">
      <c r="A92" s="353" t="s">
        <v>194</v>
      </c>
      <c r="B92" s="356">
        <f>B91</f>
        <v>0</v>
      </c>
      <c r="C92" s="340">
        <v>11</v>
      </c>
      <c r="D92" s="356">
        <f>B92-C92</f>
        <v>-11</v>
      </c>
      <c r="F92" t="s">
        <v>194</v>
      </c>
      <c r="G92" s="356">
        <f>G91</f>
        <v>0</v>
      </c>
      <c r="H92" s="340">
        <v>11</v>
      </c>
      <c r="I92" s="356">
        <f>G92-H92</f>
        <v>-11</v>
      </c>
      <c r="J92" s="354"/>
      <c r="K92" t="s">
        <v>194</v>
      </c>
      <c r="L92" s="356">
        <f>L91</f>
        <v>0</v>
      </c>
      <c r="M92" s="340">
        <v>11</v>
      </c>
      <c r="N92" s="356">
        <f>L92-M92</f>
        <v>-11</v>
      </c>
      <c r="P92" t="s">
        <v>194</v>
      </c>
      <c r="Q92" s="356">
        <f>Q91</f>
        <v>0</v>
      </c>
      <c r="R92" s="340">
        <v>11</v>
      </c>
      <c r="S92" s="357">
        <f>Q92-R92</f>
        <v>-11</v>
      </c>
      <c r="U92" t="s">
        <v>194</v>
      </c>
      <c r="V92" s="356">
        <f>V91</f>
        <v>0</v>
      </c>
      <c r="W92" s="340">
        <v>11</v>
      </c>
      <c r="X92" s="357">
        <f>V92-W92</f>
        <v>-11</v>
      </c>
    </row>
    <row r="93" spans="1:24" x14ac:dyDescent="0.25">
      <c r="A93" s="353" t="s">
        <v>195</v>
      </c>
      <c r="B93" s="356">
        <f>B91</f>
        <v>0</v>
      </c>
      <c r="C93" s="137">
        <v>52</v>
      </c>
      <c r="D93" s="356">
        <f>B93-C93</f>
        <v>-52</v>
      </c>
      <c r="F93" t="s">
        <v>195</v>
      </c>
      <c r="G93" s="356">
        <f>G91</f>
        <v>0</v>
      </c>
      <c r="H93" s="137">
        <v>57</v>
      </c>
      <c r="I93" s="356">
        <f>G93-H93</f>
        <v>-57</v>
      </c>
      <c r="J93" s="354"/>
      <c r="K93" s="254" t="s">
        <v>196</v>
      </c>
      <c r="L93" s="356">
        <f>L91</f>
        <v>0</v>
      </c>
      <c r="M93" s="137">
        <v>66</v>
      </c>
      <c r="N93" s="356">
        <f>L93-M93</f>
        <v>-66</v>
      </c>
      <c r="P93" t="s">
        <v>195</v>
      </c>
      <c r="Q93" s="356">
        <f>Q91</f>
        <v>0</v>
      </c>
      <c r="R93" s="137">
        <v>68</v>
      </c>
      <c r="S93" s="357">
        <f>Q93-R93</f>
        <v>-68</v>
      </c>
      <c r="U93" t="s">
        <v>195</v>
      </c>
      <c r="V93" s="356">
        <f>V91</f>
        <v>0</v>
      </c>
      <c r="W93" s="137">
        <v>52</v>
      </c>
      <c r="X93" s="357">
        <f>V93-W93</f>
        <v>-52</v>
      </c>
    </row>
    <row r="94" spans="1:24" x14ac:dyDescent="0.25">
      <c r="A94" s="353" t="s">
        <v>197</v>
      </c>
      <c r="B94" s="356">
        <f>B91</f>
        <v>0</v>
      </c>
      <c r="C94" s="137">
        <v>74</v>
      </c>
      <c r="D94" s="356">
        <f>B94-C94</f>
        <v>-74</v>
      </c>
      <c r="F94" t="s">
        <v>197</v>
      </c>
      <c r="G94" s="356">
        <f>G91</f>
        <v>0</v>
      </c>
      <c r="H94" s="137">
        <v>74</v>
      </c>
      <c r="I94" s="356">
        <f>G94-H94</f>
        <v>-74</v>
      </c>
      <c r="J94" s="354"/>
      <c r="K94" s="254" t="s">
        <v>198</v>
      </c>
      <c r="L94" s="356">
        <f>L92</f>
        <v>0</v>
      </c>
      <c r="M94" s="137">
        <v>60</v>
      </c>
      <c r="N94" s="356">
        <f>L94-M94</f>
        <v>-60</v>
      </c>
      <c r="P94" t="s">
        <v>197</v>
      </c>
      <c r="Q94" s="356">
        <f>Q91</f>
        <v>0</v>
      </c>
      <c r="R94" s="137">
        <v>74</v>
      </c>
      <c r="S94" s="357">
        <f>Q94-R94</f>
        <v>-74</v>
      </c>
      <c r="U94" t="s">
        <v>197</v>
      </c>
      <c r="V94" s="356">
        <f>V91</f>
        <v>0</v>
      </c>
      <c r="W94" s="137">
        <v>74</v>
      </c>
      <c r="X94" s="357">
        <f>V94-W94</f>
        <v>-74</v>
      </c>
    </row>
    <row r="95" spans="1:24" x14ac:dyDescent="0.25">
      <c r="A95" s="353"/>
      <c r="F95" s="354"/>
      <c r="G95" s="340"/>
      <c r="H95" s="340"/>
      <c r="I95" s="354"/>
      <c r="J95" s="354"/>
      <c r="K95" t="s">
        <v>197</v>
      </c>
      <c r="L95" s="356">
        <f>L91</f>
        <v>0</v>
      </c>
      <c r="M95" s="137">
        <v>74</v>
      </c>
      <c r="N95" s="356">
        <f>L95-M95</f>
        <v>-74</v>
      </c>
      <c r="S95" s="30"/>
      <c r="X95" s="30"/>
    </row>
    <row r="96" spans="1:24" x14ac:dyDescent="0.25">
      <c r="A96" s="353"/>
      <c r="F96" s="354"/>
      <c r="G96" s="340"/>
      <c r="H96" s="340"/>
      <c r="I96" s="354"/>
      <c r="J96" s="354"/>
      <c r="L96" s="356"/>
      <c r="M96" s="137"/>
      <c r="N96" s="356"/>
      <c r="S96" s="30"/>
      <c r="X96" s="30"/>
    </row>
    <row r="97" spans="1:24" x14ac:dyDescent="0.25">
      <c r="A97" s="351" t="s">
        <v>32</v>
      </c>
      <c r="B97" s="273"/>
      <c r="C97" s="273"/>
      <c r="D97" s="273"/>
      <c r="E97" s="273"/>
      <c r="F97" s="273" t="s">
        <v>32</v>
      </c>
      <c r="G97" s="273"/>
      <c r="H97" s="273"/>
      <c r="I97" s="273"/>
      <c r="J97" s="354"/>
      <c r="K97" s="273" t="s">
        <v>32</v>
      </c>
      <c r="L97" s="273"/>
      <c r="M97" s="273"/>
      <c r="N97" s="273"/>
      <c r="O97" s="273"/>
      <c r="P97" s="273" t="s">
        <v>32</v>
      </c>
      <c r="Q97" s="273"/>
      <c r="R97" s="273"/>
      <c r="S97" s="352"/>
      <c r="U97" s="273" t="s">
        <v>32</v>
      </c>
      <c r="V97" s="273"/>
      <c r="W97" s="273"/>
      <c r="X97" s="352"/>
    </row>
    <row r="98" spans="1:24" x14ac:dyDescent="0.25">
      <c r="A98" s="353"/>
      <c r="B98" s="137" t="s">
        <v>161</v>
      </c>
      <c r="C98" s="137" t="s">
        <v>191</v>
      </c>
      <c r="D98" s="137" t="s">
        <v>192</v>
      </c>
      <c r="G98" s="137" t="s">
        <v>161</v>
      </c>
      <c r="H98" s="137" t="s">
        <v>191</v>
      </c>
      <c r="I98" s="137" t="s">
        <v>192</v>
      </c>
      <c r="J98" s="354"/>
      <c r="L98" s="137" t="s">
        <v>161</v>
      </c>
      <c r="M98" s="137" t="s">
        <v>191</v>
      </c>
      <c r="N98" s="137" t="s">
        <v>192</v>
      </c>
      <c r="Q98" s="137" t="s">
        <v>161</v>
      </c>
      <c r="R98" s="137" t="s">
        <v>191</v>
      </c>
      <c r="S98" s="355" t="s">
        <v>192</v>
      </c>
      <c r="V98" s="137" t="s">
        <v>161</v>
      </c>
      <c r="W98" s="137" t="s">
        <v>191</v>
      </c>
      <c r="X98" s="355" t="s">
        <v>192</v>
      </c>
    </row>
    <row r="99" spans="1:24" x14ac:dyDescent="0.25">
      <c r="A99" s="353" t="s">
        <v>193</v>
      </c>
      <c r="B99" s="356">
        <f>WERKBON!$D$23</f>
        <v>0</v>
      </c>
      <c r="C99" s="340">
        <f>C91</f>
        <v>74</v>
      </c>
      <c r="D99" s="356">
        <f>B99-C99</f>
        <v>-74</v>
      </c>
      <c r="F99" t="s">
        <v>193</v>
      </c>
      <c r="G99" s="356">
        <f>WERKBON!$D$23</f>
        <v>0</v>
      </c>
      <c r="H99" s="340">
        <f>H91</f>
        <v>74</v>
      </c>
      <c r="I99" s="356">
        <f>G99-H99</f>
        <v>-74</v>
      </c>
      <c r="J99" s="354"/>
      <c r="K99" t="s">
        <v>193</v>
      </c>
      <c r="L99" s="356">
        <f>WERKBON!$D$23</f>
        <v>0</v>
      </c>
      <c r="M99" s="340">
        <f>M91</f>
        <v>74</v>
      </c>
      <c r="N99" s="356">
        <f>L99-M99</f>
        <v>-74</v>
      </c>
      <c r="P99" t="s">
        <v>193</v>
      </c>
      <c r="Q99" s="356">
        <f>WERKBON!$D$23</f>
        <v>0</v>
      </c>
      <c r="R99" s="340">
        <f>R91</f>
        <v>74</v>
      </c>
      <c r="S99" s="357">
        <f>Q99-R99</f>
        <v>-74</v>
      </c>
      <c r="U99" t="s">
        <v>193</v>
      </c>
      <c r="V99" s="356">
        <f>WERKBON!$D$23</f>
        <v>0</v>
      </c>
      <c r="W99" s="340">
        <f>W91</f>
        <v>74</v>
      </c>
      <c r="X99" s="357">
        <f>V99-W99</f>
        <v>-74</v>
      </c>
    </row>
    <row r="100" spans="1:24" x14ac:dyDescent="0.25">
      <c r="A100" s="353" t="s">
        <v>194</v>
      </c>
      <c r="B100" s="356">
        <f>B99</f>
        <v>0</v>
      </c>
      <c r="C100" s="340">
        <f>C92</f>
        <v>11</v>
      </c>
      <c r="D100" s="356">
        <f>B100-C100</f>
        <v>-11</v>
      </c>
      <c r="F100" t="s">
        <v>194</v>
      </c>
      <c r="G100" s="356">
        <f>G99</f>
        <v>0</v>
      </c>
      <c r="H100" s="340">
        <f>H92</f>
        <v>11</v>
      </c>
      <c r="I100" s="356">
        <f>G100-H100</f>
        <v>-11</v>
      </c>
      <c r="K100" t="s">
        <v>194</v>
      </c>
      <c r="L100" s="356">
        <f>L99</f>
        <v>0</v>
      </c>
      <c r="M100" s="340">
        <f>M92</f>
        <v>11</v>
      </c>
      <c r="N100" s="356">
        <f>L100-M100</f>
        <v>-11</v>
      </c>
      <c r="P100" t="s">
        <v>194</v>
      </c>
      <c r="Q100" s="356">
        <f>Q99</f>
        <v>0</v>
      </c>
      <c r="R100" s="340">
        <f>R92</f>
        <v>11</v>
      </c>
      <c r="S100" s="357">
        <f>Q100-R100</f>
        <v>-11</v>
      </c>
      <c r="U100" t="s">
        <v>194</v>
      </c>
      <c r="V100" s="356">
        <f>V99</f>
        <v>0</v>
      </c>
      <c r="W100" s="340">
        <f>W92</f>
        <v>11</v>
      </c>
      <c r="X100" s="357">
        <f>V100-W100</f>
        <v>-11</v>
      </c>
    </row>
    <row r="101" spans="1:24" x14ac:dyDescent="0.25">
      <c r="A101" s="353" t="s">
        <v>195</v>
      </c>
      <c r="B101" s="356">
        <f>B99</f>
        <v>0</v>
      </c>
      <c r="C101" s="137">
        <f>C93</f>
        <v>52</v>
      </c>
      <c r="D101" s="356">
        <f>B101-C101</f>
        <v>-52</v>
      </c>
      <c r="F101" t="s">
        <v>195</v>
      </c>
      <c r="G101" s="356">
        <f>G99</f>
        <v>0</v>
      </c>
      <c r="H101" s="137">
        <f>H93</f>
        <v>57</v>
      </c>
      <c r="I101" s="356">
        <f>G101-H101</f>
        <v>-57</v>
      </c>
      <c r="K101" s="254" t="s">
        <v>196</v>
      </c>
      <c r="L101" s="356">
        <f>L99</f>
        <v>0</v>
      </c>
      <c r="M101" s="137">
        <v>66</v>
      </c>
      <c r="N101" s="356">
        <f>L101-M101</f>
        <v>-66</v>
      </c>
      <c r="P101" t="s">
        <v>195</v>
      </c>
      <c r="Q101" s="356">
        <f>Q99</f>
        <v>0</v>
      </c>
      <c r="R101" s="137">
        <f>R93</f>
        <v>68</v>
      </c>
      <c r="S101" s="357">
        <f>Q101-R101</f>
        <v>-68</v>
      </c>
      <c r="U101" t="s">
        <v>195</v>
      </c>
      <c r="V101" s="356">
        <f>V99</f>
        <v>0</v>
      </c>
      <c r="W101" s="137">
        <f>W93</f>
        <v>52</v>
      </c>
      <c r="X101" s="357">
        <f>V101-W101</f>
        <v>-52</v>
      </c>
    </row>
    <row r="102" spans="1:24" x14ac:dyDescent="0.25">
      <c r="A102" s="353" t="s">
        <v>197</v>
      </c>
      <c r="B102" s="356">
        <f>B99</f>
        <v>0</v>
      </c>
      <c r="C102" s="137">
        <f>C94</f>
        <v>74</v>
      </c>
      <c r="D102" s="356">
        <f>B102-C102</f>
        <v>-74</v>
      </c>
      <c r="F102" t="s">
        <v>197</v>
      </c>
      <c r="G102" s="356">
        <f>G99</f>
        <v>0</v>
      </c>
      <c r="H102" s="137">
        <f>H94</f>
        <v>74</v>
      </c>
      <c r="I102" s="356">
        <f>G102-H102</f>
        <v>-74</v>
      </c>
      <c r="J102" s="358"/>
      <c r="K102" s="254" t="s">
        <v>198</v>
      </c>
      <c r="L102" s="356">
        <f>L100</f>
        <v>0</v>
      </c>
      <c r="M102" s="137">
        <v>60</v>
      </c>
      <c r="N102" s="356">
        <f>L102-M102</f>
        <v>-60</v>
      </c>
      <c r="P102" t="s">
        <v>197</v>
      </c>
      <c r="Q102" s="356">
        <f>Q99</f>
        <v>0</v>
      </c>
      <c r="R102" s="137">
        <f>R94</f>
        <v>74</v>
      </c>
      <c r="S102" s="357">
        <f>Q102-R102</f>
        <v>-74</v>
      </c>
      <c r="U102" t="s">
        <v>197</v>
      </c>
      <c r="V102" s="356">
        <f>V99</f>
        <v>0</v>
      </c>
      <c r="W102" s="137">
        <f>W94</f>
        <v>74</v>
      </c>
      <c r="X102" s="357">
        <f>V102-W102</f>
        <v>-74</v>
      </c>
    </row>
    <row r="103" spans="1:24" x14ac:dyDescent="0.25">
      <c r="A103" s="353"/>
      <c r="I103" s="358"/>
      <c r="J103" s="358"/>
      <c r="K103" t="s">
        <v>197</v>
      </c>
      <c r="L103" s="356">
        <f>L99</f>
        <v>0</v>
      </c>
      <c r="M103" s="137">
        <f>M95</f>
        <v>74</v>
      </c>
      <c r="N103" s="356">
        <f>L103-M103</f>
        <v>-74</v>
      </c>
      <c r="S103" s="30"/>
      <c r="X103" s="30"/>
    </row>
    <row r="104" spans="1:24" x14ac:dyDescent="0.25">
      <c r="A104" s="353"/>
      <c r="I104" s="358"/>
      <c r="J104" s="358"/>
      <c r="S104" s="30"/>
      <c r="X104" s="30"/>
    </row>
    <row r="105" spans="1:24" x14ac:dyDescent="0.25">
      <c r="A105" s="351" t="s">
        <v>33</v>
      </c>
      <c r="B105" s="273"/>
      <c r="C105" s="273"/>
      <c r="D105" s="273"/>
      <c r="E105" s="273"/>
      <c r="F105" s="273" t="s">
        <v>33</v>
      </c>
      <c r="G105" s="273"/>
      <c r="H105" s="273"/>
      <c r="I105" s="273"/>
      <c r="J105" s="359"/>
      <c r="K105" s="273" t="s">
        <v>33</v>
      </c>
      <c r="L105" s="273"/>
      <c r="M105" s="273"/>
      <c r="N105" s="273"/>
      <c r="O105" s="273"/>
      <c r="P105" s="273" t="s">
        <v>33</v>
      </c>
      <c r="Q105" s="273"/>
      <c r="R105" s="273"/>
      <c r="S105" s="352"/>
      <c r="U105" s="273" t="s">
        <v>33</v>
      </c>
      <c r="V105" s="273"/>
      <c r="W105" s="273"/>
      <c r="X105" s="352"/>
    </row>
    <row r="106" spans="1:24" x14ac:dyDescent="0.25">
      <c r="A106" s="353"/>
      <c r="B106" s="137" t="s">
        <v>161</v>
      </c>
      <c r="C106" s="137" t="s">
        <v>191</v>
      </c>
      <c r="D106" s="137" t="s">
        <v>192</v>
      </c>
      <c r="G106" s="137" t="s">
        <v>161</v>
      </c>
      <c r="H106" s="137" t="s">
        <v>191</v>
      </c>
      <c r="I106" s="137" t="s">
        <v>192</v>
      </c>
      <c r="J106" s="358"/>
      <c r="L106" s="137" t="s">
        <v>161</v>
      </c>
      <c r="M106" s="137" t="s">
        <v>191</v>
      </c>
      <c r="N106" s="137" t="s">
        <v>192</v>
      </c>
      <c r="Q106" s="137" t="s">
        <v>161</v>
      </c>
      <c r="R106" s="137" t="s">
        <v>191</v>
      </c>
      <c r="S106" s="355" t="s">
        <v>192</v>
      </c>
      <c r="V106" s="137" t="s">
        <v>161</v>
      </c>
      <c r="W106" s="137" t="s">
        <v>191</v>
      </c>
      <c r="X106" s="355" t="s">
        <v>192</v>
      </c>
    </row>
    <row r="107" spans="1:24" x14ac:dyDescent="0.25">
      <c r="A107" s="353" t="s">
        <v>193</v>
      </c>
      <c r="B107" s="356">
        <f>WERKBON!$E$23</f>
        <v>0</v>
      </c>
      <c r="C107" s="340">
        <f>C91</f>
        <v>74</v>
      </c>
      <c r="D107" s="356">
        <f>B107-C107</f>
        <v>-74</v>
      </c>
      <c r="F107" t="s">
        <v>193</v>
      </c>
      <c r="G107" s="356">
        <f>WERKBON!$E$23</f>
        <v>0</v>
      </c>
      <c r="H107" s="340">
        <f>H91</f>
        <v>74</v>
      </c>
      <c r="I107" s="356">
        <f>G107-H107</f>
        <v>-74</v>
      </c>
      <c r="J107" s="358"/>
      <c r="K107" t="s">
        <v>193</v>
      </c>
      <c r="L107" s="356">
        <f>WERKBON!$E$23</f>
        <v>0</v>
      </c>
      <c r="M107" s="340">
        <f>M91</f>
        <v>74</v>
      </c>
      <c r="N107" s="356">
        <f>L107-M107</f>
        <v>-74</v>
      </c>
      <c r="P107" t="s">
        <v>193</v>
      </c>
      <c r="Q107" s="356">
        <f>WERKBON!$E$23</f>
        <v>0</v>
      </c>
      <c r="R107" s="340">
        <f>R91</f>
        <v>74</v>
      </c>
      <c r="S107" s="357">
        <f>Q107-R107</f>
        <v>-74</v>
      </c>
      <c r="U107" t="s">
        <v>193</v>
      </c>
      <c r="V107" s="356">
        <f>WERKBON!$E$23</f>
        <v>0</v>
      </c>
      <c r="W107" s="340">
        <f>W91</f>
        <v>74</v>
      </c>
      <c r="X107" s="357">
        <f>V107-W107</f>
        <v>-74</v>
      </c>
    </row>
    <row r="108" spans="1:24" x14ac:dyDescent="0.25">
      <c r="A108" s="353" t="s">
        <v>194</v>
      </c>
      <c r="B108" s="356">
        <f>B107</f>
        <v>0</v>
      </c>
      <c r="C108" s="340">
        <f>C92</f>
        <v>11</v>
      </c>
      <c r="D108" s="356">
        <f>B108-C108</f>
        <v>-11</v>
      </c>
      <c r="F108" t="s">
        <v>194</v>
      </c>
      <c r="G108" s="356">
        <f>G107</f>
        <v>0</v>
      </c>
      <c r="H108" s="340">
        <f>H92</f>
        <v>11</v>
      </c>
      <c r="I108" s="356">
        <f>G108-H108</f>
        <v>-11</v>
      </c>
      <c r="J108" s="358"/>
      <c r="K108" t="s">
        <v>194</v>
      </c>
      <c r="L108" s="356">
        <f>L107</f>
        <v>0</v>
      </c>
      <c r="M108" s="340">
        <f>M92</f>
        <v>11</v>
      </c>
      <c r="N108" s="356">
        <f>L108-M108</f>
        <v>-11</v>
      </c>
      <c r="P108" t="s">
        <v>194</v>
      </c>
      <c r="Q108" s="356">
        <f>Q107</f>
        <v>0</v>
      </c>
      <c r="R108" s="340">
        <f>R92</f>
        <v>11</v>
      </c>
      <c r="S108" s="357">
        <f>Q108-R108</f>
        <v>-11</v>
      </c>
      <c r="U108" t="s">
        <v>194</v>
      </c>
      <c r="V108" s="356">
        <f>V107</f>
        <v>0</v>
      </c>
      <c r="W108" s="340">
        <f>W92</f>
        <v>11</v>
      </c>
      <c r="X108" s="357">
        <f>V108-W108</f>
        <v>-11</v>
      </c>
    </row>
    <row r="109" spans="1:24" x14ac:dyDescent="0.25">
      <c r="A109" s="353" t="s">
        <v>195</v>
      </c>
      <c r="B109" s="356">
        <f>B107</f>
        <v>0</v>
      </c>
      <c r="C109" s="137">
        <f>C93</f>
        <v>52</v>
      </c>
      <c r="D109" s="356">
        <f>B109-C109</f>
        <v>-52</v>
      </c>
      <c r="F109" t="s">
        <v>195</v>
      </c>
      <c r="G109" s="356">
        <f>G107</f>
        <v>0</v>
      </c>
      <c r="H109" s="137">
        <f>H93</f>
        <v>57</v>
      </c>
      <c r="I109" s="356">
        <f>G109-H109</f>
        <v>-57</v>
      </c>
      <c r="K109" s="254" t="s">
        <v>196</v>
      </c>
      <c r="L109" s="356">
        <f>L107</f>
        <v>0</v>
      </c>
      <c r="M109" s="137">
        <v>66</v>
      </c>
      <c r="N109" s="356">
        <f>L109-M109</f>
        <v>-66</v>
      </c>
      <c r="P109" t="s">
        <v>195</v>
      </c>
      <c r="Q109" s="356">
        <f>Q107</f>
        <v>0</v>
      </c>
      <c r="R109" s="137">
        <f>R93</f>
        <v>68</v>
      </c>
      <c r="S109" s="357">
        <f>Q109-R109</f>
        <v>-68</v>
      </c>
      <c r="U109" t="s">
        <v>195</v>
      </c>
      <c r="V109" s="356">
        <f>V107</f>
        <v>0</v>
      </c>
      <c r="W109" s="137">
        <f>W93</f>
        <v>52</v>
      </c>
      <c r="X109" s="357">
        <f>V109-W109</f>
        <v>-52</v>
      </c>
    </row>
    <row r="110" spans="1:24" x14ac:dyDescent="0.25">
      <c r="A110" s="353" t="s">
        <v>197</v>
      </c>
      <c r="B110" s="356">
        <f>B107</f>
        <v>0</v>
      </c>
      <c r="C110" s="137">
        <f>C94</f>
        <v>74</v>
      </c>
      <c r="D110" s="356">
        <f>B110-C110</f>
        <v>-74</v>
      </c>
      <c r="F110" t="s">
        <v>197</v>
      </c>
      <c r="G110" s="356">
        <f>G107</f>
        <v>0</v>
      </c>
      <c r="H110" s="137">
        <f>H94</f>
        <v>74</v>
      </c>
      <c r="I110" s="356">
        <f>G110-H110</f>
        <v>-74</v>
      </c>
      <c r="K110" s="254" t="s">
        <v>198</v>
      </c>
      <c r="L110" s="356">
        <f>L108</f>
        <v>0</v>
      </c>
      <c r="M110" s="137">
        <v>60</v>
      </c>
      <c r="N110" s="356">
        <f>L110-M110</f>
        <v>-60</v>
      </c>
      <c r="P110" t="s">
        <v>197</v>
      </c>
      <c r="Q110" s="356">
        <f>Q107</f>
        <v>0</v>
      </c>
      <c r="R110" s="137">
        <f>R94</f>
        <v>74</v>
      </c>
      <c r="S110" s="357">
        <f>Q110-R110</f>
        <v>-74</v>
      </c>
      <c r="U110" t="s">
        <v>197</v>
      </c>
      <c r="V110" s="356">
        <f>V107</f>
        <v>0</v>
      </c>
      <c r="W110" s="137">
        <f>W94</f>
        <v>74</v>
      </c>
      <c r="X110" s="357">
        <f>V110-W110</f>
        <v>-74</v>
      </c>
    </row>
    <row r="111" spans="1:24" x14ac:dyDescent="0.25">
      <c r="A111" s="353"/>
      <c r="K111" t="s">
        <v>197</v>
      </c>
      <c r="L111" s="356">
        <f>L107</f>
        <v>0</v>
      </c>
      <c r="M111" s="137">
        <f>M95</f>
        <v>74</v>
      </c>
      <c r="N111" s="356">
        <f>L111-M111</f>
        <v>-74</v>
      </c>
      <c r="S111" s="30"/>
      <c r="X111" s="30"/>
    </row>
    <row r="112" spans="1:24" x14ac:dyDescent="0.25">
      <c r="A112" s="353"/>
      <c r="S112" s="30"/>
      <c r="X112" s="30"/>
    </row>
    <row r="113" spans="1:24" x14ac:dyDescent="0.25">
      <c r="A113" s="351" t="s">
        <v>34</v>
      </c>
      <c r="B113" s="273"/>
      <c r="C113" s="273"/>
      <c r="D113" s="273"/>
      <c r="E113" s="273"/>
      <c r="F113" s="273" t="s">
        <v>34</v>
      </c>
      <c r="G113" s="273"/>
      <c r="H113" s="273"/>
      <c r="I113" s="273"/>
      <c r="J113" s="273"/>
      <c r="K113" s="273" t="s">
        <v>34</v>
      </c>
      <c r="L113" s="273"/>
      <c r="M113" s="273"/>
      <c r="N113" s="273"/>
      <c r="O113" s="273"/>
      <c r="P113" s="273" t="s">
        <v>34</v>
      </c>
      <c r="Q113" s="273"/>
      <c r="R113" s="273"/>
      <c r="S113" s="352"/>
      <c r="U113" s="273" t="s">
        <v>34</v>
      </c>
      <c r="V113" s="273"/>
      <c r="W113" s="273"/>
      <c r="X113" s="352"/>
    </row>
    <row r="114" spans="1:24" x14ac:dyDescent="0.25">
      <c r="A114" s="353"/>
      <c r="B114" s="137" t="s">
        <v>161</v>
      </c>
      <c r="C114" s="137" t="s">
        <v>191</v>
      </c>
      <c r="D114" s="137" t="s">
        <v>192</v>
      </c>
      <c r="G114" s="137" t="s">
        <v>161</v>
      </c>
      <c r="H114" s="137" t="s">
        <v>191</v>
      </c>
      <c r="I114" s="137" t="s">
        <v>192</v>
      </c>
      <c r="L114" s="137" t="s">
        <v>161</v>
      </c>
      <c r="M114" s="137" t="s">
        <v>191</v>
      </c>
      <c r="N114" s="137" t="s">
        <v>192</v>
      </c>
      <c r="Q114" s="137" t="s">
        <v>161</v>
      </c>
      <c r="R114" s="137" t="s">
        <v>191</v>
      </c>
      <c r="S114" s="355" t="s">
        <v>192</v>
      </c>
      <c r="V114" s="137" t="s">
        <v>161</v>
      </c>
      <c r="W114" s="137" t="s">
        <v>191</v>
      </c>
      <c r="X114" s="355" t="s">
        <v>192</v>
      </c>
    </row>
    <row r="115" spans="1:24" x14ac:dyDescent="0.25">
      <c r="A115" s="353" t="s">
        <v>193</v>
      </c>
      <c r="B115" s="356">
        <f>WERKBON!$F$23</f>
        <v>0</v>
      </c>
      <c r="C115" s="340">
        <f>C91</f>
        <v>74</v>
      </c>
      <c r="D115" s="356">
        <f>B115-C115</f>
        <v>-74</v>
      </c>
      <c r="F115" t="s">
        <v>193</v>
      </c>
      <c r="G115" s="356">
        <f>WERKBON!$F$23</f>
        <v>0</v>
      </c>
      <c r="H115" s="340">
        <f>H91</f>
        <v>74</v>
      </c>
      <c r="I115" s="356">
        <f>G115-H115</f>
        <v>-74</v>
      </c>
      <c r="K115" t="s">
        <v>193</v>
      </c>
      <c r="L115" s="356">
        <f>WERKBON!$F$23</f>
        <v>0</v>
      </c>
      <c r="M115" s="340">
        <f>M91</f>
        <v>74</v>
      </c>
      <c r="N115" s="356">
        <f>L115-M115</f>
        <v>-74</v>
      </c>
      <c r="P115" t="s">
        <v>193</v>
      </c>
      <c r="Q115" s="356">
        <f>WERKBON!$F$23</f>
        <v>0</v>
      </c>
      <c r="R115" s="340">
        <f>R91</f>
        <v>74</v>
      </c>
      <c r="S115" s="357">
        <f>Q115-R115</f>
        <v>-74</v>
      </c>
      <c r="U115" t="s">
        <v>193</v>
      </c>
      <c r="V115" s="356">
        <f>WERKBON!$F$23</f>
        <v>0</v>
      </c>
      <c r="W115" s="340">
        <f>W91</f>
        <v>74</v>
      </c>
      <c r="X115" s="357">
        <f>V115-W115</f>
        <v>-74</v>
      </c>
    </row>
    <row r="116" spans="1:24" x14ac:dyDescent="0.25">
      <c r="A116" s="353" t="s">
        <v>194</v>
      </c>
      <c r="B116" s="356">
        <f>B115</f>
        <v>0</v>
      </c>
      <c r="C116" s="340">
        <f>C92</f>
        <v>11</v>
      </c>
      <c r="D116" s="356">
        <f>B116-C116</f>
        <v>-11</v>
      </c>
      <c r="F116" t="s">
        <v>194</v>
      </c>
      <c r="G116" s="356">
        <f>G115</f>
        <v>0</v>
      </c>
      <c r="H116" s="340">
        <f>H92</f>
        <v>11</v>
      </c>
      <c r="I116" s="356">
        <f>G116-H116</f>
        <v>-11</v>
      </c>
      <c r="K116" t="s">
        <v>194</v>
      </c>
      <c r="L116" s="356">
        <f>L115</f>
        <v>0</v>
      </c>
      <c r="M116" s="340">
        <f>M92</f>
        <v>11</v>
      </c>
      <c r="N116" s="356">
        <f>L116-M116</f>
        <v>-11</v>
      </c>
      <c r="P116" t="s">
        <v>194</v>
      </c>
      <c r="Q116" s="356">
        <f>Q115</f>
        <v>0</v>
      </c>
      <c r="R116" s="340">
        <f>R92</f>
        <v>11</v>
      </c>
      <c r="S116" s="357">
        <f>Q116-R116</f>
        <v>-11</v>
      </c>
      <c r="U116" t="s">
        <v>194</v>
      </c>
      <c r="V116" s="356">
        <f>V115</f>
        <v>0</v>
      </c>
      <c r="W116" s="340">
        <f>W92</f>
        <v>11</v>
      </c>
      <c r="X116" s="357">
        <f>V116-W116</f>
        <v>-11</v>
      </c>
    </row>
    <row r="117" spans="1:24" x14ac:dyDescent="0.25">
      <c r="A117" s="353" t="s">
        <v>195</v>
      </c>
      <c r="B117" s="356">
        <f>B115</f>
        <v>0</v>
      </c>
      <c r="C117" s="137">
        <f>C93</f>
        <v>52</v>
      </c>
      <c r="D117" s="356">
        <f>B117-C117</f>
        <v>-52</v>
      </c>
      <c r="F117" t="s">
        <v>195</v>
      </c>
      <c r="G117" s="356">
        <f>G115</f>
        <v>0</v>
      </c>
      <c r="H117" s="137">
        <f>H93</f>
        <v>57</v>
      </c>
      <c r="I117" s="356">
        <f>G117-H117</f>
        <v>-57</v>
      </c>
      <c r="K117" s="254" t="s">
        <v>196</v>
      </c>
      <c r="L117" s="356">
        <f>L115</f>
        <v>0</v>
      </c>
      <c r="M117" s="137">
        <v>66</v>
      </c>
      <c r="N117" s="356">
        <f>L117-M117</f>
        <v>-66</v>
      </c>
      <c r="P117" t="s">
        <v>195</v>
      </c>
      <c r="Q117" s="356">
        <f>Q115</f>
        <v>0</v>
      </c>
      <c r="R117" s="137">
        <f>R93</f>
        <v>68</v>
      </c>
      <c r="S117" s="357">
        <f>Q117-R117</f>
        <v>-68</v>
      </c>
      <c r="U117" t="s">
        <v>195</v>
      </c>
      <c r="V117" s="356">
        <f>V115</f>
        <v>0</v>
      </c>
      <c r="W117" s="137">
        <f>W93</f>
        <v>52</v>
      </c>
      <c r="X117" s="357">
        <f>V117-W117</f>
        <v>-52</v>
      </c>
    </row>
    <row r="118" spans="1:24" x14ac:dyDescent="0.25">
      <c r="A118" s="353" t="s">
        <v>197</v>
      </c>
      <c r="B118" s="356">
        <f>B115</f>
        <v>0</v>
      </c>
      <c r="C118" s="137">
        <f>C94</f>
        <v>74</v>
      </c>
      <c r="D118" s="356">
        <f>B118-C118</f>
        <v>-74</v>
      </c>
      <c r="F118" t="s">
        <v>197</v>
      </c>
      <c r="G118" s="356">
        <f>G115</f>
        <v>0</v>
      </c>
      <c r="H118" s="137">
        <f>H94</f>
        <v>74</v>
      </c>
      <c r="I118" s="356">
        <f>G118-H118</f>
        <v>-74</v>
      </c>
      <c r="K118" s="254" t="s">
        <v>198</v>
      </c>
      <c r="L118" s="356">
        <f>L116</f>
        <v>0</v>
      </c>
      <c r="M118" s="137">
        <v>60</v>
      </c>
      <c r="N118" s="356">
        <f>L118-M118</f>
        <v>-60</v>
      </c>
      <c r="P118" t="s">
        <v>197</v>
      </c>
      <c r="Q118" s="356">
        <f>Q115</f>
        <v>0</v>
      </c>
      <c r="R118" s="137">
        <f>R94</f>
        <v>74</v>
      </c>
      <c r="S118" s="357">
        <f>Q118-R118</f>
        <v>-74</v>
      </c>
      <c r="U118" t="s">
        <v>197</v>
      </c>
      <c r="V118" s="356">
        <f>V115</f>
        <v>0</v>
      </c>
      <c r="W118" s="137">
        <f>W94</f>
        <v>74</v>
      </c>
      <c r="X118" s="357">
        <f>V118-W118</f>
        <v>-74</v>
      </c>
    </row>
    <row r="119" spans="1:24" x14ac:dyDescent="0.25">
      <c r="A119" s="353"/>
      <c r="K119" t="s">
        <v>197</v>
      </c>
      <c r="L119" s="356">
        <f>L115</f>
        <v>0</v>
      </c>
      <c r="M119" s="137">
        <f>M95</f>
        <v>74</v>
      </c>
      <c r="N119" s="356">
        <f>L119-M119</f>
        <v>-74</v>
      </c>
      <c r="S119" s="30"/>
      <c r="X119" s="30"/>
    </row>
    <row r="120" spans="1:24" x14ac:dyDescent="0.25">
      <c r="A120" s="353"/>
      <c r="S120" s="30"/>
      <c r="X120" s="30"/>
    </row>
    <row r="121" spans="1:24" x14ac:dyDescent="0.25">
      <c r="A121" s="351" t="s">
        <v>35</v>
      </c>
      <c r="B121" s="273"/>
      <c r="C121" s="273"/>
      <c r="D121" s="273"/>
      <c r="E121" s="273"/>
      <c r="F121" s="273" t="s">
        <v>35</v>
      </c>
      <c r="G121" s="273"/>
      <c r="H121" s="273"/>
      <c r="I121" s="273"/>
      <c r="J121" s="273"/>
      <c r="K121" s="273" t="s">
        <v>35</v>
      </c>
      <c r="L121" s="273"/>
      <c r="M121" s="273"/>
      <c r="N121" s="273"/>
      <c r="O121" s="273"/>
      <c r="P121" s="273" t="s">
        <v>35</v>
      </c>
      <c r="Q121" s="273"/>
      <c r="R121" s="273"/>
      <c r="S121" s="352"/>
      <c r="U121" s="273" t="s">
        <v>35</v>
      </c>
      <c r="V121" s="273"/>
      <c r="W121" s="273"/>
      <c r="X121" s="352"/>
    </row>
    <row r="122" spans="1:24" x14ac:dyDescent="0.25">
      <c r="A122" s="353"/>
      <c r="B122" s="137" t="s">
        <v>161</v>
      </c>
      <c r="C122" s="137" t="s">
        <v>191</v>
      </c>
      <c r="D122" s="137" t="s">
        <v>192</v>
      </c>
      <c r="G122" s="137" t="s">
        <v>161</v>
      </c>
      <c r="H122" s="137" t="s">
        <v>191</v>
      </c>
      <c r="I122" s="137" t="s">
        <v>192</v>
      </c>
      <c r="L122" s="137" t="s">
        <v>161</v>
      </c>
      <c r="M122" s="137" t="s">
        <v>191</v>
      </c>
      <c r="N122" s="137" t="s">
        <v>192</v>
      </c>
      <c r="Q122" s="137" t="s">
        <v>161</v>
      </c>
      <c r="R122" s="137" t="s">
        <v>191</v>
      </c>
      <c r="S122" s="355" t="s">
        <v>192</v>
      </c>
      <c r="V122" s="137" t="s">
        <v>161</v>
      </c>
      <c r="W122" s="137" t="s">
        <v>191</v>
      </c>
      <c r="X122" s="355" t="s">
        <v>192</v>
      </c>
    </row>
    <row r="123" spans="1:24" x14ac:dyDescent="0.25">
      <c r="A123" s="353" t="s">
        <v>193</v>
      </c>
      <c r="B123" s="356">
        <f>WERKBON!$G$23</f>
        <v>0</v>
      </c>
      <c r="C123" s="340">
        <f>C91</f>
        <v>74</v>
      </c>
      <c r="D123" s="356">
        <f>B123-C123</f>
        <v>-74</v>
      </c>
      <c r="F123" t="s">
        <v>193</v>
      </c>
      <c r="G123" s="356">
        <f>WERKBON!$G$23</f>
        <v>0</v>
      </c>
      <c r="H123" s="340">
        <f>H91</f>
        <v>74</v>
      </c>
      <c r="I123" s="356">
        <f>G123-H123</f>
        <v>-74</v>
      </c>
      <c r="K123" t="s">
        <v>193</v>
      </c>
      <c r="L123" s="356">
        <f>WERKBON!$G$23</f>
        <v>0</v>
      </c>
      <c r="M123" s="340">
        <f>M91</f>
        <v>74</v>
      </c>
      <c r="N123" s="356">
        <f>L123-M123</f>
        <v>-74</v>
      </c>
      <c r="P123" t="s">
        <v>193</v>
      </c>
      <c r="Q123" s="356">
        <f>WERKBON!$G$23</f>
        <v>0</v>
      </c>
      <c r="R123" s="340">
        <f>R91</f>
        <v>74</v>
      </c>
      <c r="S123" s="357">
        <f>Q123-R123</f>
        <v>-74</v>
      </c>
      <c r="U123" t="s">
        <v>193</v>
      </c>
      <c r="V123" s="356">
        <f>WERKBON!$G$23</f>
        <v>0</v>
      </c>
      <c r="W123" s="340">
        <f>W91</f>
        <v>74</v>
      </c>
      <c r="X123" s="357">
        <f>V123-W123</f>
        <v>-74</v>
      </c>
    </row>
    <row r="124" spans="1:24" x14ac:dyDescent="0.25">
      <c r="A124" s="353" t="s">
        <v>194</v>
      </c>
      <c r="B124" s="356">
        <f>B123</f>
        <v>0</v>
      </c>
      <c r="C124" s="340">
        <f>C92</f>
        <v>11</v>
      </c>
      <c r="D124" s="356">
        <f>B124-C124</f>
        <v>-11</v>
      </c>
      <c r="F124" t="s">
        <v>194</v>
      </c>
      <c r="G124" s="356">
        <f>G123</f>
        <v>0</v>
      </c>
      <c r="H124" s="340">
        <f>H92</f>
        <v>11</v>
      </c>
      <c r="I124" s="356">
        <f>G124-H124</f>
        <v>-11</v>
      </c>
      <c r="K124" t="s">
        <v>194</v>
      </c>
      <c r="L124" s="356">
        <f>L123</f>
        <v>0</v>
      </c>
      <c r="M124" s="340">
        <f>M92</f>
        <v>11</v>
      </c>
      <c r="N124" s="356">
        <f>L124-M124</f>
        <v>-11</v>
      </c>
      <c r="P124" t="s">
        <v>194</v>
      </c>
      <c r="Q124" s="356">
        <f>Q123</f>
        <v>0</v>
      </c>
      <c r="R124" s="340">
        <f>R92</f>
        <v>11</v>
      </c>
      <c r="S124" s="357">
        <f>Q124-R124</f>
        <v>-11</v>
      </c>
      <c r="U124" t="s">
        <v>194</v>
      </c>
      <c r="V124" s="356">
        <f>V123</f>
        <v>0</v>
      </c>
      <c r="W124" s="340">
        <f>W92</f>
        <v>11</v>
      </c>
      <c r="X124" s="357">
        <f>V124-W124</f>
        <v>-11</v>
      </c>
    </row>
    <row r="125" spans="1:24" x14ac:dyDescent="0.25">
      <c r="A125" s="353" t="s">
        <v>195</v>
      </c>
      <c r="B125" s="356">
        <f>B123</f>
        <v>0</v>
      </c>
      <c r="C125" s="137">
        <f>C93</f>
        <v>52</v>
      </c>
      <c r="D125" s="356">
        <f>B125-C125</f>
        <v>-52</v>
      </c>
      <c r="F125" t="s">
        <v>195</v>
      </c>
      <c r="G125" s="356">
        <f>G123</f>
        <v>0</v>
      </c>
      <c r="H125" s="137">
        <f>H93</f>
        <v>57</v>
      </c>
      <c r="I125" s="356">
        <f>G125-H125</f>
        <v>-57</v>
      </c>
      <c r="K125" s="254" t="s">
        <v>196</v>
      </c>
      <c r="L125" s="356">
        <f>L123</f>
        <v>0</v>
      </c>
      <c r="M125" s="137">
        <v>66</v>
      </c>
      <c r="N125" s="356">
        <f>L125-M125</f>
        <v>-66</v>
      </c>
      <c r="P125" t="s">
        <v>195</v>
      </c>
      <c r="Q125" s="356">
        <f>Q123</f>
        <v>0</v>
      </c>
      <c r="R125" s="137">
        <f>R93</f>
        <v>68</v>
      </c>
      <c r="S125" s="357">
        <f>Q125-R125</f>
        <v>-68</v>
      </c>
      <c r="U125" t="s">
        <v>195</v>
      </c>
      <c r="V125" s="356">
        <f>V123</f>
        <v>0</v>
      </c>
      <c r="W125" s="137">
        <f>W93</f>
        <v>52</v>
      </c>
      <c r="X125" s="357">
        <f>V125-W125</f>
        <v>-52</v>
      </c>
    </row>
    <row r="126" spans="1:24" x14ac:dyDescent="0.25">
      <c r="A126" s="353" t="s">
        <v>197</v>
      </c>
      <c r="B126" s="356">
        <f>B123</f>
        <v>0</v>
      </c>
      <c r="C126" s="137">
        <f>C94</f>
        <v>74</v>
      </c>
      <c r="D126" s="356">
        <f>B126-C126</f>
        <v>-74</v>
      </c>
      <c r="F126" t="s">
        <v>197</v>
      </c>
      <c r="G126" s="356">
        <f>G123</f>
        <v>0</v>
      </c>
      <c r="H126" s="137">
        <f>H94</f>
        <v>74</v>
      </c>
      <c r="I126" s="356">
        <f>G126-H126</f>
        <v>-74</v>
      </c>
      <c r="K126" s="254" t="s">
        <v>198</v>
      </c>
      <c r="L126" s="356">
        <f>L124</f>
        <v>0</v>
      </c>
      <c r="M126" s="137">
        <v>60</v>
      </c>
      <c r="N126" s="356">
        <f>L126-M126</f>
        <v>-60</v>
      </c>
      <c r="P126" t="s">
        <v>197</v>
      </c>
      <c r="Q126" s="356">
        <f>Q123</f>
        <v>0</v>
      </c>
      <c r="R126" s="137">
        <f>R94</f>
        <v>74</v>
      </c>
      <c r="S126" s="357">
        <f>Q126-R126</f>
        <v>-74</v>
      </c>
      <c r="U126" t="s">
        <v>197</v>
      </c>
      <c r="V126" s="356">
        <f>V123</f>
        <v>0</v>
      </c>
      <c r="W126" s="137">
        <f>W94</f>
        <v>74</v>
      </c>
      <c r="X126" s="357">
        <f>V126-W126</f>
        <v>-74</v>
      </c>
    </row>
    <row r="127" spans="1:19" x14ac:dyDescent="0.25">
      <c r="A127" s="353"/>
      <c r="K127" t="s">
        <v>197</v>
      </c>
      <c r="L127" s="356">
        <f>L123</f>
        <v>0</v>
      </c>
      <c r="M127" s="137">
        <f>M95</f>
        <v>74</v>
      </c>
      <c r="N127" s="356">
        <f>L127-M127</f>
        <v>-74</v>
      </c>
      <c r="S127" s="30"/>
    </row>
    <row r="128" spans="1:19" x14ac:dyDescent="0.25">
      <c r="A128" s="353"/>
      <c r="S128" s="30"/>
    </row>
    <row r="129" spans="1:19" x14ac:dyDescent="0.25">
      <c r="A129" s="367"/>
      <c r="B129" s="367"/>
      <c r="C129" s="367"/>
      <c r="D129" s="367"/>
      <c r="E129" s="367"/>
      <c r="F129" s="367"/>
      <c r="G129" s="367"/>
      <c r="H129" s="367"/>
      <c r="I129" s="367"/>
      <c r="J129" s="367"/>
      <c r="K129" s="367"/>
      <c r="L129" s="367"/>
      <c r="M129" s="367"/>
      <c r="N129" s="367"/>
      <c r="O129" s="367"/>
      <c r="P129" s="367"/>
      <c r="Q129" s="367"/>
      <c r="R129" s="367"/>
      <c r="S129" s="367"/>
    </row>
    <row r="130" ht="18" customHeight="1" spans="1:19" x14ac:dyDescent="0.25">
      <c r="A130" s="369" t="s">
        <v>199</v>
      </c>
      <c r="B130" s="370"/>
      <c r="C130" s="371" t="s">
        <v>207</v>
      </c>
      <c r="D130" s="372">
        <v>42</v>
      </c>
      <c r="E130" s="395">
        <v>4.5</v>
      </c>
      <c r="F130" s="396" t="s">
        <v>201</v>
      </c>
      <c r="G130" s="393" t="s">
        <v>208</v>
      </c>
      <c r="H130" s="397"/>
      <c r="I130" s="386"/>
      <c r="J130" s="386"/>
      <c r="K130" s="386"/>
      <c r="L130" s="386"/>
      <c r="M130" s="386"/>
      <c r="N130" s="376"/>
      <c r="O130" s="376"/>
      <c r="P130" s="377" t="s">
        <v>80</v>
      </c>
      <c r="Q130" s="377"/>
      <c r="R130" s="378">
        <v>52</v>
      </c>
      <c r="S130" s="379" t="s">
        <v>202</v>
      </c>
    </row>
    <row r="131" ht="18" customHeight="1" spans="1:19" x14ac:dyDescent="0.25">
      <c r="A131" s="387"/>
      <c r="B131" s="388"/>
      <c r="C131" s="389"/>
      <c r="D131" s="390"/>
      <c r="E131" s="391"/>
      <c r="F131" s="392"/>
      <c r="G131" s="393" t="s">
        <v>209</v>
      </c>
      <c r="H131" s="397"/>
      <c r="I131" s="254"/>
      <c r="J131" s="254"/>
      <c r="K131" s="254"/>
      <c r="L131" s="254"/>
      <c r="M131" s="254"/>
      <c r="N131" s="156"/>
      <c r="O131" s="156"/>
      <c r="P131" s="156"/>
      <c r="Q131" s="156"/>
      <c r="R131" s="156"/>
      <c r="S131" s="394"/>
    </row>
    <row r="132" ht="18" customHeight="1" spans="1:19" x14ac:dyDescent="0.25">
      <c r="A132" s="381" t="s">
        <v>186</v>
      </c>
      <c r="B132" s="380"/>
      <c r="C132" s="380"/>
      <c r="D132" s="380"/>
      <c r="E132" s="380"/>
      <c r="F132" s="380" t="s">
        <v>187</v>
      </c>
      <c r="G132" s="380"/>
      <c r="H132" s="380"/>
      <c r="I132" s="380"/>
      <c r="J132" s="380"/>
      <c r="K132" s="380" t="s">
        <v>188</v>
      </c>
      <c r="L132" s="380"/>
      <c r="M132" s="380"/>
      <c r="N132" s="380"/>
      <c r="O132" s="380"/>
      <c r="P132" s="380" t="s">
        <v>189</v>
      </c>
      <c r="Q132" s="380"/>
      <c r="R132" s="380"/>
      <c r="S132" s="382"/>
    </row>
    <row r="133" spans="1:19" x14ac:dyDescent="0.25">
      <c r="A133" s="351" t="s">
        <v>31</v>
      </c>
      <c r="B133" s="273"/>
      <c r="C133" s="273"/>
      <c r="D133" s="273"/>
      <c r="E133" s="273"/>
      <c r="F133" s="273" t="s">
        <v>31</v>
      </c>
      <c r="G133" s="273"/>
      <c r="H133" s="273"/>
      <c r="I133" s="273"/>
      <c r="J133" s="294"/>
      <c r="K133" s="273" t="s">
        <v>31</v>
      </c>
      <c r="L133" s="273"/>
      <c r="M133" s="273"/>
      <c r="N133" s="273"/>
      <c r="O133" s="273"/>
      <c r="P133" s="273" t="s">
        <v>31</v>
      </c>
      <c r="Q133" s="273"/>
      <c r="R133" s="273"/>
      <c r="S133" s="352"/>
    </row>
    <row r="134" spans="1:19" x14ac:dyDescent="0.25">
      <c r="A134" s="353"/>
      <c r="B134" s="137" t="s">
        <v>161</v>
      </c>
      <c r="C134" s="137" t="s">
        <v>191</v>
      </c>
      <c r="D134" s="137" t="s">
        <v>192</v>
      </c>
      <c r="G134" s="137" t="s">
        <v>161</v>
      </c>
      <c r="H134" s="137" t="s">
        <v>191</v>
      </c>
      <c r="I134" s="137" t="s">
        <v>192</v>
      </c>
      <c r="J134" s="354"/>
      <c r="L134" s="137" t="s">
        <v>161</v>
      </c>
      <c r="M134" s="137" t="s">
        <v>191</v>
      </c>
      <c r="N134" s="137" t="s">
        <v>192</v>
      </c>
      <c r="Q134" s="137" t="s">
        <v>161</v>
      </c>
      <c r="R134" s="137" t="s">
        <v>191</v>
      </c>
      <c r="S134" s="355" t="s">
        <v>192</v>
      </c>
    </row>
    <row r="135" spans="1:19" x14ac:dyDescent="0.25">
      <c r="A135" s="353" t="s">
        <v>193</v>
      </c>
      <c r="B135" s="356">
        <f>WERKBON!$C$23</f>
        <v>0</v>
      </c>
      <c r="C135" s="340">
        <v>74</v>
      </c>
      <c r="D135" s="356">
        <f>B135-C135</f>
        <v>-74</v>
      </c>
      <c r="F135" t="s">
        <v>193</v>
      </c>
      <c r="G135" s="356">
        <f>WERKBON!$C$23</f>
        <v>0</v>
      </c>
      <c r="H135" s="340">
        <v>74</v>
      </c>
      <c r="I135" s="356">
        <f>G135-H135</f>
        <v>-74</v>
      </c>
      <c r="J135" s="354"/>
      <c r="K135" t="s">
        <v>193</v>
      </c>
      <c r="L135" s="356">
        <f>WERKBON!$C$23</f>
        <v>0</v>
      </c>
      <c r="M135" s="340">
        <v>74</v>
      </c>
      <c r="N135" s="356">
        <f>L135-M135</f>
        <v>-74</v>
      </c>
      <c r="P135" t="s">
        <v>193</v>
      </c>
      <c r="Q135" s="356">
        <f>WERKBON!$C$23</f>
        <v>0</v>
      </c>
      <c r="R135" s="340">
        <v>74</v>
      </c>
      <c r="S135" s="357">
        <f>Q135-R135</f>
        <v>-74</v>
      </c>
    </row>
    <row r="136" spans="1:19" x14ac:dyDescent="0.25">
      <c r="A136" s="353" t="s">
        <v>194</v>
      </c>
      <c r="B136" s="356">
        <f>B135</f>
        <v>0</v>
      </c>
      <c r="C136" s="340">
        <v>11</v>
      </c>
      <c r="D136" s="356">
        <f>B136-C136</f>
        <v>-11</v>
      </c>
      <c r="F136" t="s">
        <v>194</v>
      </c>
      <c r="G136" s="356">
        <f>G135</f>
        <v>0</v>
      </c>
      <c r="H136" s="340">
        <v>11</v>
      </c>
      <c r="I136" s="356">
        <f>G136-H136</f>
        <v>-11</v>
      </c>
      <c r="J136" s="354"/>
      <c r="K136" t="s">
        <v>194</v>
      </c>
      <c r="L136" s="356">
        <f>L135</f>
        <v>0</v>
      </c>
      <c r="M136" s="340">
        <v>11</v>
      </c>
      <c r="N136" s="356">
        <f>L136-M136</f>
        <v>-11</v>
      </c>
      <c r="P136" t="s">
        <v>194</v>
      </c>
      <c r="Q136" s="356">
        <f>Q135</f>
        <v>0</v>
      </c>
      <c r="R136" s="340">
        <v>11</v>
      </c>
      <c r="S136" s="357">
        <f>Q136-R136</f>
        <v>-11</v>
      </c>
    </row>
    <row r="137" spans="1:19" x14ac:dyDescent="0.25">
      <c r="A137" s="353" t="s">
        <v>195</v>
      </c>
      <c r="B137" s="356">
        <f>B135</f>
        <v>0</v>
      </c>
      <c r="C137" s="137">
        <v>52</v>
      </c>
      <c r="D137" s="356">
        <f>B137-C137</f>
        <v>-52</v>
      </c>
      <c r="F137" t="s">
        <v>195</v>
      </c>
      <c r="G137" s="356">
        <f>G135</f>
        <v>0</v>
      </c>
      <c r="H137" s="137">
        <v>57</v>
      </c>
      <c r="I137" s="356">
        <f>G137-H137</f>
        <v>-57</v>
      </c>
      <c r="J137" s="354"/>
      <c r="K137" s="254" t="s">
        <v>196</v>
      </c>
      <c r="L137" s="356">
        <f>L135</f>
        <v>0</v>
      </c>
      <c r="M137" s="137">
        <v>66</v>
      </c>
      <c r="N137" s="356">
        <f>L137-M137</f>
        <v>-66</v>
      </c>
      <c r="P137" t="s">
        <v>195</v>
      </c>
      <c r="Q137" s="356">
        <f>Q135</f>
        <v>0</v>
      </c>
      <c r="R137" s="137">
        <v>68</v>
      </c>
      <c r="S137" s="357">
        <f>Q137-R137</f>
        <v>-68</v>
      </c>
    </row>
    <row r="138" spans="1:19" x14ac:dyDescent="0.25">
      <c r="A138" s="353" t="s">
        <v>197</v>
      </c>
      <c r="B138" s="356">
        <f>B135</f>
        <v>0</v>
      </c>
      <c r="C138" s="137">
        <v>74</v>
      </c>
      <c r="D138" s="356">
        <f>B138-C138</f>
        <v>-74</v>
      </c>
      <c r="F138" t="s">
        <v>197</v>
      </c>
      <c r="G138" s="356">
        <f>G135</f>
        <v>0</v>
      </c>
      <c r="H138" s="137">
        <v>74</v>
      </c>
      <c r="I138" s="356">
        <f>G138-H138</f>
        <v>-74</v>
      </c>
      <c r="J138" s="354"/>
      <c r="K138" s="254" t="s">
        <v>198</v>
      </c>
      <c r="L138" s="356">
        <f>L136</f>
        <v>0</v>
      </c>
      <c r="M138" s="137">
        <v>60</v>
      </c>
      <c r="N138" s="356">
        <f>L138-M138</f>
        <v>-60</v>
      </c>
      <c r="P138" t="s">
        <v>197</v>
      </c>
      <c r="Q138" s="356">
        <f>Q135</f>
        <v>0</v>
      </c>
      <c r="R138" s="137">
        <v>74</v>
      </c>
      <c r="S138" s="357">
        <f>Q138-R138</f>
        <v>-74</v>
      </c>
    </row>
    <row r="139" spans="1:19" x14ac:dyDescent="0.25">
      <c r="A139" s="353"/>
      <c r="F139" s="354"/>
      <c r="G139" s="340"/>
      <c r="H139" s="340"/>
      <c r="I139" s="354"/>
      <c r="J139" s="354"/>
      <c r="K139" t="s">
        <v>197</v>
      </c>
      <c r="L139" s="356">
        <f>L135</f>
        <v>0</v>
      </c>
      <c r="M139" s="137">
        <v>74</v>
      </c>
      <c r="N139" s="356">
        <f>L139-M139</f>
        <v>-74</v>
      </c>
      <c r="S139" s="30"/>
    </row>
    <row r="140" spans="1:19" x14ac:dyDescent="0.25">
      <c r="A140" s="353"/>
      <c r="F140" s="354"/>
      <c r="G140" s="340"/>
      <c r="H140" s="340"/>
      <c r="I140" s="354"/>
      <c r="J140" s="354"/>
      <c r="L140" s="356"/>
      <c r="M140" s="137"/>
      <c r="N140" s="356"/>
      <c r="S140" s="30"/>
    </row>
    <row r="141" spans="1:19" x14ac:dyDescent="0.25">
      <c r="A141" s="351" t="s">
        <v>32</v>
      </c>
      <c r="B141" s="273"/>
      <c r="C141" s="273"/>
      <c r="D141" s="273"/>
      <c r="E141" s="273"/>
      <c r="F141" s="273" t="s">
        <v>32</v>
      </c>
      <c r="G141" s="273"/>
      <c r="H141" s="273"/>
      <c r="I141" s="273"/>
      <c r="J141" s="354"/>
      <c r="K141" s="273" t="s">
        <v>32</v>
      </c>
      <c r="L141" s="273"/>
      <c r="M141" s="273"/>
      <c r="N141" s="273"/>
      <c r="O141" s="273"/>
      <c r="P141" s="273" t="s">
        <v>32</v>
      </c>
      <c r="Q141" s="273"/>
      <c r="R141" s="273"/>
      <c r="S141" s="352"/>
    </row>
    <row r="142" spans="1:19" x14ac:dyDescent="0.25">
      <c r="A142" s="353"/>
      <c r="B142" s="137" t="s">
        <v>161</v>
      </c>
      <c r="C142" s="137" t="s">
        <v>191</v>
      </c>
      <c r="D142" s="137" t="s">
        <v>192</v>
      </c>
      <c r="G142" s="137" t="s">
        <v>161</v>
      </c>
      <c r="H142" s="137" t="s">
        <v>191</v>
      </c>
      <c r="I142" s="137" t="s">
        <v>192</v>
      </c>
      <c r="J142" s="354"/>
      <c r="L142" s="137" t="s">
        <v>161</v>
      </c>
      <c r="M142" s="137" t="s">
        <v>191</v>
      </c>
      <c r="N142" s="137" t="s">
        <v>192</v>
      </c>
      <c r="Q142" s="137" t="s">
        <v>161</v>
      </c>
      <c r="R142" s="137" t="s">
        <v>191</v>
      </c>
      <c r="S142" s="355" t="s">
        <v>192</v>
      </c>
    </row>
    <row r="143" spans="1:19" x14ac:dyDescent="0.25">
      <c r="A143" s="353" t="s">
        <v>193</v>
      </c>
      <c r="B143" s="356">
        <f>WERKBON!$D$23</f>
        <v>0</v>
      </c>
      <c r="C143" s="340">
        <f>C135</f>
        <v>74</v>
      </c>
      <c r="D143" s="356">
        <f>B143-C143</f>
        <v>-74</v>
      </c>
      <c r="F143" t="s">
        <v>193</v>
      </c>
      <c r="G143" s="356">
        <f>WERKBON!$D$23</f>
        <v>0</v>
      </c>
      <c r="H143" s="340">
        <f>H135</f>
        <v>74</v>
      </c>
      <c r="I143" s="356">
        <f>G143-H143</f>
        <v>-74</v>
      </c>
      <c r="J143" s="354"/>
      <c r="K143" t="s">
        <v>193</v>
      </c>
      <c r="L143" s="356">
        <f>WERKBON!$D$23</f>
        <v>0</v>
      </c>
      <c r="M143" s="340">
        <f>M135</f>
        <v>74</v>
      </c>
      <c r="N143" s="356">
        <f>L143-M143</f>
        <v>-74</v>
      </c>
      <c r="P143" t="s">
        <v>193</v>
      </c>
      <c r="Q143" s="356">
        <f>WERKBON!$D$23</f>
        <v>0</v>
      </c>
      <c r="R143" s="340">
        <f>R135</f>
        <v>74</v>
      </c>
      <c r="S143" s="357">
        <f>Q143-R143</f>
        <v>-74</v>
      </c>
    </row>
    <row r="144" spans="1:19" x14ac:dyDescent="0.25">
      <c r="A144" s="353" t="s">
        <v>194</v>
      </c>
      <c r="B144" s="356">
        <f>B143</f>
        <v>0</v>
      </c>
      <c r="C144" s="340">
        <f>C136</f>
        <v>11</v>
      </c>
      <c r="D144" s="356">
        <f>B144-C144</f>
        <v>-11</v>
      </c>
      <c r="F144" t="s">
        <v>194</v>
      </c>
      <c r="G144" s="356">
        <f>G143</f>
        <v>0</v>
      </c>
      <c r="H144" s="340">
        <f>H136</f>
        <v>11</v>
      </c>
      <c r="I144" s="356">
        <f>G144-H144</f>
        <v>-11</v>
      </c>
      <c r="K144" t="s">
        <v>194</v>
      </c>
      <c r="L144" s="356">
        <f>L143</f>
        <v>0</v>
      </c>
      <c r="M144" s="340">
        <f>M136</f>
        <v>11</v>
      </c>
      <c r="N144" s="356">
        <f>L144-M144</f>
        <v>-11</v>
      </c>
      <c r="P144" t="s">
        <v>194</v>
      </c>
      <c r="Q144" s="356">
        <f>Q143</f>
        <v>0</v>
      </c>
      <c r="R144" s="340">
        <f>R136</f>
        <v>11</v>
      </c>
      <c r="S144" s="357">
        <f>Q144-R144</f>
        <v>-11</v>
      </c>
    </row>
    <row r="145" spans="1:19" x14ac:dyDescent="0.25">
      <c r="A145" s="353" t="s">
        <v>195</v>
      </c>
      <c r="B145" s="356">
        <f>B143</f>
        <v>0</v>
      </c>
      <c r="C145" s="137">
        <f>C137</f>
        <v>52</v>
      </c>
      <c r="D145" s="356">
        <f>B145-C145</f>
        <v>-52</v>
      </c>
      <c r="F145" t="s">
        <v>195</v>
      </c>
      <c r="G145" s="356">
        <f>G143</f>
        <v>0</v>
      </c>
      <c r="H145" s="137">
        <f>H137</f>
        <v>57</v>
      </c>
      <c r="I145" s="356">
        <f>G145-H145</f>
        <v>-57</v>
      </c>
      <c r="K145" s="254" t="s">
        <v>196</v>
      </c>
      <c r="L145" s="356">
        <f>L143</f>
        <v>0</v>
      </c>
      <c r="M145" s="137">
        <v>66</v>
      </c>
      <c r="N145" s="356">
        <f>L145-M145</f>
        <v>-66</v>
      </c>
      <c r="P145" t="s">
        <v>195</v>
      </c>
      <c r="Q145" s="356">
        <f>Q143</f>
        <v>0</v>
      </c>
      <c r="R145" s="137">
        <f>R137</f>
        <v>68</v>
      </c>
      <c r="S145" s="357">
        <f>Q145-R145</f>
        <v>-68</v>
      </c>
    </row>
    <row r="146" spans="1:19" x14ac:dyDescent="0.25">
      <c r="A146" s="353" t="s">
        <v>197</v>
      </c>
      <c r="B146" s="356">
        <f>B143</f>
        <v>0</v>
      </c>
      <c r="C146" s="137">
        <f>C138</f>
        <v>74</v>
      </c>
      <c r="D146" s="356">
        <f>B146-C146</f>
        <v>-74</v>
      </c>
      <c r="F146" t="s">
        <v>197</v>
      </c>
      <c r="G146" s="356">
        <f>G143</f>
        <v>0</v>
      </c>
      <c r="H146" s="137">
        <f>H138</f>
        <v>74</v>
      </c>
      <c r="I146" s="356">
        <f>G146-H146</f>
        <v>-74</v>
      </c>
      <c r="J146" s="358"/>
      <c r="K146" s="254" t="s">
        <v>198</v>
      </c>
      <c r="L146" s="356">
        <f>L144</f>
        <v>0</v>
      </c>
      <c r="M146" s="137">
        <v>60</v>
      </c>
      <c r="N146" s="356">
        <f>L146-M146</f>
        <v>-60</v>
      </c>
      <c r="P146" t="s">
        <v>197</v>
      </c>
      <c r="Q146" s="356">
        <f>Q143</f>
        <v>0</v>
      </c>
      <c r="R146" s="137">
        <f>R138</f>
        <v>74</v>
      </c>
      <c r="S146" s="357">
        <f>Q146-R146</f>
        <v>-74</v>
      </c>
    </row>
    <row r="147" spans="1:19" x14ac:dyDescent="0.25">
      <c r="A147" s="353"/>
      <c r="I147" s="358"/>
      <c r="J147" s="358"/>
      <c r="K147" t="s">
        <v>197</v>
      </c>
      <c r="L147" s="356">
        <f>L143</f>
        <v>0</v>
      </c>
      <c r="M147" s="137">
        <f>M139</f>
        <v>74</v>
      </c>
      <c r="N147" s="356">
        <f>L147-M147</f>
        <v>-74</v>
      </c>
      <c r="S147" s="30"/>
    </row>
    <row r="148" spans="1:19" x14ac:dyDescent="0.25">
      <c r="A148" s="353"/>
      <c r="I148" s="358"/>
      <c r="J148" s="358"/>
      <c r="S148" s="30"/>
    </row>
    <row r="149" spans="1:19" x14ac:dyDescent="0.25">
      <c r="A149" s="351" t="s">
        <v>33</v>
      </c>
      <c r="B149" s="273"/>
      <c r="C149" s="273"/>
      <c r="D149" s="273"/>
      <c r="E149" s="273"/>
      <c r="F149" s="273" t="s">
        <v>33</v>
      </c>
      <c r="G149" s="273"/>
      <c r="H149" s="273"/>
      <c r="I149" s="273"/>
      <c r="J149" s="359"/>
      <c r="K149" s="273" t="s">
        <v>33</v>
      </c>
      <c r="L149" s="273"/>
      <c r="M149" s="273"/>
      <c r="N149" s="273"/>
      <c r="O149" s="273"/>
      <c r="P149" s="273" t="s">
        <v>33</v>
      </c>
      <c r="Q149" s="273"/>
      <c r="R149" s="273"/>
      <c r="S149" s="352"/>
    </row>
    <row r="150" spans="1:19" x14ac:dyDescent="0.25">
      <c r="A150" s="353"/>
      <c r="B150" s="137" t="s">
        <v>161</v>
      </c>
      <c r="C150" s="137" t="s">
        <v>191</v>
      </c>
      <c r="D150" s="137" t="s">
        <v>192</v>
      </c>
      <c r="G150" s="137" t="s">
        <v>161</v>
      </c>
      <c r="H150" s="137" t="s">
        <v>191</v>
      </c>
      <c r="I150" s="137" t="s">
        <v>192</v>
      </c>
      <c r="J150" s="358"/>
      <c r="L150" s="137" t="s">
        <v>161</v>
      </c>
      <c r="M150" s="137" t="s">
        <v>191</v>
      </c>
      <c r="N150" s="137" t="s">
        <v>192</v>
      </c>
      <c r="Q150" s="137" t="s">
        <v>161</v>
      </c>
      <c r="R150" s="137" t="s">
        <v>191</v>
      </c>
      <c r="S150" s="355" t="s">
        <v>192</v>
      </c>
    </row>
    <row r="151" spans="1:19" x14ac:dyDescent="0.25">
      <c r="A151" s="353" t="s">
        <v>193</v>
      </c>
      <c r="B151" s="356">
        <f>WERKBON!$E$23</f>
        <v>0</v>
      </c>
      <c r="C151" s="340">
        <f>C135</f>
        <v>74</v>
      </c>
      <c r="D151" s="356">
        <f>B151-C151</f>
        <v>-74</v>
      </c>
      <c r="F151" t="s">
        <v>193</v>
      </c>
      <c r="G151" s="356">
        <f>WERKBON!$E$23</f>
        <v>0</v>
      </c>
      <c r="H151" s="340">
        <f>H135</f>
        <v>74</v>
      </c>
      <c r="I151" s="356">
        <f>G151-H151</f>
        <v>-74</v>
      </c>
      <c r="J151" s="358"/>
      <c r="K151" t="s">
        <v>193</v>
      </c>
      <c r="L151" s="356">
        <f>WERKBON!$E$23</f>
        <v>0</v>
      </c>
      <c r="M151" s="340">
        <f>M135</f>
        <v>74</v>
      </c>
      <c r="N151" s="356">
        <f>L151-M151</f>
        <v>-74</v>
      </c>
      <c r="P151" t="s">
        <v>193</v>
      </c>
      <c r="Q151" s="356">
        <f>WERKBON!$E$23</f>
        <v>0</v>
      </c>
      <c r="R151" s="340">
        <f>R135</f>
        <v>74</v>
      </c>
      <c r="S151" s="357">
        <f>Q151-R151</f>
        <v>-74</v>
      </c>
    </row>
    <row r="152" spans="1:19" x14ac:dyDescent="0.25">
      <c r="A152" s="353" t="s">
        <v>194</v>
      </c>
      <c r="B152" s="356">
        <f>B151</f>
        <v>0</v>
      </c>
      <c r="C152" s="340">
        <f>C136</f>
        <v>11</v>
      </c>
      <c r="D152" s="356">
        <f>B152-C152</f>
        <v>-11</v>
      </c>
      <c r="F152" t="s">
        <v>194</v>
      </c>
      <c r="G152" s="356">
        <f>G151</f>
        <v>0</v>
      </c>
      <c r="H152" s="340">
        <f>H136</f>
        <v>11</v>
      </c>
      <c r="I152" s="356">
        <f>G152-H152</f>
        <v>-11</v>
      </c>
      <c r="J152" s="358"/>
      <c r="K152" t="s">
        <v>194</v>
      </c>
      <c r="L152" s="356">
        <f>L151</f>
        <v>0</v>
      </c>
      <c r="M152" s="340">
        <f>M136</f>
        <v>11</v>
      </c>
      <c r="N152" s="356">
        <f>L152-M152</f>
        <v>-11</v>
      </c>
      <c r="P152" t="s">
        <v>194</v>
      </c>
      <c r="Q152" s="356">
        <f>Q151</f>
        <v>0</v>
      </c>
      <c r="R152" s="340">
        <f>R136</f>
        <v>11</v>
      </c>
      <c r="S152" s="357">
        <f>Q152-R152</f>
        <v>-11</v>
      </c>
    </row>
    <row r="153" spans="1:19" x14ac:dyDescent="0.25">
      <c r="A153" s="353" t="s">
        <v>195</v>
      </c>
      <c r="B153" s="356">
        <f>B151</f>
        <v>0</v>
      </c>
      <c r="C153" s="137">
        <f>C137</f>
        <v>52</v>
      </c>
      <c r="D153" s="356">
        <f>B153-C153</f>
        <v>-52</v>
      </c>
      <c r="F153" t="s">
        <v>195</v>
      </c>
      <c r="G153" s="356">
        <f>G151</f>
        <v>0</v>
      </c>
      <c r="H153" s="137">
        <f>H137</f>
        <v>57</v>
      </c>
      <c r="I153" s="356">
        <f>G153-H153</f>
        <v>-57</v>
      </c>
      <c r="K153" s="254" t="s">
        <v>196</v>
      </c>
      <c r="L153" s="356">
        <f>L151</f>
        <v>0</v>
      </c>
      <c r="M153" s="137">
        <v>66</v>
      </c>
      <c r="N153" s="356">
        <f>L153-M153</f>
        <v>-66</v>
      </c>
      <c r="P153" t="s">
        <v>195</v>
      </c>
      <c r="Q153" s="356">
        <f>Q151</f>
        <v>0</v>
      </c>
      <c r="R153" s="137">
        <f>R137</f>
        <v>68</v>
      </c>
      <c r="S153" s="357">
        <f>Q153-R153</f>
        <v>-68</v>
      </c>
    </row>
    <row r="154" spans="1:19" x14ac:dyDescent="0.25">
      <c r="A154" s="353" t="s">
        <v>197</v>
      </c>
      <c r="B154" s="356">
        <f>B151</f>
        <v>0</v>
      </c>
      <c r="C154" s="137">
        <f>C138</f>
        <v>74</v>
      </c>
      <c r="D154" s="356">
        <f>B154-C154</f>
        <v>-74</v>
      </c>
      <c r="F154" t="s">
        <v>197</v>
      </c>
      <c r="G154" s="356">
        <f>G151</f>
        <v>0</v>
      </c>
      <c r="H154" s="137">
        <f>H138</f>
        <v>74</v>
      </c>
      <c r="I154" s="356">
        <f>G154-H154</f>
        <v>-74</v>
      </c>
      <c r="K154" s="254" t="s">
        <v>198</v>
      </c>
      <c r="L154" s="356">
        <f>L152</f>
        <v>0</v>
      </c>
      <c r="M154" s="137">
        <v>60</v>
      </c>
      <c r="N154" s="356">
        <f>L154-M154</f>
        <v>-60</v>
      </c>
      <c r="P154" t="s">
        <v>197</v>
      </c>
      <c r="Q154" s="356">
        <f>Q151</f>
        <v>0</v>
      </c>
      <c r="R154" s="137">
        <f>R138</f>
        <v>74</v>
      </c>
      <c r="S154" s="357">
        <f>Q154-R154</f>
        <v>-74</v>
      </c>
    </row>
    <row r="155" spans="1:19" x14ac:dyDescent="0.25">
      <c r="A155" s="353"/>
      <c r="K155" t="s">
        <v>197</v>
      </c>
      <c r="L155" s="356">
        <f>L151</f>
        <v>0</v>
      </c>
      <c r="M155" s="137">
        <f>M139</f>
        <v>74</v>
      </c>
      <c r="N155" s="356">
        <f>L155-M155</f>
        <v>-74</v>
      </c>
      <c r="S155" s="30"/>
    </row>
    <row r="156" spans="1:19" x14ac:dyDescent="0.25">
      <c r="A156" s="353"/>
      <c r="S156" s="30"/>
    </row>
    <row r="157" spans="1:19" x14ac:dyDescent="0.25">
      <c r="A157" s="351" t="s">
        <v>34</v>
      </c>
      <c r="B157" s="273"/>
      <c r="C157" s="273"/>
      <c r="D157" s="273"/>
      <c r="E157" s="273"/>
      <c r="F157" s="273" t="s">
        <v>34</v>
      </c>
      <c r="G157" s="273"/>
      <c r="H157" s="273"/>
      <c r="I157" s="273"/>
      <c r="J157" s="273"/>
      <c r="K157" s="273" t="s">
        <v>34</v>
      </c>
      <c r="L157" s="273"/>
      <c r="M157" s="273"/>
      <c r="N157" s="273"/>
      <c r="O157" s="273"/>
      <c r="P157" s="273" t="s">
        <v>34</v>
      </c>
      <c r="Q157" s="273"/>
      <c r="R157" s="273"/>
      <c r="S157" s="352"/>
    </row>
    <row r="158" spans="1:19" x14ac:dyDescent="0.25">
      <c r="A158" s="353"/>
      <c r="B158" s="137" t="s">
        <v>161</v>
      </c>
      <c r="C158" s="137" t="s">
        <v>191</v>
      </c>
      <c r="D158" s="137" t="s">
        <v>192</v>
      </c>
      <c r="G158" s="137" t="s">
        <v>161</v>
      </c>
      <c r="H158" s="137" t="s">
        <v>191</v>
      </c>
      <c r="I158" s="137" t="s">
        <v>192</v>
      </c>
      <c r="L158" s="137" t="s">
        <v>161</v>
      </c>
      <c r="M158" s="137" t="s">
        <v>191</v>
      </c>
      <c r="N158" s="137" t="s">
        <v>192</v>
      </c>
      <c r="Q158" s="137" t="s">
        <v>161</v>
      </c>
      <c r="R158" s="137" t="s">
        <v>191</v>
      </c>
      <c r="S158" s="355" t="s">
        <v>192</v>
      </c>
    </row>
    <row r="159" spans="1:19" x14ac:dyDescent="0.25">
      <c r="A159" s="353" t="s">
        <v>193</v>
      </c>
      <c r="B159" s="356">
        <f>WERKBON!$F$23</f>
        <v>0</v>
      </c>
      <c r="C159" s="340">
        <f>C135</f>
        <v>74</v>
      </c>
      <c r="D159" s="356">
        <f>B159-C159</f>
        <v>-74</v>
      </c>
      <c r="F159" t="s">
        <v>193</v>
      </c>
      <c r="G159" s="356">
        <f>WERKBON!$F$23</f>
        <v>0</v>
      </c>
      <c r="H159" s="340">
        <f>H135</f>
        <v>74</v>
      </c>
      <c r="I159" s="356">
        <f>G159-H159</f>
        <v>-74</v>
      </c>
      <c r="K159" t="s">
        <v>193</v>
      </c>
      <c r="L159" s="356">
        <f>WERKBON!$F$23</f>
        <v>0</v>
      </c>
      <c r="M159" s="340">
        <f>M135</f>
        <v>74</v>
      </c>
      <c r="N159" s="356">
        <f>L159-M159</f>
        <v>-74</v>
      </c>
      <c r="P159" t="s">
        <v>193</v>
      </c>
      <c r="Q159" s="356">
        <f>WERKBON!$F$23</f>
        <v>0</v>
      </c>
      <c r="R159" s="340">
        <f>R135</f>
        <v>74</v>
      </c>
      <c r="S159" s="357">
        <f>Q159-R159</f>
        <v>-74</v>
      </c>
    </row>
    <row r="160" spans="1:19" x14ac:dyDescent="0.25">
      <c r="A160" s="353" t="s">
        <v>194</v>
      </c>
      <c r="B160" s="356">
        <f>B159</f>
        <v>0</v>
      </c>
      <c r="C160" s="340">
        <f>C136</f>
        <v>11</v>
      </c>
      <c r="D160" s="356">
        <f>B160-C160</f>
        <v>-11</v>
      </c>
      <c r="F160" t="s">
        <v>194</v>
      </c>
      <c r="G160" s="356">
        <f>G159</f>
        <v>0</v>
      </c>
      <c r="H160" s="340">
        <f>H136</f>
        <v>11</v>
      </c>
      <c r="I160" s="356">
        <f>G160-H160</f>
        <v>-11</v>
      </c>
      <c r="K160" t="s">
        <v>194</v>
      </c>
      <c r="L160" s="356">
        <f>L159</f>
        <v>0</v>
      </c>
      <c r="M160" s="340">
        <f>M136</f>
        <v>11</v>
      </c>
      <c r="N160" s="356">
        <f>L160-M160</f>
        <v>-11</v>
      </c>
      <c r="P160" t="s">
        <v>194</v>
      </c>
      <c r="Q160" s="356">
        <f>Q159</f>
        <v>0</v>
      </c>
      <c r="R160" s="340">
        <f>R136</f>
        <v>11</v>
      </c>
      <c r="S160" s="357">
        <f>Q160-R160</f>
        <v>-11</v>
      </c>
    </row>
    <row r="161" spans="1:19" x14ac:dyDescent="0.25">
      <c r="A161" s="353" t="s">
        <v>195</v>
      </c>
      <c r="B161" s="356">
        <f>B159</f>
        <v>0</v>
      </c>
      <c r="C161" s="137">
        <f>C137</f>
        <v>52</v>
      </c>
      <c r="D161" s="356">
        <f>B161-C161</f>
        <v>-52</v>
      </c>
      <c r="F161" t="s">
        <v>195</v>
      </c>
      <c r="G161" s="356">
        <f>G159</f>
        <v>0</v>
      </c>
      <c r="H161" s="137">
        <f>H137</f>
        <v>57</v>
      </c>
      <c r="I161" s="356">
        <f>G161-H161</f>
        <v>-57</v>
      </c>
      <c r="K161" s="254" t="s">
        <v>196</v>
      </c>
      <c r="L161" s="356">
        <f>L159</f>
        <v>0</v>
      </c>
      <c r="M161" s="137">
        <v>66</v>
      </c>
      <c r="N161" s="356">
        <f>L161-M161</f>
        <v>-66</v>
      </c>
      <c r="P161" t="s">
        <v>195</v>
      </c>
      <c r="Q161" s="356">
        <f>Q159</f>
        <v>0</v>
      </c>
      <c r="R161" s="137">
        <f>R137</f>
        <v>68</v>
      </c>
      <c r="S161" s="357">
        <f>Q161-R161</f>
        <v>-68</v>
      </c>
    </row>
    <row r="162" spans="1:19" x14ac:dyDescent="0.25">
      <c r="A162" s="353" t="s">
        <v>197</v>
      </c>
      <c r="B162" s="356">
        <f>B159</f>
        <v>0</v>
      </c>
      <c r="C162" s="137">
        <f>C138</f>
        <v>74</v>
      </c>
      <c r="D162" s="356">
        <f>B162-C162</f>
        <v>-74</v>
      </c>
      <c r="F162" t="s">
        <v>197</v>
      </c>
      <c r="G162" s="356">
        <f>G159</f>
        <v>0</v>
      </c>
      <c r="H162" s="137">
        <f>H138</f>
        <v>74</v>
      </c>
      <c r="I162" s="356">
        <f>G162-H162</f>
        <v>-74</v>
      </c>
      <c r="K162" s="254" t="s">
        <v>198</v>
      </c>
      <c r="L162" s="356">
        <f>L160</f>
        <v>0</v>
      </c>
      <c r="M162" s="137">
        <v>60</v>
      </c>
      <c r="N162" s="356">
        <f>L162-M162</f>
        <v>-60</v>
      </c>
      <c r="P162" t="s">
        <v>197</v>
      </c>
      <c r="Q162" s="356">
        <f>Q159</f>
        <v>0</v>
      </c>
      <c r="R162" s="137">
        <f>R138</f>
        <v>74</v>
      </c>
      <c r="S162" s="357">
        <f>Q162-R162</f>
        <v>-74</v>
      </c>
    </row>
    <row r="163" spans="1:19" x14ac:dyDescent="0.25">
      <c r="A163" s="353"/>
      <c r="K163" t="s">
        <v>197</v>
      </c>
      <c r="L163" s="356">
        <f>L159</f>
        <v>0</v>
      </c>
      <c r="M163" s="137">
        <f>M139</f>
        <v>74</v>
      </c>
      <c r="N163" s="356">
        <f>L163-M163</f>
        <v>-74</v>
      </c>
      <c r="S163" s="30"/>
    </row>
    <row r="164" spans="1:19" x14ac:dyDescent="0.25">
      <c r="A164" s="353"/>
      <c r="S164" s="30"/>
    </row>
    <row r="165" spans="1:19" x14ac:dyDescent="0.25">
      <c r="A165" s="351" t="s">
        <v>35</v>
      </c>
      <c r="B165" s="273"/>
      <c r="C165" s="273"/>
      <c r="D165" s="273"/>
      <c r="E165" s="273"/>
      <c r="F165" s="273" t="s">
        <v>35</v>
      </c>
      <c r="G165" s="273"/>
      <c r="H165" s="273"/>
      <c r="I165" s="273"/>
      <c r="J165" s="273"/>
      <c r="K165" s="273" t="s">
        <v>35</v>
      </c>
      <c r="L165" s="273"/>
      <c r="M165" s="273"/>
      <c r="N165" s="273"/>
      <c r="O165" s="273"/>
      <c r="P165" s="273" t="s">
        <v>35</v>
      </c>
      <c r="Q165" s="273"/>
      <c r="R165" s="273"/>
      <c r="S165" s="352"/>
    </row>
    <row r="166" spans="1:19" x14ac:dyDescent="0.25">
      <c r="A166" s="353"/>
      <c r="B166" s="137" t="s">
        <v>161</v>
      </c>
      <c r="C166" s="137" t="s">
        <v>191</v>
      </c>
      <c r="D166" s="137" t="s">
        <v>192</v>
      </c>
      <c r="G166" s="137" t="s">
        <v>161</v>
      </c>
      <c r="H166" s="137" t="s">
        <v>191</v>
      </c>
      <c r="I166" s="137" t="s">
        <v>192</v>
      </c>
      <c r="L166" s="137" t="s">
        <v>161</v>
      </c>
      <c r="M166" s="137" t="s">
        <v>191</v>
      </c>
      <c r="N166" s="137" t="s">
        <v>192</v>
      </c>
      <c r="Q166" s="137" t="s">
        <v>161</v>
      </c>
      <c r="R166" s="137" t="s">
        <v>191</v>
      </c>
      <c r="S166" s="355" t="s">
        <v>192</v>
      </c>
    </row>
    <row r="167" spans="1:19" x14ac:dyDescent="0.25">
      <c r="A167" s="353" t="s">
        <v>193</v>
      </c>
      <c r="B167" s="356">
        <f>WERKBON!$G$23</f>
        <v>0</v>
      </c>
      <c r="C167" s="340">
        <f>C135</f>
        <v>74</v>
      </c>
      <c r="D167" s="356">
        <f>B167-C167</f>
        <v>-74</v>
      </c>
      <c r="F167" t="s">
        <v>193</v>
      </c>
      <c r="G167" s="356">
        <f>WERKBON!$G$23</f>
        <v>0</v>
      </c>
      <c r="H167" s="340">
        <f>H135</f>
        <v>74</v>
      </c>
      <c r="I167" s="356">
        <f>G167-H167</f>
        <v>-74</v>
      </c>
      <c r="K167" t="s">
        <v>193</v>
      </c>
      <c r="L167" s="356">
        <f>WERKBON!$G$23</f>
        <v>0</v>
      </c>
      <c r="M167" s="340">
        <f>M135</f>
        <v>74</v>
      </c>
      <c r="N167" s="356">
        <f>L167-M167</f>
        <v>-74</v>
      </c>
      <c r="P167" t="s">
        <v>193</v>
      </c>
      <c r="Q167" s="356">
        <f>WERKBON!$G$23</f>
        <v>0</v>
      </c>
      <c r="R167" s="340">
        <f>R135</f>
        <v>74</v>
      </c>
      <c r="S167" s="357">
        <f>Q167-R167</f>
        <v>-74</v>
      </c>
    </row>
    <row r="168" spans="1:19" x14ac:dyDescent="0.25">
      <c r="A168" s="353" t="s">
        <v>194</v>
      </c>
      <c r="B168" s="356">
        <f>B167</f>
        <v>0</v>
      </c>
      <c r="C168" s="340">
        <f>C136</f>
        <v>11</v>
      </c>
      <c r="D168" s="356">
        <f>B168-C168</f>
        <v>-11</v>
      </c>
      <c r="F168" t="s">
        <v>194</v>
      </c>
      <c r="G168" s="356">
        <f>G167</f>
        <v>0</v>
      </c>
      <c r="H168" s="340">
        <f>H136</f>
        <v>11</v>
      </c>
      <c r="I168" s="356">
        <f>G168-H168</f>
        <v>-11</v>
      </c>
      <c r="K168" t="s">
        <v>194</v>
      </c>
      <c r="L168" s="356">
        <f>L167</f>
        <v>0</v>
      </c>
      <c r="M168" s="340">
        <f>M136</f>
        <v>11</v>
      </c>
      <c r="N168" s="356">
        <f>L168-M168</f>
        <v>-11</v>
      </c>
      <c r="P168" t="s">
        <v>194</v>
      </c>
      <c r="Q168" s="356">
        <f>Q167</f>
        <v>0</v>
      </c>
      <c r="R168" s="340">
        <f>R136</f>
        <v>11</v>
      </c>
      <c r="S168" s="357">
        <f>Q168-R168</f>
        <v>-11</v>
      </c>
    </row>
    <row r="169" spans="1:19" x14ac:dyDescent="0.25">
      <c r="A169" s="353" t="s">
        <v>195</v>
      </c>
      <c r="B169" s="356">
        <f>B167</f>
        <v>0</v>
      </c>
      <c r="C169" s="137">
        <f>C137</f>
        <v>52</v>
      </c>
      <c r="D169" s="356">
        <f>B169-C169</f>
        <v>-52</v>
      </c>
      <c r="F169" t="s">
        <v>195</v>
      </c>
      <c r="G169" s="356">
        <f>G167</f>
        <v>0</v>
      </c>
      <c r="H169" s="137">
        <f>H137</f>
        <v>57</v>
      </c>
      <c r="I169" s="356">
        <f>G169-H169</f>
        <v>-57</v>
      </c>
      <c r="K169" s="254" t="s">
        <v>196</v>
      </c>
      <c r="L169" s="356">
        <f>L167</f>
        <v>0</v>
      </c>
      <c r="M169" s="137">
        <v>66</v>
      </c>
      <c r="N169" s="356">
        <f>L169-M169</f>
        <v>-66</v>
      </c>
      <c r="P169" t="s">
        <v>195</v>
      </c>
      <c r="Q169" s="356">
        <f>Q167</f>
        <v>0</v>
      </c>
      <c r="R169" s="137">
        <f>R137</f>
        <v>68</v>
      </c>
      <c r="S169" s="357">
        <f>Q169-R169</f>
        <v>-68</v>
      </c>
    </row>
    <row r="170" spans="1:19" x14ac:dyDescent="0.25">
      <c r="A170" s="353" t="s">
        <v>197</v>
      </c>
      <c r="B170" s="356">
        <f>B167</f>
        <v>0</v>
      </c>
      <c r="C170" s="137">
        <f>C138</f>
        <v>74</v>
      </c>
      <c r="D170" s="356">
        <f>B170-C170</f>
        <v>-74</v>
      </c>
      <c r="F170" t="s">
        <v>197</v>
      </c>
      <c r="G170" s="356">
        <f>G167</f>
        <v>0</v>
      </c>
      <c r="H170" s="137">
        <f>H138</f>
        <v>74</v>
      </c>
      <c r="I170" s="356">
        <f>G170-H170</f>
        <v>-74</v>
      </c>
      <c r="K170" s="254" t="s">
        <v>198</v>
      </c>
      <c r="L170" s="356">
        <f>L168</f>
        <v>0</v>
      </c>
      <c r="M170" s="137">
        <v>60</v>
      </c>
      <c r="N170" s="356">
        <f>L170-M170</f>
        <v>-60</v>
      </c>
      <c r="P170" t="s">
        <v>197</v>
      </c>
      <c r="Q170" s="356">
        <f>Q167</f>
        <v>0</v>
      </c>
      <c r="R170" s="137">
        <f>R138</f>
        <v>74</v>
      </c>
      <c r="S170" s="357">
        <f>Q170-R170</f>
        <v>-74</v>
      </c>
    </row>
    <row r="171" spans="1:19" x14ac:dyDescent="0.25">
      <c r="A171" s="353"/>
      <c r="K171" t="s">
        <v>197</v>
      </c>
      <c r="L171" s="356">
        <f>L167</f>
        <v>0</v>
      </c>
      <c r="M171" s="137">
        <f>M139</f>
        <v>74</v>
      </c>
      <c r="N171" s="356">
        <f>L171-M171</f>
        <v>-74</v>
      </c>
      <c r="S171" s="30"/>
    </row>
    <row r="172" spans="1:19" x14ac:dyDescent="0.25">
      <c r="A172" s="353"/>
      <c r="S172" s="30"/>
    </row>
    <row r="173" spans="1:19" x14ac:dyDescent="0.25">
      <c r="A173" s="367"/>
      <c r="B173" s="367"/>
      <c r="C173" s="367"/>
      <c r="D173" s="367"/>
      <c r="E173" s="367"/>
      <c r="F173" s="367"/>
      <c r="G173" s="367"/>
      <c r="H173" s="367"/>
      <c r="I173" s="367"/>
      <c r="J173" s="367"/>
      <c r="K173" s="367"/>
      <c r="L173" s="367"/>
      <c r="M173" s="367"/>
      <c r="N173" s="367"/>
      <c r="O173" s="367"/>
      <c r="P173" s="367"/>
      <c r="Q173" s="367"/>
      <c r="R173" s="367"/>
      <c r="S173" s="367"/>
    </row>
    <row r="174" ht="18" customHeight="1" spans="1:19" x14ac:dyDescent="0.25">
      <c r="A174" s="369" t="s">
        <v>199</v>
      </c>
      <c r="B174" s="370"/>
      <c r="C174" s="371" t="s">
        <v>207</v>
      </c>
      <c r="D174" s="372">
        <v>52</v>
      </c>
      <c r="E174" s="373">
        <v>4.5</v>
      </c>
      <c r="F174" s="374" t="s">
        <v>201</v>
      </c>
      <c r="G174" s="398"/>
      <c r="H174" s="399"/>
      <c r="I174" s="386"/>
      <c r="J174" s="386"/>
      <c r="K174" s="386"/>
      <c r="L174" s="386"/>
      <c r="M174" s="386"/>
      <c r="N174" s="376"/>
      <c r="O174" s="376"/>
      <c r="P174" s="377" t="s">
        <v>80</v>
      </c>
      <c r="Q174" s="377"/>
      <c r="R174" s="378">
        <v>52</v>
      </c>
      <c r="S174" s="379" t="s">
        <v>202</v>
      </c>
    </row>
    <row r="175" ht="18" customHeight="1" spans="1:19" x14ac:dyDescent="0.25">
      <c r="A175" s="387"/>
      <c r="B175" s="388"/>
      <c r="C175" s="389"/>
      <c r="D175" s="390"/>
      <c r="E175" s="400" t="s">
        <v>210</v>
      </c>
      <c r="F175" s="392"/>
      <c r="G175" s="393"/>
      <c r="H175" s="397"/>
      <c r="I175" s="254"/>
      <c r="J175" s="254"/>
      <c r="K175" s="254"/>
      <c r="L175" s="254"/>
      <c r="M175" s="254"/>
      <c r="N175" s="156"/>
      <c r="O175" s="156"/>
      <c r="P175" s="156"/>
      <c r="Q175" s="156"/>
      <c r="R175" s="156"/>
      <c r="S175" s="394"/>
    </row>
    <row r="176" ht="18" customHeight="1" spans="1:19" x14ac:dyDescent="0.25">
      <c r="A176" s="381" t="s">
        <v>186</v>
      </c>
      <c r="B176" s="380"/>
      <c r="C176" s="380"/>
      <c r="D176" s="380"/>
      <c r="E176" s="380"/>
      <c r="F176" s="380" t="s">
        <v>187</v>
      </c>
      <c r="G176" s="380"/>
      <c r="H176" s="380"/>
      <c r="I176" s="380"/>
      <c r="J176" s="380"/>
      <c r="K176" s="380" t="s">
        <v>188</v>
      </c>
      <c r="L176" s="380"/>
      <c r="M176" s="380"/>
      <c r="N176" s="380"/>
      <c r="O176" s="380"/>
      <c r="P176" s="380" t="s">
        <v>189</v>
      </c>
      <c r="Q176" s="380"/>
      <c r="R176" s="380"/>
      <c r="S176" s="382"/>
    </row>
    <row r="177" spans="1:19" x14ac:dyDescent="0.25">
      <c r="A177" s="351" t="s">
        <v>31</v>
      </c>
      <c r="B177" s="273"/>
      <c r="C177" s="273"/>
      <c r="D177" s="273"/>
      <c r="E177" s="273"/>
      <c r="F177" s="273" t="s">
        <v>31</v>
      </c>
      <c r="G177" s="273"/>
      <c r="H177" s="273"/>
      <c r="I177" s="273"/>
      <c r="J177" s="294"/>
      <c r="K177" s="273" t="s">
        <v>31</v>
      </c>
      <c r="L177" s="273"/>
      <c r="M177" s="273"/>
      <c r="N177" s="273"/>
      <c r="O177" s="273"/>
      <c r="P177" s="273" t="s">
        <v>31</v>
      </c>
      <c r="Q177" s="273"/>
      <c r="R177" s="273"/>
      <c r="S177" s="352"/>
    </row>
    <row r="178" spans="1:19" x14ac:dyDescent="0.25">
      <c r="A178" s="353"/>
      <c r="B178" s="137" t="s">
        <v>161</v>
      </c>
      <c r="C178" s="137" t="s">
        <v>191</v>
      </c>
      <c r="D178" s="137" t="s">
        <v>192</v>
      </c>
      <c r="G178" s="137" t="s">
        <v>161</v>
      </c>
      <c r="H178" s="137" t="s">
        <v>191</v>
      </c>
      <c r="I178" s="137" t="s">
        <v>192</v>
      </c>
      <c r="J178" s="354"/>
      <c r="L178" s="137" t="s">
        <v>161</v>
      </c>
      <c r="M178" s="137" t="s">
        <v>191</v>
      </c>
      <c r="N178" s="137" t="s">
        <v>192</v>
      </c>
      <c r="Q178" s="137" t="s">
        <v>161</v>
      </c>
      <c r="R178" s="137" t="s">
        <v>191</v>
      </c>
      <c r="S178" s="355" t="s">
        <v>192</v>
      </c>
    </row>
    <row r="179" spans="1:19" x14ac:dyDescent="0.25">
      <c r="A179" s="353" t="s">
        <v>193</v>
      </c>
      <c r="B179" s="356">
        <f>WERKBON!$C$23</f>
        <v>0</v>
      </c>
      <c r="C179" s="340">
        <v>70</v>
      </c>
      <c r="D179" s="356">
        <f>B179-C179</f>
        <v>-70</v>
      </c>
      <c r="F179" t="s">
        <v>193</v>
      </c>
      <c r="G179" s="356">
        <f>WERKBON!$C$23</f>
        <v>0</v>
      </c>
      <c r="H179" s="340">
        <v>70</v>
      </c>
      <c r="I179" s="356">
        <f>G179-H179</f>
        <v>-70</v>
      </c>
      <c r="J179" s="354"/>
      <c r="K179" t="s">
        <v>193</v>
      </c>
      <c r="L179" s="356">
        <f>WERKBON!$C$23</f>
        <v>0</v>
      </c>
      <c r="M179" s="340">
        <v>70</v>
      </c>
      <c r="N179" s="356">
        <f>L179-M179</f>
        <v>-70</v>
      </c>
      <c r="P179" t="s">
        <v>193</v>
      </c>
      <c r="Q179" s="356">
        <f>WERKBON!$C$23</f>
        <v>0</v>
      </c>
      <c r="R179" s="340">
        <v>70</v>
      </c>
      <c r="S179" s="357">
        <f>Q179-R179</f>
        <v>-70</v>
      </c>
    </row>
    <row r="180" spans="1:19" x14ac:dyDescent="0.25">
      <c r="A180" s="353" t="s">
        <v>194</v>
      </c>
      <c r="B180" s="356">
        <f>B179</f>
        <v>0</v>
      </c>
      <c r="C180" s="340">
        <v>11</v>
      </c>
      <c r="D180" s="356">
        <f>B180-C180</f>
        <v>-11</v>
      </c>
      <c r="F180" t="s">
        <v>194</v>
      </c>
      <c r="G180" s="356">
        <f>G179</f>
        <v>0</v>
      </c>
      <c r="H180" s="340">
        <v>11</v>
      </c>
      <c r="I180" s="356">
        <f>G180-H180</f>
        <v>-11</v>
      </c>
      <c r="J180" s="354"/>
      <c r="K180" t="s">
        <v>194</v>
      </c>
      <c r="L180" s="356">
        <f>L179</f>
        <v>0</v>
      </c>
      <c r="M180" s="340">
        <v>11</v>
      </c>
      <c r="N180" s="356">
        <f>L180-M180</f>
        <v>-11</v>
      </c>
      <c r="P180" t="s">
        <v>194</v>
      </c>
      <c r="Q180" s="356">
        <f>Q179</f>
        <v>0</v>
      </c>
      <c r="R180" s="340">
        <v>11</v>
      </c>
      <c r="S180" s="357">
        <f>Q180-R180</f>
        <v>-11</v>
      </c>
    </row>
    <row r="181" spans="1:19" x14ac:dyDescent="0.25">
      <c r="A181" s="353" t="s">
        <v>195</v>
      </c>
      <c r="B181" s="356">
        <f>B179</f>
        <v>0</v>
      </c>
      <c r="C181" s="137">
        <v>52</v>
      </c>
      <c r="D181" s="356">
        <f>B181-C181</f>
        <v>-52</v>
      </c>
      <c r="F181" t="s">
        <v>195</v>
      </c>
      <c r="G181" s="356">
        <f>G179</f>
        <v>0</v>
      </c>
      <c r="H181" s="137">
        <v>57</v>
      </c>
      <c r="I181" s="356">
        <f>G181-H181</f>
        <v>-57</v>
      </c>
      <c r="J181" s="354"/>
      <c r="K181" s="254" t="s">
        <v>196</v>
      </c>
      <c r="L181" s="356">
        <f>L179</f>
        <v>0</v>
      </c>
      <c r="M181" s="137">
        <v>66</v>
      </c>
      <c r="N181" s="356">
        <f>L181-M181</f>
        <v>-66</v>
      </c>
      <c r="P181" t="s">
        <v>195</v>
      </c>
      <c r="Q181" s="356">
        <f>Q179</f>
        <v>0</v>
      </c>
      <c r="R181" s="137">
        <v>68</v>
      </c>
      <c r="S181" s="357">
        <f>Q181-R181</f>
        <v>-68</v>
      </c>
    </row>
    <row r="182" spans="1:19" x14ac:dyDescent="0.25">
      <c r="A182" s="353" t="s">
        <v>197</v>
      </c>
      <c r="B182" s="356">
        <f>B179</f>
        <v>0</v>
      </c>
      <c r="C182" s="137">
        <v>70</v>
      </c>
      <c r="D182" s="356">
        <f>B182-C182</f>
        <v>-70</v>
      </c>
      <c r="F182" t="s">
        <v>197</v>
      </c>
      <c r="G182" s="356">
        <f>G179</f>
        <v>0</v>
      </c>
      <c r="H182" s="137">
        <v>70</v>
      </c>
      <c r="I182" s="356">
        <f>G182-H182</f>
        <v>-70</v>
      </c>
      <c r="J182" s="354"/>
      <c r="K182" s="254" t="s">
        <v>198</v>
      </c>
      <c r="L182" s="356">
        <f>L180</f>
        <v>0</v>
      </c>
      <c r="M182" s="137">
        <v>60</v>
      </c>
      <c r="N182" s="356">
        <f>L182-M182</f>
        <v>-60</v>
      </c>
      <c r="P182" t="s">
        <v>197</v>
      </c>
      <c r="Q182" s="356">
        <f>Q179</f>
        <v>0</v>
      </c>
      <c r="R182" s="137">
        <v>70</v>
      </c>
      <c r="S182" s="357">
        <f>Q182-R182</f>
        <v>-70</v>
      </c>
    </row>
    <row r="183" spans="1:19" x14ac:dyDescent="0.25">
      <c r="A183" s="353"/>
      <c r="F183" s="354"/>
      <c r="G183" s="340"/>
      <c r="H183" s="340"/>
      <c r="I183" s="354"/>
      <c r="J183" s="354"/>
      <c r="K183" t="s">
        <v>197</v>
      </c>
      <c r="L183" s="356">
        <f>L179</f>
        <v>0</v>
      </c>
      <c r="M183" s="137">
        <v>70</v>
      </c>
      <c r="N183" s="356">
        <f>L183-M183</f>
        <v>-70</v>
      </c>
      <c r="S183" s="30"/>
    </row>
    <row r="184" spans="1:19" x14ac:dyDescent="0.25">
      <c r="A184" s="353"/>
      <c r="F184" s="354"/>
      <c r="G184" s="340"/>
      <c r="H184" s="340"/>
      <c r="I184" s="354"/>
      <c r="J184" s="354"/>
      <c r="L184" s="356"/>
      <c r="M184" s="137"/>
      <c r="N184" s="356"/>
      <c r="S184" s="30"/>
    </row>
    <row r="185" spans="1:19" x14ac:dyDescent="0.25">
      <c r="A185" s="351" t="s">
        <v>32</v>
      </c>
      <c r="B185" s="273"/>
      <c r="C185" s="273"/>
      <c r="D185" s="273"/>
      <c r="E185" s="273"/>
      <c r="F185" s="273" t="s">
        <v>32</v>
      </c>
      <c r="G185" s="273"/>
      <c r="H185" s="273"/>
      <c r="I185" s="273"/>
      <c r="J185" s="354"/>
      <c r="K185" s="273" t="s">
        <v>32</v>
      </c>
      <c r="L185" s="273"/>
      <c r="M185" s="273"/>
      <c r="N185" s="273"/>
      <c r="O185" s="273"/>
      <c r="P185" s="273" t="s">
        <v>32</v>
      </c>
      <c r="Q185" s="273"/>
      <c r="R185" s="273"/>
      <c r="S185" s="352"/>
    </row>
    <row r="186" spans="1:19" x14ac:dyDescent="0.25">
      <c r="A186" s="353"/>
      <c r="B186" s="137" t="s">
        <v>161</v>
      </c>
      <c r="C186" s="137" t="s">
        <v>191</v>
      </c>
      <c r="D186" s="137" t="s">
        <v>192</v>
      </c>
      <c r="G186" s="137" t="s">
        <v>161</v>
      </c>
      <c r="H186" s="137" t="s">
        <v>191</v>
      </c>
      <c r="I186" s="137" t="s">
        <v>192</v>
      </c>
      <c r="J186" s="354"/>
      <c r="L186" s="137" t="s">
        <v>161</v>
      </c>
      <c r="M186" s="137" t="s">
        <v>191</v>
      </c>
      <c r="N186" s="137" t="s">
        <v>192</v>
      </c>
      <c r="Q186" s="137" t="s">
        <v>161</v>
      </c>
      <c r="R186" s="137" t="s">
        <v>191</v>
      </c>
      <c r="S186" s="355" t="s">
        <v>192</v>
      </c>
    </row>
    <row r="187" spans="1:19" x14ac:dyDescent="0.25">
      <c r="A187" s="353" t="s">
        <v>193</v>
      </c>
      <c r="B187" s="356">
        <f>WERKBON!$D$23</f>
        <v>0</v>
      </c>
      <c r="C187" s="340">
        <f>C179</f>
        <v>70</v>
      </c>
      <c r="D187" s="356">
        <f>B187-C187</f>
        <v>-70</v>
      </c>
      <c r="F187" t="s">
        <v>193</v>
      </c>
      <c r="G187" s="356">
        <f>WERKBON!$D$23</f>
        <v>0</v>
      </c>
      <c r="H187" s="340">
        <f>H179</f>
        <v>70</v>
      </c>
      <c r="I187" s="356">
        <f>G187-H187</f>
        <v>-70</v>
      </c>
      <c r="J187" s="354"/>
      <c r="K187" t="s">
        <v>193</v>
      </c>
      <c r="L187" s="356">
        <f>WERKBON!$D$23</f>
        <v>0</v>
      </c>
      <c r="M187" s="340">
        <f>M179</f>
        <v>70</v>
      </c>
      <c r="N187" s="356">
        <f>L187-M187</f>
        <v>-70</v>
      </c>
      <c r="P187" t="s">
        <v>193</v>
      </c>
      <c r="Q187" s="356">
        <f>WERKBON!$D$23</f>
        <v>0</v>
      </c>
      <c r="R187" s="340">
        <f>R179</f>
        <v>70</v>
      </c>
      <c r="S187" s="357">
        <f>Q187-R187</f>
        <v>-70</v>
      </c>
    </row>
    <row r="188" spans="1:19" x14ac:dyDescent="0.25">
      <c r="A188" s="353" t="s">
        <v>194</v>
      </c>
      <c r="B188" s="356">
        <f>B187</f>
        <v>0</v>
      </c>
      <c r="C188" s="340">
        <f>C180</f>
        <v>11</v>
      </c>
      <c r="D188" s="356">
        <f>B188-C188</f>
        <v>-11</v>
      </c>
      <c r="F188" t="s">
        <v>194</v>
      </c>
      <c r="G188" s="356">
        <f>G187</f>
        <v>0</v>
      </c>
      <c r="H188" s="340">
        <f>H180</f>
        <v>11</v>
      </c>
      <c r="I188" s="356">
        <f>G188-H188</f>
        <v>-11</v>
      </c>
      <c r="K188" t="s">
        <v>194</v>
      </c>
      <c r="L188" s="356">
        <f>L187</f>
        <v>0</v>
      </c>
      <c r="M188" s="340">
        <f>M180</f>
        <v>11</v>
      </c>
      <c r="N188" s="356">
        <f>L188-M188</f>
        <v>-11</v>
      </c>
      <c r="P188" t="s">
        <v>194</v>
      </c>
      <c r="Q188" s="356">
        <f>Q187</f>
        <v>0</v>
      </c>
      <c r="R188" s="340">
        <f>R180</f>
        <v>11</v>
      </c>
      <c r="S188" s="357">
        <f>Q188-R188</f>
        <v>-11</v>
      </c>
    </row>
    <row r="189" spans="1:19" x14ac:dyDescent="0.25">
      <c r="A189" s="353" t="s">
        <v>195</v>
      </c>
      <c r="B189" s="356">
        <f>B187</f>
        <v>0</v>
      </c>
      <c r="C189" s="137">
        <f>C181</f>
        <v>52</v>
      </c>
      <c r="D189" s="356">
        <f>B189-C189</f>
        <v>-52</v>
      </c>
      <c r="F189" t="s">
        <v>195</v>
      </c>
      <c r="G189" s="356">
        <f>G187</f>
        <v>0</v>
      </c>
      <c r="H189" s="137">
        <f>H181</f>
        <v>57</v>
      </c>
      <c r="I189" s="356">
        <f>G189-H189</f>
        <v>-57</v>
      </c>
      <c r="K189" s="254" t="s">
        <v>196</v>
      </c>
      <c r="L189" s="356">
        <f>L187</f>
        <v>0</v>
      </c>
      <c r="M189" s="137">
        <v>66</v>
      </c>
      <c r="N189" s="356">
        <f>L189-M189</f>
        <v>-66</v>
      </c>
      <c r="P189" t="s">
        <v>195</v>
      </c>
      <c r="Q189" s="356">
        <f>Q187</f>
        <v>0</v>
      </c>
      <c r="R189" s="137">
        <f>R181</f>
        <v>68</v>
      </c>
      <c r="S189" s="357">
        <f>Q189-R189</f>
        <v>-68</v>
      </c>
    </row>
    <row r="190" spans="1:19" x14ac:dyDescent="0.25">
      <c r="A190" s="353" t="s">
        <v>197</v>
      </c>
      <c r="B190" s="356">
        <f>B187</f>
        <v>0</v>
      </c>
      <c r="C190" s="137">
        <f>C182</f>
        <v>70</v>
      </c>
      <c r="D190" s="356">
        <f>B190-C190</f>
        <v>-70</v>
      </c>
      <c r="F190" t="s">
        <v>197</v>
      </c>
      <c r="G190" s="356">
        <f>G187</f>
        <v>0</v>
      </c>
      <c r="H190" s="137">
        <f>H182</f>
        <v>70</v>
      </c>
      <c r="I190" s="356">
        <f>G190-H190</f>
        <v>-70</v>
      </c>
      <c r="J190" s="358"/>
      <c r="K190" s="254" t="s">
        <v>198</v>
      </c>
      <c r="L190" s="356">
        <f>L188</f>
        <v>0</v>
      </c>
      <c r="M190" s="137">
        <v>60</v>
      </c>
      <c r="N190" s="356">
        <f>L190-M190</f>
        <v>-60</v>
      </c>
      <c r="P190" t="s">
        <v>197</v>
      </c>
      <c r="Q190" s="356">
        <f>Q187</f>
        <v>0</v>
      </c>
      <c r="R190" s="137">
        <f>R182</f>
        <v>70</v>
      </c>
      <c r="S190" s="357">
        <f>Q190-R190</f>
        <v>-70</v>
      </c>
    </row>
    <row r="191" spans="1:19" x14ac:dyDescent="0.25">
      <c r="A191" s="353"/>
      <c r="I191" s="358"/>
      <c r="J191" s="358"/>
      <c r="K191" t="s">
        <v>197</v>
      </c>
      <c r="L191" s="356">
        <f>L187</f>
        <v>0</v>
      </c>
      <c r="M191" s="137">
        <f>M183</f>
        <v>70</v>
      </c>
      <c r="N191" s="356">
        <f>L191-M191</f>
        <v>-70</v>
      </c>
      <c r="S191" s="30"/>
    </row>
    <row r="192" spans="1:19" x14ac:dyDescent="0.25">
      <c r="A192" s="353"/>
      <c r="I192" s="358"/>
      <c r="J192" s="358"/>
      <c r="S192" s="30"/>
    </row>
    <row r="193" spans="1:19" x14ac:dyDescent="0.25">
      <c r="A193" s="351" t="s">
        <v>33</v>
      </c>
      <c r="B193" s="273"/>
      <c r="C193" s="273"/>
      <c r="D193" s="273"/>
      <c r="E193" s="273"/>
      <c r="F193" s="273" t="s">
        <v>33</v>
      </c>
      <c r="G193" s="273"/>
      <c r="H193" s="273"/>
      <c r="I193" s="273"/>
      <c r="J193" s="359"/>
      <c r="K193" s="273" t="s">
        <v>33</v>
      </c>
      <c r="L193" s="273"/>
      <c r="M193" s="273"/>
      <c r="N193" s="273"/>
      <c r="O193" s="273"/>
      <c r="P193" s="273" t="s">
        <v>33</v>
      </c>
      <c r="Q193" s="273"/>
      <c r="R193" s="273"/>
      <c r="S193" s="352"/>
    </row>
    <row r="194" spans="1:19" x14ac:dyDescent="0.25">
      <c r="A194" s="353"/>
      <c r="B194" s="137" t="s">
        <v>161</v>
      </c>
      <c r="C194" s="137" t="s">
        <v>191</v>
      </c>
      <c r="D194" s="137" t="s">
        <v>192</v>
      </c>
      <c r="G194" s="137" t="s">
        <v>161</v>
      </c>
      <c r="H194" s="137" t="s">
        <v>191</v>
      </c>
      <c r="I194" s="137" t="s">
        <v>192</v>
      </c>
      <c r="J194" s="358"/>
      <c r="L194" s="137" t="s">
        <v>161</v>
      </c>
      <c r="M194" s="137" t="s">
        <v>191</v>
      </c>
      <c r="N194" s="137" t="s">
        <v>192</v>
      </c>
      <c r="Q194" s="137" t="s">
        <v>161</v>
      </c>
      <c r="R194" s="137" t="s">
        <v>191</v>
      </c>
      <c r="S194" s="355" t="s">
        <v>192</v>
      </c>
    </row>
    <row r="195" spans="1:19" x14ac:dyDescent="0.25">
      <c r="A195" s="353" t="s">
        <v>193</v>
      </c>
      <c r="B195" s="356">
        <f>WERKBON!$E$23</f>
        <v>0</v>
      </c>
      <c r="C195" s="340">
        <f>C179</f>
        <v>70</v>
      </c>
      <c r="D195" s="356">
        <f>B195-C195</f>
        <v>-70</v>
      </c>
      <c r="F195" t="s">
        <v>193</v>
      </c>
      <c r="G195" s="356">
        <f>WERKBON!$E$23</f>
        <v>0</v>
      </c>
      <c r="H195" s="340">
        <f>H179</f>
        <v>70</v>
      </c>
      <c r="I195" s="356">
        <f>G195-H195</f>
        <v>-70</v>
      </c>
      <c r="J195" s="358"/>
      <c r="K195" t="s">
        <v>193</v>
      </c>
      <c r="L195" s="356">
        <f>WERKBON!$E$23</f>
        <v>0</v>
      </c>
      <c r="M195" s="340">
        <f>M179</f>
        <v>70</v>
      </c>
      <c r="N195" s="356">
        <f>L195-M195</f>
        <v>-70</v>
      </c>
      <c r="P195" t="s">
        <v>193</v>
      </c>
      <c r="Q195" s="356">
        <f>WERKBON!$E$23</f>
        <v>0</v>
      </c>
      <c r="R195" s="340">
        <f>R179</f>
        <v>70</v>
      </c>
      <c r="S195" s="357">
        <f>Q195-R195</f>
        <v>-70</v>
      </c>
    </row>
    <row r="196" spans="1:19" x14ac:dyDescent="0.25">
      <c r="A196" s="353" t="s">
        <v>194</v>
      </c>
      <c r="B196" s="356">
        <f>B195</f>
        <v>0</v>
      </c>
      <c r="C196" s="340">
        <f>C180</f>
        <v>11</v>
      </c>
      <c r="D196" s="356">
        <f>B196-C196</f>
        <v>-11</v>
      </c>
      <c r="F196" t="s">
        <v>194</v>
      </c>
      <c r="G196" s="356">
        <f>G195</f>
        <v>0</v>
      </c>
      <c r="H196" s="340">
        <f>H180</f>
        <v>11</v>
      </c>
      <c r="I196" s="356">
        <f>G196-H196</f>
        <v>-11</v>
      </c>
      <c r="J196" s="358"/>
      <c r="K196" t="s">
        <v>194</v>
      </c>
      <c r="L196" s="356">
        <f>L195</f>
        <v>0</v>
      </c>
      <c r="M196" s="340">
        <f>M180</f>
        <v>11</v>
      </c>
      <c r="N196" s="356">
        <f>L196-M196</f>
        <v>-11</v>
      </c>
      <c r="P196" t="s">
        <v>194</v>
      </c>
      <c r="Q196" s="356">
        <f>Q195</f>
        <v>0</v>
      </c>
      <c r="R196" s="340">
        <f>R180</f>
        <v>11</v>
      </c>
      <c r="S196" s="357">
        <f>Q196-R196</f>
        <v>-11</v>
      </c>
    </row>
    <row r="197" spans="1:19" x14ac:dyDescent="0.25">
      <c r="A197" s="353" t="s">
        <v>195</v>
      </c>
      <c r="B197" s="356">
        <f>B195</f>
        <v>0</v>
      </c>
      <c r="C197" s="137">
        <f>C181</f>
        <v>52</v>
      </c>
      <c r="D197" s="356">
        <f>B197-C197</f>
        <v>-52</v>
      </c>
      <c r="F197" t="s">
        <v>195</v>
      </c>
      <c r="G197" s="356">
        <f>G195</f>
        <v>0</v>
      </c>
      <c r="H197" s="137">
        <f>H181</f>
        <v>57</v>
      </c>
      <c r="I197" s="356">
        <f>G197-H197</f>
        <v>-57</v>
      </c>
      <c r="K197" s="254" t="s">
        <v>196</v>
      </c>
      <c r="L197" s="356">
        <f>L195</f>
        <v>0</v>
      </c>
      <c r="M197" s="137">
        <v>66</v>
      </c>
      <c r="N197" s="356">
        <f>L197-M197</f>
        <v>-66</v>
      </c>
      <c r="P197" t="s">
        <v>195</v>
      </c>
      <c r="Q197" s="356">
        <f>Q195</f>
        <v>0</v>
      </c>
      <c r="R197" s="137">
        <f>R181</f>
        <v>68</v>
      </c>
      <c r="S197" s="357">
        <f>Q197-R197</f>
        <v>-68</v>
      </c>
    </row>
    <row r="198" spans="1:19" x14ac:dyDescent="0.25">
      <c r="A198" s="353" t="s">
        <v>197</v>
      </c>
      <c r="B198" s="356">
        <f>B195</f>
        <v>0</v>
      </c>
      <c r="C198" s="137">
        <f>C182</f>
        <v>70</v>
      </c>
      <c r="D198" s="356">
        <f>B198-C198</f>
        <v>-70</v>
      </c>
      <c r="F198" t="s">
        <v>197</v>
      </c>
      <c r="G198" s="356">
        <f>G195</f>
        <v>0</v>
      </c>
      <c r="H198" s="137">
        <f>H182</f>
        <v>70</v>
      </c>
      <c r="I198" s="356">
        <f>G198-H198</f>
        <v>-70</v>
      </c>
      <c r="K198" s="254" t="s">
        <v>198</v>
      </c>
      <c r="L198" s="356">
        <f>L196</f>
        <v>0</v>
      </c>
      <c r="M198" s="137">
        <v>60</v>
      </c>
      <c r="N198" s="356">
        <f>L198-M198</f>
        <v>-60</v>
      </c>
      <c r="P198" t="s">
        <v>197</v>
      </c>
      <c r="Q198" s="356">
        <f>Q195</f>
        <v>0</v>
      </c>
      <c r="R198" s="137">
        <f>R182</f>
        <v>70</v>
      </c>
      <c r="S198" s="357">
        <f>Q198-R198</f>
        <v>-70</v>
      </c>
    </row>
    <row r="199" spans="1:19" x14ac:dyDescent="0.25">
      <c r="A199" s="353"/>
      <c r="K199" t="s">
        <v>197</v>
      </c>
      <c r="L199" s="356">
        <f>L195</f>
        <v>0</v>
      </c>
      <c r="M199" s="137">
        <f>M183</f>
        <v>70</v>
      </c>
      <c r="N199" s="356">
        <f>L199-M199</f>
        <v>-70</v>
      </c>
      <c r="S199" s="30"/>
    </row>
    <row r="200" spans="1:19" x14ac:dyDescent="0.25">
      <c r="A200" s="353"/>
      <c r="S200" s="30"/>
    </row>
    <row r="201" spans="1:19" x14ac:dyDescent="0.25">
      <c r="A201" s="351" t="s">
        <v>34</v>
      </c>
      <c r="B201" s="273"/>
      <c r="C201" s="273"/>
      <c r="D201" s="273"/>
      <c r="E201" s="273"/>
      <c r="F201" s="273" t="s">
        <v>34</v>
      </c>
      <c r="G201" s="273"/>
      <c r="H201" s="273"/>
      <c r="I201" s="273"/>
      <c r="J201" s="273"/>
      <c r="K201" s="273" t="s">
        <v>34</v>
      </c>
      <c r="L201" s="273"/>
      <c r="M201" s="273"/>
      <c r="N201" s="273"/>
      <c r="O201" s="273"/>
      <c r="P201" s="273" t="s">
        <v>34</v>
      </c>
      <c r="Q201" s="273"/>
      <c r="R201" s="273"/>
      <c r="S201" s="352"/>
    </row>
    <row r="202" spans="1:19" x14ac:dyDescent="0.25">
      <c r="A202" s="353"/>
      <c r="B202" s="137" t="s">
        <v>161</v>
      </c>
      <c r="C202" s="137" t="s">
        <v>191</v>
      </c>
      <c r="D202" s="137" t="s">
        <v>192</v>
      </c>
      <c r="G202" s="137" t="s">
        <v>161</v>
      </c>
      <c r="H202" s="137" t="s">
        <v>191</v>
      </c>
      <c r="I202" s="137" t="s">
        <v>192</v>
      </c>
      <c r="L202" s="137" t="s">
        <v>161</v>
      </c>
      <c r="M202" s="137" t="s">
        <v>191</v>
      </c>
      <c r="N202" s="137" t="s">
        <v>192</v>
      </c>
      <c r="Q202" s="137" t="s">
        <v>161</v>
      </c>
      <c r="R202" s="137" t="s">
        <v>191</v>
      </c>
      <c r="S202" s="355" t="s">
        <v>192</v>
      </c>
    </row>
    <row r="203" spans="1:19" x14ac:dyDescent="0.25">
      <c r="A203" s="353" t="s">
        <v>193</v>
      </c>
      <c r="B203" s="356">
        <f>WERKBON!$F$23</f>
        <v>0</v>
      </c>
      <c r="C203" s="340">
        <f>C179</f>
        <v>70</v>
      </c>
      <c r="D203" s="356">
        <f>B203-C203</f>
        <v>-70</v>
      </c>
      <c r="F203" t="s">
        <v>193</v>
      </c>
      <c r="G203" s="356">
        <f>WERKBON!$F$23</f>
        <v>0</v>
      </c>
      <c r="H203" s="340">
        <f>H179</f>
        <v>70</v>
      </c>
      <c r="I203" s="356">
        <f>G203-H203</f>
        <v>-70</v>
      </c>
      <c r="K203" t="s">
        <v>193</v>
      </c>
      <c r="L203" s="356">
        <f>WERKBON!$F$23</f>
        <v>0</v>
      </c>
      <c r="M203" s="340">
        <f>M179</f>
        <v>70</v>
      </c>
      <c r="N203" s="356">
        <f>L203-M203</f>
        <v>-70</v>
      </c>
      <c r="P203" t="s">
        <v>193</v>
      </c>
      <c r="Q203" s="356">
        <f>WERKBON!$F$23</f>
        <v>0</v>
      </c>
      <c r="R203" s="340">
        <f>R179</f>
        <v>70</v>
      </c>
      <c r="S203" s="357">
        <f>Q203-R203</f>
        <v>-70</v>
      </c>
    </row>
    <row r="204" spans="1:19" x14ac:dyDescent="0.25">
      <c r="A204" s="353" t="s">
        <v>194</v>
      </c>
      <c r="B204" s="356">
        <f>B203</f>
        <v>0</v>
      </c>
      <c r="C204" s="340">
        <f>C180</f>
        <v>11</v>
      </c>
      <c r="D204" s="356">
        <f>B204-C204</f>
        <v>-11</v>
      </c>
      <c r="F204" t="s">
        <v>194</v>
      </c>
      <c r="G204" s="356">
        <f>G203</f>
        <v>0</v>
      </c>
      <c r="H204" s="340">
        <f>H180</f>
        <v>11</v>
      </c>
      <c r="I204" s="356">
        <f>G204-H204</f>
        <v>-11</v>
      </c>
      <c r="K204" t="s">
        <v>194</v>
      </c>
      <c r="L204" s="356">
        <f>L203</f>
        <v>0</v>
      </c>
      <c r="M204" s="340">
        <f>M180</f>
        <v>11</v>
      </c>
      <c r="N204" s="356">
        <f>L204-M204</f>
        <v>-11</v>
      </c>
      <c r="P204" t="s">
        <v>194</v>
      </c>
      <c r="Q204" s="356">
        <f>Q203</f>
        <v>0</v>
      </c>
      <c r="R204" s="340">
        <f>R180</f>
        <v>11</v>
      </c>
      <c r="S204" s="357">
        <f>Q204-R204</f>
        <v>-11</v>
      </c>
    </row>
    <row r="205" spans="1:19" x14ac:dyDescent="0.25">
      <c r="A205" s="353" t="s">
        <v>195</v>
      </c>
      <c r="B205" s="356">
        <f>B203</f>
        <v>0</v>
      </c>
      <c r="C205" s="137">
        <f>C181</f>
        <v>52</v>
      </c>
      <c r="D205" s="356">
        <f>B205-C205</f>
        <v>-52</v>
      </c>
      <c r="F205" t="s">
        <v>195</v>
      </c>
      <c r="G205" s="356">
        <f>G203</f>
        <v>0</v>
      </c>
      <c r="H205" s="137">
        <f>H181</f>
        <v>57</v>
      </c>
      <c r="I205" s="356">
        <f>G205-H205</f>
        <v>-57</v>
      </c>
      <c r="K205" s="254" t="s">
        <v>196</v>
      </c>
      <c r="L205" s="356">
        <f>L203</f>
        <v>0</v>
      </c>
      <c r="M205" s="137">
        <v>66</v>
      </c>
      <c r="N205" s="356">
        <f>L205-M205</f>
        <v>-66</v>
      </c>
      <c r="P205" t="s">
        <v>195</v>
      </c>
      <c r="Q205" s="356">
        <f>Q203</f>
        <v>0</v>
      </c>
      <c r="R205" s="137">
        <f>R181</f>
        <v>68</v>
      </c>
      <c r="S205" s="357">
        <f>Q205-R205</f>
        <v>-68</v>
      </c>
    </row>
    <row r="206" spans="1:19" x14ac:dyDescent="0.25">
      <c r="A206" s="353" t="s">
        <v>197</v>
      </c>
      <c r="B206" s="356">
        <f>B203</f>
        <v>0</v>
      </c>
      <c r="C206" s="137">
        <f>C182</f>
        <v>70</v>
      </c>
      <c r="D206" s="356">
        <f>B206-C206</f>
        <v>-70</v>
      </c>
      <c r="F206" t="s">
        <v>197</v>
      </c>
      <c r="G206" s="356">
        <f>G203</f>
        <v>0</v>
      </c>
      <c r="H206" s="137">
        <f>H182</f>
        <v>70</v>
      </c>
      <c r="I206" s="356">
        <f>G206-H206</f>
        <v>-70</v>
      </c>
      <c r="K206" s="254" t="s">
        <v>198</v>
      </c>
      <c r="L206" s="356">
        <f>L204</f>
        <v>0</v>
      </c>
      <c r="M206" s="137">
        <v>60</v>
      </c>
      <c r="N206" s="356">
        <f>L206-M206</f>
        <v>-60</v>
      </c>
      <c r="P206" t="s">
        <v>197</v>
      </c>
      <c r="Q206" s="356">
        <f>Q203</f>
        <v>0</v>
      </c>
      <c r="R206" s="137">
        <f>R182</f>
        <v>70</v>
      </c>
      <c r="S206" s="357">
        <f>Q206-R206</f>
        <v>-70</v>
      </c>
    </row>
    <row r="207" spans="1:19" x14ac:dyDescent="0.25">
      <c r="A207" s="353"/>
      <c r="K207" t="s">
        <v>197</v>
      </c>
      <c r="L207" s="356">
        <f>L203</f>
        <v>0</v>
      </c>
      <c r="M207" s="137">
        <f>M183</f>
        <v>70</v>
      </c>
      <c r="N207" s="356">
        <f>L207-M207</f>
        <v>-70</v>
      </c>
      <c r="S207" s="30"/>
    </row>
    <row r="208" spans="1:19" x14ac:dyDescent="0.25">
      <c r="A208" s="353"/>
      <c r="S208" s="30"/>
    </row>
    <row r="209" spans="1:19" x14ac:dyDescent="0.25">
      <c r="A209" s="351" t="s">
        <v>35</v>
      </c>
      <c r="B209" s="273"/>
      <c r="C209" s="273"/>
      <c r="D209" s="273"/>
      <c r="E209" s="273"/>
      <c r="F209" s="273" t="s">
        <v>35</v>
      </c>
      <c r="G209" s="273"/>
      <c r="H209" s="273"/>
      <c r="I209" s="273"/>
      <c r="J209" s="273"/>
      <c r="K209" s="273" t="s">
        <v>35</v>
      </c>
      <c r="L209" s="273"/>
      <c r="M209" s="273"/>
      <c r="N209" s="273"/>
      <c r="O209" s="273"/>
      <c r="P209" s="273" t="s">
        <v>35</v>
      </c>
      <c r="Q209" s="273"/>
      <c r="R209" s="273"/>
      <c r="S209" s="352"/>
    </row>
    <row r="210" spans="1:19" x14ac:dyDescent="0.25">
      <c r="A210" s="353"/>
      <c r="B210" s="137" t="s">
        <v>161</v>
      </c>
      <c r="C210" s="137" t="s">
        <v>191</v>
      </c>
      <c r="D210" s="137" t="s">
        <v>192</v>
      </c>
      <c r="G210" s="137" t="s">
        <v>161</v>
      </c>
      <c r="H210" s="137" t="s">
        <v>191</v>
      </c>
      <c r="I210" s="137" t="s">
        <v>192</v>
      </c>
      <c r="L210" s="137" t="s">
        <v>161</v>
      </c>
      <c r="M210" s="137" t="s">
        <v>191</v>
      </c>
      <c r="N210" s="137" t="s">
        <v>192</v>
      </c>
      <c r="Q210" s="137" t="s">
        <v>161</v>
      </c>
      <c r="R210" s="137" t="s">
        <v>191</v>
      </c>
      <c r="S210" s="355" t="s">
        <v>192</v>
      </c>
    </row>
    <row r="211" spans="1:19" x14ac:dyDescent="0.25">
      <c r="A211" s="353" t="s">
        <v>193</v>
      </c>
      <c r="B211" s="356">
        <f>WERKBON!$G$23</f>
        <v>0</v>
      </c>
      <c r="C211" s="340">
        <f>C179</f>
        <v>70</v>
      </c>
      <c r="D211" s="356">
        <f>B211-C211</f>
        <v>-70</v>
      </c>
      <c r="F211" t="s">
        <v>193</v>
      </c>
      <c r="G211" s="356">
        <f>WERKBON!$G$23</f>
        <v>0</v>
      </c>
      <c r="H211" s="340">
        <f>H179</f>
        <v>70</v>
      </c>
      <c r="I211" s="356">
        <f>G211-H211</f>
        <v>-70</v>
      </c>
      <c r="K211" t="s">
        <v>193</v>
      </c>
      <c r="L211" s="356">
        <f>WERKBON!$G$23</f>
        <v>0</v>
      </c>
      <c r="M211" s="340">
        <f>M179</f>
        <v>70</v>
      </c>
      <c r="N211" s="356">
        <f>L211-M211</f>
        <v>-70</v>
      </c>
      <c r="P211" t="s">
        <v>193</v>
      </c>
      <c r="Q211" s="356">
        <f>WERKBON!$G$23</f>
        <v>0</v>
      </c>
      <c r="R211" s="340">
        <f>R179</f>
        <v>70</v>
      </c>
      <c r="S211" s="357">
        <f>Q211-R211</f>
        <v>-70</v>
      </c>
    </row>
    <row r="212" spans="1:19" x14ac:dyDescent="0.25">
      <c r="A212" s="353" t="s">
        <v>194</v>
      </c>
      <c r="B212" s="356">
        <f>B211</f>
        <v>0</v>
      </c>
      <c r="C212" s="340">
        <f>C180</f>
        <v>11</v>
      </c>
      <c r="D212" s="356">
        <f>B212-C212</f>
        <v>-11</v>
      </c>
      <c r="F212" t="s">
        <v>194</v>
      </c>
      <c r="G212" s="356">
        <f>G211</f>
        <v>0</v>
      </c>
      <c r="H212" s="340">
        <f>H180</f>
        <v>11</v>
      </c>
      <c r="I212" s="356">
        <f>G212-H212</f>
        <v>-11</v>
      </c>
      <c r="K212" t="s">
        <v>194</v>
      </c>
      <c r="L212" s="356">
        <f>L211</f>
        <v>0</v>
      </c>
      <c r="M212" s="340">
        <f>M180</f>
        <v>11</v>
      </c>
      <c r="N212" s="356">
        <f>L212-M212</f>
        <v>-11</v>
      </c>
      <c r="P212" t="s">
        <v>194</v>
      </c>
      <c r="Q212" s="356">
        <f>Q211</f>
        <v>0</v>
      </c>
      <c r="R212" s="340">
        <f>R180</f>
        <v>11</v>
      </c>
      <c r="S212" s="357">
        <f>Q212-R212</f>
        <v>-11</v>
      </c>
    </row>
    <row r="213" spans="1:19" x14ac:dyDescent="0.25">
      <c r="A213" s="353" t="s">
        <v>195</v>
      </c>
      <c r="B213" s="356">
        <f>B211</f>
        <v>0</v>
      </c>
      <c r="C213" s="137">
        <f>C181</f>
        <v>52</v>
      </c>
      <c r="D213" s="356">
        <f>B213-C213</f>
        <v>-52</v>
      </c>
      <c r="F213" t="s">
        <v>195</v>
      </c>
      <c r="G213" s="356">
        <f>G211</f>
        <v>0</v>
      </c>
      <c r="H213" s="137">
        <f>H181</f>
        <v>57</v>
      </c>
      <c r="I213" s="356">
        <f>G213-H213</f>
        <v>-57</v>
      </c>
      <c r="K213" s="254" t="s">
        <v>196</v>
      </c>
      <c r="L213" s="356">
        <f>L211</f>
        <v>0</v>
      </c>
      <c r="M213" s="137">
        <v>66</v>
      </c>
      <c r="N213" s="356">
        <f>L213-M213</f>
        <v>-66</v>
      </c>
      <c r="P213" t="s">
        <v>195</v>
      </c>
      <c r="Q213" s="356">
        <f>Q211</f>
        <v>0</v>
      </c>
      <c r="R213" s="137">
        <f>R181</f>
        <v>68</v>
      </c>
      <c r="S213" s="357">
        <f>Q213-R213</f>
        <v>-68</v>
      </c>
    </row>
    <row r="214" spans="1:19" x14ac:dyDescent="0.25">
      <c r="A214" s="353" t="s">
        <v>197</v>
      </c>
      <c r="B214" s="356">
        <f>B211</f>
        <v>0</v>
      </c>
      <c r="C214" s="137">
        <f>C182</f>
        <v>70</v>
      </c>
      <c r="D214" s="356">
        <f>B214-C214</f>
        <v>-70</v>
      </c>
      <c r="F214" t="s">
        <v>197</v>
      </c>
      <c r="G214" s="356">
        <f>G211</f>
        <v>0</v>
      </c>
      <c r="H214" s="137">
        <f>H182</f>
        <v>70</v>
      </c>
      <c r="I214" s="356">
        <f>G214-H214</f>
        <v>-70</v>
      </c>
      <c r="K214" s="254" t="s">
        <v>198</v>
      </c>
      <c r="L214" s="356">
        <f>L212</f>
        <v>0</v>
      </c>
      <c r="M214" s="137">
        <v>60</v>
      </c>
      <c r="N214" s="356">
        <f>L214-M214</f>
        <v>-60</v>
      </c>
      <c r="P214" t="s">
        <v>197</v>
      </c>
      <c r="Q214" s="356">
        <f>Q211</f>
        <v>0</v>
      </c>
      <c r="R214" s="137">
        <f>R182</f>
        <v>70</v>
      </c>
      <c r="S214" s="357">
        <f>Q214-R214</f>
        <v>-70</v>
      </c>
    </row>
    <row r="215" spans="1:19" x14ac:dyDescent="0.25">
      <c r="A215" s="353"/>
      <c r="K215" t="s">
        <v>197</v>
      </c>
      <c r="L215" s="356">
        <f>L211</f>
        <v>0</v>
      </c>
      <c r="M215" s="137">
        <f>M183</f>
        <v>70</v>
      </c>
      <c r="N215" s="356">
        <f>L215-M215</f>
        <v>-70</v>
      </c>
      <c r="S215" s="30"/>
    </row>
    <row r="216" spans="1:19" x14ac:dyDescent="0.25">
      <c r="A216" s="353"/>
      <c r="S216" s="30"/>
    </row>
  </sheetData>
  <mergeCells count="4">
    <mergeCell ref="P43:Q43"/>
    <mergeCell ref="P86:Q86"/>
    <mergeCell ref="P130:Q130"/>
    <mergeCell ref="P174:Q174"/>
  </mergeCells>
  <printOptions headings="1" gridLines="1" horizontalCentered="1" verticalCentered="1"/>
  <pageMargins left="0" right="0" top="0" bottom="0" header="0" footer="0"/>
  <pageSetup paperSize="9" orientation="landscape" horizontalDpi="4294967295" verticalDpi="300" scale="87" fitToWidth="1" fitToHeight="1" firstPageNumber="1" useFirstPageNumber="1" copies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P44"/>
  <sheetViews>
    <sheetView workbookViewId="0" zoomScale="100" zoomScaleNormal="100">
      <selection activeCell="A14" sqref="A14"/>
    </sheetView>
  </sheetViews>
  <sheetFormatPr defaultRowHeight="12.75" outlineLevelRow="0" outlineLevelCol="0" x14ac:dyDescent="0.2" customHeight="1"/>
  <cols>
    <col min="2" max="2" width="9.7109375" customWidth="1"/>
    <col min="5" max="5" width="10.42578125" customWidth="1"/>
    <col min="8" max="8" width="17.7109375" customWidth="1"/>
  </cols>
  <sheetData>
    <row r="2" ht="12.75" customHeight="1" spans="5:15" x14ac:dyDescent="0.25">
      <c r="E2" s="254" t="s">
        <v>146</v>
      </c>
      <c r="F2" s="254"/>
      <c r="G2" s="254"/>
      <c r="H2" s="254" t="s">
        <v>147</v>
      </c>
      <c r="I2" s="255" t="s">
        <v>148</v>
      </c>
      <c r="J2" s="256" t="s">
        <v>149</v>
      </c>
      <c r="K2" s="257"/>
      <c r="L2" s="258" t="str">
        <f>IF(WERKBON!I10="J","AFHAALBON","LEVERINGSBON")</f>
        <v>LEVERINGSBON</v>
      </c>
      <c r="M2" s="259"/>
      <c r="N2" s="259"/>
      <c r="O2" s="260"/>
    </row>
    <row r="3" ht="12.75" customHeight="1" spans="5:15" x14ac:dyDescent="0.25">
      <c r="E3" s="254" t="s">
        <v>150</v>
      </c>
      <c r="F3" s="254"/>
      <c r="G3" s="254"/>
      <c r="H3" s="254" t="s">
        <v>151</v>
      </c>
      <c r="I3" s="255"/>
      <c r="J3" s="256" t="s">
        <v>152</v>
      </c>
      <c r="K3" s="257"/>
      <c r="L3" s="261"/>
      <c r="M3" s="262"/>
      <c r="N3" s="262"/>
      <c r="O3" s="263"/>
    </row>
    <row r="4" ht="12.75" customHeight="1" spans="5:15" x14ac:dyDescent="0.25">
      <c r="E4" s="254" t="s">
        <v>153</v>
      </c>
      <c r="F4" s="254"/>
      <c r="G4" s="254"/>
      <c r="H4" s="254" t="s">
        <v>154</v>
      </c>
      <c r="I4" s="256" t="s">
        <v>155</v>
      </c>
      <c r="J4" s="256"/>
      <c r="K4" s="257"/>
      <c r="L4" s="261"/>
      <c r="M4" s="262"/>
      <c r="N4" s="262"/>
      <c r="O4" s="263"/>
    </row>
    <row r="5" ht="12.75" customHeight="1" spans="9:15" x14ac:dyDescent="0.25">
      <c r="I5" s="256" t="s">
        <v>156</v>
      </c>
      <c r="J5" s="256"/>
      <c r="K5" s="257"/>
      <c r="L5" s="264"/>
      <c r="M5" s="265"/>
      <c r="N5" s="265"/>
      <c r="O5" s="266"/>
    </row>
    <row r="6" spans="9:11" x14ac:dyDescent="0.25">
      <c r="I6" s="267"/>
      <c r="J6" s="267"/>
      <c r="K6" s="267"/>
    </row>
    <row r="7" ht="15" customHeight="1" spans="1:15" x14ac:dyDescent="0.25">
      <c r="A7" s="268" t="s">
        <v>157</v>
      </c>
      <c r="C7" s="269">
        <f>IF(WERKBON!I4&gt;0,WERKBON!I4,"")</f>
      </c>
      <c r="H7" s="268" t="s">
        <v>158</v>
      </c>
      <c r="I7" s="269">
        <f>IF(WERKBON!I4&gt;0,WERKBON!I4,"")</f>
      </c>
      <c r="J7" s="267"/>
      <c r="M7" s="270" t="str">
        <f>IF(WERKBON!I10="J","Voorzien afhaling","Voorziene levering")</f>
        <v>Voorziene levering</v>
      </c>
      <c r="N7" s="270"/>
      <c r="O7" s="270"/>
    </row>
    <row r="8" ht="15" customHeight="1" spans="3:15" x14ac:dyDescent="0.25">
      <c r="C8" s="269">
        <f>IF(WERKBON!I5&gt;0,WERKBON!I5,"")</f>
      </c>
      <c r="I8" s="269">
        <f>IF(WERKBON!B5&gt;0,WERKBON!B5,"")</f>
      </c>
      <c r="J8" s="269"/>
      <c r="M8" s="271">
        <f>IF(WERKBON!I12&gt;0,WERKBON!I12,"")</f>
      </c>
      <c r="N8" s="271"/>
      <c r="O8" s="271"/>
    </row>
    <row r="9" ht="15" customHeight="1" spans="3:15" x14ac:dyDescent="0.25">
      <c r="C9" s="269">
        <f>IF(WERKBON!I6&gt;0,WERKBON!I6,"")</f>
      </c>
      <c r="I9" s="269">
        <f>IF(WERKBON!B6&gt;0,WERKBON!B6,"")</f>
      </c>
      <c r="J9" s="269"/>
      <c r="M9" s="271"/>
      <c r="N9" s="271"/>
      <c r="O9" s="271"/>
    </row>
    <row r="10" ht="15" customHeight="1" spans="9:10" x14ac:dyDescent="0.25">
      <c r="I10" s="269">
        <f>IF(WERKBON!B7&gt;0,WERKBON!B7,"")</f>
      </c>
      <c r="J10" s="269"/>
    </row>
    <row r="11" ht="15" customHeight="1" spans="9:10" x14ac:dyDescent="0.25">
      <c r="I11" s="269">
        <f>IF(WERKBON!B8&gt;0,WERKBON!B8,"")</f>
      </c>
      <c r="J11" s="269"/>
    </row>
    <row r="12" ht="15" customHeight="1" spans="1:10" x14ac:dyDescent="0.25">
      <c r="A12" s="272">
        <f>IF(WERKBON!I8&lt;&gt;"","Prod. Nr: ","")</f>
      </c>
      <c r="B12" s="38">
        <f>IF(WERKBON!I8&lt;&gt;"",WERKBON!I8,"")</f>
      </c>
      <c r="H12" s="137">
        <f>IF(WERKBON!K12="J","Klant verwittigen","")</f>
      </c>
      <c r="I12" s="269">
        <f>IF(WERKBON!B9&gt;0,WERKBON!B9,"")</f>
      </c>
      <c r="J12" s="269"/>
    </row>
    <row r="13" ht="15" customHeight="1" spans="3:10" x14ac:dyDescent="0.25">
      <c r="C13" s="38"/>
      <c r="D13" s="38"/>
      <c r="E13" s="38"/>
      <c r="F13" s="38"/>
      <c r="G13" s="38"/>
      <c r="H13" s="38"/>
      <c r="I13" s="269">
        <f>IF(WERKBON!B10&gt;0,WERKBON!B10,"")</f>
      </c>
      <c r="J13" s="269"/>
    </row>
    <row r="14" spans="1:8" x14ac:dyDescent="0.25">
      <c r="A14" s="272" t="s">
        <v>159</v>
      </c>
      <c r="B14" s="38">
        <f>IF(WERKBON!B12&gt;0,WERKBON!B12,"")</f>
      </c>
      <c r="C14" s="38"/>
      <c r="D14" s="38"/>
      <c r="E14" s="38"/>
      <c r="F14" s="38"/>
      <c r="G14" s="38"/>
      <c r="H14" s="38"/>
    </row>
    <row r="16" spans="1:1" x14ac:dyDescent="0.25">
      <c r="A16" s="273" t="s">
        <v>1</v>
      </c>
    </row>
    <row r="18" spans="1:16" x14ac:dyDescent="0.25">
      <c r="A18" s="274" t="s">
        <v>160</v>
      </c>
      <c r="B18" s="274" t="s">
        <v>161</v>
      </c>
      <c r="C18" s="274" t="s">
        <v>162</v>
      </c>
      <c r="D18" s="274" t="s">
        <v>163</v>
      </c>
      <c r="E18" s="274" t="s">
        <v>164</v>
      </c>
      <c r="F18" s="274" t="s">
        <v>165</v>
      </c>
      <c r="G18" s="274" t="s">
        <v>166</v>
      </c>
      <c r="H18" s="274" t="s">
        <v>167</v>
      </c>
      <c r="I18" s="274" t="s">
        <v>168</v>
      </c>
      <c r="J18" s="274"/>
      <c r="K18" s="274"/>
      <c r="L18" s="274"/>
      <c r="M18" s="274"/>
      <c r="N18" s="274"/>
      <c r="O18" s="274" t="s">
        <v>169</v>
      </c>
      <c r="P18" s="275"/>
    </row>
    <row r="19" spans="1:15" x14ac:dyDescent="0.25">
      <c r="A19" s="276"/>
      <c r="B19" s="276"/>
      <c r="C19" s="276"/>
      <c r="D19" s="276"/>
      <c r="E19" s="276"/>
      <c r="F19" s="276"/>
      <c r="G19" s="276"/>
      <c r="H19" s="276"/>
      <c r="I19" s="276"/>
      <c r="J19" s="276"/>
      <c r="K19" s="276"/>
      <c r="L19" s="276"/>
      <c r="M19" s="276"/>
      <c r="N19" s="276"/>
      <c r="O19" s="276"/>
    </row>
    <row r="20" ht="12.75" customHeight="1" spans="1:16" x14ac:dyDescent="0.25">
      <c r="A20" s="277">
        <f>IF(WERKBON!$C$15&gt;0,WERKBON!$C$15,"")</f>
      </c>
      <c r="B20" s="278">
        <f>IF(WERKBON!$C$15&gt;0,WERKBON!C23,"")</f>
      </c>
      <c r="C20" s="278">
        <f>IF(WERKBON!$C$15&gt;0,WERKBON!C24,"")</f>
      </c>
      <c r="D20" s="279">
        <f>IF(WERKBON!$C$15&gt;0,WERKBON!B50,"")</f>
      </c>
      <c r="E20" s="279">
        <f>IF(WERKBON!$C$26=45,"45°","")&amp;IF(WERKBON!$C$26="R","Ronde kast","")</f>
      </c>
      <c r="F20" s="279">
        <f>IF(WERKBON!$C$15&gt;0,WERKBON!B54,"")</f>
      </c>
      <c r="G20" s="280"/>
      <c r="H20" s="279">
        <f>IF(WERKBON!G49="GAPOSA","GAPOSA "&amp;WERKBON!G50,WERKBON!G50)</f>
      </c>
      <c r="I20" s="281">
        <f>IF(WERKBON!$B$60&gt;0,WERKBON!$B$60,"")</f>
      </c>
      <c r="J20" s="281"/>
      <c r="K20" s="281"/>
      <c r="L20" s="281"/>
      <c r="M20" s="281"/>
      <c r="N20" s="281"/>
      <c r="O20" s="282"/>
      <c r="P20" s="38"/>
    </row>
    <row r="21" ht="12.75" customHeight="1" spans="1:16" s="283" customFormat="1" x14ac:dyDescent="0.25">
      <c r="A21" s="284"/>
      <c r="B21" s="285"/>
      <c r="C21" s="285"/>
      <c r="D21" s="286"/>
      <c r="E21" s="286"/>
      <c r="F21" s="286"/>
      <c r="G21" s="287"/>
      <c r="H21" s="288">
        <f>IF(WERKBON!$C$15&gt;0,WERKBON!$G$54,"")&amp;IF(OR(WERKBON!$C$31="G",WERKBON!$C$31="S",WERKBON!$C$31="CSI")," schakelaar","")</f>
      </c>
      <c r="I21" s="289">
        <f>IF(WERKBON!$B$61&gt;0,WERKBON!$B$61,"")</f>
      </c>
      <c r="J21" s="162"/>
      <c r="K21" s="162"/>
      <c r="L21" s="162"/>
      <c r="M21" s="162"/>
      <c r="N21" s="290"/>
      <c r="O21" s="282"/>
      <c r="P21" s="38"/>
    </row>
    <row r="22" ht="12.75" customHeight="1" spans="1:16" x14ac:dyDescent="0.25">
      <c r="A22" s="291"/>
      <c r="B22" s="292"/>
      <c r="C22" s="292"/>
      <c r="D22" s="293">
        <f>IF(WERKBON!$C$15&gt;0,WERKBON!C17,"")</f>
      </c>
      <c r="E22" s="293">
        <f>IF(WERKBON!$C$15&gt;0,WERKBON!C20,"")</f>
      </c>
      <c r="F22" s="293">
        <f>IF(WERKBON!$C$15&gt;0,WERKBON!C21,"")</f>
      </c>
      <c r="G22" s="293">
        <f>IF(WERKBON!$C$15&gt;0,WERKBON!C22,"")</f>
      </c>
      <c r="H22" s="288">
        <f>IF(WERKBON!$C$36&gt;0,WERKBON!$G$57,"")</f>
      </c>
      <c r="I22" s="289">
        <f>IF(WERKBON!$B$62&gt;0,WERKBON!$B$62,"")</f>
      </c>
      <c r="J22" s="162"/>
      <c r="K22" s="162"/>
      <c r="L22" s="162"/>
      <c r="M22" s="162"/>
      <c r="N22" s="290"/>
      <c r="O22" s="282"/>
      <c r="P22" s="38"/>
    </row>
    <row r="23" ht="12.75" customHeight="1" spans="1:16" s="294" customFormat="1" x14ac:dyDescent="0.25">
      <c r="A23" s="295"/>
      <c r="B23" s="296"/>
      <c r="C23" s="296"/>
      <c r="D23" s="297"/>
      <c r="F23" s="298">
        <f>IF(Lakkerij!$C$17&gt;0,Lakkerij!$C$17,"")</f>
      </c>
      <c r="G23" s="299"/>
      <c r="H23" s="300">
        <f>IF(WERKBON!$C$37&gt;0,WERKBON!$G$58,"")</f>
      </c>
      <c r="I23" s="301"/>
      <c r="J23" s="302"/>
      <c r="K23" s="302"/>
      <c r="L23" s="302"/>
      <c r="M23" s="302"/>
      <c r="N23" s="303"/>
      <c r="O23" s="282"/>
      <c r="P23" s="38"/>
    </row>
    <row r="24" ht="12.75" customHeight="1" spans="1:16" x14ac:dyDescent="0.25">
      <c r="A24" s="277">
        <f>IF(WERKBON!$D$15&gt;0,WERKBON!$D$15,"")</f>
      </c>
      <c r="B24" s="278">
        <f>IF(WERKBON!$D$15&gt;0,WERKBON!$D$23,"")</f>
      </c>
      <c r="C24" s="278">
        <f>IF(WERKBON!$D$15&gt;0,WERKBON!$D$24,"")</f>
      </c>
      <c r="D24" s="279">
        <f>IF(WERKBON!$D$15&gt;0,WERKBON!$B$66,"")</f>
      </c>
      <c r="E24" s="279">
        <f>IF(WERKBON!$D$26=45,"45°","")&amp;IF(WERKBON!$D$26="R","Ronde kast","")</f>
      </c>
      <c r="F24" s="279">
        <f>IF(WERKBON!$D$15&gt;0,WERKBON!$B$70,"")</f>
      </c>
      <c r="G24" s="280"/>
      <c r="H24" s="279">
        <f>IF(WERKBON!G65="GAPOSA","GAPOSA "&amp;WERKBON!G66,WERKBON!G66)</f>
      </c>
      <c r="I24" s="281">
        <f>IF(WERKBON!$B$76&gt;0,WERKBON!$B$76,"")</f>
      </c>
      <c r="J24" s="281"/>
      <c r="K24" s="281"/>
      <c r="L24" s="281"/>
      <c r="M24" s="281"/>
      <c r="N24" s="281"/>
      <c r="O24" s="282"/>
      <c r="P24" s="38"/>
    </row>
    <row r="25" ht="12.75" customHeight="1" spans="1:16" s="283" customFormat="1" x14ac:dyDescent="0.25">
      <c r="A25" s="284"/>
      <c r="B25" s="285"/>
      <c r="C25" s="285"/>
      <c r="D25" s="286"/>
      <c r="E25" s="286"/>
      <c r="F25" s="286"/>
      <c r="G25" s="287"/>
      <c r="H25" s="288">
        <f>IF(WERKBON!$D$15&gt;0,WERKBON!$G$70,"")&amp;IF(OR(WERKBON!$D$31="G",WERKBON!$D$31="S",WERKBON!$D$31="CSI")," schakelaar","")</f>
      </c>
      <c r="I25" s="289">
        <f>IF(WERKBON!$B$77&gt;0,WERKBON!$B$77,"")</f>
      </c>
      <c r="J25" s="162"/>
      <c r="K25" s="162"/>
      <c r="L25" s="162"/>
      <c r="M25" s="162"/>
      <c r="N25" s="290"/>
      <c r="O25" s="282"/>
      <c r="P25" s="38"/>
    </row>
    <row r="26" ht="12.75" customHeight="1" spans="1:16" x14ac:dyDescent="0.25">
      <c r="A26" s="291"/>
      <c r="B26" s="292"/>
      <c r="C26" s="292"/>
      <c r="D26" s="293">
        <f>IF(WERKBON!$D$15&gt;0,WERKBON!$D$17,"")</f>
      </c>
      <c r="E26" s="293">
        <f>IF(WERKBON!$D$15&gt;0,WERKBON!$D$20,"")</f>
      </c>
      <c r="F26" s="293">
        <f>IF(WERKBON!$D$15&gt;0,WERKBON!$D$21,"")</f>
      </c>
      <c r="G26" s="293">
        <f>IF(WERKBON!$D$15&gt;0,WERKBON!$D$22,"")</f>
      </c>
      <c r="H26" s="288">
        <f>IF(WERKBON!$D$36&gt;0,WERKBON!$G$73,"")</f>
      </c>
      <c r="I26" s="289">
        <f>IF(WERKBON!$B$78&gt;0,WERKBON!$B$78,"")</f>
      </c>
      <c r="J26" s="162"/>
      <c r="K26" s="162"/>
      <c r="L26" s="162"/>
      <c r="M26" s="162"/>
      <c r="N26" s="290"/>
      <c r="O26" s="282"/>
      <c r="P26" s="38"/>
    </row>
    <row r="27" ht="12.75" customHeight="1" spans="1:16" s="294" customFormat="1" x14ac:dyDescent="0.25">
      <c r="A27" s="295"/>
      <c r="B27" s="296"/>
      <c r="C27" s="296"/>
      <c r="D27" s="297"/>
      <c r="F27" s="298">
        <f>IF(A24&lt;&gt;"",$F$23,"")</f>
      </c>
      <c r="G27" s="299"/>
      <c r="H27" s="300">
        <f>IF(WERKBON!$D$36&gt;0,WERKBON!$G$74,"")</f>
      </c>
      <c r="I27" s="301"/>
      <c r="J27" s="302"/>
      <c r="K27" s="302"/>
      <c r="L27" s="302"/>
      <c r="M27" s="302"/>
      <c r="N27" s="303"/>
      <c r="O27" s="282"/>
      <c r="P27" s="38"/>
    </row>
    <row r="28" ht="12.75" customHeight="1" spans="1:16" x14ac:dyDescent="0.25">
      <c r="A28" s="277">
        <f>IF(WERKBON!$E$15&gt;0,WERKBON!$E$15,"")</f>
      </c>
      <c r="B28" s="278">
        <f>IF(WERKBON!$E$15&gt;0,WERKBON!$E$23,"")</f>
      </c>
      <c r="C28" s="278">
        <f>IF(WERKBON!$E$15&gt;0,WERKBON!$E$24,"")</f>
      </c>
      <c r="D28" s="279">
        <f>IF(WERKBON!$E$15&gt;0,WERKBON!$B$82,"")</f>
      </c>
      <c r="E28" s="279">
        <f>IF(WERKBON!$E$26=45,"45°","")&amp;IF(WERKBON!$E$26="R","Ronde kast","")</f>
      </c>
      <c r="F28" s="279">
        <f>IF(WERKBON!$E$15&gt;0,WERKBON!$B$86,"")</f>
      </c>
      <c r="G28" s="280"/>
      <c r="H28" s="279">
        <f>IF(WERKBON!G81="GAPOSA","GAPOSA "&amp;WERKBON!G82,WERKBON!G82)</f>
      </c>
      <c r="I28" s="281">
        <f>IF(WERKBON!$B$92&gt;0,WERKBON!$B$92,"")</f>
      </c>
      <c r="J28" s="281"/>
      <c r="K28" s="281"/>
      <c r="L28" s="281"/>
      <c r="M28" s="281"/>
      <c r="N28" s="281"/>
      <c r="O28" s="282"/>
      <c r="P28" s="38"/>
    </row>
    <row r="29" ht="12.75" customHeight="1" spans="1:16" s="283" customFormat="1" x14ac:dyDescent="0.25">
      <c r="A29" s="284"/>
      <c r="B29" s="285"/>
      <c r="C29" s="285"/>
      <c r="D29" s="286"/>
      <c r="E29" s="286"/>
      <c r="F29" s="286"/>
      <c r="G29" s="287"/>
      <c r="H29" s="288">
        <f>IF(WERKBON!$E$15&gt;0,WERKBON!G86,"")&amp;IF(OR(WERKBON!$E$31="G",WERKBON!$E$31="S",WERKBON!$E$31="CSI")," schakelaar","")</f>
      </c>
      <c r="I29" s="289">
        <f>IF(WERKBON!$B$93&gt;0,WERKBON!$B$93,"")</f>
      </c>
      <c r="J29" s="162"/>
      <c r="K29" s="162"/>
      <c r="L29" s="162"/>
      <c r="M29" s="162"/>
      <c r="N29" s="290"/>
      <c r="O29" s="282"/>
      <c r="P29" s="38"/>
    </row>
    <row r="30" ht="12.75" customHeight="1" spans="1:16" x14ac:dyDescent="0.25">
      <c r="A30" s="291"/>
      <c r="B30" s="292"/>
      <c r="C30" s="292"/>
      <c r="D30" s="293">
        <f>IF(WERKBON!$E$15&gt;0,WERKBON!$E$17,"")</f>
      </c>
      <c r="E30" s="293">
        <f>IF(WERKBON!$E$15&gt;0,WERKBON!$E$20,"")</f>
      </c>
      <c r="F30" s="293">
        <f>IF(WERKBON!$E$15&gt;0,WERKBON!$E$21,"")</f>
      </c>
      <c r="G30" s="293">
        <f>IF(WERKBON!$E$15&gt;0,WERKBON!$E$22,"")</f>
      </c>
      <c r="H30" s="288">
        <f>IF(WERKBON!$E$36&gt;0,WERKBON!G89,"")</f>
      </c>
      <c r="I30" s="289">
        <f>IF(WERKBON!$B$94&gt;0,WERKBON!$B$94,"")</f>
      </c>
      <c r="J30" s="162"/>
      <c r="K30" s="162"/>
      <c r="L30" s="162"/>
      <c r="M30" s="162"/>
      <c r="N30" s="290"/>
      <c r="O30" s="282"/>
      <c r="P30" s="38"/>
    </row>
    <row r="31" ht="12.75" customHeight="1" spans="1:16" s="294" customFormat="1" x14ac:dyDescent="0.25">
      <c r="A31" s="295"/>
      <c r="B31" s="296"/>
      <c r="C31" s="296"/>
      <c r="D31" s="297"/>
      <c r="F31" s="298">
        <f>IF(A28&lt;&gt;"",$F$23,"")</f>
      </c>
      <c r="G31" s="299"/>
      <c r="H31" s="300">
        <f>IF(WERKBON!$E$36&gt;0,WERKBON!G90,"")</f>
      </c>
      <c r="I31" s="301"/>
      <c r="J31" s="302"/>
      <c r="K31" s="302"/>
      <c r="L31" s="302"/>
      <c r="M31" s="302"/>
      <c r="N31" s="303"/>
      <c r="O31" s="282"/>
      <c r="P31" s="38"/>
    </row>
    <row r="32" ht="12.75" customHeight="1" spans="1:16" x14ac:dyDescent="0.25">
      <c r="A32" s="277">
        <f>IF(WERKBON!$F$15&gt;0,WERKBON!$F$15,"")</f>
      </c>
      <c r="B32" s="278">
        <f>IF(WERKBON!$F$15&gt;0,WERKBON!$F$23,"")</f>
      </c>
      <c r="C32" s="278">
        <f>IF(WERKBON!$F$15&gt;0,WERKBON!$F$24,"")</f>
      </c>
      <c r="D32" s="279">
        <f>IF(WERKBON!$F$15&gt;0,WERKBON!B98,"")</f>
      </c>
      <c r="E32" s="279">
        <f>IF(WERKBON!$F$26=45,"45°","")&amp;IF(WERKBON!$F$26="R","Ronde kast","")</f>
      </c>
      <c r="F32" s="279">
        <f>IF(WERKBON!$F$15&gt;0,WERKBON!B102,"")</f>
      </c>
      <c r="G32" s="280"/>
      <c r="H32" s="279">
        <f>IF(WERKBON!G97="GAPOSA","GAPOSA "&amp;WERKBON!G98,WERKBON!G98)</f>
      </c>
      <c r="I32" s="281">
        <f>IF(WERKBON!$B$108&gt;0,WERKBON!$B$108,"")</f>
      </c>
      <c r="J32" s="281"/>
      <c r="K32" s="281"/>
      <c r="L32" s="281"/>
      <c r="M32" s="281"/>
      <c r="N32" s="281"/>
      <c r="O32" s="282"/>
      <c r="P32" s="38"/>
    </row>
    <row r="33" ht="12.75" customHeight="1" spans="1:16" s="283" customFormat="1" x14ac:dyDescent="0.25">
      <c r="A33" s="284"/>
      <c r="B33" s="285"/>
      <c r="C33" s="285"/>
      <c r="D33" s="286"/>
      <c r="E33" s="286"/>
      <c r="F33" s="286"/>
      <c r="G33" s="287"/>
      <c r="H33" s="288">
        <f>IF(WERKBON!$F$15&gt;0,WERKBON!G102,"")&amp;IF(OR(WERKBON!$F$31="G",WERKBON!$F$31="S",WERKBON!$F$31="CSI")," schakelaar","")</f>
      </c>
      <c r="I33" s="289">
        <f>IF(WERKBON!$B$109&gt;0,WERKBON!$B$109,"")</f>
      </c>
      <c r="J33" s="162"/>
      <c r="K33" s="162"/>
      <c r="L33" s="162"/>
      <c r="M33" s="162"/>
      <c r="N33" s="290"/>
      <c r="O33" s="282"/>
      <c r="P33" s="38"/>
    </row>
    <row r="34" ht="12.75" customHeight="1" spans="1:16" x14ac:dyDescent="0.25">
      <c r="A34" s="291"/>
      <c r="B34" s="292"/>
      <c r="C34" s="292"/>
      <c r="D34" s="293">
        <f>IF(WERKBON!$F$15&gt;0,WERKBON!$F$17,"")</f>
      </c>
      <c r="E34" s="293">
        <f>IF(WERKBON!$F$15&gt;0,WERKBON!$F$20,"")</f>
      </c>
      <c r="F34" s="293">
        <f>IF(WERKBON!$F$15&gt;0,WERKBON!$F$21,"")</f>
      </c>
      <c r="G34" s="293">
        <f>IF(WERKBON!$F$15&gt;0,WERKBON!$F$22,"")</f>
      </c>
      <c r="H34" s="288">
        <f>IF(WERKBON!$F$36&gt;0,WERKBON!G105,"")</f>
      </c>
      <c r="I34" s="289">
        <f>IF(WERKBON!$B$110&gt;0,WERKBON!$B$110,"")</f>
      </c>
      <c r="J34" s="162"/>
      <c r="K34" s="162"/>
      <c r="L34" s="162"/>
      <c r="M34" s="162"/>
      <c r="N34" s="290"/>
      <c r="O34" s="282"/>
      <c r="P34" s="38"/>
    </row>
    <row r="35" ht="12.75" customHeight="1" spans="1:16" s="294" customFormat="1" x14ac:dyDescent="0.25">
      <c r="A35" s="295"/>
      <c r="B35" s="296"/>
      <c r="C35" s="296"/>
      <c r="D35" s="297"/>
      <c r="F35" s="298">
        <f>IF(A32&lt;&gt;"",$F$23,"")</f>
      </c>
      <c r="G35" s="299"/>
      <c r="H35" s="300">
        <f>IF(WERKBON!$F$36&gt;0,WERKBON!G106,"")</f>
      </c>
      <c r="I35" s="301"/>
      <c r="J35" s="302"/>
      <c r="K35" s="302"/>
      <c r="L35" s="302"/>
      <c r="M35" s="302"/>
      <c r="N35" s="303"/>
      <c r="O35" s="282"/>
      <c r="P35" s="38"/>
    </row>
    <row r="36" ht="12.75" customHeight="1" spans="1:16" x14ac:dyDescent="0.25">
      <c r="A36" s="277">
        <f>IF(WERKBON!$G$15&gt;0,WERKBON!$G$15,"")</f>
      </c>
      <c r="B36" s="278">
        <f>IF(WERKBON!$G$15&gt;0,WERKBON!$G$23,"")</f>
      </c>
      <c r="C36" s="278">
        <f>IF(WERKBON!$G$15&gt;0,WERKBON!$G$24,"")</f>
      </c>
      <c r="D36" s="279">
        <f>IF(WERKBON!$G$15&gt;0,WERKBON!B114,"")</f>
      </c>
      <c r="E36" s="279">
        <f>IF(WERKBON!$G$26=45,"45°","")&amp;IF(WERKBON!$G$26="R","Ronde kast","")</f>
      </c>
      <c r="F36" s="279">
        <f>IF(WERKBON!$G$15&gt;0,WERKBON!B118,"")</f>
      </c>
      <c r="G36" s="280"/>
      <c r="H36" s="279">
        <f>IF(WERKBON!G113="GAPOSA","GAPOSA "&amp;WERKBON!G114,WERKBON!G114)</f>
      </c>
      <c r="I36" s="281">
        <f>IF(WERKBON!$B$124&gt;0,WERKBON!$B$124,"")</f>
      </c>
      <c r="J36" s="281"/>
      <c r="K36" s="281"/>
      <c r="L36" s="281"/>
      <c r="M36" s="281"/>
      <c r="N36" s="281"/>
      <c r="O36" s="282"/>
      <c r="P36" s="38"/>
    </row>
    <row r="37" ht="12.75" customHeight="1" spans="1:16" s="283" customFormat="1" x14ac:dyDescent="0.25">
      <c r="A37" s="284"/>
      <c r="B37" s="285"/>
      <c r="C37" s="285"/>
      <c r="D37" s="286"/>
      <c r="E37" s="286"/>
      <c r="F37" s="286"/>
      <c r="G37" s="287"/>
      <c r="H37" s="288">
        <f>IF(WERKBON!$G$15&gt;0,WERKBON!G118,"")&amp;IF(OR(WERKBON!$G$31="G",WERKBON!$G$31="S",WERKBON!$G$31="CSI")," schakelaar","")</f>
      </c>
      <c r="I37" s="289">
        <f>IF(WERKBON!$B$125&gt;0,WERKBON!$B$125,"")</f>
      </c>
      <c r="J37" s="162"/>
      <c r="K37" s="162"/>
      <c r="L37" s="162"/>
      <c r="M37" s="162"/>
      <c r="N37" s="290"/>
      <c r="O37" s="282"/>
      <c r="P37" s="38"/>
    </row>
    <row r="38" ht="12.75" customHeight="1" spans="1:16" x14ac:dyDescent="0.25">
      <c r="A38" s="291"/>
      <c r="B38" s="292"/>
      <c r="C38" s="292"/>
      <c r="D38" s="293">
        <f>IF(WERKBON!$G$15&gt;0,WERKBON!$G$17,"")</f>
      </c>
      <c r="E38" s="293">
        <f>IF(WERKBON!$G$15&gt;0,WERKBON!$G$20,"")</f>
      </c>
      <c r="F38" s="293">
        <f>IF(WERKBON!$G$15&gt;0,WERKBON!$G$21,"")</f>
      </c>
      <c r="G38" s="293">
        <f>IF(WERKBON!$G$15&gt;0,WERKBON!$G$22,"")</f>
      </c>
      <c r="H38" s="288">
        <f>IF(WERKBON!$G$36&gt;0,WERKBON!G121,"")</f>
      </c>
      <c r="I38" s="289">
        <f>IF(WERKBON!$B$126&gt;0,WERKBON!$B$126,"")</f>
      </c>
      <c r="J38" s="162"/>
      <c r="K38" s="162"/>
      <c r="L38" s="162"/>
      <c r="M38" s="162"/>
      <c r="N38" s="290"/>
      <c r="O38" s="282"/>
      <c r="P38" s="38"/>
    </row>
    <row r="39" ht="12.75" customHeight="1" spans="1:16" s="294" customFormat="1" x14ac:dyDescent="0.25">
      <c r="A39" s="295"/>
      <c r="B39" s="296"/>
      <c r="C39" s="296"/>
      <c r="D39" s="297"/>
      <c r="E39" s="304"/>
      <c r="F39" s="298">
        <f>IF(A36&lt;&gt;"",$F$23,"")</f>
      </c>
      <c r="G39" s="299"/>
      <c r="H39" s="300">
        <f>IF(WERKBON!$G$36&gt;0,WERKBON!G122,"")</f>
      </c>
      <c r="I39" s="301"/>
      <c r="J39" s="302"/>
      <c r="K39" s="302"/>
      <c r="L39" s="302"/>
      <c r="M39" s="302"/>
      <c r="N39" s="303"/>
      <c r="O39" s="282"/>
      <c r="P39" s="38"/>
    </row>
    <row r="40" spans="1:1" s="137" customFormat="1" x14ac:dyDescent="0.25">
      <c r="A40" s="305" t="s">
        <v>170</v>
      </c>
    </row>
    <row r="41" spans="1:9" x14ac:dyDescent="0.25">
      <c r="A41" s="306" t="s">
        <v>87</v>
      </c>
      <c r="B41" s="137"/>
      <c r="C41" s="307"/>
      <c r="E41" s="137"/>
      <c r="F41" s="137"/>
      <c r="G41" s="137"/>
      <c r="H41" s="137"/>
      <c r="I41" s="306" t="s">
        <v>171</v>
      </c>
    </row>
    <row r="42" spans="3:3" x14ac:dyDescent="0.25">
      <c r="C42" s="307"/>
    </row>
    <row r="43" spans="3:3" x14ac:dyDescent="0.25">
      <c r="C43" s="307"/>
    </row>
    <row r="44" spans="1:11" x14ac:dyDescent="0.25">
      <c r="A44" t="str">
        <f>IF(WERKBON!I10="N","Leveringsdatum:","Afhaaldatum:")</f>
        <v>Leveringsdatum:</v>
      </c>
      <c r="K44" s="308" t="s">
        <v>172</v>
      </c>
    </row>
  </sheetData>
  <mergeCells count="94">
    <mergeCell ref="J2:K2"/>
    <mergeCell ref="L2:O5"/>
    <mergeCell ref="I2:I3"/>
    <mergeCell ref="J3:K3"/>
    <mergeCell ref="I4:K4"/>
    <mergeCell ref="I5:K5"/>
    <mergeCell ref="M7:O7"/>
    <mergeCell ref="M8:O9"/>
    <mergeCell ref="I18:N19"/>
    <mergeCell ref="A18:A19"/>
    <mergeCell ref="B18:B19"/>
    <mergeCell ref="C18:C19"/>
    <mergeCell ref="D18:D19"/>
    <mergeCell ref="E18:E19"/>
    <mergeCell ref="F18:F19"/>
    <mergeCell ref="G18:G19"/>
    <mergeCell ref="H18:H19"/>
    <mergeCell ref="O18:O19"/>
    <mergeCell ref="I20:N20"/>
    <mergeCell ref="A20:A21"/>
    <mergeCell ref="B20:B21"/>
    <mergeCell ref="C20:C21"/>
    <mergeCell ref="D20:D21"/>
    <mergeCell ref="E20:E21"/>
    <mergeCell ref="F20:F21"/>
    <mergeCell ref="G20:G21"/>
    <mergeCell ref="I21:N21"/>
    <mergeCell ref="O20:O23"/>
    <mergeCell ref="I22:N22"/>
    <mergeCell ref="A22:A23"/>
    <mergeCell ref="B22:B23"/>
    <mergeCell ref="C22:C23"/>
    <mergeCell ref="I23:N23"/>
    <mergeCell ref="I24:N24"/>
    <mergeCell ref="A24:A25"/>
    <mergeCell ref="B24:B25"/>
    <mergeCell ref="C24:C25"/>
    <mergeCell ref="D24:D25"/>
    <mergeCell ref="E24:E25"/>
    <mergeCell ref="F24:F25"/>
    <mergeCell ref="G24:G25"/>
    <mergeCell ref="I25:N25"/>
    <mergeCell ref="O24:O27"/>
    <mergeCell ref="I26:N26"/>
    <mergeCell ref="A26:A27"/>
    <mergeCell ref="B26:B27"/>
    <mergeCell ref="C26:C27"/>
    <mergeCell ref="I27:N27"/>
    <mergeCell ref="I28:N28"/>
    <mergeCell ref="A28:A29"/>
    <mergeCell ref="B28:B29"/>
    <mergeCell ref="C28:C29"/>
    <mergeCell ref="D28:D29"/>
    <mergeCell ref="E28:E29"/>
    <mergeCell ref="F28:F29"/>
    <mergeCell ref="G28:G29"/>
    <mergeCell ref="I29:N29"/>
    <mergeCell ref="O28:O31"/>
    <mergeCell ref="I30:N30"/>
    <mergeCell ref="A30:A31"/>
    <mergeCell ref="B30:B31"/>
    <mergeCell ref="C30:C31"/>
    <mergeCell ref="I31:N31"/>
    <mergeCell ref="I32:N32"/>
    <mergeCell ref="A32:A33"/>
    <mergeCell ref="B32:B33"/>
    <mergeCell ref="C32:C33"/>
    <mergeCell ref="D32:D33"/>
    <mergeCell ref="E32:E33"/>
    <mergeCell ref="F32:F33"/>
    <mergeCell ref="G32:G33"/>
    <mergeCell ref="I33:N33"/>
    <mergeCell ref="O32:O35"/>
    <mergeCell ref="I34:N34"/>
    <mergeCell ref="A34:A35"/>
    <mergeCell ref="B34:B35"/>
    <mergeCell ref="C34:C35"/>
    <mergeCell ref="I35:N35"/>
    <mergeCell ref="I36:N36"/>
    <mergeCell ref="A36:A37"/>
    <mergeCell ref="B36:B37"/>
    <mergeCell ref="C36:C37"/>
    <mergeCell ref="D36:D37"/>
    <mergeCell ref="E36:E37"/>
    <mergeCell ref="F36:F37"/>
    <mergeCell ref="G36:G37"/>
    <mergeCell ref="I37:N37"/>
    <mergeCell ref="O36:O39"/>
    <mergeCell ref="I38:N38"/>
    <mergeCell ref="A38:A39"/>
    <mergeCell ref="B38:B39"/>
    <mergeCell ref="C38:C39"/>
    <mergeCell ref="I39:N39"/>
    <mergeCell ref="C41:C43"/>
  </mergeCells>
  <conditionalFormatting sqref="H12">
    <cfRule type="expression" dxfId="82" priority="1">
      <formula>$H$12="Klant verwittigen"</formula>
    </cfRule>
  </conditionalFormatting>
  <pageMargins left="0" right="0" top="0" bottom="0" header="0" footer="0"/>
  <pageSetup paperSize="9" orientation="landscape" horizontalDpi="4294967294" verticalDpi="4294967294" scale="100" fitToWidth="1" fitToHeight="1" firstPageNumber="1" useFirstPageNumber="1" copies="1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73"/>
  <sheetViews>
    <sheetView workbookViewId="0" zoomScale="100" zoomScaleNormal="100">
      <selection activeCell="G10" sqref="G10"/>
    </sheetView>
  </sheetViews>
  <sheetFormatPr defaultRowHeight="12.75" outlineLevelRow="0" outlineLevelCol="0" x14ac:dyDescent="0.2" customHeight="1"/>
  <cols>
    <col min="2" max="2" width="16.140625" customWidth="1"/>
    <col min="3" max="4" width="10.7109375" customWidth="1"/>
    <col min="6" max="8" width="10.7109375" customWidth="1"/>
  </cols>
  <sheetData>
    <row r="1" ht="23.25" customHeight="1" spans="1:10" x14ac:dyDescent="0.25">
      <c r="A1" s="309"/>
      <c r="B1" s="309"/>
      <c r="C1" s="309"/>
      <c r="D1" s="309"/>
      <c r="E1" s="310"/>
      <c r="F1" s="310"/>
      <c r="G1" s="311"/>
      <c r="H1" s="312" t="s">
        <v>173</v>
      </c>
      <c r="I1" s="254"/>
      <c r="J1" s="254"/>
    </row>
    <row r="2" ht="14.25" customHeight="1" spans="1:10" x14ac:dyDescent="0.25">
      <c r="A2" s="313"/>
      <c r="B2" s="313"/>
      <c r="C2" s="313"/>
      <c r="D2" s="313"/>
      <c r="E2" s="314"/>
      <c r="F2" s="314"/>
      <c r="G2" s="311"/>
      <c r="H2" s="315" t="s">
        <v>174</v>
      </c>
      <c r="I2" s="254"/>
      <c r="J2" s="254"/>
    </row>
    <row r="3" ht="12.75" customHeight="1" spans="2:10" x14ac:dyDescent="0.25">
      <c r="B3" s="313"/>
      <c r="C3" s="267"/>
      <c r="D3" s="254"/>
      <c r="F3" s="315" t="s">
        <v>175</v>
      </c>
      <c r="H3" s="315" t="s">
        <v>151</v>
      </c>
      <c r="I3" s="254"/>
      <c r="J3" s="254"/>
    </row>
    <row r="4" ht="12.75" customHeight="1" spans="2:10" x14ac:dyDescent="0.25">
      <c r="B4" s="313"/>
      <c r="C4" s="267"/>
      <c r="D4" s="254"/>
      <c r="I4" s="254"/>
      <c r="J4" s="254"/>
    </row>
    <row r="5" ht="18" customHeight="1" spans="1:10" x14ac:dyDescent="0.25">
      <c r="A5" s="316"/>
      <c r="B5" s="317" t="s">
        <v>176</v>
      </c>
      <c r="C5" s="1"/>
      <c r="D5" s="318" t="str">
        <f>IF(WERKBON!B4="FERYN","LAKKERIJ FERYN","DBM61")</f>
        <v>DBM61</v>
      </c>
      <c r="E5" s="318"/>
      <c r="F5" s="318"/>
      <c r="G5" s="1"/>
      <c r="H5" s="31"/>
      <c r="I5" s="254"/>
      <c r="J5" s="254"/>
    </row>
    <row r="6" ht="9.95" customHeight="1" spans="1:10" x14ac:dyDescent="0.25">
      <c r="A6" s="319"/>
      <c r="B6" s="320"/>
      <c r="C6" s="1"/>
      <c r="D6" s="126"/>
      <c r="E6" s="126"/>
      <c r="F6" s="321"/>
      <c r="G6" s="1"/>
      <c r="H6" s="31"/>
      <c r="I6" s="254"/>
      <c r="J6" s="254"/>
    </row>
    <row r="7" ht="18" customHeight="1" spans="1:10" x14ac:dyDescent="0.25">
      <c r="A7" s="316"/>
      <c r="B7" s="317"/>
      <c r="C7" s="1"/>
      <c r="D7" s="1"/>
      <c r="E7" s="1"/>
      <c r="F7" s="1"/>
      <c r="G7" s="1"/>
      <c r="H7" s="31"/>
      <c r="I7" s="254"/>
      <c r="J7" s="254"/>
    </row>
    <row r="8" ht="18" customHeight="1" spans="1:10" x14ac:dyDescent="0.25">
      <c r="A8" s="316"/>
      <c r="B8" s="317"/>
      <c r="C8" s="1"/>
      <c r="D8" s="1"/>
      <c r="E8" s="1"/>
      <c r="F8" s="1"/>
      <c r="G8" s="1"/>
      <c r="H8" s="31"/>
      <c r="I8" s="254"/>
      <c r="J8" s="254"/>
    </row>
    <row r="9" ht="9.95" customHeight="1" spans="1:10" x14ac:dyDescent="0.25">
      <c r="A9" s="316"/>
      <c r="B9" s="317"/>
      <c r="C9" s="1"/>
      <c r="D9" s="126"/>
      <c r="E9" s="318"/>
      <c r="F9" s="321"/>
      <c r="G9" s="1"/>
      <c r="H9" s="31"/>
      <c r="I9" s="254"/>
      <c r="J9" s="254"/>
    </row>
    <row r="10" ht="18" customHeight="1" spans="1:10" x14ac:dyDescent="0.25">
      <c r="A10" s="316"/>
      <c r="E10" s="1"/>
      <c r="F10" s="322" t="s">
        <v>177</v>
      </c>
      <c r="G10" s="323" t="s">
        <v>178</v>
      </c>
      <c r="H10" s="323"/>
      <c r="J10" s="254"/>
    </row>
    <row r="11" ht="9.95" customHeight="1" spans="1:8" x14ac:dyDescent="0.25">
      <c r="A11" s="319"/>
      <c r="B11" s="320"/>
      <c r="C11" s="1"/>
      <c r="D11" s="126"/>
      <c r="E11" s="126"/>
      <c r="F11" s="321"/>
      <c r="G11" s="1"/>
      <c r="H11" s="1"/>
    </row>
    <row r="12" ht="18" customHeight="1" spans="1:5" x14ac:dyDescent="0.25">
      <c r="A12" s="316"/>
      <c r="B12" s="317"/>
      <c r="C12" s="1"/>
      <c r="D12" s="126"/>
      <c r="E12" s="126"/>
    </row>
    <row r="13" ht="9.95" customHeight="1" spans="2:8" x14ac:dyDescent="0.25">
      <c r="B13" s="324"/>
      <c r="C13" s="1"/>
      <c r="D13" s="126"/>
      <c r="E13" s="126"/>
      <c r="F13" s="126"/>
      <c r="G13" s="1"/>
      <c r="H13" s="1"/>
    </row>
    <row r="14" ht="20.1" customHeight="1" spans="2:8" x14ac:dyDescent="0.25">
      <c r="B14" s="317" t="s">
        <v>179</v>
      </c>
      <c r="C14" s="325">
        <f>IF(WERKBON!B4&gt;0,WERKBON!B4&amp;" - "&amp;WERKBON!B12,"")</f>
      </c>
      <c r="D14" s="325"/>
      <c r="E14" s="325"/>
      <c r="F14" s="325"/>
      <c r="G14" s="325"/>
      <c r="H14" s="325"/>
    </row>
    <row r="16" ht="20.1" customHeight="1" spans="2:12" x14ac:dyDescent="0.25">
      <c r="B16" s="326" t="s">
        <v>180</v>
      </c>
      <c r="C16" s="327">
        <f>IF(WERKBON!C20&gt;0,WERKBON!C20,"")</f>
      </c>
      <c r="D16" s="327"/>
      <c r="E16" s="326" t="s">
        <v>181</v>
      </c>
      <c r="F16" s="326"/>
      <c r="G16" s="328" t="s">
        <v>182</v>
      </c>
      <c r="H16" s="328"/>
      <c r="L16" s="311"/>
    </row>
    <row r="17" ht="20.1" customHeight="1" spans="2:8" x14ac:dyDescent="0.25">
      <c r="B17" s="329" t="s">
        <v>183</v>
      </c>
      <c r="C17" s="125"/>
      <c r="D17" s="125"/>
      <c r="E17" s="326"/>
      <c r="F17" s="326"/>
      <c r="G17" s="328"/>
      <c r="H17" s="328"/>
    </row>
    <row r="18" ht="12.75" customHeight="1" x14ac:dyDescent="0.25"/>
    <row r="19" spans="2:8" x14ac:dyDescent="0.25">
      <c r="B19" s="330">
        <f>IF(WERKBON!$C$15&gt;0,"Rolluik 1","")</f>
      </c>
      <c r="C19" s="331">
        <f>IF(WERKBON!$C$15&gt;0,"Grootte","")</f>
      </c>
      <c r="D19" s="331">
        <f>IF(WERKBON!$C$15&gt;0,"Eenheid","")</f>
      </c>
      <c r="E19" s="332"/>
      <c r="F19" s="333"/>
      <c r="G19" s="331">
        <f>IF(WERKBON!$C$15&gt;0,"Zaagmaat","")</f>
      </c>
      <c r="H19" s="331">
        <f>IF(WERKBON!$C$15&gt;0,"Maatgeving","")</f>
      </c>
    </row>
    <row r="20" ht="9.95" customHeight="1" spans="2:8" x14ac:dyDescent="0.25">
      <c r="B20" s="127"/>
      <c r="C20" s="128"/>
      <c r="D20" s="128"/>
      <c r="E20" s="128"/>
      <c r="F20" s="128"/>
      <c r="G20" s="128"/>
      <c r="H20" s="128"/>
    </row>
    <row r="21" spans="2:15" x14ac:dyDescent="0.25">
      <c r="B21" s="63">
        <f>IF(WERKBON!C15&gt;0,"Aantal stuks :","")</f>
      </c>
      <c r="C21" s="73"/>
      <c r="D21" s="334">
        <f>IF(WERKBON!C15&gt;0,WERKBON!C15,"")</f>
      </c>
      <c r="E21" s="73"/>
      <c r="F21" s="73"/>
      <c r="G21" s="73"/>
      <c r="H21" s="135"/>
      <c r="I21" s="63" t="s">
        <v>184</v>
      </c>
      <c r="J21" s="73"/>
      <c r="K21" s="334" t="s">
        <v>184</v>
      </c>
      <c r="L21" s="1"/>
      <c r="M21" s="1"/>
      <c r="N21" s="73"/>
      <c r="O21" s="135"/>
    </row>
    <row r="22" spans="2:15" x14ac:dyDescent="0.25">
      <c r="B22" s="63">
        <f>IF(WERKBON!C15&gt;0,"Mini onderlat :","")</f>
      </c>
      <c r="C22" s="23"/>
      <c r="D22" s="23">
        <f>IF(WERKBON!C15&gt;0,"St","")</f>
      </c>
      <c r="E22" s="63"/>
      <c r="F22" s="63"/>
      <c r="G22" s="335">
        <f>IF(WERKBON!C15&gt;0,WERKBON!AA51+100,"")</f>
      </c>
      <c r="H22" s="336">
        <f>IF(WERKBON!C15&gt;0,"mm","")</f>
      </c>
      <c r="I22" s="63" t="s">
        <v>184</v>
      </c>
      <c r="J22" s="23"/>
      <c r="K22" s="23" t="s">
        <v>184</v>
      </c>
      <c r="L22" s="38"/>
      <c r="M22" s="38"/>
      <c r="N22" s="335" t="s">
        <v>184</v>
      </c>
      <c r="O22" s="336" t="s">
        <v>185</v>
      </c>
    </row>
    <row r="23" spans="2:15" x14ac:dyDescent="0.25">
      <c r="B23" s="63">
        <f>IF(WERKBON!C15&gt;0,"Bovenkast :","")</f>
      </c>
      <c r="C23" s="337">
        <f>IF(WERKBON!C15&gt;0,WERKBON!C27,"")</f>
      </c>
      <c r="D23" s="23">
        <f>IF(WERKBON!C15&gt;0,"St","")</f>
      </c>
      <c r="E23" s="23">
        <f>IF(WERKBON!$C$26=45,"45°","")&amp;IF(WERKBON!$C$26="R","Ronde kast","")</f>
      </c>
      <c r="F23" s="23"/>
      <c r="G23" s="335">
        <f>IF(WERKBON!C15&gt;0,WERKBON!AA52+100,"")</f>
      </c>
      <c r="H23" s="115">
        <f>IF(WERKBON!C15&gt;0,"mm","")</f>
      </c>
      <c r="I23" s="63" t="s">
        <v>184</v>
      </c>
      <c r="J23" s="337" t="s">
        <v>184</v>
      </c>
      <c r="K23" s="23" t="s">
        <v>184</v>
      </c>
      <c r="L23" s="38"/>
      <c r="M23" s="38"/>
      <c r="N23" s="335" t="s">
        <v>184</v>
      </c>
      <c r="O23" s="115" t="s">
        <v>185</v>
      </c>
    </row>
    <row r="24" spans="2:15" x14ac:dyDescent="0.25">
      <c r="B24" s="63">
        <f>IF(WERKBON!C15&gt;0,"Onderkast :","")</f>
      </c>
      <c r="C24" s="337">
        <f>IF(WERKBON!C16&gt;0,WERKBON!B52,"")</f>
      </c>
      <c r="D24" s="23">
        <f>IF(WERKBON!C15&gt;0,"St","")</f>
      </c>
      <c r="E24" s="23">
        <f>IF(WERKBON!$C$26=45,"45°","")&amp;IF(WERKBON!$C$26="R","Ronde kast","")</f>
      </c>
      <c r="F24" s="23"/>
      <c r="G24" s="335">
        <f>IF(WERKBON!C15&gt;0,WERKBON!AA52+100,"")</f>
      </c>
      <c r="H24" s="115">
        <f>IF(WERKBON!C15&gt;0,"mm","")</f>
      </c>
      <c r="I24" s="63" t="s">
        <v>184</v>
      </c>
      <c r="J24" s="337" t="s">
        <v>184</v>
      </c>
      <c r="K24" s="23" t="s">
        <v>184</v>
      </c>
      <c r="L24" s="38"/>
      <c r="M24" s="38"/>
      <c r="N24" s="335" t="s">
        <v>184</v>
      </c>
      <c r="O24" s="115" t="s">
        <v>185</v>
      </c>
    </row>
    <row r="25" spans="2:15" x14ac:dyDescent="0.25">
      <c r="B25" s="63">
        <f>IF(WERKBON!C15&gt;0,"Zijkap :","")</f>
      </c>
      <c r="C25" s="337">
        <f>IF(WERKBON!C15&gt;0,WERKBON!B52,"")</f>
      </c>
      <c r="D25" s="23">
        <f>IF(WERKBON!C15&gt;0,"Pr","")</f>
      </c>
      <c r="E25" s="23">
        <f>IF(WERKBON!C15&gt;0,"Links &amp; Rechts - ","")&amp;IF(WERKBON!$C$26=45,"45°","")&amp;IF(WERKBON!$C$26="R","Rond","")</f>
      </c>
      <c r="F25" s="23"/>
      <c r="G25" s="335"/>
      <c r="H25" s="115"/>
      <c r="I25" s="63" t="s">
        <v>184</v>
      </c>
      <c r="J25" s="337" t="s">
        <v>184</v>
      </c>
      <c r="K25" s="23" t="s">
        <v>184</v>
      </c>
      <c r="L25" s="38" t="s">
        <v>184</v>
      </c>
      <c r="M25" s="38"/>
      <c r="N25" s="335"/>
      <c r="O25" s="115"/>
    </row>
    <row r="26" spans="2:15" x14ac:dyDescent="0.25">
      <c r="B26" s="63">
        <f>IF(WERKBON!C15&gt;0,"Geleider :","")</f>
      </c>
      <c r="C26" s="337">
        <f>IF(WERKBON!C15&gt;0,WERKBON!B54,"")</f>
      </c>
      <c r="D26" s="23">
        <f>IF(WERKBON!C15&gt;0,"Pr","")</f>
      </c>
      <c r="E26" s="63">
        <f>IF(WERKBON!C15&gt;0,"22 x 53 x","")</f>
      </c>
      <c r="F26" s="63"/>
      <c r="G26" s="335">
        <f>IF(WERKBON!C15&gt;0,WERKBON!C54+100,"")</f>
      </c>
      <c r="H26" s="115">
        <f>IF(WERKBON!C15&gt;0,"mm","")</f>
      </c>
      <c r="I26" s="63" t="s">
        <v>184</v>
      </c>
      <c r="J26" s="23" t="s">
        <v>184</v>
      </c>
      <c r="K26" s="23" t="s">
        <v>184</v>
      </c>
      <c r="L26" s="38" t="s">
        <v>184</v>
      </c>
      <c r="M26" s="38"/>
      <c r="N26" s="335" t="s">
        <v>184</v>
      </c>
      <c r="O26" s="115" t="s">
        <v>185</v>
      </c>
    </row>
    <row r="27" ht="9.95" customHeight="1" spans="2:9" x14ac:dyDescent="0.25">
      <c r="B27" s="114"/>
      <c r="C27" s="73"/>
      <c r="D27" s="73"/>
      <c r="E27" s="338"/>
      <c r="F27" s="338"/>
      <c r="G27" s="73"/>
      <c r="H27" s="1"/>
      <c r="I27" s="339"/>
    </row>
    <row r="28" spans="2:9" x14ac:dyDescent="0.25">
      <c r="B28" s="330">
        <f>IF(WERKBON!D15&gt;0,"Rolluik 2","")</f>
      </c>
      <c r="C28" s="331">
        <f>IF(WERKBON!D15&gt;0,"Grootte","")</f>
      </c>
      <c r="D28" s="331">
        <f>IF(WERKBON!D15&gt;0,"Eenheid","")</f>
      </c>
      <c r="E28" s="332"/>
      <c r="F28" s="333"/>
      <c r="G28" s="331">
        <f>IF(WERKBON!D15&gt;0,"Zaagmaat","")</f>
      </c>
      <c r="H28" s="331">
        <f>IF(WERKBON!D15&gt;0,"Maatgeving","")</f>
      </c>
      <c r="I28" s="340"/>
    </row>
    <row r="29" ht="9.95" customHeight="1" spans="2:9" x14ac:dyDescent="0.25">
      <c r="B29" s="127"/>
      <c r="C29" s="128"/>
      <c r="D29" s="128"/>
      <c r="E29" s="341"/>
      <c r="F29" s="341"/>
      <c r="G29" s="128"/>
      <c r="H29" s="128"/>
      <c r="I29" s="340"/>
    </row>
    <row r="30" spans="2:9" x14ac:dyDescent="0.25">
      <c r="B30" s="63">
        <f>IF(WERKBON!D15&gt;0,"Aantal stuks :","")</f>
      </c>
      <c r="C30" s="73"/>
      <c r="D30" s="334">
        <f>IF(WERKBON!D15&gt;0,WERKBON!D15,"")</f>
      </c>
      <c r="E30" s="73"/>
      <c r="F30" s="73"/>
      <c r="G30" s="73"/>
      <c r="H30" s="135"/>
      <c r="I30" s="340"/>
    </row>
    <row r="31" spans="2:9" x14ac:dyDescent="0.25">
      <c r="B31" s="63">
        <f>IF(WERKBON!D15&gt;0,"Mini onderlat :","")</f>
      </c>
      <c r="C31" s="23"/>
      <c r="D31" s="23">
        <f>IF(WERKBON!D15&gt;0,"St","")</f>
      </c>
      <c r="E31" s="63"/>
      <c r="F31" s="63"/>
      <c r="G31" s="335">
        <f>IF(WERKBON!D15&gt;0,WERKBON!AA67+100,"")</f>
      </c>
      <c r="H31" s="336">
        <f>IF(WERKBON!D15&gt;0,"mm","")</f>
      </c>
      <c r="I31" s="342"/>
    </row>
    <row r="32" spans="2:9" x14ac:dyDescent="0.25">
      <c r="B32" s="63">
        <f>IF(WERKBON!D15&gt;0,"Bovenkast :","")</f>
      </c>
      <c r="C32" s="337">
        <f>IF(WERKBON!D15&gt;0,WERKBON!D27,"")</f>
      </c>
      <c r="D32" s="23">
        <f>IF(WERKBON!D15&gt;0,"St","")</f>
      </c>
      <c r="E32" s="23">
        <f>IF(WERKBON!$D$26=45,"45°","")&amp;IF(WERKBON!$D$26="R","Ronde kast","")</f>
      </c>
      <c r="F32" s="23"/>
      <c r="G32" s="335">
        <f>IF(WERKBON!D15&gt;0,WERKBON!AA68+100,"")</f>
      </c>
      <c r="H32" s="115">
        <f>IF(WERKBON!D15&gt;0,"mm","")</f>
      </c>
      <c r="I32" s="343"/>
    </row>
    <row r="33" spans="2:8" x14ac:dyDescent="0.25">
      <c r="B33" s="63">
        <f>IF(WERKBON!D15&gt;0,"Onderkast :","")</f>
      </c>
      <c r="C33" s="337">
        <f>IF(WERKBON!D15&gt;0,WERKBON!D27,"")</f>
      </c>
      <c r="D33" s="23">
        <f>IF(WERKBON!D15&gt;0,"St","")</f>
      </c>
      <c r="E33" s="23">
        <f>IF(WERKBON!$D$26=45,"45°","")&amp;IF(WERKBON!$D$26="R","Ronde kast","")</f>
      </c>
      <c r="F33" s="23"/>
      <c r="G33" s="335">
        <f>IF(WERKBON!D15&gt;0,WERKBON!AA68+100,"")</f>
      </c>
      <c r="H33" s="115">
        <f>IF(WERKBON!D15&gt;0,"mm","")</f>
      </c>
    </row>
    <row r="34" spans="2:8" x14ac:dyDescent="0.25">
      <c r="B34" s="63">
        <f>IF(WERKBON!D15&gt;0,"Zijkap :","")</f>
      </c>
      <c r="C34" s="337">
        <f>IF(WERKBON!D15&gt;0,WERKBON!D27,"")</f>
      </c>
      <c r="D34" s="23">
        <f>IF(WERKBON!D15&gt;0,"Pr","")</f>
      </c>
      <c r="E34" s="23">
        <f>IF(WERKBON!D15&gt;0,"Links &amp; Rechts - ","")&amp;IF(WERKBON!$D$26=45,"45°","")&amp;IF(WERKBON!$D$26="R","Rond","")</f>
      </c>
      <c r="F34" s="23"/>
      <c r="G34" s="335"/>
      <c r="H34" s="115"/>
    </row>
    <row r="35" spans="2:8" x14ac:dyDescent="0.25">
      <c r="B35" s="63">
        <f>IF(WERKBON!D15&gt;0,"Geleider :","")</f>
      </c>
      <c r="C35" s="337">
        <f>IF(WERKBON!D15&gt;0,WERKBON!B70,"")</f>
      </c>
      <c r="D35" s="23">
        <f>IF(WERKBON!D15&gt;0,"Pr","")</f>
      </c>
      <c r="E35" s="63">
        <f>IF(WERKBON!D15&gt;0,"22 x 53 x","")</f>
      </c>
      <c r="F35" s="63"/>
      <c r="G35" s="335">
        <f>IF(WERKBON!D15&gt;0,WERKBON!C70+100,"")</f>
      </c>
      <c r="H35" s="115">
        <f>IF(WERKBON!D15&gt;0,"mm","")</f>
      </c>
    </row>
    <row r="36" ht="9.95" customHeight="1" spans="2:9" x14ac:dyDescent="0.25">
      <c r="B36" s="114"/>
      <c r="C36" s="1"/>
      <c r="D36" s="1"/>
      <c r="E36" s="338"/>
      <c r="F36" s="338"/>
      <c r="G36" s="1"/>
      <c r="H36" s="1"/>
      <c r="I36" s="339"/>
    </row>
    <row r="37" spans="2:9" x14ac:dyDescent="0.25">
      <c r="B37" s="330">
        <f>IF(WERKBON!E15&gt;0,"Rolluik 3","")</f>
      </c>
      <c r="C37" s="331">
        <f>IF(WERKBON!E15&gt;0,"Grootte","")</f>
      </c>
      <c r="D37" s="331">
        <f>IF(WERKBON!E15&gt;0,"Eenheid","")</f>
      </c>
      <c r="E37" s="332"/>
      <c r="F37" s="333"/>
      <c r="G37" s="331">
        <f>IF(WERKBON!E15&gt;0,"Zaagmaat","")</f>
      </c>
      <c r="H37" s="331">
        <f>IF(WERKBON!E15&gt;0,"Maatgeving","")</f>
      </c>
      <c r="I37" s="340"/>
    </row>
    <row r="38" ht="9.95" customHeight="1" spans="2:9" x14ac:dyDescent="0.25">
      <c r="B38" s="127"/>
      <c r="C38" s="128"/>
      <c r="D38" s="128"/>
      <c r="E38" s="341"/>
      <c r="F38" s="341"/>
      <c r="G38" s="128"/>
      <c r="H38" s="128"/>
      <c r="I38" s="340"/>
    </row>
    <row r="39" spans="2:9" x14ac:dyDescent="0.25">
      <c r="B39" s="63">
        <f>IF(WERKBON!E15&gt;0,"Aantal stuks :","")</f>
      </c>
      <c r="C39" s="73"/>
      <c r="D39" s="334">
        <f>IF(WERKBON!E15&gt;0,WERKBON!E15,"")</f>
      </c>
      <c r="E39" s="73"/>
      <c r="F39" s="73"/>
      <c r="G39" s="73"/>
      <c r="H39" s="135"/>
      <c r="I39" s="340"/>
    </row>
    <row r="40" spans="2:9" x14ac:dyDescent="0.25">
      <c r="B40" s="63">
        <f>IF(WERKBON!E15&gt;0,"Mini onderlat :","")</f>
      </c>
      <c r="C40" s="23"/>
      <c r="D40" s="23">
        <f>IF(WERKBON!E15&gt;0,"St","")</f>
      </c>
      <c r="E40" s="63"/>
      <c r="F40" s="63"/>
      <c r="G40" s="335">
        <f>IF(WERKBON!E15&gt;0,WERKBON!AA82+100,"")</f>
      </c>
      <c r="H40" s="336">
        <f>IF(WERKBON!E15&gt;0,"mm","")</f>
      </c>
      <c r="I40" s="342"/>
    </row>
    <row r="41" spans="2:9" x14ac:dyDescent="0.25">
      <c r="B41" s="63">
        <f>IF(WERKBON!E15&gt;0,"Bovenkast :","")</f>
      </c>
      <c r="C41" s="337">
        <f>IF(WERKBON!E15&gt;0,WERKBON!E27,"")</f>
      </c>
      <c r="D41" s="23">
        <f>IF(WERKBON!E15&gt;0,"St","")</f>
      </c>
      <c r="E41" s="23">
        <f>IF(WERKBON!$E$26=45,"45°","")&amp;IF(WERKBON!$E$26="R","Ronde kast","")</f>
      </c>
      <c r="F41" s="23"/>
      <c r="G41" s="335">
        <f>IF(WERKBON!E15&gt;0,WERKBON!AA84+100,"")</f>
      </c>
      <c r="H41" s="115">
        <f>IF(WERKBON!E15&gt;0,"mm","")</f>
      </c>
      <c r="I41" s="343"/>
    </row>
    <row r="42" spans="2:8" x14ac:dyDescent="0.25">
      <c r="B42" s="63">
        <f>IF(WERKBON!E15&gt;0,"Onderkast :","")</f>
      </c>
      <c r="C42" s="337">
        <f>IF(WERKBON!E15&gt;0,WERKBON!E27,"")</f>
      </c>
      <c r="D42" s="23">
        <f>IF(WERKBON!E15&gt;0,"St","")</f>
      </c>
      <c r="E42" s="23">
        <f>IF(WERKBON!$E$26=45,"45°","")&amp;IF(WERKBON!$E$26="R","Ronde kast","")</f>
      </c>
      <c r="F42" s="23"/>
      <c r="G42" s="335">
        <f>IF(WERKBON!E15&gt;0,WERKBON!AA84+100,"")</f>
      </c>
      <c r="H42" s="115">
        <f>IF(WERKBON!E15&gt;0,"mm","")</f>
      </c>
    </row>
    <row r="43" spans="2:8" x14ac:dyDescent="0.25">
      <c r="B43" s="63">
        <f>IF(WERKBON!E15&gt;0,"Zijkap :","")</f>
      </c>
      <c r="C43" s="337">
        <f>IF(WERKBON!E15&gt;0,WERKBON!E27,"")</f>
      </c>
      <c r="D43" s="23">
        <f>IF(WERKBON!E15&gt;0,"Pr","")</f>
      </c>
      <c r="E43" s="23">
        <f>IF(WERKBON!E15&gt;0,"Links &amp; Rechts - ","")&amp;IF(WERKBON!$E$26=45,"45°","")&amp;IF(WERKBON!$E$15="R","Rond","")</f>
      </c>
      <c r="F43" s="23"/>
      <c r="G43" s="335"/>
      <c r="H43" s="115"/>
    </row>
    <row r="44" spans="2:8" x14ac:dyDescent="0.25">
      <c r="B44" s="63">
        <f>IF(WERKBON!E15&gt;0,"Geleider :","")</f>
      </c>
      <c r="C44" s="337">
        <f>IF(WERKBON!E15&gt;0,WERKBON!B86,"")</f>
      </c>
      <c r="D44" s="23">
        <f>IF(WERKBON!E15&gt;0,"Pr","")</f>
      </c>
      <c r="E44" s="63">
        <f>IF(WERKBON!E15&gt;0,"22 x 53 x","")</f>
      </c>
      <c r="F44" s="63"/>
      <c r="G44" s="335">
        <f>IF(WERKBON!E15&gt;0,WERKBON!C86+100,"")</f>
      </c>
      <c r="H44" s="115">
        <f>IF(WERKBON!E15&gt;0,"mm","")</f>
      </c>
    </row>
    <row r="45" ht="9.95" customHeight="1" spans="2:9" x14ac:dyDescent="0.25">
      <c r="B45" s="114"/>
      <c r="C45" s="1"/>
      <c r="D45" s="1"/>
      <c r="E45" s="338"/>
      <c r="F45" s="338"/>
      <c r="G45" s="1"/>
      <c r="H45" s="1"/>
      <c r="I45" s="339"/>
    </row>
    <row r="46" spans="2:9" x14ac:dyDescent="0.25">
      <c r="B46" s="330">
        <f>IF(WERKBON!F15&gt;0,"Rolluik 4","")</f>
      </c>
      <c r="C46" s="331">
        <f>IF(WERKBON!F15&gt;0,"Grootte","")</f>
      </c>
      <c r="D46" s="331">
        <f>IF(WERKBON!F15&gt;0,"Eenheid","")</f>
      </c>
      <c r="E46" s="332"/>
      <c r="F46" s="333"/>
      <c r="G46" s="331">
        <f>IF(WERKBON!F15&gt;0,"Zaagmaat","")</f>
      </c>
      <c r="H46" s="331">
        <f>IF(WERKBON!F15&gt;0,"Maatgeving","")</f>
      </c>
      <c r="I46" s="340"/>
    </row>
    <row r="47" ht="9.95" customHeight="1" spans="2:9" x14ac:dyDescent="0.25">
      <c r="B47" s="127"/>
      <c r="C47" s="128"/>
      <c r="D47" s="128"/>
      <c r="E47" s="341"/>
      <c r="F47" s="341"/>
      <c r="G47" s="128"/>
      <c r="H47" s="128"/>
      <c r="I47" s="340"/>
    </row>
    <row r="48" spans="2:9" x14ac:dyDescent="0.25">
      <c r="B48" s="63">
        <f>IF(WERKBON!F15&gt;0,"Aantal stuks :","")</f>
      </c>
      <c r="C48" s="73"/>
      <c r="D48" s="334">
        <f>IF(WERKBON!F15&gt;0,WERKBON!F15,"")</f>
      </c>
      <c r="E48" s="73"/>
      <c r="F48" s="73"/>
      <c r="G48" s="73"/>
      <c r="H48" s="135"/>
      <c r="I48" s="340"/>
    </row>
    <row r="49" spans="2:9" x14ac:dyDescent="0.25">
      <c r="B49" s="63">
        <f>IF(WERKBON!F15&gt;0,"Mini onderlat :","")</f>
      </c>
      <c r="C49" s="23"/>
      <c r="D49" s="23">
        <f>IF(WERKBON!F15&gt;0,"St","")</f>
      </c>
      <c r="E49" s="63"/>
      <c r="F49" s="63"/>
      <c r="G49" s="335">
        <f>IF(WERKBON!F15&gt;0,WERKBON!AA99+100,"")</f>
      </c>
      <c r="H49" s="336">
        <f>IF(WERKBON!F15&gt;0,"mm","")</f>
      </c>
      <c r="I49" s="343"/>
    </row>
    <row r="50" spans="2:9" x14ac:dyDescent="0.25">
      <c r="B50" s="63">
        <f>IF(WERKBON!F15&gt;0,"Bovenkast :","")</f>
      </c>
      <c r="C50" s="337">
        <f>IF(WERKBON!F15&gt;0,WERKBON!F27,"")</f>
      </c>
      <c r="D50" s="23">
        <f>IF(WERKBON!F15&gt;0,"St","")</f>
      </c>
      <c r="E50" s="23">
        <f>IF(WERKBON!$F$26=45,"45°","")&amp;IF(WERKBON!$F$26="R","Ronde kast","")</f>
      </c>
      <c r="F50" s="23"/>
      <c r="G50" s="335">
        <f>IF(WERKBON!F15&gt;0,WERKBON!AA100+100,"")</f>
      </c>
      <c r="H50" s="115">
        <f>IF(WERKBON!F15&gt;0,"mm","")</f>
      </c>
      <c r="I50" s="343"/>
    </row>
    <row r="51" spans="2:8" x14ac:dyDescent="0.25">
      <c r="B51" s="63">
        <f>IF(WERKBON!F15&gt;0,"Onderkast :","")</f>
      </c>
      <c r="C51" s="337">
        <f>IF(WERKBON!F15&gt;0,WERKBON!F27,"")</f>
      </c>
      <c r="D51" s="23">
        <f>IF(WERKBON!F15&gt;0,"St","")</f>
      </c>
      <c r="E51" s="23">
        <f>IF(WERKBON!$F$26=45,"45°","")&amp;IF(WERKBON!$F$26="R","Ronde kast","")</f>
      </c>
      <c r="F51" s="23"/>
      <c r="G51" s="335">
        <f>IF(WERKBON!F15&gt;0,WERKBON!AA100+100,"")</f>
      </c>
      <c r="H51" s="115">
        <f>IF(WERKBON!F15&gt;0,"mm","")</f>
      </c>
    </row>
    <row r="52" spans="2:8" x14ac:dyDescent="0.25">
      <c r="B52" s="63">
        <f>IF(WERKBON!F15&gt;0,"Zijkap :","")</f>
      </c>
      <c r="C52" s="337">
        <f>IF(WERKBON!F15&gt;0,WERKBON!F27,"")</f>
      </c>
      <c r="D52" s="23">
        <f>IF(WERKBON!F15&gt;0,"Pr","")</f>
      </c>
      <c r="E52" s="23">
        <f>IF(WERKBON!F15&gt;0,"Links &amp; Rechts - ","")&amp;IF(WERKBON!$F$26=45,"45°","")&amp;IF(WERKBON!$F$26="R","Rond","")</f>
      </c>
      <c r="F52" s="23"/>
      <c r="G52" s="335"/>
      <c r="H52" s="115"/>
    </row>
    <row r="53" spans="2:8" x14ac:dyDescent="0.25">
      <c r="B53" s="63">
        <f>IF(WERKBON!F15&gt;0,"Geleider :","")</f>
      </c>
      <c r="C53" s="337">
        <f>IF(WERKBON!F15&gt;0,WERKBON!B102,"")</f>
      </c>
      <c r="D53" s="23">
        <f>IF(WERKBON!F15&gt;0,"Pr","")</f>
      </c>
      <c r="E53" s="63">
        <f>IF(WERKBON!F15&gt;0,"22 x 53 x","")</f>
      </c>
      <c r="F53" s="63"/>
      <c r="G53" s="335">
        <f>IF(WERKBON!F15&gt;0,WERKBON!C102+100,"")</f>
      </c>
      <c r="H53" s="115">
        <f>IF(WERKBON!F15&gt;0,"mm","")</f>
      </c>
    </row>
    <row r="54" ht="9.95" customHeight="1" spans="1:9" x14ac:dyDescent="0.25">
      <c r="A54" s="339"/>
      <c r="B54" s="114"/>
      <c r="C54" s="1"/>
      <c r="D54" s="1"/>
      <c r="E54" s="338"/>
      <c r="F54" s="338"/>
      <c r="G54" s="1"/>
      <c r="H54" s="1"/>
      <c r="I54" s="339"/>
    </row>
    <row r="55" spans="2:9" x14ac:dyDescent="0.25">
      <c r="B55" s="330">
        <f>IF(WERKBON!G15&gt;0,"Rolluik 5","")</f>
      </c>
      <c r="C55" s="331">
        <f>IF(WERKBON!G15&gt;0,"Grootte","")</f>
      </c>
      <c r="D55" s="331">
        <f>IF(WERKBON!G15&gt;0,"Eenheid","")</f>
      </c>
      <c r="E55" s="332"/>
      <c r="F55" s="333"/>
      <c r="G55" s="331">
        <f>IF(WERKBON!G15&gt;0,"Zaagmaat","")</f>
      </c>
      <c r="H55" s="331">
        <f>IF(WERKBON!G15&gt;0,"Maatgeving","")</f>
      </c>
      <c r="I55" s="340"/>
    </row>
    <row r="56" ht="9.95" customHeight="1" spans="2:9" x14ac:dyDescent="0.25">
      <c r="B56" s="127"/>
      <c r="C56" s="128"/>
      <c r="D56" s="128"/>
      <c r="E56" s="341"/>
      <c r="F56" s="341"/>
      <c r="G56" s="128"/>
      <c r="H56" s="128"/>
      <c r="I56" s="340"/>
    </row>
    <row r="57" spans="2:9" x14ac:dyDescent="0.25">
      <c r="B57" s="63">
        <f>IF(WERKBON!G15&gt;0,"Aantal stuks :","")</f>
      </c>
      <c r="C57" s="73"/>
      <c r="D57" s="334">
        <f>IF(WERKBON!G15&gt;0,WERKBON!G15,"")</f>
      </c>
      <c r="E57" s="73"/>
      <c r="F57" s="73"/>
      <c r="G57" s="73"/>
      <c r="H57" s="135"/>
      <c r="I57" s="340"/>
    </row>
    <row r="58" spans="2:9" x14ac:dyDescent="0.25">
      <c r="B58" s="63">
        <f>IF(WERKBON!G15&gt;0,"Mini onderlat :","")</f>
      </c>
      <c r="C58" s="23"/>
      <c r="D58" s="23">
        <f>IF(WERKBON!G15&gt;0,"St","")</f>
      </c>
      <c r="E58" s="63"/>
      <c r="F58" s="63"/>
      <c r="G58" s="335">
        <f>IF(WERKBON!G15&gt;0,WERKBON!AA115+100,"")</f>
      </c>
      <c r="H58" s="336">
        <f>IF(WERKBON!G15&gt;0,"mm","")</f>
      </c>
      <c r="I58" s="343"/>
    </row>
    <row r="59" spans="2:9" x14ac:dyDescent="0.25">
      <c r="B59" s="63">
        <f>IF(WERKBON!G15&gt;0,"Bovenkast :","")</f>
      </c>
      <c r="C59" s="337">
        <f>IF(WERKBON!G15&gt;0,WERKBON!G27,"")</f>
      </c>
      <c r="D59" s="23">
        <f>IF(WERKBON!G15&gt;0,"St","")</f>
      </c>
      <c r="E59" s="23">
        <f>IF(WERKBON!$G$26=45,"45°","")&amp;IF(WERKBON!$G$26="R","Ronde kast","")</f>
      </c>
      <c r="F59" s="23"/>
      <c r="G59" s="335">
        <f>IF(WERKBON!G15&gt;0,WERKBON!AA116+100,"")</f>
      </c>
      <c r="H59" s="115">
        <f>IF(WERKBON!G15&gt;0,"mm","")</f>
      </c>
      <c r="I59" s="343"/>
    </row>
    <row r="60" spans="2:8" x14ac:dyDescent="0.25">
      <c r="B60" s="63">
        <f>IF(WERKBON!G15&gt;0,"Onderkast :","")</f>
      </c>
      <c r="C60" s="337">
        <f>IF(WERKBON!G15&gt;0,WERKBON!G27,"")</f>
      </c>
      <c r="D60" s="23">
        <f>IF(WERKBON!G15&gt;0,"St","")</f>
      </c>
      <c r="E60" s="23">
        <f>IF(WERKBON!$G$26=45,"45°","")&amp;IF(WERKBON!$G$26="R","Ronde kast","")</f>
      </c>
      <c r="F60" s="23"/>
      <c r="G60" s="335">
        <f>IF(WERKBON!G15&gt;0,WERKBON!AA116+100,"")</f>
      </c>
      <c r="H60" s="115">
        <f>IF(WERKBON!G15&gt;0,"mm","")</f>
      </c>
    </row>
    <row r="61" spans="2:8" x14ac:dyDescent="0.25">
      <c r="B61" s="63">
        <f>IF(WERKBON!G15&gt;0,"Zijkap :","")</f>
      </c>
      <c r="C61" s="337">
        <f>IF(WERKBON!G15&gt;0,WERKBON!G27,"")</f>
      </c>
      <c r="D61" s="23">
        <f>IF(WERKBON!G15&gt;0,"Pr","")</f>
      </c>
      <c r="E61" s="23">
        <f>IF(WERKBON!G15&gt;0,"Links &amp; Rechts - ","")&amp;IF(WERKBON!$G$26=45,"45°","")&amp;IF(WERKBON!$G$26="R","Rond","")</f>
      </c>
      <c r="F61" s="23"/>
      <c r="G61" s="335"/>
      <c r="H61" s="115"/>
    </row>
    <row r="62" spans="1:8" x14ac:dyDescent="0.25">
      <c r="A62" s="63"/>
      <c r="B62" s="63">
        <f>IF(WERKBON!G15&gt;0,"Geleider :","")</f>
      </c>
      <c r="C62" s="337">
        <f>IF(WERKBON!G15&gt;0,WERKBON!B118,"")</f>
      </c>
      <c r="D62" s="23">
        <f>IF(WERKBON!G15&gt;0,"Pr","")</f>
      </c>
      <c r="E62" s="63">
        <f>IF(WERKBON!G15&gt;0,"22 x 53 x","")</f>
      </c>
      <c r="F62" s="63"/>
      <c r="G62" s="335">
        <f>IF(WERKBON!G15&gt;0,WERKBON!C118+100,"")</f>
      </c>
      <c r="H62" s="115">
        <f>IF(WERKBON!G15&gt;0,"mm","")</f>
      </c>
    </row>
    <row r="63" spans="1:8" x14ac:dyDescent="0.25">
      <c r="A63" s="63"/>
      <c r="B63" s="63"/>
      <c r="C63" s="23"/>
      <c r="D63" s="23"/>
      <c r="E63" s="63"/>
      <c r="F63" s="63"/>
      <c r="G63" s="335"/>
      <c r="H63" s="115"/>
    </row>
    <row r="64" spans="1:8" x14ac:dyDescent="0.25">
      <c r="A64" s="63"/>
      <c r="B64" s="63"/>
      <c r="C64" s="23"/>
      <c r="D64" s="23"/>
      <c r="E64" s="63"/>
      <c r="F64" s="63"/>
      <c r="G64" s="335"/>
      <c r="H64" s="115"/>
    </row>
    <row r="65" spans="2:7" x14ac:dyDescent="0.25">
      <c r="B65" s="344" t="s">
        <v>87</v>
      </c>
      <c r="C65" s="344"/>
      <c r="D65" s="345"/>
      <c r="E65" s="1"/>
      <c r="F65" s="1"/>
      <c r="G65" s="1"/>
    </row>
    <row r="66" ht="20.25" customHeight="1" spans="1:12" x14ac:dyDescent="0.25">
      <c r="A66" s="339"/>
      <c r="B66" s="344"/>
      <c r="C66" s="344"/>
      <c r="D66" s="345"/>
      <c r="E66" s="346"/>
      <c r="F66" s="346"/>
      <c r="G66" s="346"/>
      <c r="H66" s="339"/>
      <c r="I66" s="339"/>
      <c r="J66" s="339"/>
      <c r="K66" s="339"/>
      <c r="L66" s="339"/>
    </row>
    <row r="67" ht="20.25" customHeight="1" spans="1:8" x14ac:dyDescent="0.25">
      <c r="A67" s="1"/>
      <c r="B67" s="1"/>
      <c r="C67" s="347"/>
      <c r="D67" s="1"/>
      <c r="E67" s="1"/>
      <c r="F67" s="1"/>
      <c r="G67" s="1"/>
      <c r="H67" s="1"/>
    </row>
    <row r="68" ht="20.25" customHeight="1" spans="2:8" x14ac:dyDescent="0.25">
      <c r="B68" s="347"/>
      <c r="C68" s="347"/>
      <c r="D68" s="347"/>
      <c r="E68" s="1"/>
      <c r="F68" s="1"/>
      <c r="G68" s="1"/>
      <c r="H68" s="1"/>
    </row>
    <row r="70" ht="20.25" customHeight="1" spans="2:8" x14ac:dyDescent="0.25">
      <c r="B70" s="347"/>
      <c r="C70" s="347"/>
      <c r="D70" s="347"/>
      <c r="E70" s="1"/>
      <c r="F70" s="1"/>
      <c r="G70" s="1"/>
      <c r="H70" s="1"/>
    </row>
    <row r="71" spans="2:8" x14ac:dyDescent="0.25">
      <c r="B71" s="114"/>
      <c r="C71" s="1"/>
      <c r="D71" s="1"/>
      <c r="E71" s="1"/>
      <c r="F71" s="1"/>
      <c r="G71" s="1"/>
      <c r="H71" s="1"/>
    </row>
    <row r="72" spans="2:8" x14ac:dyDescent="0.25">
      <c r="B72" s="1"/>
      <c r="C72" s="1"/>
      <c r="D72" s="1"/>
      <c r="E72" s="1"/>
      <c r="F72" s="1"/>
      <c r="G72" s="1"/>
      <c r="H72" s="1"/>
    </row>
    <row r="73" spans="2:2" x14ac:dyDescent="0.25">
      <c r="B73" s="273"/>
    </row>
  </sheetData>
  <mergeCells count="56">
    <mergeCell ref="A2:B2"/>
    <mergeCell ref="C2:D2"/>
    <mergeCell ref="D5:F5"/>
    <mergeCell ref="G10:H10"/>
    <mergeCell ref="D12:E12"/>
    <mergeCell ref="C14:H14"/>
    <mergeCell ref="C16:D16"/>
    <mergeCell ref="E16:F17"/>
    <mergeCell ref="G16:H17"/>
    <mergeCell ref="C17:D17"/>
    <mergeCell ref="E19:F19"/>
    <mergeCell ref="E20:F20"/>
    <mergeCell ref="E21:F21"/>
    <mergeCell ref="E22:F22"/>
    <mergeCell ref="E23:F23"/>
    <mergeCell ref="E24:F24"/>
    <mergeCell ref="E25:F25"/>
    <mergeCell ref="E26:F26"/>
    <mergeCell ref="E27:F27"/>
    <mergeCell ref="E28:F28"/>
    <mergeCell ref="E29:F29"/>
    <mergeCell ref="E30:F30"/>
    <mergeCell ref="E31:F31"/>
    <mergeCell ref="E32:F32"/>
    <mergeCell ref="E33:F33"/>
    <mergeCell ref="E34:F34"/>
    <mergeCell ref="E35:F35"/>
    <mergeCell ref="E36:F36"/>
    <mergeCell ref="E37:F37"/>
    <mergeCell ref="E38:F38"/>
    <mergeCell ref="E39:F39"/>
    <mergeCell ref="E40:F40"/>
    <mergeCell ref="E41:F41"/>
    <mergeCell ref="E42:F42"/>
    <mergeCell ref="E43:F43"/>
    <mergeCell ref="E44:F44"/>
    <mergeCell ref="E45:F45"/>
    <mergeCell ref="E46:F46"/>
    <mergeCell ref="E47:F47"/>
    <mergeCell ref="E48:F48"/>
    <mergeCell ref="E49:F49"/>
    <mergeCell ref="E50:F50"/>
    <mergeCell ref="E51:F51"/>
    <mergeCell ref="E52:F52"/>
    <mergeCell ref="E53:F53"/>
    <mergeCell ref="E54:F54"/>
    <mergeCell ref="E55:F55"/>
    <mergeCell ref="E56:F56"/>
    <mergeCell ref="E57:F57"/>
    <mergeCell ref="E58:F58"/>
    <mergeCell ref="E59:F59"/>
    <mergeCell ref="E60:F60"/>
    <mergeCell ref="E61:F61"/>
    <mergeCell ref="E62:F62"/>
    <mergeCell ref="B65:C66"/>
    <mergeCell ref="D65:D66"/>
  </mergeCells>
  <printOptions horizontalCentered="1" verticalCentered="1"/>
  <pageMargins left="0" right="0" top="0" bottom="0" header="0" footer="0"/>
  <pageSetup paperSize="9" orientation="portrait" horizontalDpi="4294967294" verticalDpi="4294967295" scale="94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WERKBON</vt:lpstr>
      <vt:lpstr>AFLEVERINGSBON</vt:lpstr>
      <vt:lpstr>Lakkerij</vt:lpstr>
      <vt:lpstr>Software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Aluplex</dc:creator>
  <cp:lastModifiedBy>Kristof Volkaerts</cp:lastModifiedBy>
  <cp:lastPrinted>2024-01-05T12:20:33Z</cp:lastPrinted>
  <dcterms:created xsi:type="dcterms:W3CDTF">2018-09-07T12:20:47Z</dcterms:created>
  <dcterms:modified xsi:type="dcterms:W3CDTF">2024-03-29T10:02:12Z</dcterms:modified>
</cp:coreProperties>
</file>